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ange Units" sheetId="1" r:id="rId3"/>
    <sheet state="hidden" name="Editor Comments" sheetId="2" r:id="rId4"/>
    <sheet state="hidden" name="Temperature effect" sheetId="3" r:id="rId5"/>
    <sheet state="hidden" name="Feedback" sheetId="4" r:id="rId6"/>
    <sheet state="visible" name="Start here" sheetId="5" r:id="rId7"/>
    <sheet state="visible" name="All entries" sheetId="6" r:id="rId8"/>
    <sheet state="visible" name="Charts" sheetId="7" r:id="rId9"/>
    <sheet state="visible" name="Form responses" sheetId="8" r:id="rId10"/>
    <sheet state="visible" name="Preform entries" sheetId="9" r:id="rId11"/>
    <sheet state="visible" name="Administrative" sheetId="10" r:id="rId12"/>
  </sheets>
  <definedNames>
    <definedName name="NamedRange1">#REF!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Z1">
      <text>
        <t xml:space="preserve">This shows the trendline at this mileage</t>
      </text>
    </comment>
  </commentList>
</comments>
</file>

<file path=xl/comments2.xml><?xml version="1.0" encoding="utf-8"?>
<comments xmlns:r="http://schemas.openxmlformats.org/officeDocument/2006/relationships" xmlns="http://schemas.openxmlformats.org/spreadsheetml/2006/main">
  <authors>
    <author/>
  </authors>
  <commentList>
    <comment authorId="0" ref="P9">
      <text>
        <t xml:space="preserve">Responder updated this value.</t>
      </text>
    </comment>
    <comment authorId="0" ref="Q9">
      <text>
        <t xml:space="preserve">Responder updated this value.</t>
      </text>
    </comment>
    <comment authorId="0" ref="R9">
      <text>
        <t xml:space="preserve">Responder updated this value.</t>
      </text>
    </comment>
    <comment authorId="0" ref="K11">
      <text>
        <t xml:space="preserve">Responder updated this value.</t>
      </text>
    </comment>
    <comment authorId="0" ref="S11">
      <text>
        <t xml:space="preserve">Responder updated this value.</t>
      </text>
    </comment>
    <comment authorId="0" ref="T11">
      <text>
        <t xml:space="preserve">Responder updated this value.</t>
      </text>
    </comment>
    <comment authorId="0" ref="U11">
      <text>
        <t xml:space="preserve">Responder updated this value.</t>
      </text>
    </comment>
    <comment authorId="0" ref="P12">
      <text>
        <t xml:space="preserve">Responder updated this value.</t>
      </text>
    </comment>
    <comment authorId="0" ref="Q12">
      <text>
        <t xml:space="preserve">Responder updated this value.</t>
      </text>
    </comment>
    <comment authorId="0" ref="R12">
      <text>
        <t xml:space="preserve">Responder updated this value.</t>
      </text>
    </comment>
    <comment authorId="0" ref="J20">
      <text>
        <t xml:space="preserve">Responder updated this value.</t>
      </text>
    </comment>
    <comment authorId="0" ref="Q20">
      <text>
        <t xml:space="preserve">Responder updated this value.</t>
      </text>
    </comment>
    <comment authorId="0" ref="K21">
      <text>
        <t xml:space="preserve">Responder updated this value.</t>
      </text>
    </comment>
    <comment authorId="0" ref="L21">
      <text>
        <t xml:space="preserve">Responder updated this value.</t>
      </text>
    </comment>
    <comment authorId="0" ref="G22">
      <text>
        <t xml:space="preserve">Responder updated this value.</t>
      </text>
    </comment>
    <comment authorId="0" ref="I22">
      <text>
        <t xml:space="preserve">Responder updated this value.</t>
      </text>
    </comment>
    <comment authorId="0" ref="J22">
      <text>
        <t xml:space="preserve">Responder updated this value.</t>
      </text>
    </comment>
    <comment authorId="0" ref="M22">
      <text>
        <t xml:space="preserve">Responder updated this value.</t>
      </text>
    </comment>
    <comment authorId="0" ref="V22">
      <text>
        <t xml:space="preserve">Responder updated this value.</t>
      </text>
    </comment>
    <comment authorId="0" ref="W22">
      <text>
        <t xml:space="preserve">Responder updated this value.</t>
      </text>
    </comment>
    <comment authorId="0" ref="X22">
      <text>
        <t xml:space="preserve">Responder updated this value.</t>
      </text>
    </comment>
    <comment authorId="0" ref="Y22">
      <text>
        <t xml:space="preserve">Responder updated this value.</t>
      </text>
    </comment>
    <comment authorId="0" ref="Z22">
      <text>
        <t xml:space="preserve">Responder updated this value.</t>
      </text>
    </comment>
    <comment authorId="0" ref="AA22">
      <text>
        <t xml:space="preserve">Responder updated this value.</t>
      </text>
    </comment>
    <comment authorId="0" ref="AB22">
      <text>
        <t xml:space="preserve">Responder updated this value.</t>
      </text>
    </comment>
    <comment authorId="0" ref="AL22">
      <text>
        <t xml:space="preserve">Responder updated this value.</t>
      </text>
    </comment>
    <comment authorId="0" ref="K24">
      <text>
        <t xml:space="preserve">Responder updated this value.</t>
      </text>
    </comment>
    <comment authorId="0" ref="R24">
      <text>
        <t xml:space="preserve">Responder updated this value.</t>
      </text>
    </comment>
    <comment authorId="0" ref="U24">
      <text>
        <t xml:space="preserve">Responder updated this value.</t>
      </text>
    </comment>
    <comment authorId="0" ref="X24">
      <text>
        <t xml:space="preserve">Responder updated this value.</t>
      </text>
    </comment>
    <comment authorId="0" ref="Y24">
      <text>
        <t xml:space="preserve">Responder updated this value.</t>
      </text>
    </comment>
    <comment authorId="0" ref="Z24">
      <text>
        <t xml:space="preserve">Responder updated this value.</t>
      </text>
    </comment>
    <comment authorId="0" ref="AA24">
      <text>
        <t xml:space="preserve">Responder updated this value.</t>
      </text>
    </comment>
    <comment authorId="0" ref="AB24">
      <text>
        <t xml:space="preserve">Responder updated this value.</t>
      </text>
    </comment>
    <comment authorId="0" ref="AL24">
      <text>
        <t xml:space="preserve">Responder updated this value.</t>
      </text>
    </comment>
    <comment authorId="0" ref="S30">
      <text>
        <t xml:space="preserve">Responder updated this value.</t>
      </text>
    </comment>
    <comment authorId="0" ref="T30">
      <text>
        <t xml:space="preserve">Responder updated this value.</t>
      </text>
    </comment>
    <comment authorId="0" ref="U30">
      <text>
        <t xml:space="preserve">Responder updated this value.</t>
      </text>
    </comment>
    <comment authorId="0" ref="M32">
      <text>
        <t xml:space="preserve">Responder updated this value.</t>
      </text>
    </comment>
    <comment authorId="0" ref="S39">
      <text>
        <t xml:space="preserve">Responder updated this value.</t>
      </text>
    </comment>
    <comment authorId="0" ref="T39">
      <text>
        <t xml:space="preserve">Responder updated this value.</t>
      </text>
    </comment>
    <comment authorId="0" ref="U39">
      <text>
        <t xml:space="preserve">Responder updated this value.</t>
      </text>
    </comment>
    <comment authorId="0" ref="Q41">
      <text>
        <t xml:space="preserve">Responder updated this value.</t>
      </text>
    </comment>
    <comment authorId="0" ref="R41">
      <text>
        <t xml:space="preserve">Responder updated this value.</t>
      </text>
    </comment>
    <comment authorId="0" ref="S41">
      <text>
        <t xml:space="preserve">Responder updated this value.</t>
      </text>
    </comment>
    <comment authorId="0" ref="K42">
      <text>
        <t xml:space="preserve">Responder updated this value.</t>
      </text>
    </comment>
    <comment authorId="0" ref="M42">
      <text>
        <t xml:space="preserve">Responder updated this value.</t>
      </text>
    </comment>
    <comment authorId="0" ref="R42">
      <text>
        <t xml:space="preserve">Responder updated this value.</t>
      </text>
    </comment>
    <comment authorId="0" ref="S42">
      <text>
        <t xml:space="preserve">Responder updated this value.</t>
      </text>
    </comment>
    <comment authorId="0" ref="T42">
      <text>
        <t xml:space="preserve">Responder updated this value.</t>
      </text>
    </comment>
    <comment authorId="0" ref="U42">
      <text>
        <t xml:space="preserve">Responder updated this value.</t>
      </text>
    </comment>
    <comment authorId="0" ref="P55">
      <text>
        <t xml:space="preserve">Responder updated this value.</t>
      </text>
    </comment>
    <comment authorId="0" ref="Q55">
      <text>
        <t xml:space="preserve">Responder updated this value.</t>
      </text>
    </comment>
    <comment authorId="0" ref="R55">
      <text>
        <t xml:space="preserve">Responder updated this value.</t>
      </text>
    </comment>
    <comment authorId="0" ref="S55">
      <text>
        <t xml:space="preserve">Responder updated this value.</t>
      </text>
    </comment>
    <comment authorId="0" ref="T55">
      <text>
        <t xml:space="preserve">Responder updated this value.</t>
      </text>
    </comment>
    <comment authorId="0" ref="V55">
      <text>
        <t xml:space="preserve">Responder updated this value.</t>
      </text>
    </comment>
    <comment authorId="0" ref="W55">
      <text>
        <t xml:space="preserve">Responder updated this value.</t>
      </text>
    </comment>
    <comment authorId="0" ref="Y55">
      <text>
        <t xml:space="preserve">Responder updated this value.</t>
      </text>
    </comment>
    <comment authorId="0" ref="AL55">
      <text>
        <t xml:space="preserve">Responder updated this value.</t>
      </text>
    </comment>
    <comment authorId="0" ref="Q57">
      <text>
        <t xml:space="preserve">Responder updated this value.</t>
      </text>
    </comment>
    <comment authorId="0" ref="M58">
      <text>
        <t xml:space="preserve">Responder updated this value.</t>
      </text>
    </comment>
    <comment authorId="0" ref="S58">
      <text>
        <t xml:space="preserve">Responder updated this value.</t>
      </text>
    </comment>
    <comment authorId="0" ref="T58">
      <text>
        <t xml:space="preserve">Responder updated this value.</t>
      </text>
    </comment>
    <comment authorId="0" ref="U58">
      <text>
        <t xml:space="preserve">Responder updated this value.</t>
      </text>
    </comment>
    <comment authorId="0" ref="G67">
      <text>
        <t xml:space="preserve">Responder updated this value.</t>
      </text>
    </comment>
    <comment authorId="0" ref="H67">
      <text>
        <t xml:space="preserve">Responder updated this value.</t>
      </text>
    </comment>
    <comment authorId="0" ref="P67">
      <text>
        <t xml:space="preserve">Responder updated this value.</t>
      </text>
    </comment>
    <comment authorId="0" ref="Q67">
      <text>
        <t xml:space="preserve">Responder updated this value.</t>
      </text>
    </comment>
    <comment authorId="0" ref="R67">
      <text>
        <t xml:space="preserve">Responder updated this value.</t>
      </text>
    </comment>
    <comment authorId="0" ref="E72">
      <text>
        <t xml:space="preserve">Responder updated this value.</t>
      </text>
    </comment>
    <comment authorId="0" ref="AC73">
      <text>
        <t xml:space="preserve">Responder updated this value.</t>
      </text>
    </comment>
    <comment authorId="0" ref="AD73">
      <text>
        <t xml:space="preserve">Responder updated this value.</t>
      </text>
    </comment>
    <comment authorId="0" ref="AE73">
      <text>
        <t xml:space="preserve">Responder updated this value.</t>
      </text>
    </comment>
    <comment authorId="0" ref="K74">
      <text>
        <t xml:space="preserve">Responder updated this value.</t>
      </text>
    </comment>
    <comment authorId="0" ref="M74">
      <text>
        <t xml:space="preserve">Responder updated this value.</t>
      </text>
    </comment>
    <comment authorId="0" ref="Q74">
      <text>
        <t xml:space="preserve">Responder updated this value.</t>
      </text>
    </comment>
    <comment authorId="0" ref="B77">
      <text>
        <t xml:space="preserve">Responder updated this value.</t>
      </text>
    </comment>
    <comment authorId="0" ref="E77">
      <text>
        <t xml:space="preserve">Responder updated this value.</t>
      </text>
    </comment>
    <comment authorId="0" ref="K77">
      <text>
        <t xml:space="preserve">Responder updated this value.</t>
      </text>
    </comment>
    <comment authorId="0" ref="P77">
      <text>
        <t xml:space="preserve">Responder updated this value.</t>
      </text>
    </comment>
    <comment authorId="0" ref="Q77">
      <text>
        <t xml:space="preserve">Responder updated this value.</t>
      </text>
    </comment>
    <comment authorId="0" ref="R77">
      <text>
        <t xml:space="preserve">Responder updated this value.</t>
      </text>
    </comment>
    <comment authorId="0" ref="AF89">
      <text>
        <t xml:space="preserve">Responder updated this value.</t>
      </text>
    </comment>
    <comment authorId="0" ref="AG89">
      <text>
        <t xml:space="preserve">Responder updated this value.</t>
      </text>
    </comment>
    <comment authorId="0" ref="AH89">
      <text>
        <t xml:space="preserve">Responder updated this value.</t>
      </text>
    </comment>
    <comment authorId="0" ref="AI89">
      <text>
        <t xml:space="preserve">Responder updated this value.</t>
      </text>
    </comment>
    <comment authorId="0" ref="AJ89">
      <text>
        <t xml:space="preserve">Responder updated this value.</t>
      </text>
    </comment>
    <comment authorId="0" ref="AK89">
      <text>
        <t xml:space="preserve">Responder updated this value.</t>
      </text>
    </comment>
    <comment authorId="0" ref="E93">
      <text>
        <t xml:space="preserve">Responder updated this value.</t>
      </text>
    </comment>
    <comment authorId="0" ref="H93">
      <text>
        <t xml:space="preserve">Responder updated this value.</t>
      </text>
    </comment>
    <comment authorId="0" ref="P93">
      <text>
        <t xml:space="preserve">Responder updated this value.</t>
      </text>
    </comment>
    <comment authorId="0" ref="Q93">
      <text>
        <t xml:space="preserve">Responder updated this value.</t>
      </text>
    </comment>
    <comment authorId="0" ref="R93">
      <text>
        <t xml:space="preserve">Responder updated this value.</t>
      </text>
    </comment>
    <comment authorId="0" ref="S93">
      <text>
        <t xml:space="preserve">Responder updated this value.</t>
      </text>
    </comment>
    <comment authorId="0" ref="T93">
      <text>
        <t xml:space="preserve">Responder updated this value.</t>
      </text>
    </comment>
    <comment authorId="0" ref="U93">
      <text>
        <t xml:space="preserve">Responder updated this value.</t>
      </text>
    </comment>
    <comment authorId="0" ref="Y99">
      <text>
        <t xml:space="preserve">Responder updated this value.</t>
      </text>
    </comment>
    <comment authorId="0" ref="Z99">
      <text>
        <t xml:space="preserve">Responder updated this value.</t>
      </text>
    </comment>
    <comment authorId="0" ref="AA99">
      <text>
        <t xml:space="preserve">Responder updated this value.</t>
      </text>
    </comment>
    <comment authorId="0" ref="AB99">
      <text>
        <t xml:space="preserve">Responder updated this value.</t>
      </text>
    </comment>
    <comment authorId="0" ref="AC99">
      <text>
        <t xml:space="preserve">Responder updated this value.</t>
      </text>
    </comment>
    <comment authorId="0" ref="AD99">
      <text>
        <t xml:space="preserve">Responder updated this value.</t>
      </text>
    </comment>
    <comment authorId="0" ref="AE99">
      <text>
        <t xml:space="preserve">Responder updated this value.</t>
      </text>
    </comment>
    <comment authorId="0" ref="AL99">
      <text>
        <t xml:space="preserve">Responder updated this value.</t>
      </text>
    </comment>
    <comment authorId="0" ref="S102">
      <text>
        <t xml:space="preserve">Responder updated this value.</t>
      </text>
    </comment>
    <comment authorId="0" ref="T102">
      <text>
        <t xml:space="preserve">Responder updated this value.</t>
      </text>
    </comment>
    <comment authorId="0" ref="U102">
      <text>
        <t xml:space="preserve">Responder updated this value.</t>
      </text>
    </comment>
    <comment authorId="0" ref="B106">
      <text>
        <t xml:space="preserve">Responder updated this value.</t>
      </text>
    </comment>
    <comment authorId="0" ref="E106">
      <text>
        <t xml:space="preserve">Responder updated this value.</t>
      </text>
    </comment>
    <comment authorId="0" ref="G106">
      <text>
        <t xml:space="preserve">Responder updated this value.</t>
      </text>
    </comment>
    <comment authorId="0" ref="H106">
      <text>
        <t xml:space="preserve">Responder updated this value.</t>
      </text>
    </comment>
    <comment authorId="0" ref="L106">
      <text>
        <t xml:space="preserve">Responder updated this value.</t>
      </text>
    </comment>
    <comment authorId="0" ref="M106">
      <text>
        <t xml:space="preserve">Responder updated this value.</t>
      </text>
    </comment>
    <comment authorId="0" ref="K122">
      <text>
        <t xml:space="preserve">Responder updated this value.</t>
      </text>
    </comment>
    <comment authorId="0" ref="L122">
      <text>
        <t xml:space="preserve">Responder updated this value.</t>
      </text>
    </comment>
    <comment authorId="0" ref="M122">
      <text>
        <t xml:space="preserve">Responder updated this value.</t>
      </text>
    </comment>
    <comment authorId="0" ref="S122">
      <text>
        <t xml:space="preserve">Responder updated this value.</t>
      </text>
    </comment>
    <comment authorId="0" ref="T122">
      <text>
        <t xml:space="preserve">Responder updated this value.</t>
      </text>
    </comment>
    <comment authorId="0" ref="U122">
      <text>
        <t xml:space="preserve">Responder updated this value.</t>
      </text>
    </comment>
    <comment authorId="0" ref="R126">
      <text>
        <t xml:space="preserve">Responder updated this value.</t>
      </text>
    </comment>
    <comment authorId="0" ref="K127">
      <text>
        <t xml:space="preserve">Responder updated this value.</t>
      </text>
    </comment>
    <comment authorId="0" ref="S127">
      <text>
        <t xml:space="preserve">Responder updated this value.</t>
      </text>
    </comment>
    <comment authorId="0" ref="T127">
      <text>
        <t xml:space="preserve">Responder updated this value.</t>
      </text>
    </comment>
    <comment authorId="0" ref="U127">
      <text>
        <t xml:space="preserve">Responder updated this value.</t>
      </text>
    </comment>
    <comment authorId="0" ref="V127">
      <text>
        <t xml:space="preserve">Responder updated this value.</t>
      </text>
    </comment>
    <comment authorId="0" ref="W127">
      <text>
        <t xml:space="preserve">Responder updated this value.</t>
      </text>
    </comment>
    <comment authorId="0" ref="X127">
      <text>
        <t xml:space="preserve">Responder updated this value.</t>
      </text>
    </comment>
    <comment authorId="0" ref="Y127">
      <text>
        <t xml:space="preserve">Responder updated this value.</t>
      </text>
    </comment>
    <comment authorId="0" ref="Z127">
      <text>
        <t xml:space="preserve">Responder updated this value.</t>
      </text>
    </comment>
    <comment authorId="0" ref="AA127">
      <text>
        <t xml:space="preserve">Responder updated this value.</t>
      </text>
    </comment>
    <comment authorId="0" ref="AB127">
      <text>
        <t xml:space="preserve">Responder updated this value.</t>
      </text>
    </comment>
    <comment authorId="0" ref="AC127">
      <text>
        <t xml:space="preserve">Responder updated this value.</t>
      </text>
    </comment>
    <comment authorId="0" ref="AD127">
      <text>
        <t xml:space="preserve">Responder updated this value.</t>
      </text>
    </comment>
    <comment authorId="0" ref="AE127">
      <text>
        <t xml:space="preserve">Responder updated this value.</t>
      </text>
    </comment>
    <comment authorId="0" ref="AL127">
      <text>
        <t xml:space="preserve">Responder updated this value.</t>
      </text>
    </comment>
    <comment authorId="0" ref="C133">
      <text>
        <t xml:space="preserve">Responder updated this value.</t>
      </text>
    </comment>
    <comment authorId="0" ref="L133">
      <text>
        <t xml:space="preserve">Responder updated this value.</t>
      </text>
    </comment>
    <comment authorId="0" ref="G134">
      <text>
        <t xml:space="preserve">Responder updated this value.</t>
      </text>
    </comment>
    <comment authorId="0" ref="M134">
      <text>
        <t xml:space="preserve">Responder updated this value.</t>
      </text>
    </comment>
    <comment authorId="0" ref="AF134">
      <text>
        <t xml:space="preserve">Responder updated this value.</t>
      </text>
    </comment>
    <comment authorId="0" ref="AG134">
      <text>
        <t xml:space="preserve">Responder updated this value.</t>
      </text>
    </comment>
    <comment authorId="0" ref="AH134">
      <text>
        <t xml:space="preserve">Responder updated this value.</t>
      </text>
    </comment>
    <comment authorId="0" ref="E154">
      <text>
        <t xml:space="preserve">Responder updated this value.</t>
      </text>
    </comment>
    <comment authorId="0" ref="K154">
      <text>
        <t xml:space="preserve">Responder updated this value.</t>
      </text>
    </comment>
    <comment authorId="0" ref="B159">
      <text>
        <t xml:space="preserve">Responder updated this value.</t>
      </text>
    </comment>
    <comment authorId="0" ref="K159">
      <text>
        <t xml:space="preserve">Responder updated this value.</t>
      </text>
    </comment>
    <comment authorId="0" ref="P159">
      <text>
        <t xml:space="preserve">Responder updated this value.</t>
      </text>
    </comment>
    <comment authorId="0" ref="Q159">
      <text>
        <t xml:space="preserve">Responder updated this value.</t>
      </text>
    </comment>
    <comment authorId="0" ref="R159">
      <text>
        <t xml:space="preserve">Responder updated this value.</t>
      </text>
    </comment>
    <comment authorId="0" ref="S159">
      <text>
        <t xml:space="preserve">Responder updated this value.</t>
      </text>
    </comment>
    <comment authorId="0" ref="T159">
      <text>
        <t xml:space="preserve">Responder updated this value.</t>
      </text>
    </comment>
    <comment authorId="0" ref="U159">
      <text>
        <t xml:space="preserve">Responder updated this value.</t>
      </text>
    </comment>
    <comment authorId="0" ref="V159">
      <text>
        <t xml:space="preserve">Responder updated this value.</t>
      </text>
    </comment>
    <comment authorId="0" ref="W159">
      <text>
        <t xml:space="preserve">Responder updated this value.</t>
      </text>
    </comment>
    <comment authorId="0" ref="X159">
      <text>
        <t xml:space="preserve">Responder updated this value.</t>
      </text>
    </comment>
    <comment authorId="0" ref="Y159">
      <text>
        <t xml:space="preserve">Responder updated this value.</t>
      </text>
    </comment>
    <comment authorId="0" ref="Z159">
      <text>
        <t xml:space="preserve">Responder updated this value.</t>
      </text>
    </comment>
    <comment authorId="0" ref="AA159">
      <text>
        <t xml:space="preserve">Responder updated this value.</t>
      </text>
    </comment>
    <comment authorId="0" ref="AB159">
      <text>
        <t xml:space="preserve">Responder updated this value.</t>
      </text>
    </comment>
    <comment authorId="0" ref="AC159">
      <text>
        <t xml:space="preserve">Responder updated this value.</t>
      </text>
    </comment>
    <comment authorId="0" ref="AD159">
      <text>
        <t xml:space="preserve">Responder updated this value.</t>
      </text>
    </comment>
    <comment authorId="0" ref="AE159">
      <text>
        <t xml:space="preserve">Responder updated this value.</t>
      </text>
    </comment>
    <comment authorId="0" ref="AF159">
      <text>
        <t xml:space="preserve">Responder updated this value.</t>
      </text>
    </comment>
    <comment authorId="0" ref="AG159">
      <text>
        <t xml:space="preserve">Responder updated this value.</t>
      </text>
    </comment>
    <comment authorId="0" ref="AH159">
      <text>
        <t xml:space="preserve">Responder updated this value.</t>
      </text>
    </comment>
    <comment authorId="0" ref="AI159">
      <text>
        <t xml:space="preserve">Responder updated this value.</t>
      </text>
    </comment>
    <comment authorId="0" ref="AJ159">
      <text>
        <t xml:space="preserve">Responder updated this value.</t>
      </text>
    </comment>
    <comment authorId="0" ref="AK159">
      <text>
        <t xml:space="preserve">Responder updated this value.</t>
      </text>
    </comment>
    <comment authorId="0" ref="AM159">
      <text>
        <t xml:space="preserve">Responder updated this value.</t>
      </text>
    </comment>
    <comment authorId="0" ref="AN159">
      <text>
        <t xml:space="preserve">Responder updated this value.</t>
      </text>
    </comment>
    <comment authorId="0" ref="AO159">
      <text>
        <t xml:space="preserve">Responder updated this value.</t>
      </text>
    </comment>
    <comment authorId="0" ref="AP159">
      <text>
        <t xml:space="preserve">Responder updated this value.</t>
      </text>
    </comment>
    <comment authorId="0" ref="AQ159">
      <text>
        <t xml:space="preserve">Responder updated this value.</t>
      </text>
    </comment>
    <comment authorId="0" ref="AR159">
      <text>
        <t xml:space="preserve">Responder updated this value.</t>
      </text>
    </comment>
    <comment authorId="0" ref="AY159">
      <text>
        <t xml:space="preserve">Responder updated this value.</t>
      </text>
    </comment>
    <comment authorId="0" ref="P161">
      <text>
        <t xml:space="preserve">Responder updated this value.</t>
      </text>
    </comment>
    <comment authorId="0" ref="Q161">
      <text>
        <t xml:space="preserve">Responder updated this value.</t>
      </text>
    </comment>
    <comment authorId="0" ref="R161">
      <text>
        <t xml:space="preserve">Responder updated this value.</t>
      </text>
    </comment>
    <comment authorId="0" ref="S161">
      <text>
        <t xml:space="preserve">Responder updated this value.</t>
      </text>
    </comment>
    <comment authorId="0" ref="T161">
      <text>
        <t xml:space="preserve">Responder updated this value.</t>
      </text>
    </comment>
    <comment authorId="0" ref="U161">
      <text>
        <t xml:space="preserve">Responder updated this value.</t>
      </text>
    </comment>
    <comment authorId="0" ref="Q164">
      <text>
        <t xml:space="preserve">Responder updated this value.</t>
      </text>
    </comment>
    <comment authorId="0" ref="R164">
      <text>
        <t xml:space="preserve">Responder updated this value.</t>
      </text>
    </comment>
    <comment authorId="0" ref="K165">
      <text>
        <t xml:space="preserve">Responder updated this value.</t>
      </text>
    </comment>
    <comment authorId="0" ref="P165">
      <text>
        <t xml:space="preserve">Responder updated this value.</t>
      </text>
    </comment>
    <comment authorId="0" ref="Q165">
      <text>
        <t xml:space="preserve">Responder updated this value.</t>
      </text>
    </comment>
    <comment authorId="0" ref="R165">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C5">
      <text>
        <t xml:space="preserve">These are the A,B,C,D coefficients in the trendline formula:
y = A - x/(B*100) + C*exp(-x/D)</t>
      </text>
    </comment>
    <comment authorId="0" ref="A6">
      <text>
        <t xml:space="preserve">Linear portion of the trendline drops by 1% per km shown here</t>
      </text>
    </comment>
    <comment authorId="0" ref="A8">
      <text>
        <t xml:space="preserve">Adjust to minimize sumsq</t>
      </text>
    </comment>
    <comment authorId="0" ref="B23">
      <text>
        <t xml:space="preserve">Adjust to minimize sumsq</t>
      </text>
    </comment>
    <comment authorId="0" ref="J31">
      <text>
        <t xml:space="preserve">It shows 499 here https://youtu.be/0O3u3q0Ng54?t=29</t>
      </text>
    </comment>
    <comment authorId="0" ref="B51">
      <text>
        <t xml:space="preserve">Adjust to minimize sumsq</t>
      </text>
    </comment>
  </commentList>
</comments>
</file>

<file path=xl/sharedStrings.xml><?xml version="1.0" encoding="utf-8"?>
<sst xmlns="http://schemas.openxmlformats.org/spreadsheetml/2006/main" count="18211" uniqueCount="1797">
  <si>
    <t>EPA Rated Range
(based on EPA 5-cycle test)</t>
  </si>
  <si>
    <t>Typical Range</t>
  </si>
  <si>
    <t>Old EPA rated range if different than current one</t>
  </si>
  <si>
    <t>Design studio screenshots</t>
  </si>
  <si>
    <t>Range units Tesla Model S&amp;X displays</t>
  </si>
  <si>
    <t>|EPA Rated Range
(based on EPA 5-cycle test)||||Typical Range||||Old EPA rated range if different than current one||Design studio screenshots|Range units Tesla Model S&amp;X displays||</t>
  </si>
  <si>
    <t>Display changes</t>
  </si>
  <si>
    <t>Miles</t>
  </si>
  <si>
    <t>Kilometres</t>
  </si>
  <si>
    <t>North America</t>
  </si>
  <si>
    <t>Everywhere else</t>
  </si>
  <si>
    <t>|Miles||Kilometres||Miles||Kilometres||Miles|Kilometres||||</t>
  </si>
  <si>
    <t>Model S 60</t>
  </si>
  <si>
    <t>EPA rated range</t>
  </si>
  <si>
    <t>NEDC rated range</t>
  </si>
  <si>
    <t>Model S 60|210|1*|338|1*|180|2*|289|2*|208|335|7/16r|4||</t>
  </si>
  <si>
    <t>Model S 60D</t>
  </si>
  <si>
    <t>Ideal range</t>
  </si>
  <si>
    <t>Typical range</t>
  </si>
  <si>
    <t>Model S 60D|218|1*|351|1*|207|2*|333|2*|||1|7/16d||</t>
  </si>
  <si>
    <t>Model S 70</t>
  </si>
  <si>
    <t>Model S 70|234|1*|370|1*|224|2*|360|2*||||||</t>
  </si>
  <si>
    <t>Model S 70D</t>
  </si>
  <si>
    <t>Green = This survey uses these units</t>
  </si>
  <si>
    <t>Model S 70D|240|1*|385|1*|227|2*|365|2*|||2|3|2/16|</t>
  </si>
  <si>
    <t>Model S 75</t>
  </si>
  <si>
    <t>Red = Not used in this survey.</t>
  </si>
  <si>
    <t>Model S 75|249|1*|400|1*|240|2*|386|2*|||7/16r|||</t>
  </si>
  <si>
    <t>Model S 75D</t>
  </si>
  <si>
    <t>Model S 75D|259|1*|416|1*|241|2*|388|2*|||7/16d|||</t>
  </si>
  <si>
    <t>Model S 85</t>
  </si>
  <si>
    <t>Model S 85|265|1*|425|1*|249|2*|400|2*|||2|4||</t>
  </si>
  <si>
    <t>Model S P85</t>
  </si>
  <si>
    <t>Model S P85|265|1*|425|1*|249|2*|400|2*|||4|||</t>
  </si>
  <si>
    <t>Model S P85+</t>
  </si>
  <si>
    <t>Model S P85+|265|1*|425|1*|249|2*|400|2*||||||</t>
  </si>
  <si>
    <t>Model S 85D</t>
  </si>
  <si>
    <t>Model S 85D|270|1*|435|1*|267|2*|430|2*|||1|2|3|</t>
  </si>
  <si>
    <t>Model S P85D</t>
  </si>
  <si>
    <t>Model S P85D|253|1*|405|1*|254|2*|408|2*|||1|2|3|</t>
  </si>
  <si>
    <t>Model S 90</t>
  </si>
  <si>
    <t>unknown</t>
  </si>
  <si>
    <t>Model S 90|unknown||unknown||264|2*|425|2*||||||</t>
  </si>
  <si>
    <t>Model S 90D</t>
  </si>
  <si>
    <t>Model S 90D|294|1*|473|1*|281|2*|452|2*|288|460|7/16r|7/16d|2/16|</t>
  </si>
  <si>
    <t>Model S 100D</t>
  </si>
  <si>
    <t>Model S 100D|335|1*|539|1*|320|2*|515|2*||||||</t>
  </si>
  <si>
    <t>Model S P90D</t>
  </si>
  <si>
    <t>Model S P90D|270|1*|434|1*|259|2*|417|2*||435|7/16r|7/16d|2/16|</t>
  </si>
  <si>
    <t>Model S P100D</t>
  </si>
  <si>
    <t>Model S P100D|315|1*|507|1*|303|2*|488|2*||||||</t>
  </si>
  <si>
    <t>Model X 60D</t>
  </si>
  <si>
    <t>Model X 60D|200|1*|321|1*|unknown||unknown||||7/17|||</t>
  </si>
  <si>
    <t>Model X 70D</t>
  </si>
  <si>
    <t>Model X 70D|220|1*|unknown||unknown||unknown||||8|||</t>
  </si>
  <si>
    <t>Model X 75D</t>
  </si>
  <si>
    <t>Model X 75D|237|1*|381|1*|unknown||unknown||||7/17|10/17||</t>
  </si>
  <si>
    <t>Model X 90D</t>
  </si>
  <si>
    <t>Date
(double click empty cell)</t>
  </si>
  <si>
    <t>Username</t>
  </si>
  <si>
    <t>Some links to remember</t>
  </si>
  <si>
    <t>Model X 90D|257|1*|413|1*|252|2*|405|2*|||7/17|8||</t>
  </si>
  <si>
    <t>Model X 100D</t>
  </si>
  <si>
    <t>Matteo</t>
  </si>
  <si>
    <t>Applying Conditional Formatting Across Sheets</t>
  </si>
  <si>
    <t>Model X 100D|295|1*|475|1*|281|2*|453|2*|||10/17|||</t>
  </si>
  <si>
    <t>http://thejournal.com/articles/2014/12/11/google-apps-applying-conditional-formatting-across-sheets.aspx</t>
  </si>
  <si>
    <t>Model X P90D</t>
  </si>
  <si>
    <t>Model X P90D|250|1*|402|1*|239|2*|384|2*|||7/17|8||</t>
  </si>
  <si>
    <t>Model X P100D</t>
  </si>
  <si>
    <t>Use INDIRECT to dynamically refer to worksheets in Excel and Google Spreadsheets</t>
  </si>
  <si>
    <t>http://spreadsheetpro.net/how-to-make-a-dynamic-reference-to-a-worksheet-in-excel-and-google-spreadsheets/</t>
  </si>
  <si>
    <t>Model X P100D|289|1*|465|1*|unknown||unknown||||10/17|||</t>
  </si>
  <si>
    <t>Region</t>
  </si>
  <si>
    <t>Region|USA||Canada||UK||Asia Pacific &amp; Europe (excl UK)|||||||</t>
  </si>
  <si>
    <t>Tips and data other editors might find useful</t>
  </si>
  <si>
    <t>||||||||||||||</t>
  </si>
  <si>
    <t>nitradavid</t>
  </si>
  <si>
    <t xml:space="preserve">Hi... I just created a simple code to automatically make a backups for you.. You will find it in tools - script editor or at this url. You need to create your own folder for your backUps and finish the code with unique code of your folder. You also have to set daily trigger. I think this sheet is great idea so I though this could help you to not loose all of your datas. Sorry for my English, I´m from Czech republic. https://script.google.com/macros/d/1Lq8xViasooHKZWoR6sWSObnZoKJAJOj9dP8CkoawEFJialTNi6ylNSPI/edit?template=default&amp;uiv=2&amp;mid=ACjPJvEbswB9jUwNhvExsriDcTiRL63COWg2NJMXaDzhOL-bIiUgkza4Y8S0HAk02z3EBjX5e4NKSVuF1Vxev_7VWy4-nTcqfsnJTWKHxEH7LU2Ds7FIx2nrcxuypHo1zalfAL57jHWcqhU
You can send me an email on nitradavid@gmail.com if you have some questions about that code </t>
  </si>
  <si>
    <t xml:space="preserve">I don't understand nitradavid's message. On top left if you click "File &gt; See revision history" it lets you go back to any time you want. You can view an older version and copy something without actually going back too. It is super useful. </t>
  </si>
  <si>
    <t>(1*) Click on the number to open data source.</t>
  </si>
  <si>
    <t>(2*) Based on survey question, "What was 100% typical range when car was new?".</t>
  </si>
  <si>
    <t>Carefull about semicolon instead comma in formulas. Confused me as I was testing on another Google sheet and worked fine there. Example: instead =OR(1,2) you need to enter =OR(1;2) If you go to "File &gt; Spredsheet settings" and change country, that affects this issue.
Another difference (besides semicolon instead comma) is when comma changes to backslash. This example explains both 
USA spreadsheet =ArrayFormula(LINEST(C109:C112,B109:B112^{1,2,3}))
Netherlands spreadsheet =ArrayFormula(LINEST(C109:C112;B109:B112^{1\2\3}))</t>
  </si>
  <si>
    <t>|(1*) Click on the number to open data source.||||(2*) Based on survey question, "What was 100% typical range when car was new?".|||||||||</t>
  </si>
  <si>
    <t>Hi Merijn. I created a new sheet called "droplistitems" [update: 6 May 2015: I changed sheet name to "admin stuff"]. It is hidden to avoid distraction. On top menu click "View &gt; Hidden Sheets" to see it. It controls the options in droplists. This way you can easily change the text or add more options and it will affect all sheets.</t>
  </si>
  <si>
    <t>To add "double click datepicker" to date columns, do this:
1. Select column
2. On top menu select &gt; data &gt; validation
3. Change cell range from 'MaxRange data'!C:C to 'MaxRange data'!C4:C to exclude top three rows
4. Change "Criteria" to date
5. Select "Recent input" and "Save"</t>
  </si>
  <si>
    <t xml:space="preserve">How conditional formatting is used in "Date of range reading" column to change the colour of this cell if date is earlier than delivery date:
1. Select second date column. Column D in our example. 
2. On top menu click "Format &gt; conditional formatting &gt; add new rule"
3. Next to "Apply to range" box, change "D:D" to "D4:D" to exclude first three rows that have column names. 
4. Under "Format cells if" select "Custom formula is" and enter =D4&lt;C4 meaning "format D4 if smaller than C4". "IF" is already assumed. You don't enter IF in the formula. </t>
  </si>
  <si>
    <t>Hi Merijn. Some columns don't require an enrty from users. They have a formula that calculates the value. Other users can't edit this column. Therefore they can't accidentally delete the formula in the cell but you can. So watch out not to delete formulas from protected cells.</t>
  </si>
  <si>
    <t>Careful about formula differences according to country selection of sheets. If "File &gt; Spredsheet Settings" is set to UK, the first line is used. If Netherlands, than second line is used. 
=SPARKLINE(D4;{"charttype","bar";"max",12;"color1","#8bf08e";"empty","zero"})
=SPARKLINE(D4;{"charttype"\"bar";"max"\12;"color1"\"#8bf08e";"empty"\"zero"})</t>
  </si>
  <si>
    <t>(Notes to self) Instead "Vlookup" use "index" and "match".
INDEX(reference; [row]; [column]) Here, reference" means range
MATCH(search_key; range; [search_type]) Here, search type is 0 for exact match
Combine them as INDEX(reference; MATCH(...); MATCH(...))
Tip: There is no need to specify row or column as a number like this: INDEX(...;...; 8) or as a string like this: INDEX(...; ...; MATCH("battery capacity";...)). Instead, the search key in match can be self referencing. Example: MATCH($F$1;$A$1:$F$1;0) translates as, whatever cell $F$1 is, find that cell in the range $A$1:$F$1.</t>
  </si>
  <si>
    <t xml:space="preserve">On the charts page I added a droplist to select usernames. However when the user wanted to clear his username (by selecting the cell and pressing delete on the keyboard) the charts would display a weird line on top of each dot. To overcome that, on the USA sheet, near the last few columns I changed =if(Charts!$F$1=B4;AV4;) to =if(Charts!$F$1=B4;AV4;-1). As a result see lots of -100% numbers. That's the reason for those -100% numbers. </t>
  </si>
  <si>
    <t>Comments about range numbers in the table above</t>
  </si>
  <si>
    <t>Date
(double click empty cell)|Username|Comments about range numbers in the table above||||||||||||</t>
  </si>
  <si>
    <t>Merijn</t>
  </si>
  <si>
    <t>Table might be extended with Wh/km and Wh/mile</t>
  </si>
  <si>
    <t>|Merijn|Table might be extended with Wh/km and Wh/mile||||||||||||</t>
  </si>
  <si>
    <t>Comments and discussion about changes</t>
  </si>
  <si>
    <t>You can see current EPA and NEDC ratings on Tesla order page (design studio). Change country at the bottom of the page.</t>
  </si>
  <si>
    <t>42118|Matteo|You can see current EPA and NEDC ratings on Tesla order page (design studio). Change country at the bottom of the page.||||||||||||</t>
  </si>
  <si>
    <t xml:space="preserve">The numbers on range types column are not complete but this doesn't prevent people from entering. For example 5 of the missing 8 numbers are on "UK Typical range in miles" section. We don't know these numbers yet. However the chart doesn't prevent users if they want to enter their data. </t>
  </si>
  <si>
    <t>For Europe NEDC Rated Range in miles, I made first 3 changes based on current order page. It shows 300 and 310.
1. S85 from 312 to 310
2. S85D from 312 to 310
3. SP85D from 298 to 300
4. I changed S60 from 242 to 240, based on google search
It looks like 312 was used until recently. Even a Tesla blog post says 312 but the UK order page now shows 310. http://www.teslamotors.com/en_GB/blog/right-hand-drive-model-s-arrives-uk</t>
  </si>
  <si>
    <t xml:space="preserve">There is a column called "Ambient temparature". Is this a new column? It's completely empty. It could be removed if nobody is using.  </t>
  </si>
  <si>
    <t>I have some suggestions about existing columns. I thought it will be easier to write them here. Pick the ones you like. Ignore the ones you don't.</t>
  </si>
  <si>
    <t>42118|Matteo|For Europe NEDC Rated Range in miles, I made first 3 changes based on current order page. It shows 300 and 310.
1. S85 from 312 to 310
2. S85D from 312 to 310
3. SP85D from 298 to 300
4. I changed S60 from 242 to 240, based on google search
It looks like 312 was used until recently. Even a Tesla blog post says 312 but the UK order page now shows 310. http://www.teslamotors.com/en_GB/blog/right-hand-drive-model-s-arrives-uk||||||||||||</t>
  </si>
  <si>
    <t>Tesla uses NEDC rated range in Europe, Australia, China, Hong Kong and Japan. For that region, I changed column names from "EU NEDC rated range" to just "NEDC rated range".</t>
  </si>
  <si>
    <t>Tesla delivery date
(double click empty cell)</t>
  </si>
  <si>
    <t>42118|Matteo|Tesla uses NEDC rated range in Europe, Australia, China, Hong Kong and Japan. For that region, I changed column names from "EU NEDC rated range" to just "NEDC rated range".||||||||||||</t>
  </si>
  <si>
    <t xml:space="preserve">Firmware
Version
</t>
  </si>
  <si>
    <t>jpet</t>
  </si>
  <si>
    <t>I have added 406 km as the typical range in km for the P85D based on my experience. Note that the rated range I get is 510 km, not the 480 km I see in the sheet. Maybe this should be updated as well.</t>
  </si>
  <si>
    <t>Firmware
Release</t>
  </si>
  <si>
    <t>frequency of supercharges</t>
  </si>
  <si>
    <t>frequency of  full discharge</t>
  </si>
  <si>
    <t>ambient temperature at time of reading</t>
  </si>
  <si>
    <t>required</t>
  </si>
  <si>
    <t>42122|jpet|I have added 406 km as the typical range in km for the P85D based on my experience. Note that the rated range I get is 510 km, not the 480 km I see in the sheet. Maybe this should be updated as well.||||||||||||</t>
  </si>
  <si>
    <t xml:space="preserve">jpet, you are right. I have updated P85D NEDC rating from 480 to 510. Tesla website shows 480 but we have two people reporting that the car shows 510 or almost 510. I should add that NEDC ratings are not used in the chart. Only typical range is used in calculations. </t>
  </si>
  <si>
    <t>optional</t>
  </si>
  <si>
    <t>42129|Matteo|jpet, you are right. I have updated P85D NEDC rating from 480 to 510. Tesla website shows 480 but we have two people reporting that the car shows 510 or almost 510. I should add that NEDC ratings are not used in the chart. Only typical range is used in calculations. ||||||||||||</t>
  </si>
  <si>
    <t>Change name to: 
Vehicle manufacture date
(double click empty cell)</t>
  </si>
  <si>
    <t>I changed 85D and P85D maximum typical range from 406 to 407 km. Tesla doesn't publish these but there are now more entries to give a better idea. There is one 410, one 409 and a few at 406. Merijn, when you make changes here, remember to also change the numbers on the sheet called "admin stuff". The other sheets read data from there for the formulas. This way all country sheets update at once.</t>
  </si>
  <si>
    <t>Change to optional</t>
  </si>
  <si>
    <t>42148|Matteo|I changed 85D and P85D maximum typical range from 406 to 407 km. Tesla doesn't publish these but there are now more entries to give a better idea. There is one 410, one 409 and a few at 406. Merijn, when you make changes here, remember to also change the numbers on the sheet called "admin stuff". The other sheets read data from there for the formulas. This way all country sheets update at once.||||||||||||</t>
  </si>
  <si>
    <t>Drop. I don't think this has any relation to degradation</t>
  </si>
  <si>
    <t>After a user complained that an S85 showed 271 mi when new instead 265, I added two new columns to collect data. Two people entered 270 and 271 with range mode off when S85 was new, even though the official number is 265 which is what we use. We need data from more than two people before changing this but when there is more data, it makes sense to use use the number the car shows.</t>
  </si>
  <si>
    <t>Change name to: 
frequency of  3% or less charge left</t>
  </si>
  <si>
    <t>42175|Matteo|After a user complained that an S85 showed 271 mi when new instead 265, I added two new columns to collect data. Two people entered 270 and 271 with range mode off when S85 was new, even though the official number is 265 which is what we use. We need data from more than two people before changing this but when there is more data, it makes sense to use use the number the car shows.||||||||||||</t>
  </si>
  <si>
    <t>Guten</t>
  </si>
  <si>
    <t>P85D from 508km to 480km for NEDC Range in Asia.  Source: http://i.imgur.com/8MfbyK6.png?1</t>
  </si>
  <si>
    <t>I changed these to make per year value more balanced.</t>
  </si>
  <si>
    <t>Old version</t>
  </si>
  <si>
    <t>42202|Guten|P85D from 508km to 480km for NEDC Range in Asia.  Source: http://i.imgur.com/8MfbyK6.png?1||||||||||||</t>
  </si>
  <si>
    <t>I added S75, S75D and X75D. Also I updated the range numbers for S90D. It used to show 288mi EPA. Now it is 294mi.
Data source for old S90D 288mi EPA http://i.imgur.com/n7kJAE1.gif
Data source for new S90D 294mi EPA http://i.imgur.com/XDlwDbT.gif</t>
  </si>
  <si>
    <t>New version</t>
  </si>
  <si>
    <t>42569|Matteo|I added S75, S75D and X75D. Also I updated the range numbers for S90D. It used to show 288mi EPA. Now it is 294mi.
Data source for old S90D 288mi EPA http://i.imgur.com/n7kJAE1.gif
Data source for new S90D 294mi EPA http://i.imgur.com/XDlwDbT.gif||||||||||||</t>
  </si>
  <si>
    <t>The numbers above for typical range are based on the answer to the survey question "What was 100% typical range when car was new?"</t>
  </si>
  <si>
    <t>converting old data to new</t>
  </si>
  <si>
    <t>42597|Matteo|The numbers above for typical range are based on the answer to the survey question "What was 100% typical range when car was new?"||||||||||||</t>
  </si>
  <si>
    <t>droplist item</t>
  </si>
  <si>
    <t>per year</t>
  </si>
  <si>
    <t>daily</t>
  </si>
  <si>
    <t>235-365</t>
  </si>
  <si>
    <t>big gap</t>
  </si>
  <si>
    <t>twice a week</t>
  </si>
  <si>
    <t>79-234</t>
  </si>
  <si>
    <t>weekly</t>
  </si>
  <si>
    <t>39-78</t>
  </si>
  <si>
    <t>twice a month</t>
  </si>
  <si>
    <t>18-38</t>
  </si>
  <si>
    <t>monthly</t>
  </si>
  <si>
    <t>9-17</t>
  </si>
  <si>
    <t>less than monthly</t>
  </si>
  <si>
    <t>a few times a year</t>
  </si>
  <si>
    <t>4-8</t>
  </si>
  <si>
    <t>once or twice a year</t>
  </si>
  <si>
    <t>1-2</t>
  </si>
  <si>
    <t>never</t>
  </si>
  <si>
    <t>I made some more changes on the frequency droplist items.</t>
  </si>
  <si>
    <t xml:space="preserve">There were two entries with "23-2-2013" for Tesla delivery date. I changed it to 23-2-2014 because deliveries didn't start at that time. </t>
  </si>
  <si>
    <t xml:space="preserve">There is another entry with" 26-061979" for Tesla delivery date. I didn't change that. I'm not sure what to make of it. Don't worry about the red cell colour on the second date column. It is because of conditional formatting. </t>
  </si>
  <si>
    <t>I changed my mind about dropping firmware version. Now I suggest making it optional instead dropping. I updated the chart a few messages above.</t>
  </si>
  <si>
    <t>I deleted old frequency columns. It was confusing people.</t>
  </si>
  <si>
    <t>I changed this:</t>
  </si>
  <si>
    <t>to this:</t>
  </si>
  <si>
    <t>Typical Range in km</t>
  </si>
  <si>
    <t>NEDC rated range in km</t>
  </si>
  <si>
    <t>only 1</t>
  </si>
  <si>
    <t>The reason is because there is inconsistency with NEDC rating. If somebody entered only NEDC rating and no typical range, it would be a problem. Tesla website shows 480 km NEDC for P85D but two different people entered close to 510km.</t>
  </si>
  <si>
    <t>I added this column:</t>
  </si>
  <si>
    <t>Daily charge level</t>
  </si>
  <si>
    <t xml:space="preserve">I moved the droplist items for these three new columns to the "droplistitems" [update: 6 May 2015: I changed sheet name to "admin stuff"] sheet. You can edit these droplist items there to change all sheets at once. </t>
  </si>
  <si>
    <t xml:space="preserve">According to Jerome Guillen, Tesla is doing rated range tests with range mode on. The source for this information is these two messages:
http://www.teslamotorsclub.com/showthread.php/39572-P85D-range-and-highway-battery-performance/page20?p=898055&amp;viewfull=1#post898055
http://www.teslamotorsclub.com/showthread.php/39572-P85D-range-and-highway-battery-performance/page23?p=898855&amp;viewfull=1#post898855
   The second message shows the email exchange. The question and the answer are mixed because Jerome copied the question and added his answer to it. To clarify, this is the information:
skilly (aka Matt): 2. Given the disclaimers around range already noted (constant speed and 19" wheels) does not include a requirement to operate in range mode, can we assume that the EPA ratings should be achievable without using this function?
Jerome Guillen: -&gt; EPA testing is with range mode “on”, given that it is assumed customers will use that function when they want to drive the farthest
Therefore the range reading with range mode off, is not comperable to the 265 EPA or 400 km typical range. To make it comperable, this is what I suggest: Let's say the difference between range mode on/off is 2 km. That means a new battery should get 400 km typical range with range mode on and 398 km when off. To compansate for range mode off, we need to multiply 398 by 400/398. That means 398*400/398= 400 km. 
Example: User enters 383 km typical range and range mode is off. 383*400/398= 384.92 km comperable typical range. 
If 400 km is 100% of original range,
Then 384.92 is X
X= 384.92*100/400= 96.23%
If we didn't do this correction, the result would be: X= 383*100/400= 95.75%. Therefore most results now appear 0.48% worse than they actually are. </t>
  </si>
  <si>
    <t xml:space="preserve">For warranty battery replacements, Tesla provides refurbished batteries, not new batteries. 
Tesla Warranty Document: "If your Battery or Drive Unitrequires warranty service, Tesla will repair the unit, or replace it with a factory reconditioned unit.When replacing a Battery, Tesla will ensure that the energy capacity of the replacement Battery isat least equal to that of the original Battery before the failure occurred." Source PDF File, page 4: http://www.teslamotors.com/sites/default/files/pdfs/model_s_quick_guide/Model_S_New_Vehicle_Limited_Warranty_NA_Touchscreen_6.2_R20150402_en_US.pdf
On the chart, only one user has submitted data before and after replacement. If you look at widodh's entries (sort chart by username), he had his battery replaced at 66,000 km. Luckily he submitted data just before it happened at 63,000 km. He had 374/400 km typical range on his old battery. Then on his new battery he has 68.018 - 66.000 = 2018 km mileage and 373/400 range. He didn't get a new battery. However, right now the chart is processing replacement batteries like new batteries. Therefore when you go to http://www.daglievemensen.nl/tesla/maxrange.htm you see that the user widodh has very low scores. In fact with only 2018 km mileage, he has 93.3% capacity left. This is misleading. I think usually people get slightly better batteries than their old but they don't get new batteries. Here is a quote: 
PBEndo @US-FL: "My battery was replaced at 25,000 miles. It has a lower range than my original battery when it was new but a higher range than my original battery before it was replaced." Source: http://my.teslamotors.com/forum/forums/after-your-battery-was-replaced-did-you-experience-reduction-rated-range
</t>
  </si>
  <si>
    <t>This is what I suggest: 
1. Remove the question "At what km did you replace battery?"
2. Add the question: How many times was your battery pack replaced? 0,1,2,3?
3. Let's assume when Tesla provides a warranty replacement pack, on average people get 2 km more range than they had on the failed battery. 
Example 1: This is what we have now: User: widodh
Mileage on new battery: 68.018 - 66.000 = 2018 km | Typical range: 373 km | Percentage of original range: 373*100/400= 93.25% at 2018 km
This is what we would have after the change: User: widodh
Mileage on new battery: 68.018 km | Number of battery replacements: 1 | Typical range: 373 km | Battery replacement correction: -2km
Typical range after correction: 373-2=371 km | Percentage of original range: 371*100/400= 92.75% at 68.018 km
Example 2: This is what we have now: User: gelden
Mileage on new battery: 29.700 - 26.000 = 3700 km | Typical range: 387 km | Percentage of original range: 387*100/400= 96.75% at 3700 km
This is what we would have after the change: User: gelden
Mileage on new battery: 29.700 km | Number of battery replacements: 1 | Typical range: 387 km | Battery replacement correction: -2km
Typical range after correction: 387-2=385 km | Percentage of original range: 387*100/400= 96.25% at 29.700 km</t>
  </si>
  <si>
    <t xml:space="preserve">Adding unnecessary rows makes the sheet slower. I shortened some sheets. </t>
  </si>
  <si>
    <t>Hi Merijn. On the graph there is an option to display R square value. This value is a percentage of how sucessful the trendline formula represents the data. Another way to think about it is, if a group of random people gave you their mileage and you calculated their remaining original range according to the trendline formula, your calculation would be as close to actual numbers as this value shows. For example if R square is 0.65 it means the formula is 65% successful representing the data. I had a look whether mileage/degradation or cycles/degradation was more successful. they are the same. Therefore I removed the cycles columns.</t>
  </si>
  <si>
    <t xml:space="preserve">May 6, 2015 Ddowns2050 says the following for S85D "274 when in range mode and 271 in normal on a full charge". Link: 
http://my.teslamotors.com/forum/forums/range-questions-new-85d-owners#comment-638280
I will slightly increase the compensation for "range mode off". This increases the R-squared value. The R-squared value for the chart is 0.668 right now, meaning that entries match that curve 66.8%. That's a good rate. It was under 64% in the past. 
</t>
  </si>
  <si>
    <t xml:space="preserve">Update I changed it from 400/397 to 400/396. Meaning that it will compensate 4km which is consistent with what Ddowns2050 said. The R-squared increased from 66.8% to 67.9 percent. You can read this value on the chart on the "Graph" sheet. Changing 400/397 to 400/396 was done on the "admin stuff" sheet. Notice that some dots are below and some are above the trendline on the chart. Therefore increasing the compensation for range-mode-off, moves dots below the trendline closer but it moves dots above the trendline further away from the trendline. Therefore if this was not increasing predictability, it would be bad. In fact if you increase the compensation too much, the R-squared value drops. If there are people reading this who don't know about R-squared, I recommend watching some youtube videos here https://www.youtube.com/results?search_query=R-squared&amp;page=1 It is actually simple. If R-squared was 1 (100%) then all dots would appear exactly on the trendline and they would be 100% predictable. We are now at 68.6 percent. Not bad at all. There are many entries that didn't say if range mode was on or off. That drops the score. </t>
  </si>
  <si>
    <t xml:space="preserve">One user from the USA entered their data on the first sheet that says "Asia, Australia, Europe (excl UK)" in sheet name as well as on top of the sheet when you open it. Apparently this was not enough to redirect them to the correct sheet. I will add another trick to make this more obvious. The entry messed up the data which is why I realized the error. The user has 269 EPA rating for S85D. He converted this to km and entered under the "Typical range" column and his battery capacity was 108%. He even converted fahrenheit to celcius to enter heat data. Lucily in the comments section he wrote "Northern California", so I moved the whole entry to USA. </t>
  </si>
  <si>
    <t xml:space="preserve">I have increased range mode off compensation because the users AnalysiZ, Go4IT and Jean have entered numbers with and without range mode on. This shows how much compensation is needed. </t>
  </si>
  <si>
    <t xml:space="preserve">I added USA to the graph. As long as mileage and percentage columns are next to each other, you can use data from different sheets in the same chart. I had to create duplicate columns at the end of the tables. But I think this is better than complicating things with a script. There is a script called vmerge. I didn't want to use that. It works fine as it is. In the chart, you need to select combine vertically. </t>
  </si>
  <si>
    <t xml:space="preserve">The way battery replacements are processed has been updated. More info on charts page about how the calculation works. </t>
  </si>
  <si>
    <t>Tests and experiments</t>
  </si>
  <si>
    <t>select username</t>
  </si>
  <si>
    <t>user</t>
  </si>
  <si>
    <t>mileage</t>
  </si>
  <si>
    <t>range</t>
  </si>
  <si>
    <t>John</t>
  </si>
  <si>
    <t>Tom</t>
  </si>
  <si>
    <t>James</t>
  </si>
  <si>
    <t>The reason for the -100% numbers is because, if those cells are blank and the username selection cell is blank too, small lines to appear on the chart on top of each dot.</t>
  </si>
  <si>
    <t>x</t>
  </si>
  <si>
    <t>y</t>
  </si>
  <si>
    <t>The y values in this table are filled using the function y= 2x^3 + 3x^2 - 6x + 8. Changing the data in country sheets will change the function and this table.</t>
  </si>
  <si>
    <r>
      <rPr>
        <b/>
      </rPr>
      <t>How to enter your data:</t>
    </r>
    <r>
      <t xml:space="preserve"> Select the correct tab, scroll down to the first available row and start typing. After you are done, select your username on the Charts tab. Feel free to add a new entry every 8.000 to 12.000 km or 5,000 to 7,500 miles. Enter each entry into a new row. </t>
    </r>
  </si>
  <si>
    <t>These columns are for monitoring changes</t>
  </si>
  <si>
    <t>TMC topic in Dutch</t>
  </si>
  <si>
    <t>https://teslamotorsclub.com/tmc/threads/maxrange.35978/</t>
  </si>
  <si>
    <t>third order =ArrayFormula(LINEST(C109:C112;B109:B112^{1\2\3}))</t>
  </si>
  <si>
    <t>y= 2x^3 + 3x^2 - 6x + 8</t>
  </si>
  <si>
    <t>no entry needed</t>
  </si>
  <si>
    <t>The y values in this table are filled using the function y= 18x^2 - 39.4x + 29. Changing the data in country sheets will change the function and this table.</t>
  </si>
  <si>
    <t>User Feedback
(For questions, comments and feature requests)</t>
  </si>
  <si>
    <t>y= 18x^2 - 39.4x + 29</t>
  </si>
  <si>
    <t>Merge columns</t>
  </si>
  <si>
    <t>This is some data on Sheet1</t>
  </si>
  <si>
    <t>|Date
(double click empty cell)|Username|User Feedback
(For questions, comments and feature requests)||||||</t>
  </si>
  <si>
    <t>Merged data</t>
  </si>
  <si>
    <t xml:space="preserve">Name </t>
  </si>
  <si>
    <t>Favorite Colour</t>
  </si>
  <si>
    <t>Location</t>
  </si>
  <si>
    <t>Age</t>
  </si>
  <si>
    <t>blue</t>
  </si>
  <si>
    <t>London</t>
  </si>
  <si>
    <t>justroll</t>
  </si>
  <si>
    <t>is it possible to include a field that registers if the car is a STOCK or DEMO car (stock = not driven ; DEMO = low milage); since I notice that my car's battery doesn't seem to perform compared to other cars in the list</t>
  </si>
  <si>
    <t>|42152|justroll|is it possible to include a field that registers if the car is a STOCK or DEMO car (stock = not driven ; DEMO = low milage); since I notice that my car's battery doesn't seem to perform compared to other cars in the list||||||</t>
  </si>
  <si>
    <t>Hi. I think you mean there are some store or demo cars among entries that perform better than expected. I checked but I can't find them after looking at mileage per day and days of ownership data. I don't know which entries you mean. If you want, give some examples and I will check again. By the way, your battery performs like other cars that have the same mileage. In fact it is almost on the trendline. When comparing your car to other cars, here are some tips:
1. Compare cars with similar mileage.
2. Don't look at typical range numbers. Instead look at percentage. Typical range changes if range mode was on or off.
3. Don't compare your typical range to 85D or P85D. They displays close to 410 km at 100%. But you can still compare percentage.
4. [Update 31 May 2015: Use charts page and select your username from droplist]</t>
  </si>
  <si>
    <t>|42152|Matteo|Hi. I think you mean there are some store or demo cars among entries that perform better than expected. I checked but I can't find them after looking at mileage per day and days of ownership data. I don't know which entries you mean. If you want, give some examples and I will check again. By the way, your battery performs like other cars that have the same mileage. In fact it is almost on the trendline. When comparing your car to other cars, here are some tips:
1. Compare cars with similar mileage.
2. Don't look at typical range numbers. Instead look at percentage. Typical range changes if range mode was on or off.
3. Don't compare your typical range to 85D or P85D. They displays close to 410 km at 100%. But you can still compare percentage.
4. [Update 31 May 2015: Use charts page and select your username from droplist]||||||</t>
  </si>
  <si>
    <t>Mayhemm</t>
  </si>
  <si>
    <t>Why are the two subsequent questions about battery replacement required, even if you answer that the battery had not been replaced?</t>
  </si>
  <si>
    <t>|42158|Mayhemm|Why are the two subsequent questions about battery replacement required, even if you answer that the battery had not been replaced?||||||</t>
  </si>
  <si>
    <t>black</t>
  </si>
  <si>
    <t>Hi Mayhemm. I will try to find a better way.
[Update 3 Jun 2015: This has been changed now]</t>
  </si>
  <si>
    <t>Liverpool</t>
  </si>
  <si>
    <t>Sally</t>
  </si>
  <si>
    <t>pink</t>
  </si>
  <si>
    <t>Bournemouth</t>
  </si>
  <si>
    <t>Mike</t>
  </si>
  <si>
    <t>dark blue</t>
  </si>
  <si>
    <t>|42158|Matteo|Hi Mayhemm. I will try to find a better way.
[Update 3 Jun 2015: This has been changed now]||||||</t>
  </si>
  <si>
    <t>Brighton</t>
  </si>
  <si>
    <t>DavidH</t>
  </si>
  <si>
    <t>My car showed 271 rated miles when new, now it shows 253. That would be ablout 6.5% loss. Here, after I entered my data, it shows a smaller loss as it assumes the typical range when new is 265 miles.</t>
  </si>
  <si>
    <t>Jane</t>
  </si>
  <si>
    <t>|42164|DavidH|My car showed 271 rated miles when new, now it shows 253. That would be ablout 6.5% loss. Here, after I entered my data, it shows a smaller loss as it assumes the typical range when new is 265 miles.||||||</t>
  </si>
  <si>
    <t>This is some data on Sheet2</t>
  </si>
  <si>
    <t>Hi David. Thanks for your feedback. I added two more questions so we can start collecting max range when the car was new. I pre filled those for you. Change it if not correct.
Tesla might have changed the algorithm. I see that you purchased over a year ago. We need to use maximum range numbers reported from newly sold cars, or to be more specific, the chart should use 100% range numbers of new cars that are sold at the time somebody made an entry. For example if somebody bought the car 2 years ago and entered their data 6 months ago, for that entry the chart should use maximum range displayed on cars 6 months ago that were new at the time. If the same person submitted another entry today, for that entry the chart should use maximum range displayed on cars that are new now. It is getting tricky but I will think how to do this best when there is more data. 
In the meantime, feel free to try the trip based calculation. There are 4 questions about any recent trip you had. If you answer those you will see another percentage showing the current state of your battery.</t>
  </si>
  <si>
    <t>July</t>
  </si>
  <si>
    <t>|42165|Matteo|Hi David. Thanks for your feedback. I added two more questions so we can start collecting max range when the car was new. I pre filled those for you. Change it if not correct.
Tesla might have changed the algorithm. I see that you purchased over a year ago. We need to use maximum range numbers reported from newly sold cars, or to be more specific, the chart should use 100% range numbers of new cars that are sold at the time somebody made an entry. For example if somebody bought the car 2 years ago and entered their data 6 months ago, for that entry the chart should use maximum range displayed on cars 6 months ago that were new at the time. If the same person submitted another entry today, for that entry the chart should use maximum range displayed on cars that are new now. It is getting tricky but I will think how to do this best when there is more data. 
In the meantime, feel free to try the trip based calculation. There are 4 questions about any recent trip you had. If you answer those you will see another percentage showing the current state of your battery.||||||</t>
  </si>
  <si>
    <t>jpgrolle</t>
  </si>
  <si>
    <t>You might want to add some question(s) on the charging speed typically used (overnight charging method?). I have been told this can also impact degradation. As a matter of fact (n=1) I have been limited to a 3,7kW charging solution and it seems that my battery is holding up relatively well (knock on wood). You could ask for the power directly, or if people may have difficulty answering that ask for number of phases and current (voltage can probably be assumed from location).</t>
  </si>
  <si>
    <t>|42166|jpgrolle|You might want to add some question(s) on the charging speed typically used (overnight charging method?). I have been told this can also impact degradation. As a matter of fact (n=1) I have been limited to a 3,7kW charging solution and it seems that my battery is holding up relatively well (knock on wood). You could ask for the power directly, or if people may have difficulty answering that ask for number of phases and current (voltage can probably be assumed from location).||||||</t>
  </si>
  <si>
    <t>Hi jpgrolle. There is a question about frequency of supercharging. Some people never supercharge. Some people supercharge weekly. Before adding more questions about charge power, we would need to show that frequency of supercharging makes a difference in degradation. Right now the data is not precise enough to see these little differences assuming they exist.</t>
  </si>
  <si>
    <t>Suzan</t>
  </si>
  <si>
    <t>|42166|Matteo|Hi jpgrolle. There is a question about frequency of supercharging. Some people never supercharge. Some people supercharge weekly. Before adding more questions about charge power, we would need to show that frequency of supercharging makes a difference in degradation. Right now the data is not precise enough to see these little differences assuming they exist.||||||</t>
  </si>
  <si>
    <t>Although more than one Tesla employee has told me slower charging is better for the battery, today I have learned it might actually be the opposite.</t>
  </si>
  <si>
    <t>|42166|jpgrolle|Although more than one Tesla employee has told me slower charging is better for the battery, today I have learned it might actually be the opposite.||||||</t>
  </si>
  <si>
    <t>Indeed faster charging might be better. In the video below Proff Dahn said what matters is how long the battery is subject to high temperatures during charging. Therefore if charging is quicker it would be better. During discussions about that video many Model S owners said they increased their charging power. https://www.youtube.com/watch?v=9qi03QawZEk</t>
  </si>
  <si>
    <t>|42166|Matteo|Indeed faster charging might be better. In the video below Proff Dahn said what matters is how long the battery is subject to high temperatures during charging. Therefore if charging is quicker it would be better. During discussions about that video many Model S owners said they increased their charging power. https://www.youtube.com/watch?v=9qi03QawZEk||||||</t>
  </si>
  <si>
    <t>Peter</t>
  </si>
  <si>
    <t>red</t>
  </si>
  <si>
    <t xml:space="preserve">Hi bpsmits. I noticed that you made changes on your old entry from 9 months ago. I took the new data and created a new entry for you and left the old entry the way it was. This way you can see how your data changes over time if you go to the "Charts" page and select your username. Users can enter as many entries as they wish. If you are not happy with this change let me know and I will change it back. </t>
  </si>
  <si>
    <t>|42167|Matteo|Hi bpsmits. I noticed that you made changes on your old entry from 9 months ago. I took the new data and created a new entry for you and left the old entry the way it was. This way you can see how your data changes over time if you go to the "Charts" page and select your username. Users can enter as many entries as they wish. If you are not happy with this change let me know and I will change it back. ||||||</t>
  </si>
  <si>
    <t>I have switched to 70% daily charging 2 months ago, based on the video of Prof Dahn. Wouldn't it be interesting to plot the daily charge percentage versus battery degradation in the Stats area?</t>
  </si>
  <si>
    <t>|42216|jpet|I have switched to 70% daily charging 2 months ago, based on the video of Prof Dahn. Wouldn't it be interesting to plot the daily charge percentage versus battery degradation in the Stats area?||||||</t>
  </si>
  <si>
    <t>Great idea. Done! Check out stats page.</t>
  </si>
  <si>
    <t>|42218|Matteo|Great idea. Done! Check out stats page.||||||</t>
  </si>
  <si>
    <t>jpgrolle/Matteo So internal battery temperature during a 3,7kW charge could be the same as during 11kW or 22kW?</t>
  </si>
  <si>
    <t>Using Indirect in Formula</t>
  </si>
  <si>
    <t>|42224|justroll|jpgrolle/Matteo So internal battery temperature during a 3,7kW charge could be the same as during 11kW or 22kW?||||||</t>
  </si>
  <si>
    <t>Hi justroll. Yes, my guess is, regardless what charging power you use, the battery never goes over 50C. There is this screenshot of the hidden touchscreen menu that shows 50C active cooling target. http://www.teslamotorsclub.com/showthread.php/32916-Battery-cooling-while-Supercharging-and-AC?p=693246&amp;viewfull=1#post693246 If you watch Prof Dahn from 3:42s here https://www.youtube.com/watch?v=9qi03QawZEk#t=3m42s he talks about temperature and shows a graph. In the graph there is room temperature (20C) and 60C. Even at 60C there is not much degradation. Therefore if the battery was always below 50C, charge power would make little difference.
Supercharging can reach 116 kW. If charge power makes any difference, then we should see this when looking at supercharging stats. I'm working on processing stats differently using a head count method. I think it will be more accurate. I will explain later.
Update: I have now updated the stats page. When looking at supercharge stats, it doesn't show anything bad if people supercharge frequently. I also watched Dahn's video again. At 6:32 he says "time dependant parasitic reactions". Therefore it looks like the best charging is quick and cold charging. Heat is bad and long charge is bad too.</t>
  </si>
  <si>
    <t>|42224|Matteo|Hi justroll. Yes, my guess is, regardless what charging power you use, the battery never goes over 50C. There is this screenshot of the hidden touchscreen menu that shows 50C active cooling target. http://www.teslamotorsclub.com/showthread.php/32916-Battery-cooling-while-Supercharging-and-AC?p=693246&amp;viewfull=1#post693246 If you watch Prof Dahn from 3:42s here https://www.youtube.com/watch?v=9qi03QawZEk#t=3m42s he talks about temperature and shows a graph. In the graph there is room temperature (20C) and 60C. Even at 60C there is not much degradation. Therefore if the battery was always below 50C, charge power would make little difference.
Supercharging can reach 116 kW. If charge power makes any difference, then we should see this when looking at supercharging stats. I'm working on processing stats differently using a head count method. I think it will be more accurate. I will explain later.
Update: I have now updated the stats page. When looking at supercharge stats, it doesn't show anything bad if people supercharge frequently. I also watched Dahn's video again. At 6:32 he says "time dependant parasitic reactions". Therefore it looks like the best charging is quick and cold charging. Heat is bad and long charge is bad too.||||||</t>
  </si>
  <si>
    <t>basic formula</t>
  </si>
  <si>
    <t>jpet, check out the new daily charge versus battery degradation stats. A few rows below on this page I explained the changes. Also there is a yellow box on stats page. According to current stats I can no longer say that charging to 70% is better than 80% or 90%. 70% and 90% are the same. Oddly 80% is higher. I think we can assume 70,80 or 90% makes no difference. You have to ignore 60% because there is only 1 person in that group.</t>
  </si>
  <si>
    <t>=sum(C156:C160)</t>
  </si>
  <si>
    <t>|42225|Matteo|jpet, check out the new daily charge versus battery degradation stats. A few rows below on this page I explained the changes. Also there is a yellow box on stats page. According to current stats I can no longer say that charging to 70% is better than 80% or 90%. 70% and 90% are the same. Oddly 80% is higher. I think we can assume 70,80 or 90% makes no difference. You have to ignore 60% because there is only 1 person in that group.||||||</t>
  </si>
  <si>
    <t>matteo: Thanks;  I might consider then to upgrade my chargingpower!  Maybe you should include a field were we can select the charging power that we use mainly (besides SuC)?</t>
  </si>
  <si>
    <t>|42226|justroll|matteo: Thanks;  I might consider then to upgrade my chargingpower!  Maybe you should include a field were we can select the charging power that we use mainly (besides SuC)?||||||</t>
  </si>
  <si>
    <t>OK. Charge power seems to be a popular request so I added it.</t>
  </si>
  <si>
    <t>|42226|Matteo|OK. Charge power seems to be a popular request so I added it.||||||</t>
  </si>
  <si>
    <t>any idea why this is happening ? supercharging my S85 at a SuC 100% gives mee 375km of range; but driving the car itself gives after calcing (187 wH/km in ratio with the distance &amp; power consumption) 386km range.  When charging the car at home at 100% (at 220V/13A) it gives me 377km of range but after driving the range decreases instantly.</t>
  </si>
  <si>
    <t>using indirect</t>
  </si>
  <si>
    <t>=sum(indirect("E155:E"&amp;C159))</t>
  </si>
  <si>
    <t>|42274|justroll|any idea why this is happening ? supercharging my S85 at a SuC 100% gives mee 375km of range; but driving the car itself gives after calcing (187 wH/km in ratio with the distance &amp; power consumption) 386km range.  When charging the car at home at 100% (at 220V/13A) it gives me 377km of range but after driving the range decreases instantly.||||||</t>
  </si>
  <si>
    <t>Hi justroll. I recommend that you enter your trip data to the sheet. On the data table before the comments column there are 4 columns about trip data. Fill in this data and the sheet will do a second calculation for you. It also shows the calculation in detail. You can add this data to your last entry.</t>
  </si>
  <si>
    <t>|42279|Matteo|Hi justroll. I recommend that you enter your trip data to the sheet. On the data table before the comments column there are 4 columns about trip data. Fill in this data and the sheet will do a second calculation for you. It also shows the calculation in detail. You can add this data to your last entry.||||||</t>
  </si>
  <si>
    <t>SSc3010</t>
  </si>
  <si>
    <t>Hi, I was wondering if there is a correlation between Wh/km and battery degradation? A see degradation far above average while I charge to 80-90% mostly, but my energy consumption is far below average...</t>
  </si>
  <si>
    <t>|42303|SSc3010|Hi, I was wondering if there is a correlation between Wh/km and battery degradation? A see degradation far above average while I charge to 80-90% mostly, but my energy consumption is far below average...||||||</t>
  </si>
  <si>
    <t>last column is</t>
  </si>
  <si>
    <t>Hi SSc3010. I checked your entries. From February 2015 to 13 Aug 2015 your typical range was like an average user. If you open this screenshot http://i.imgur.com/nUc3hkE.gif the last column shows how your typical range compares to an average user with same mileage. Until 13 Aug 2015, your range was average user but on 15 Sep 2015, you suddenly dropped -3.31%. It looks like something happened between 13 Aug 2015 and 15 Sep 2015. Unless you left the battery at 0% or 100% for long time, I don't think the sudden drop would happen because a damage caused by a change in chemistry inside the cells. It is more likely this is a rebalancing issue where the computer calculates the capacity incorrectly. To correct that, you need to drop to 0% and then charge to 100% a few times so the computer can understand how much energy the battery can store. However it is bad for the battery if you wait at 0% or 100%. Plan this so that you don't wait at the extreme ends. There is a topic here: http://www.teslamotorsclub.com/showthread.php/28533-Definitive-pack-rebalance-technique although I don't agree with the 20%. I think it should be 2% or less. By the way, there is a tool called Visible Tesla that creates daily logs. You might want to check that.</t>
  </si>
  <si>
    <t>|42305|Matteo|Hi SSc3010. I checked your entries. From February 2015 to 13 Aug 2015 your typical range was like an average user. If you open this screenshot http://i.imgur.com/nUc3hkE.gif the last column shows how your typical range compares to an average user with same mileage. Until 13 Aug 2015, your range was average user but on 15 Sep 2015, you suddenly dropped -3.31%. It looks like something happened between 13 Aug 2015 and 15 Sep 2015. Unless you left the battery at 0% or 100% for long time, I don't think the sudden drop would happen because a damage caused by a change in chemistry inside the cells. It is more likely this is a rebalancing issue where the computer calculates the capacity incorrectly. To correct that, you need to drop to 0% and then charge to 100% a few times so the computer can understand how much energy the battery can store. However it is bad for the battery if you wait at 0% or 100%. Plan this so that you don't wait at the extreme ends. There is a topic here: http://www.teslamotorsclub.com/showthread.php/28533-Definitive-pack-rebalance-technique although I don't agree with the 20%. I think it should be 2% or less. By the way, there is a tool called Visible Tesla that creates daily logs. You might want to check that.||||||</t>
  </si>
  <si>
    <t xml:space="preserve">Just added another entry for my car. I double checked the dates, but for some reason it shows the age of my car as 84 thus the daily average is off. I tried to find if I made an errors adding my data, but can't find anything. Feel free to correct my entry. </t>
  </si>
  <si>
    <t>|42312|DavidH|Just added another entry for my car. I double checked the dates, but for some reason it shows the age of my car as 84 thus the daily average is off. I tried to find if I made an errors adding my data, but can't find anything. Feel free to correct my entry. ||||||</t>
  </si>
  <si>
    <t xml:space="preserve">Hi David. Thanks for your message. Yes, there was an error with the formulas. I fixed it now. </t>
  </si>
  <si>
    <t>|42313|Matteo|Hi David. Thanks for your message. Yes, there was an error with the formulas. I fixed it now. ||||||</t>
  </si>
  <si>
    <t>Just to come back to my prev question regarding stock cars; I noticed that the km done per day are calculated using the mfgt date of the car; since I drive a stock car with mfgt date 15-10-2014 this does "color" my results, since I first drove the car on 3-3-2015.  Should I enter the orig mfgt date, or the date first driven ?</t>
  </si>
  <si>
    <t>simple formula</t>
  </si>
  <si>
    <t>|42319|justroll|Just to come back to my prev question regarding stock cars; I noticed that the km done per day are calculated using the mfgt date of the car; since I drive a stock car with mfgt date 15-10-2014 this does "color" my results, since I first drove the car on 3-3-2015.  Should I enter the orig mfgt date, or the date first driven ?||||||</t>
  </si>
  <si>
    <t>Hi justroll. The original manufacture date is the correct data because that defines the age of the battery. Don't worry about mileage per day. That's not used anywhere in calculations. The only reason it was added is because sometimes people enter incorrect dates or mileage. If mileage per day is greater than 350 km, the colour turns red. This way it is easy to see incorrect data. But it has no actual function.</t>
  </si>
  <si>
    <t>|42321|Matteo|Hi justroll. The original manufacture date is the correct data because that defines the age of the battery. Don't worry about mileage per day. That's not used anywhere in calculations. The only reason it was added is because sometimes people enter incorrect dates or mileage. If mileage per day is greater than 350 km, the colour turns red. This way it is easy to see incorrect data. But it has no actual function.||||||</t>
  </si>
  <si>
    <t>Hi Matteo, can you take a look at entry ID 345 for user Energie Gratiz? I believe there is something strange about the way cell O348 is calculated. He now has 173200 kms on his car but received a new battery at around 77000 kms. I expected the cell O348 to be at 173200 - 77000 = 96200 but it's now at 135751 kms. How come?</t>
  </si>
  <si>
    <t>|42352|jpet|Hi Matteo, can you take a look at entry ID 345 for user Energie Gratiz? I believe there is something strange about the way cell O348 is calculated. He now has 173200 kms on his car but received a new battery at around 77000 kms. I expected the cell O348 to be at 173200 - 77000 = 96200 but it's now at 135751 kms. How come?||||||</t>
  </si>
  <si>
    <t>A161:A164</t>
  </si>
  <si>
    <t xml:space="preserve">Hi Jpet. That's a good question. I'm glad you noticed this interesting detail. There is no error. It is calculated this way because most replacement batteries are refurbished and the formula calculates total mileage on the replacement battery including the mileage it had before it was attached to this car. This is what Tesla says: 
Quote "If your Battery or Drive Unit requires warranty service, Tesla will repair the unit, or replace it with a factory reconditioned unit. When replacing a Battery, Tesla will ensure that the energy capacity of the replacement Battery is at least equal to that of the original Battery before the failure occurred." Source: Tesla Model S Warranty Document page 4 https://www.teslamotors.com/sites/default/files/pdfs/model_s_quick_guide/Model_S_New_Vehicle_Limited_Warranty_NA_Touchscreen_6.2_R20150402_en_US.pdf
Typically what happens is, the contactor on the battery fails but the rest is fine. Tesla could keep the car for long time and wait for repairs. But instead doing that, they install a refurbished battery and use the old battery for the next warranty replacement. This is a smart move because you get a battery that is slightly better than the old one and you don't wait. However, how would the user know how much mileage was on the replacement battery? He wouldn't. Some users might not even know if the battery is new or refurbished. I made this so that we don't ask too many questions because when there are too many questions in a survey, some people just leave. But still I wanted it to calculate correct mileage whether the replacement was new or refurbished. Otherwise this would mess up the charts. 
Let me explain with an example. A user has 23.100 km mileage. At 23,000 km his battery was replaced. His old battery had 390 km typical range at 100% charge. The replacement has 392km. The basic calculation is 23,100 - 23,000= 100 km on new battery and 392km range. If we used that calculation on the chart we would see lots of entries that look like a new battery with poor range. Considering that around 7% of all Teslas have battery replacements (this data is from our stats page) this would mess up things badly. Therefore we don't use a basic calculation. Instead we use a more advanced calculation which is explained in more detail at the bottom of the charts page. If the replacement was refurbished the calculation should show total mileage on this and previous car. If the replacement was new, the calculation should show mileage on this car. It is supposed to show the correct mileage either way.
It is entirely possible that the replacement battery Energie Gratiz has was new. However in that case his range should have increased around 20 km. If you change his setting from 8 km to 20, you will see that the calculation is closer to new battery. At the time it wasn't possible to select more than 8 km. I have now changed this thanks to your input.
</t>
  </si>
  <si>
    <t>indirect formula</t>
  </si>
  <si>
    <t>|42353|Matteo|Hi Jpet. That's a good question. I'm glad you noticed this interesting detail. There is no error. It is calculated this way because most replacement batteries are refurbished and the formula calculates total mileage on the replacement battery including the mileage it had before it was attached to this car. This is what Tesla says: 
Quote "If your Battery or Drive Unit requires warranty service, Tesla will repair the unit, or replace it with a factory reconditioned unit. When replacing a Battery, Tesla will ensure that the energy capacity of the replacement Battery is at least equal to that of the original Battery before the failure occurred." Source: Tesla Model S Warranty Document page 4 https://www.teslamotors.com/sites/default/files/pdfs/model_s_quick_guide/Model_S_New_Vehicle_Limited_Warranty_NA_Touchscreen_6.2_R20150402_en_US.pdf
Typically what happens is, the contactor on the battery fails but the rest is fine. Tesla could keep the car for long time and wait for repairs. But instead doing that, they install a refurbished battery and use the old battery for the next warranty replacement. This is a smart move because you get a battery that is slightly better than the old one and you don't wait. However, how would the user know how much mileage was on the replacement battery? He wouldn't. Some users might not even know if the battery is new or refurbished. I made this so that we don't ask too many questions because when there are too many questions in a survey, some people just leave. But still I wanted it to calculate correct mileage whether the replacement was new or refurbished. Otherwise this would mess up the charts. 
Let me explain with an example. A user has 23.100 km mileage. At 23,000 km his battery was replaced. His old battery had 390 km typical range at 100% charge. The replacement has 392km. The basic calculation is 23,100 - 23,000= 100 km on new battery and 392km range. If we used that calculation on the chart we would see lots of entries that look like a new battery with poor range. Considering that around 7% of all Teslas have battery replacements (this data is from our stats page) this would mess up things badly. Therefore we don't use a basic calculation. Instead we use a more advanced calculation which is explained in more detail at the bottom of the charts page. If the replacement was refurbished the calculation should show total mileage on this and previous car. If the replacement was new, the calculation should show mileage on this car. It is supposed to show the correct mileage either way.
It is entirely possible that the replacement battery Energie Gratiz has was new. However in that case his range should have increased around 20 km. If you change his setting from 8 km to 20, you will see that the calculation is closer to new battery. At the time it wasn't possible to select more than 8 km. I have now changed this thanks to your input.
||||||</t>
  </si>
  <si>
    <t>|||||||||</t>
  </si>
  <si>
    <t>column1</t>
  </si>
  <si>
    <t>column2</t>
  </si>
  <si>
    <t>Add cell in column2 if column1 is ...</t>
  </si>
  <si>
    <t>Thanks Matteo, I will ask Energie Gratiz what the actual difference was, 8 km or more.</t>
  </si>
  <si>
    <t>|42355|jpet|Thanks Matteo, I will ask Energie Gratiz what the actual difference was, 8 km or more.||||||</t>
  </si>
  <si>
    <t>AnalysiZ</t>
  </si>
  <si>
    <t>In Chart my name is AnalysiZ S70 (to make the difference with AnalysiZ which was with P85D an AnalysiZ P85 Which was wit... P85). I would like to choose the option S70 instead of 70D... First entry for this car is today at line 359</t>
  </si>
  <si>
    <t>What we want</t>
  </si>
  <si>
    <t>|42355|AnalysiZ|In Chart my name is AnalysiZ S70 (to make the difference with AnalysiZ which was with P85D an AnalysiZ P85 Which was wit... P85). I would like to choose the option S70 instead of 70D... First entry for this car is today at line 359||||||</t>
  </si>
  <si>
    <t>Hi AnalysiZ. I added S70 as a selectable option and changed your entry to S70. If possible could you have a look at the question on column AA (What was 100% typical range when car was new?) Tesla doesn't publish typical range numbers anywhere. We don't have this data. Thanks for letting me know that S70 was missing. Somehow I had overlooked that.</t>
  </si>
  <si>
    <t>SUM</t>
  </si>
  <si>
    <t>|42355|Matteo|Hi AnalysiZ. I added S70 as a selectable option and changed your entry to S70. If possible could you have a look at the question on column AA (What was 100% typical range when car was new?) Tesla doesn't publish typical range numbers anywhere. We don't have this data. Thanks for letting me know that S70 was missing. Somehow I had overlooked that.||||||</t>
  </si>
  <si>
    <t>Joel</t>
  </si>
  <si>
    <t>Hi Matteo, the current location options are very broad. I would suggest to add a column with 'country' or 'state' to make this more specific. This could for example help to void out any climate differences as we know that ambient temperature has an effect on battery degradation. I think we can already see this effect in the Canada data as degradation seems to be slower in this dataset. Thanks for your effort.</t>
  </si>
  <si>
    <t>|42391|Joel|Hi Matteo, the current location options are very broad. I would suggest to add a column with 'country' or 'state' to make this more specific. This could for example help to void out any climate differences as we know that ambient temperature has an effect on battery degradation. I think we can already see this effect in the Canada data as degradation seems to be slower in this dataset. Thanks for your effort.||||||</t>
  </si>
  <si>
    <t>AVERAGE</t>
  </si>
  <si>
    <t>Update: 12 Feb 2016:
I have now changed the range numbers for USA and Canada of a few car models, based on answers to the survey question "What was 100% range when car was new?." The accuracy in USA and Canada should have improved. 
-------------------------------------
Hi Joel. Thanks for the feedback. I think it is likely that we will have country selections in the future. I will keep this in mind.
Canada (and USA) scores appear high but this is because our calculation method needs more work. This is related to rated range versus typical range. Currently we convert typical range and rated range to percentage. However the accuracy of this conversion seems OK for typical range but too optimistic for rated range.
The reason the location question exists is not because we wanted to collect location specific data. It is because it was an easy way to eliminate one extra question. Otherwise we would have to ask the user whether his range is typical range or rated range (some users might not know the difference) and whether it is km or miles. The 4 regions we have are based on rating systems and units Tesla uses. These are as follows:
USA: EPA rated range in miles
Canada: EPA rated range in km
Europe (excluding the UK) and Asia Pacific:  Typical range in km
UK:  Typical range in miles
When a user selects one of these regions, we know the rating system (typical range or rated range) and we know the units (km or mi). It means instead two questions, we ask one. That's the only reason for location.
However I agree that it would be interesting to figure out what kind of effect climate has on degradation, if any. There is this diagnostics screen that shows the car actively keeps the battery temperature between two limits: http://www.teslamotorsclub.com/showthread.php/32916-Battery-cooling-while-Supercharging-and-AC?p=693246&amp;viewfull=1#post693246 Therefore climate might have limited effect. But it would be nice to have the data to prove or disprove this.</t>
  </si>
  <si>
    <t>|42394|Matteo|Update: 12 Feb 2016:
I have now changed the range numbers for USA and Canada of a few car models, based on answers to the survey question "What was 100% range when car was new?." The accuracy in USA and Canada should have improved. 
-------------------------------------
Hi Joel. Thanks for the feedback. I think it is likely that we will have country selections in the future. I will keep this in mind.
Canada (and USA) scores appear high but this is because our calculation method needs more work. This is related to rated range versus typical range. Currently we convert typical range and rated range to percentage. However the accuracy of this conversion seems OK for typical range but too optimistic for rated range.
The reason the location question exists is not because we wanted to collect location specific data. It is because it was an easy way to eliminate one extra question. Otherwise we would have to ask the user whether his range is typical range or rated range (some users might not know the difference) and whether it is km or miles. The 4 regions we have are based on rating systems and units Tesla uses. These are as follows:
USA: EPA rated range in miles
Canada: EPA rated range in km
Europe (excluding the UK) and Asia Pacific:  Typical range in km
UK:  Typical range in miles
When a user selects one of these regions, we know the rating system (typical range or rated range) and we know the units (km or mi). It means instead two questions, we ask one. That's the only reason for location.
However I agree that it would be interesting to figure out what kind of effect climate has on degradation, if any. There is this diagnostics screen that shows the car actively keeps the battery temperature between two limits: http://www.teslamotorsclub.com/showthread.php/32916-Battery-cooling-while-Supercharging-and-AC?p=693246&amp;viewfull=1#post693246 Therefore climate might have limited effect. But it would be nice to have the data to prove or disprove this.||||||</t>
  </si>
  <si>
    <t>criteria for column1</t>
  </si>
  <si>
    <t>fsch</t>
  </si>
  <si>
    <t>I was wondering why a 3rd order polynomial was selected as the trendline model. This kind of fit is prone to give the drop observed at the end, and I suspect a large standard error on the x^3 coefficient. The data rather suggest an initial exponential drop on top of a linear decrease. Such a fit to the current data gives me:  
% range remaining = 5% * exp(-km/29000) + 95% - km/60000
i.e. an initial exponential drop of 5% on the first ~30 000 km, on top of a linear drop of 1% every 60 000 km. (The standard error on the 60000 km is large, though, i.e. because of the very few points at high km, 50 000 km or 80 000 km would still give a reasonable fit.)</t>
  </si>
  <si>
    <t>|42405|fsch|I was wondering why a 3rd order polynomial was selected as the trendline model. This kind of fit is prone to give the drop observed at the end, and I suspect a large standard error on the x^3 coefficient. The data rather suggest an initial exponential drop on top of a linear decrease. Such a fit to the current data gives me:  
% range remaining = 5% * exp(-km/29000) + 95% - km/60000
i.e. an initial exponential drop of 5% on the first ~30 000 km, on top of a linear drop of 1% every 60 000 km. (The standard error on the 60000 km is large, though, i.e. because of the very few points at high km, 50 000 km or 80 000 km would still give a reasonable fit.)||||||</t>
  </si>
  <si>
    <t>Hi fsch. The reason a 3rd order polynomial was selected is because the trendline in 2nd order goes up and 4th order goes down sharply. 3rd order provides the best fit. You might say, why select a polynomial instead exponential? It is because it provides a higher R squared value. If you want, on the top menu you can select "File &gt; Make a copy", then create the graph you have in mind and post a link here and I will have a look. Cheers</t>
  </si>
  <si>
    <t>|42407|Matteo|Hi fsch. The reason a 3rd order polynomial was selected is because the trendline in 2nd order goes up and 4th order goes down sharply. 3rd order provides the best fit. You might say, why select a polynomial instead exponential? It is because it provides a higher R squared value. If you want, on the top menu you can select "File &gt; Make a copy", then create the graph you have in mind and post a link here and I will have a look. Cheers||||||</t>
  </si>
  <si>
    <t>Hi Matteo and all. I wrote down some explanations about the fit I was talking about, plus some statistical analysis on the significance of the parameters. You can find (and comment) that at the following address:
https://docs.google.com/document/d/1Ujdws3L42IZTe3JqIlrneqrkmZQxdpP5h-TRPk72OVo</t>
  </si>
  <si>
    <t>|42408|fsch|Hi Matteo and all. I wrote down some explanations about the fit I was talking about, plus some statistical analysis on the significance of the parameters. You can find (and comment) that at the following address:
https://docs.google.com/document/d/1Ujdws3L42IZTe3JqIlrneqrkmZQxdpP5h-TRPk72OVo||||||</t>
  </si>
  <si>
    <t>Hi fsch. The link you posted opens to a word document, not a spreadsheet. If you have a better trendline in mind, make a copy of this spreadsheet, create the graph you have in mind and post a link. A discussion about a trendline that's not possible has little meaning. We can change the trendline if the new trendline is possible in Google Sheets and has higher R-sqared value and is based on the actual data it represents.</t>
  </si>
  <si>
    <t>|42408|Matteo|Hi fsch. The link you posted opens to a word document, not a spreadsheet. If you have a better trendline in mind, make a copy of this spreadsheet, create the graph you have in mind and post a link. A discussion about a trendline that's not possible has little meaning. We can change the trendline if the new trendline is possible in Google Sheets and has higher R-sqared value and is based on the actual data it represents.||||||</t>
  </si>
  <si>
    <t>Hi Matteo. So I did it, learning how to do non-linear fitting in google docs along the way. You can find the result here: https://docs.google.com/spreadsheets/d/1CvFsQx1raCy04BPvSEa1gfOZGDgkZkL5EbsEirx1Cos
There are a few issues though. Since it is a non-linear fit, I had to install a Solver (free plug-in). Fitting the data involves running the Solver each time. Then, in order to have the solver working, I had to cut and paste the data from the 'Charts Data' sheet to a new sheet. You can see the test (sheet 'Model - Solver error') where I simply refer to them: the Solver returns an error. It works properly if I copy-paste the data and everything remains in the same sheet (sheet 'Model - Solver works'). Still, so far, it remains a solution working within the google spreadsheet, so I guess it remains acceptable.
But then, there is no R^2 calculation. In fact, it is apparently a bad idea to try to compute R^2 for non-linear fitting. Please read this: http://blog.minitab.com/blog/adventures-in-statistics/why-is-there-no-r-squared-for-nonlinear-regression
Plus, it's not clear if R^2 is a good predictor of fit goodness. Please read this as well: http://blog.minitab.com/blog/adventures-in-statistics/regression-analysis-how-do-i-interpret-r-squared-and-assess-the-goodness-of-fit
Keep up the good work!</t>
  </si>
  <si>
    <t>change this text</t>
  </si>
  <si>
    <t>|42409|fsch|Hi Matteo. So I did it, learning how to do non-linear fitting in google docs along the way. You can find the result here: https://docs.google.com/spreadsheets/d/1CvFsQx1raCy04BPvSEa1gfOZGDgkZkL5EbsEirx1Cos
There are a few issues though. Since it is a non-linear fit, I had to install a Solver (free plug-in). Fitting the data involves running the Solver each time. Then, in order to have the solver working, I had to cut and paste the data from the 'Charts Data' sheet to a new sheet. You can see the test (sheet 'Model - Solver error') where I simply refer to them: the Solver returns an error. It works properly if I copy-paste the data and everything remains in the same sheet (sheet 'Model - Solver works'). Still, so far, it remains a solution working within the google spreadsheet, so I guess it remains acceptable.
But then, there is no R^2 calculation. In fact, it is apparently a bad idea to try to compute R^2 for non-linear fitting. Please read this: http://blog.minitab.com/blog/adventures-in-statistics/why-is-there-no-r-squared-for-nonlinear-regression
Plus, it's not clear if R^2 is a good predictor of fit goodness. Please read this as well: http://blog.minitab.com/blog/adventures-in-statistics/regression-analysis-how-do-i-interpret-r-squared-and-assess-the-goodness-of-fit
Keep up the good work!||||||</t>
  </si>
  <si>
    <t>Hi fsch. Thanks for the graph on your copy of the spreadsheet. The graph shows that you have a credible idea. Your trendline is similar to what we have until around 120,000 km (~400 cycles) but then it projects a slow continuous degradation. The trendline we have suggests a sharper decline. In other words, the two trendlines agree on what happened until now but differ on what will happen in the future. 
Your version could be more accurate. I would like to run some tests. I want to see things like how your version changes if I enter a bunch of low entries after 150,000 km, 200,000 km, 250,000 km etc. 
However, there is a bigger problem. Is it possible to implement your version in Google sheets dynamically? Can you talk more about how A, B and D were calculated in this formula: 
y = A - x/B + (1-A)*exp(-x/D)
In cells I3, I4 and I5 you have 3 fixed numbers (0.3733564999 and 325.2980403 and 165.5120492). Where did these numbers come from? Is it necessary to use the 'solver' add-on for Google sheets? Could I calculate these numbers dynamically using an excel formula? For example if the formula was something like y= c0+c1*x+c2*x^2+c3*x^3, then I could use excel's linest function to find out c0, c1, c2.</t>
  </si>
  <si>
    <t>change this</t>
  </si>
  <si>
    <t>|42410|Matteo|Hi fsch. Thanks for the graph on your copy of the spreadsheet. The graph shows that you have a credible idea. Your trendline is similar to what we have until around 120,000 km (~400 cycles) but then it projects a slow continuous degradation. The trendline we have suggests a sharper decline. In other words, the two trendlines agree on what happened until now but differ on what will happen in the future. 
Your version could be more accurate. I would like to run some tests. I want to see things like how your version changes if I enter a bunch of low entries after 150,000 km, 200,000 km, 250,000 km etc. 
However, there is a bigger problem. Is it possible to implement your version in Google sheets dynamically? Can you talk more about how A, B and D were calculated in this formula: 
y = A - x/B + (1-A)*exp(-x/D)
In cells I3, I4 and I5 you have 3 fixed numbers (0.3733564999 and 325.2980403 and 165.5120492). Where did these numbers come from? Is it necessary to use the 'solver' add-on for Google sheets? Could I calculate these numbers dynamically using an excel formula? For example if the formula was something like y= c0+c1*x+c2*x^2+c3*x^3, then I could use excel's linest function to find out c0, c1, c2.||||||</t>
  </si>
  <si>
    <t>Hi Matteo. Indeed, I admit that it is somewhat complicated.
- Regarding the drop in your 3rd order polynomial fit, it is in a region where there are very few or no data so the fit does what it wants, and as mention in my first comment, this kind of function will inevitably give that kind of result outside of the range where there are data. The typical capacity evolution of a battery looks like the curve on page 11 of this presentation: https://www2.unece.org/wiki/download/attachments/8126481/EVE-06-05e.pdf?api=v2 (Sometimes, however, the curve may start to decrease abruptly at some point, but these events seem to be difficult to predict. Anyway, since a Tesla has 4000+ cells, even if a few of them fail that way, it should not influence too much the complete pack degradation.) All that to say that the model I suggest is more in line with what is measured usually for Li-ion batteries performing as expected.
- Regarding the "dynamic calculation" side of things, the problem is parameter D which is inside an exponential  and makes the fit non linear. One way around would be to set this parameter to some value (e.g. 29 000 km, keeping in mind that there is an uncertainty of 20% on this value), and then, it becomes a linear fit and the spreadsheet should be able to compute the other parameters (A, B, C) dynamically. Then, periodically, I or someone else could run a full, non-linear fit to see if parameter D has evolved. Otherwise, I don't see many other solutions. Maybe an external computation (e.g. once a day, a computer downloads the data, computes the fit, and the MaxRange spreadsheet reads back the data from that server.) But it's a bit awkward.
What do you think? I'll start trying the first solution (set D to a constant) and see if the other parameters can be fitted dynamically.
P.S. The 3 values (0.3733564999 and 325.2980403 and 165.5120492) are a trick I used to convince the Solver to converge towards a reasonable solution. If you look at the formula to compute the parameters A, B, D, they are computed based on these 3 parameters, but it forces A to be above 80%, B to be above 30 000 km, and D to be above 10 000 km. The 3 paramters are computed by the Solver in order to minimize cell G9, which is the sum of squares of the difference between the fit and the data.</t>
  </si>
  <si>
    <t>Sparkline graphs</t>
  </si>
  <si>
    <t>|42410|fsch|Hi Matteo. Indeed, I admit that it is somewhat complicated.
- Regarding the drop in your 3rd order polynomial fit, it is in a region where there are very few or no data so the fit does what it wants, and as mention in my first comment, this kind of function will inevitably give that kind of result outside of the range where there are data. The typical capacity evolution of a battery looks like the curve on page 11 of this presentation: https://www2.unece.org/wiki/download/attachments/8126481/EVE-06-05e.pdf?api=v2 (Sometimes, however, the curve may start to decrease abruptly at some point, but these events seem to be difficult to predict. Anyway, since a Tesla has 4000+ cells, even if a few of them fail that way, it should not influence too much the complete pack degradation.) All that to say that the model I suggest is more in line with what is measured usually for Li-ion batteries performing as expected.
- Regarding the "dynamic calculation" side of things, the problem is parameter D which is inside an exponential  and makes the fit non linear. One way around would be to set this parameter to some value (e.g. 29 000 km, keeping in mind that there is an uncertainty of 20% on this value), and then, it becomes a linear fit and the spreadsheet should be able to compute the other parameters (A, B, C) dynamically. Then, periodically, I or someone else could run a full, non-linear fit to see if parameter D has evolved. Otherwise, I don't see many other solutions. Maybe an external computation (e.g. once a day, a computer downloads the data, computes the fit, and the MaxRange spreadsheet reads back the data from that server.) But it's a bit awkward.
What do you think? I'll start trying the first solution (set D to a constant) and see if the other parameters can be fitted dynamically.
P.S. The 3 values (0.3733564999 and 325.2980403 and 165.5120492) are a trick I used to convince the Solver to converge towards a reasonable solution. If you look at the formula to compute the parameters A, B, D, they are computed based on these 3 parameters, but it forces A to be above 80%, B to be above 30 000 km, and D to be above 10 000 km. The 3 paramters are computed by the Solver in order to minimize cell G9, which is the sum of squares of the difference between the fit and the data.||||||</t>
  </si>
  <si>
    <t>Hi again Matteo. I was able to do a fit by setting D and carrying out a fit with LINEST. I guess you were the other one editing the file at the same time, so you have seen the result. It's quite strange because if you change the value of D by hand in order to minimize the sum of squares, it is equivalent as carrying out a non-linear minimization. Doing that gives about D = 42500 km. But LINEST then returns an essentially infinite value for B (i.e. exponential drop + constant A). However, if I download the data and use Python to carry out a linear fit, I find D = 31908 km and B = 87155 km, i.e. the same values, within the uncertainty, that I reported in my previous comments. That is the kind of values the Solver in the other page was returning as well.
So I'm puzzled. [Edit: I ment " infinite value for B", not D]</t>
  </si>
  <si>
    <t>|42410|fsch|Hi again Matteo. I was able to do a fit by setting D and carrying out a fit with LINEST. I guess you were the other one editing the file at the same time, so you have seen the result. It's quite strange because if you change the value of D by hand in order to minimize the sum of squares, it is equivalent as carrying out a non-linear minimization. Doing that gives about D = 42500 km. But LINEST then returns an essentially infinite value for B (i.e. exponential drop + constant A). However, if I download the data and use Python to carry out a linear fit, I find D = 31908 km and B = 87155 km, i.e. the same values, within the uncertainty, that I reported in my previous comments. That is the kind of values the Solver in the other page was returning as well.
So I'm puzzled. [Edit: I ment " infinite value for B", not D]||||||</t>
  </si>
  <si>
    <t>(Sorry for posting multiple comments.) OK, I think I found a solution. In a new sheet ('model with fixed D #2'), I now arranged the fit so that the model has to reach 100% at 0 km. It gives more sensible parameters, with B, the long-term degradation parameter, being in a more reasonable range. The parameter D (initial degradation) still has to be adjusted by hand in order to minimize the sum of squared residuals. With the current values, a change of D by 500 km changes the 6th digit of the sum sq. as well as the 6th digit of R^2. This is indicative of the large (20%+) uncertainty on this parameter, but it gives at least an order of magnitude.
Still I think this is a reasonable solution.</t>
  </si>
  <si>
    <t>|42410|fsch|(Sorry for posting multiple comments.) OK, I think I found a solution. In a new sheet ('model with fixed D #2'), I now arranged the fit so that the model has to reach 100% at 0 km. It gives more sensible parameters, with B, the long-term degradation parameter, being in a more reasonable range. The parameter D (initial degradation) still has to be adjusted by hand in order to minimize the sum of squared residuals. With the current values, a change of D by 500 km changes the 6th digit of the sum sq. as well as the 6th digit of R^2. This is indicative of the large (20%+) uncertainty on this parameter, but it gives at least an order of magnitude.
Still I think this is a reasonable solution.||||||</t>
  </si>
  <si>
    <t>Hi fsch. This looks good. I copied sheet D#2 to this file. That's definitely something I can work with. We already use the linest function for some calculations. For example, if you go to the Canada sheet and look at your entry in column AR, it shows the value of the trendline at your mileage.
I'm happy that the new formula shows a very similar trendline where we have lots of data (0 to 130,000 km). 
It's a shame the D coefficient is not a dynamic number. 
I will do some tests and see how it goes. Thank you for your efforts. You have done a great job with the new trendline formula. Cheers Matteo</t>
  </si>
  <si>
    <t>|42410|Matteo|Hi fsch. This looks good. I copied sheet D#2 to this file. That's definitely something I can work with. We already use the linest function for some calculations. For example, if you go to the Canada sheet and look at your entry in column AR, it shows the value of the trendline at your mileage.
I'm happy that the new formula shows a very similar trendline where we have lots of data (0 to 130,000 km). 
It's a shame the D coefficient is not a dynamic number. 
I will do some tests and see how it goes. Thank you for your efforts. You have done a great job with the new trendline formula. Cheers Matteo||||||</t>
  </si>
  <si>
    <t>Great! And thanks a lot for your work.</t>
  </si>
  <si>
    <t>|42410|fsch|Great! And thanks a lot for your work.||||||</t>
  </si>
  <si>
    <t xml:space="preserve">Hi fsch. Your idea has been implemented. I also managed to automate the D constant using a simple scpript (see top menu &gt; tools &gt; script editor) and some other tricks. Cheers </t>
  </si>
  <si>
    <t>|42411|Matteo|Hi fsch. Your idea has been implemented. I also managed to automate the D constant using a simple scpript (see top menu &gt; tools &gt; script editor) and some other tricks. Cheers ||||||</t>
  </si>
  <si>
    <t>pjw65</t>
  </si>
  <si>
    <t>Shouldn't the Charge Cycles and the Mileage chart trendline look the same?</t>
  </si>
  <si>
    <t>|42450|pjw65|Shouldn't the Charge Cycles and the Mileage chart trendline look the same?||||||</t>
  </si>
  <si>
    <t>Yes it should but it is technically difficult. None of the default trendlines work well. Therefore we created a custom trendline but it is only for mileage chart. Cycles chart was still using a default trendline. I have now removed it. Adding the custom trendline to Cycles chart is complicated. It requires additional columns on some data tabs where the data is filtered and processed. The sheet is already slow. First I need to find ways to make the sheet faster before adding more complexity.</t>
  </si>
  <si>
    <t>|42453|Matteo|Yes it should but it is technically difficult. None of the default trendlines work well. Therefore we created a custom trendline but it is only for mileage chart. Cycles chart was still using a default trendline. I have now removed it. Adding the custom trendline to Cycles chart is complicated. It requires additional columns on some data tabs where the data is filtered and processed. The sheet is already slow. First I need to find ways to make the sheet faster before adding more complexity.||||||</t>
  </si>
  <si>
    <t>thanks for the info. I will tell some people on german tff about this :)</t>
  </si>
  <si>
    <t>|42459|pjw65|thanks for the info. I will tell some people on german tff about this :)||||||</t>
  </si>
  <si>
    <t xml:space="preserve">Would you consider adding a comment column about problems/repairs regarding other parts than the battery, in order to accumulate some statistics about that as well? (e.g. door handles, battery relay, wiper mechanism, sunroof leaking, etc.)  </t>
  </si>
  <si>
    <t>|42462|fsch|Would you consider adding a comment column about problems/repairs regarding other parts than the battery, in order to accumulate some statistics about that as well? (e.g. door handles, battery relay, wiper mechanism, sunroof leaking, etc.)  ||||||</t>
  </si>
  <si>
    <t>Hi fsch. Repair statictics about door handles, drive units, sunroof or other parts are useful but those would require additional columns. For example, a few people mentioned drive unit replacements in comments column. This has no meaning unless people also mention if they did not have a drive unit replacement. That means we need a new column that says: "Did you have a drive unit replacement? Yes/No". Then we need other columns for door handles, wiper blades, sunroof, windshield etc. 
These could be added as optional questions but I have been trying hard to reduce the number of optional questions as well. I removed many of those in the past. The reason is because, whether it is optional or not, if a survey looks too long, many people just leave. This has a negative affect on battery statictics because we need entries from more participants. Therefore I'm not sure if adding more columns would be good or bad. 
The closest we have to what you want is the statistics about battery replacements. On Stats tab it shows that 6.2% of cars had a battery replacement. This used to be around 9% in the past.
Why do you want this information? Are you trying to decide whether you should keep the car beyond the 4 year overall warranty period (or 8 years with the extended warranty)?</t>
  </si>
  <si>
    <t>|42463|Matteo|Hi fsch. Repair statictics about door handles, drive units, sunroof or other parts are useful but those would require additional columns. For example, a few people mentioned drive unit replacements in comments column. This has no meaning unless people also mention if they did not have a drive unit replacement. That means we need a new column that says: "Did you have a drive unit replacement? Yes/No". Then we need other columns for door handles, wiper blades, sunroof, windshield etc. 
These could be added as optional questions but I have been trying hard to reduce the number of optional questions as well. I removed many of those in the past. The reason is because, whether it is optional or not, if a survey looks too long, many people just leave. This has a negative affect on battery statictics because we need entries from more participants. Therefore I'm not sure if adding more columns would be good or bad. 
The closest we have to what you want is the statistics about battery replacements. On Stats tab it shows that 6.2% of cars had a battery replacement. This used to be around 9% in the past.
Why do you want this information? Are you trying to decide whether you should keep the car beyond the 4 year overall warranty period (or 8 years with the extended warranty)?||||||</t>
  </si>
  <si>
    <t>MrBoylan</t>
  </si>
  <si>
    <t>Hi, Matteo, I hope this is the right place for questions. I didn't see a place where averages on range loss are published. I believe when the study was first published, Tesla batteries were losing about 6% after 50K miles and 1% for each additional 10K miles. Is this still true?</t>
  </si>
  <si>
    <t>|42463|MrBoylan|Hi, Matteo, I hope this is the right place for questions. I didn't see a place where averages on range loss are published. I believe when the study was first published, Tesla batteries were losing about 6% after 50K miles and 1% for each additional 10K miles. Is this still true?||||||</t>
  </si>
  <si>
    <t>Second question... I see there have been over 500 responses worldwide, but the stats only show 243 users. Are some users entering data for more than one car? Or are they entering data for their own car multiple times? I'm just trying to get a sense of how many cars this represents. Thanks!</t>
  </si>
  <si>
    <t>|42463|MrBoylan|Second question... I see there have been over 500 responses worldwide, but the stats only show 243 users. Are some users entering data for more than one car? Or are they entering data for their own car multiple times? I'm just trying to get a sense of how many cars this represents. Thanks!||||||</t>
  </si>
  <si>
    <t xml:space="preserve">@Mateo: No, I want to keep my car forever! But 6 doors handles have been changed on it so far, and there are little reliable data about it (i.e. some people complain on the forums, other say it's marginal, etc.) I was actually just thinking about a single comment column about other problems, no stats computed, but someone can extract (perhaps unreliable) data from that. Just an idea. I don't know about other sites accumulating systematic data. Or I should read the Consumer reports instead! 
@MrBoylan, if you check the trendline, you see that it indeed drops by 6% over the first 80 000 km or 50 000 miles, then another 2% over the next 100 000 km (or 60 000 miles), so that would make less than (1/3)% per 10 000 miles! (Actually, the fit currently predicts 1% loss every 74 000 km or 46 000 miles for the long term losses.) But more data is needed at high mileage for that conclusion to hold. And of course, this is a fit through many cars data, with some significant dispersion of the datapoints, which means that a single car can depart significantly from the trendline. Unfortunately, not everybody can be above average! 
And yes, people enter data many times for their car so if you select a username from the dropdown menu at the top of the chart, you can see the evolution of that single car. </t>
  </si>
  <si>
    <t>|42464|fsch|@Mateo: No, I want to keep my car forever! But 6 doors handles have been changed on it so far, and there are little reliable data about it (i.e. some people complain on the forums, other say it's marginal, etc.) I was actually just thinking about a single comment column about other problems, no stats computed, but someone can extract (perhaps unreliable) data from that. Just an idea. I don't know about other sites accumulating systematic data. Or I should read the Consumer reports instead! 
@MrBoylan, if you check the trendline, you see that it indeed drops by 6% over the first 80 000 km or 50 000 miles, then another 2% over the next 100 000 km (or 60 000 miles), so that would make less than (1/3)% per 10 000 miles! (Actually, the fit currently predicts 1% loss every 74 000 km or 46 000 miles for the long term losses.) But more data is needed at high mileage for that conclusion to hold. And of course, this is a fit through many cars data, with some significant dispersion of the datapoints, which means that a single car can depart significantly from the trendline. Unfortunately, not everybody can be above average! 
And yes, people enter data many times for their car so if you select a username from the dropdown menu at the top of the chart, you can see the evolution of that single car. ||||||</t>
  </si>
  <si>
    <t>Hi MrBoylan.
1) For stats you can look at the first chart in Charts page. The trendline (the red line) shows the average user. To change mileage from km to miles, select any user name from USA tab. For example select AmpedRealtor. 
2) The stats are per username. In our case each username repreents a car. Many users submit multiple entries but the stats page only considers their last entry. The reason for this is because I wanted the stats to be more realistic. Imagine somebody who has very bad degradation and submits 20 entries. That would mess up stats.</t>
  </si>
  <si>
    <t>|42466|Matteo|Hi MrBoylan.
1) For stats you can look at the first chart in Charts page. The trendline (the red line) shows the average user. To change mileage from km to miles, select any user name from USA tab. For example select AmpedRealtor. 
2) The stats are per username. In our case each username repreents a car. Many users submit multiple entries but the stats page only considers their last entry. The reason for this is because I wanted the stats to be more realistic. Imagine somebody who has very bad degradation and submits 20 entries. That would mess up stats.||||||</t>
  </si>
  <si>
    <t>Hi fsch. There is already a single comments column in column AG and some people did enter various issues (mostly drive unit failure) to this column. However, like I said, you would also need the opposite data. If 2 out of 100 users mentioned a problem, how would you know whether any of the other 98 didn't have the same problem unless they said they didn't have it? Therefore you need a droplist that says did you have this problem? Yes/No. By default this droplist would be blank. Then you can count yes and no answers and you will have a percentage. If you want you could create a poll on TMC (teslamotorsclub.com) with two possible answers, yes and no.</t>
  </si>
  <si>
    <t>|42466|Matteo|Hi fsch. There is already a single comments column in column AG and some people did enter various issues (mostly drive unit failure) to this column. However, like I said, you would also need the opposite data. If 2 out of 100 users mentioned a problem, how would you know whether any of the other 98 didn't have the same problem unless they said they didn't have it? Therefore you need a droplist that says did you have this problem? Yes/No. By default this droplist would be blank. Then you can count yes and no answers and you will have a percentage. If you want you could create a poll on TMC (teslamotorsclub.com) with two possible answers, yes and no.||||||</t>
  </si>
  <si>
    <t xml:space="preserve">I made some changes to my latest entry. I got a few things wrong and corrected it. Now it shows yellow. I hope that didn't break anything. </t>
  </si>
  <si>
    <t>|42496|DavidH|I made some changes to my latest entry. I got a few things wrong and corrected it. Now it shows yellow. I hope that didn't break anything. ||||||</t>
  </si>
  <si>
    <t xml:space="preserve">Hi David. No that's normal. It is just a security measure against vandalism. The yellow goes away after I check the changes and compare them to old data to make sure it is not vandalism. </t>
  </si>
  <si>
    <t>|42499|Matteo|Hi David. No that's normal. It is just a security measure against vandalism. The yellow goes away after I check the changes and compare them to old data to make sure it is not vandalism. ||||||</t>
  </si>
  <si>
    <t>There are now some apps that allow access to the internal data from the car. One interesting data point is the car's estimate how much capacity is the battery able to hold. Unfortunately this wasn't available when I got my car more than 2 years ago, but I can get the data now. It typically shows 74-75 kWh. A similar Model S I tested (same age but only 20k miles) showed 78.2 kWh. Is this data any helpful here?</t>
  </si>
  <si>
    <t>|42494|DavidH|There are now some apps that allow access to the internal data from the car. One interesting data point is the car's estimate how much capacity is the battery able to hold. Unfortunately this wasn't available when I got my car more than 2 years ago, but I can get the data now. It typically shows 74-75 kWh. A similar Model S I tested (same age but only 20k miles) showed 78.2 kWh. Is this data any helpful here?||||||</t>
  </si>
  <si>
    <t>Hi David. For the purposes of this survey, this subject is not relevant because we use rated range (for North America) and typical range (for elsewhere) when collecting data and calculating the percentages. Currently the sheet is set to 268 mi rated range for a new S85 with range mode on when charged to 100%. Then it calculates your percentage based on this 268 mi number. If you submit an entry and select range mode was on and your range was 268 miles, then the results will show 100% capacity. You might say, how did you come up with the 268 mi number? That's easy. It is one of the questions in the suvey. In column AA the question says "What was 100% rated range when car was new?". I look at that column and calculate a number. From time to time I check that column again to see if the numbers need adjusting.</t>
  </si>
  <si>
    <t>|42499|Matteo|Hi David. For the purposes of this survey, this subject is not relevant because we use rated range (for North America) and typical range (for elsewhere) when collecting data and calculating the percentages. Currently the sheet is set to 268 mi rated range for a new S85 with range mode on when charged to 100%. Then it calculates your percentage based on this 268 mi number. If you submit an entry and select range mode was on and your range was 268 miles, then the results will show 100% capacity. You might say, how did you come up with the 268 mi number? That's easy. It is one of the questions in the suvey. In column AA the question says "What was 100% rated range when car was new?". I look at that column and calculate a number. From time to time I check that column again to see if the numbers need adjusting.||||||</t>
  </si>
  <si>
    <t>Ruslan</t>
  </si>
  <si>
    <t>Hello. Thanks for creating this resource. Would it be possible to create a chart that displays correlation between time and battery capacity?</t>
  </si>
  <si>
    <t>|42516|Ruslan|Hello. Thanks for creating this resource. Would it be possible to create a chart that displays correlation between time and battery capacity?||||||</t>
  </si>
  <si>
    <t>Hi Ruslan. We used to have a chart for battery age vs capacity. Therefore the data is still there and I added the same chart back. You can find it on Charts tab. However, the reason why it was removed in first place is because, the cycles chart made more sense. To speed up the file, I might remove things from stats page and charts page. This chart might be one of the things that gets removed in a few months. So don't be surprised if it's gone again. You can click File &gt; Make a copy to create your own copy. Cheers</t>
  </si>
  <si>
    <t>|42517|Matteo|Hi Ruslan. We used to have a chart for battery age vs capacity. Therefore the data is still there and I added the same chart back. You can find it on Charts tab. However, the reason why it was removed in first place is because, the cycles chart made more sense. To speed up the file, I might remove things from stats page and charts page. This chart might be one of the things that gets removed in a few months. So don't be surprised if it's gone again. You can click File &gt; Make a copy to create your own copy. Cheers||||||</t>
  </si>
  <si>
    <t>Thank you, Matteo.</t>
  </si>
  <si>
    <t>How it works:</t>
  </si>
  <si>
    <t>|42517|Ruslan|Thank you, Matteo.||||||</t>
  </si>
  <si>
    <t>Vlad</t>
  </si>
  <si>
    <t>Step 1:</t>
  </si>
  <si>
    <t>Dear Matteo, thank you for creating this resource. I would like to use the graph that shows capacity loss versus mileage for a technical report. I need to know if there is any copyright restrictions on this. Speciafically, could you please let me know if the graph can be copied and redistributed in any medium or format provided that the credit to this resource is given?</t>
  </si>
  <si>
    <t>|42535|Vlad|Dear Matteo, thank you for creating this resource. I would like to use the graph that shows capacity loss versus mileage for a technical report. I need to know if there is any copyright restrictions on this. Speciafically, could you please let me know if the graph can be copied and redistributed in any medium or format provided that the credit to this resource is given?||||||</t>
  </si>
  <si>
    <t>Charge to 100%</t>
  </si>
  <si>
    <t>Hi. No problem. You can use the chart as you wish. If you need the chart to show miles instead km, you can select a random username from the USA tab.</t>
  </si>
  <si>
    <t>Step 2:</t>
  </si>
  <si>
    <t>Fill out this form: (it allows up to 15 entries per user)</t>
  </si>
  <si>
    <t>|42536|Matteo|Hi. No problem. You can use the chart as you wish. If you need the chart to show miles instead km, you can select a random username from the USA tab.||||||</t>
  </si>
  <si>
    <t>https://docs.google.com/forms/d/e/1FAIpQLSfrteuONm9qylEh0lgLTu6FzP2qR8-3mHTt6e53849ombZ03w/viewform</t>
  </si>
  <si>
    <t>Many thanks, Matteo.</t>
  </si>
  <si>
    <t>|42538|Vlad|Many thanks, Matteo.||||||</t>
  </si>
  <si>
    <t>Hi Mateo, I see that the guy who has an entry at 231 000 km (energie gratiz) actually indicated a battery change in his previous entry. The battery was chaged at 77 000 km, so the corrected milage for his last entry should be 154 000 km.
Also, I see that you are fitting a polynomial on the exponential fit, and it results in a shoulder at high milage.</t>
  </si>
  <si>
    <t>|42542|fsch|Hi Mateo, I see that the guy who has an entry at 231 000 km (energie gratiz) actually indicated a battery change in his previous entry. The battery was chaged at 77 000 km, so the corrected milage for his last entry should be 154 000 km.
Also, I see that you are fitting a polynomial on the exponential fit, and it results in a shoulder at high milage.||||||</t>
  </si>
  <si>
    <t>Hi fsch. Thanks, I added the battery replacement data. As for the trendline, I implemented your idea the best way I could. Normally your method creates lots of red dots but not a trendline. To connect those and display them as a line I had to select one of the available trendline options. It works well unless there are large gaps of available data.</t>
  </si>
  <si>
    <t>|42545|Matteo|Hi fsch. Thanks, I added the battery replacement data. As for the trendline, I implemented your idea the best way I could. Normally your method creates lots of red dots but not a trendline. To connect those and display them as a line I had to select one of the available trendline options. It works well unless there are large gaps of available data.||||||</t>
  </si>
  <si>
    <t>PCMc</t>
  </si>
  <si>
    <t>Hi Matteo.  First, thank you for publishing this and facilitating collection of data.  I have a question on your published US EPA ranges for the 90D.  You show a published range of 285 however the published range for my brand new 90D is listed as 294.  I'm not certain, but is there a difference now for the new front end (which mine has) or latest software update?  I notice in US data another pretty new 90D (L-P-G) and we both are showing &gt;100% battery range  My initial datapoint actually shows up about 104% from data I entered based upon a range charge.  If I normalize both my datapoint and that of L-P-G using the 294 published range then they both fall back to +/- 1% off of nominal 100%.</t>
  </si>
  <si>
    <t>|42568|PCMc|Hi Matteo.  First, thank you for publishing this and facilitating collection of data.  I have a question on your published US EPA ranges for the 90D.  You show a published range of 285 however the published range for my brand new 90D is listed as 294.  I'm not certain, but is there a difference now for the new front end (which mine has) or latest software update?  I notice in US data another pretty new 90D (L-P-G) and we both are showing &gt;100% battery range  My initial datapoint actually shows up about 104% from data I entered based upon a range charge.  If I normalize both my datapoint and that of L-P-G using the 294 published range then they both fall back to +/- 1% off of nominal 100%.||||||</t>
  </si>
  <si>
    <t xml:space="preserve">Step 3: </t>
  </si>
  <si>
    <t>Hi PCMc. Thanks for the reminder. I have now changed it to 294. The reason it was 285 is because Tesla website used to show 288mi EPA rated range for S90D (here is a screenshot http://i.imgur.com/n7kJAE1.gif) and some owners reported seeing max 285. I will also update other models. With Tesla it's hard to keep up. The speed of innovation and change is amazing.</t>
  </si>
  <si>
    <t>|42568|Matteo|Hi PCMc. Thanks for the reminder. I have now changed it to 294. The reason it was 285 is because Tesla website used to show 288mi EPA rated range for S90D (here is a screenshot http://i.imgur.com/n7kJAE1.gif) and some owners reported seeing max 285. I will also update other models. With Tesla it's hard to keep up. The speed of innovation and change is amazing.||||||</t>
  </si>
  <si>
    <t>Select your username on the 'Charts' tab to compare your battery capacity to other entries.</t>
  </si>
  <si>
    <t>Unknown User</t>
  </si>
  <si>
    <t>More Entries:</t>
  </si>
  <si>
    <t>The chart doesn't show any more. I tried two different browsers. What am I doing wrong?</t>
  </si>
  <si>
    <t>|42582|Unknown User|The chart doesn't show any more. I tried two different browsers. What am I doing wrong?||||||</t>
  </si>
  <si>
    <t>Hi. I've just had a look and it works fine both in Chrome and Firefox. The droplist in Charts!E1 works fine too. I'm not sure what the problem might be but if you are using a mobile device try on a desktop computer or laptop.</t>
  </si>
  <si>
    <r>
      <t>Adding a new entry every 8,000-12,000 km or 5,000-7,500 mi is recommended. After your first entry, open the same form again and click on the link that says '</t>
    </r>
    <r>
      <rPr>
        <b/>
      </rPr>
      <t>Edit Your Response</t>
    </r>
    <r>
      <t>'. Thanks.</t>
    </r>
  </si>
  <si>
    <t>|42582|Matteo|Hi. I've just had a look and it works fine both in Chrome and Firefox. The droplist in Charts!E1 works fine too. I'm not sure what the problem might be but if you are using a mobile device try on a desktop computer or laptop.||||||</t>
  </si>
  <si>
    <t>m</t>
  </si>
  <si>
    <t>It works again.!</t>
  </si>
  <si>
    <t>Questions/Comments:</t>
  </si>
  <si>
    <t>You can reach me on Twitter, Reddit or write in the TMC forum thread or right click anywhere on this page and insert a comment. Thanks</t>
  </si>
  <si>
    <t>|42583|m|It works again.!||||||</t>
  </si>
  <si>
    <t>USA section is locked to filter to Model S 90D only. Can't add new record, please fix!</t>
  </si>
  <si>
    <t>Twitter.com/TroyTeslike</t>
  </si>
  <si>
    <t>|42616|Unknown User|USA section is locked to filter to Model S 90D only. Can't add new record, please fix!||||||</t>
  </si>
  <si>
    <t>Sorry about that. It's back to normal now.</t>
  </si>
  <si>
    <t>|42616|Matteo|Sorry about that. It's back to normal now.||||||</t>
  </si>
  <si>
    <t>N/A</t>
  </si>
  <si>
    <t>Just stumbled across this effort through an article on Electrek (https://electrek.co/2016/11/01/tesla-battery-degradation/).  Love the analytics, but maybe reaching out to the owners that read Electrek or others on TMC could strengthen the model with more data points.  I would love to provide information, but unfortunately I'm not an owner at this time.  Good luck and thanks for the info!</t>
  </si>
  <si>
    <t>|42675|N/A|Just stumbled across this effort through an article on Electrek (https://electrek.co/2016/11/01/tesla-battery-degradation/).  Love the analytics, but maybe reaching out to the owners that read Electrek or others on TMC could strengthen the model with more data points.  I would love to provide information, but unfortunately I'm not an owner at this time.  Good luck and thanks for the info!||||||</t>
  </si>
  <si>
    <t>Go4IT</t>
  </si>
  <si>
    <t>Reddit.com/user/Teslike</t>
  </si>
  <si>
    <t>I am now entering my 4th winter and am pretty sure that the ambiant temperature (so, to some extend, the battery temperature while charging) plays an important role, especially when charging at 100% from a 90% plateau. In my case I always charge at 90% first and schedule the daily top up to full 100% so that charging is complete shortly before leaving. In doing so, the charging from 90% to 100% is extremely sensitive to ambiant temperature since the battery pack has usually cooled down since the main charging to 90%. As the charging power is always low when charging from 90% to 100%, charging by itself barely heats the pack (unlike for instance when supercharging at 120kw). I have already experienced some charging in cold weather from 20% directly to 100% which led to higher capacity than when restarting from 90% with a cold pack. Seasonal cycles can be observed from year to year just by reading my data points (capacity is higher during summers than in winters). Furthermore, during winters, the typical range reading at 90% often predicts a higher 100% capacity which cannot be reached the following (cold) morning. Hence my suggestion would be to include at least a field with ambiant temperature while charging and ideally that temperature + the last plateau before charging to 100%. Just my 5 Cents as one of the highest driven mileage in the data set.</t>
  </si>
  <si>
    <t>|42702|Go4IT|I am now entering my 4th winter and am pretty sure that the ambiant temperature (so, to some extend, the battery temperature while charging) plays an important role, especially when charging at 100% from a 90% plateau. In my case I always charge at 90% first and schedule the daily top up to full 100% so that charging is complete shortly before leaving. In doing so, the charging from 90% to 100% is extremely sensitive to ambiant temperature since the battery pack has usually cooled down since the main charging to 90%. As the charging power is always low when charging from 90% to 100%, charging by itself barely heats the pack (unlike for instance when supercharging at 120kw). I have already experienced some charging in cold weather from 20% directly to 100% which led to higher capacity than when restarting from 90% with a cold pack. Seasonal cycles can be observed from year to year just by reading my data points (capacity is higher during summers than in winters). Furthermore, during winters, the typical range reading at 90% often predicts a higher 100% capacity which cannot be reached the following (cold) morning. Hence my suggestion would be to include at least a field with ambiant temperature while charging and ideally that temperature + the last plateau before charging to 100%. Just my 5 Cents as one of the highest driven mileage in the data set.||||||</t>
  </si>
  <si>
    <t>Hi, Go4IT. It's not the ambient temperature but the battery pack temperature that would affect displayed range. However, there are multiple factors that might affect pack temperature:
1. Ambient temperature
2. Whether or not the car was just driven. For how long it was driven. At what speed it was driven.
3. Whether range mode was on/off while driving if the car was just driven or while charging. 
4. Whether a supercharger or slower charger was used to charge to 100%.
If we use just ambient temperature to try to guess pack temperature, the data would be less accurate than it is now because the ambient temperature is not the only factor that affects pack temperature. The weather might be cold but the pack could be still hot if somebody has just driven the car at high speed and then used the supercharger to charge to 100%. There are too many questions to ask to try to guess what the pack temperature might have been when the user read the range number. These questions are too complicated to measure. If there are too many questions, there will be fewer entries because people just go away if it looks too complicated. We already have too few entries for meaningful data on the stats page.
Even if people answered all those, we still couldn't calculate the pack temperature because we don't know how each factor affects pack temperature. In addition, if you look at this diagnostic screen https://teslamotorsclub.com/tmc/posts/693246/ it shows that pack cooling or heating kicks in only if the pack temperature hits a pre-defined upper or lower limit. That further complicates things. 
Ambient temperature was one of the questions that was removed long time ago to simplify things. I'm looking for other questions I can remove from the survey. Anyway, thanks for your suggestion.</t>
  </si>
  <si>
    <t>|42703|Matteo|Hi, Go4IT. It's not the ambient temperature but the battery pack temperature that would affect displayed range. However, there are multiple factors that might affect pack temperature:
1. Ambient temperature
2. Whether or not the car was just driven. For how long it was driven. At what speed it was driven.
3. Whether range mode was on/off while driving if the car was just driven or while charging. 
4. Whether a supercharger or slower charger was used to charge to 100%.
If we use just ambient temperature to try to guess pack temperature, the data would be less accurate than it is now because the ambient temperature is not the only factor that affects pack temperature. The weather might be cold but the pack could be still hot if somebody has just driven the car at high speed and then used the supercharger to charge to 100%. There are too many questions to ask to try to guess what the pack temperature might have been when the user read the range number. These questions are too complicated to measure. If there are too many questions, there will be fewer entries because people just go away if it looks too complicated. We already have too few entries for meaningful data on the stats page.
Even if people answered all those, we still couldn't calculate the pack temperature because we don't know how each factor affects pack temperature. In addition, if you look at this diagnostic screen https://teslamotorsclub.com/tmc/posts/693246/ it shows that pack cooling or heating kicks in only if the pack temperature hits a pre-defined upper or lower limit. That further complicates things. 
Ambient temperature was one of the questions that was removed long time ago to simplify things. I'm looking for other questions I can remove from the survey. Anyway, thanks for your suggestion.||||||</t>
  </si>
  <si>
    <t>Matteo - I know in your spreadsheet you ask the question of whether range mode was on when charging, and then adjust the reported rated range upwards if that answer is No.  Can you explain the source of adjustment you are using and the reason for it?  I have not observed any difference on my 2016 refresh MS 90D (USA spec) in the rated miles reported based upon whether I have range mode turned on or off when I charge.  
If the logic of this adjustment to try and factor in pack temperature as inferred by your discussion with Go4IT?  If so, then I could understand that maybe being a way to infer pack temp if the car had been driving for some time immediately prior to charging, but not if the car has not been driven right before charging.  For example, if I charge overnight in my garage, am leaving on a long trip the next morning, I may charge to 100% in anticipation of minimizing stops.  In that case, the differences in pack temp due to range mode would not seem to apply.  If the adjustment is simply for this reason, then it seems like you may be adding as much noise to the data as you're trying to remove in an attempt to adjust for pack temp, similar to the comments above around ambient temp.
Again, appreciate all your effort to coordinate this, as well as sharing your knowledge with me.  Paul.</t>
  </si>
  <si>
    <t>|42708|PCMc|Matteo - I know in your spreadsheet you ask the question of whether range mode was on when charging, and then adjust the reported rated range upwards if that answer is No.  Can you explain the source of adjustment you are using and the reason for it?  I have not observed any difference on my 2016 refresh MS 90D (USA spec) in the rated miles reported based upon whether I have range mode turned on or off when I charge.  
If the logic of this adjustment to try and factor in pack temperature as inferred by your discussion with Go4IT?  If so, then I could understand that maybe being a way to infer pack temp if the car had been driving for some time immediately prior to charging, but not if the car has not been driven right before charging.  For example, if I charge overnight in my garage, am leaving on a long trip the next morning, I may charge to 100% in anticipation of minimizing stops.  In that case, the differences in pack temp due to range mode would not seem to apply.  If the adjustment is simply for this reason, then it seems like you may be adding as much noise to the data as you're trying to remove in an attempt to adjust for pack temp, similar to the comments above around ambient temp.
Again, appreciate all your effort to coordinate this, as well as sharing your knowledge with me.  Paul.||||||</t>
  </si>
  <si>
    <t>Hi. Here is a video that shows the instant effect of range mode:
https://www.youtube.com/watch?v=MoAPDZTzxd0 
Also, here is a discussion topic. See first sentence in message #1:
https://teslamotorsclub.com/tmc/posts/576732/
This has nothing to do with temperature. The two topics are not related.</t>
  </si>
  <si>
    <t>|42709|Matteo|Hi. Here is a video that shows the instant effect of range mode:
https://www.youtube.com/watch?v=MoAPDZTzxd0 
Also, here is a discussion topic. See first sentence in message #1:
https://teslamotorsclub.com/tmc/posts/576732/
This has nothing to do with temperature. The two topics are not related.||||||</t>
  </si>
  <si>
    <t>Is there any chance that this behavior has been reproduced recently?  I do not question the video, but I have just repeated this exercise in my MS 90D and see no change in displyed rated miles as I toggle in and out of range mode.  I could speculate this behavior might have changed with later software versions or is it potentially a difference between European versus a USA specification vehicles (with corresponding different regulations with how rated miles are calculated?).
Here is link to video I made trying to recreate the charging experiment.  Should be shared such that you can watch it.
https://drive.google.com/open?id=0B7_eZCwFA_8gTnpISmNaVEQ5ZG8</t>
  </si>
  <si>
    <t>|42711|PCMc|Is there any chance that this behavior has been reproduced recently?  I do not question the video, but I have just repeated this exercise in my MS 90D and see no change in displyed rated miles as I toggle in and out of range mode.  I could speculate this behavior might have changed with later software versions or is it potentially a difference between European versus a USA specification vehicles (with corresponding different regulations with how rated miles are calculated?).
Here is link to video I made trying to recreate the charging experiment.  Should be shared such that you can watch it.
https://drive.google.com/open?id=0B7_eZCwFA_8gTnpISmNaVEQ5ZG8||||||</t>
  </si>
  <si>
    <t>Troy Teslike, 13 Oct 2019</t>
  </si>
  <si>
    <t>Hi. In the video your charge level is too low. The increase is proportional to your charge level. You could test again when you have 100% charge. You have reported 298 miles with range mode off and 300 miles with range mode on. This is consistent with what should have happened.
In the meantime, I've asked others to comment on this here: http://www.teslamotorsclub.com/showthread.php/35978-MaxRange
By the way, in message #1, the user here is from the USA too: https://teslamotorsclub.com/tmc/posts/576732/. There was no regional difference. This worked everywhere.</t>
  </si>
  <si>
    <t>|42712|Matteo|Hi. In the video your charge level is too low. The increase is proportional to your charge level. You could test again when you have 100% charge. You have reported 298 miles with range mode off and 300 miles with range mode on. This is consistent with what should have happened.
In the meantime, I've asked others to comment on this here: http://www.teslamotorsclub.com/showthread.php/35978-MaxRange
By the way, in message #1, the user here is from the USA too: https://teslamotorsclub.com/tmc/posts/576732/. There was no regional difference. This worked everywhere.||||||</t>
  </si>
  <si>
    <t>PCMc, feel free to write back if you test again at 100%.</t>
  </si>
  <si>
    <t>|42717|Matteo|PCMc, feel free to write back if you test again at 100%.||||||</t>
  </si>
  <si>
    <t>Beedles</t>
  </si>
  <si>
    <t>Does anyone have an explanation for USA's ID=12=Groeneweg2's low data viz. 85% of original capacity at 59,224km?</t>
  </si>
  <si>
    <t>|42720|Beedles|Does anyone have an explanation for USA's ID=12=Groeneweg2's low data viz. 85% of original capacity at 59,224km?||||||</t>
  </si>
  <si>
    <t>In USA entry #60 Pilot_51 has submitted a similarly low entry for his S60. In the comments section in column AG he describes how the service center tried to rebalance it. It sounds like a rebalancing issue. This happens if the battery is never fully discharged. The displayed range becomes inaccurate over time because the car can't guess how much energy is stored in the battery.</t>
  </si>
  <si>
    <t>|42720|Matteo|In USA entry #60 Pilot_51 has submitted a similarly low entry for his S60. In the comments section in column AG he describes how the service center tried to rebalance it. It sounds like a rebalancing issue. This happens if the battery is never fully discharged. The displayed range becomes inaccurate over time because the car can't guess how much energy is stored in the battery.||||||</t>
  </si>
  <si>
    <t>Can you add a trend line to the other charts (number of cycles, age in days)?</t>
  </si>
  <si>
    <t>|42818|DavidH|Can you add a trend line to the other charts (number of cycles, age in days)?||||||</t>
  </si>
  <si>
    <t>Hi. No problem.</t>
  </si>
  <si>
    <t>|42819|Matteo|Hi. No problem.||||||</t>
  </si>
  <si>
    <t>Following Go4IT comment, I tried to see if there was a correlation between the range and the time of year (more precisely between range and cos(2pi*day_of_year/365), which varies between +1 in January and -1 in July and should itself correlate to temperature). I would have used only the data for the North-most people but there are not enough stats from Canadians, and no way to know for the others. Anyway, considering everyone, only about 0.8% of the range change is due to the January-July variation. That's only about 2 miles or 3 km on an MS 85.
Unrelated topic: Matteo, I understand the problems with the trendlines, but currently, the tail effect is quite intense. Here is a suggestion: two linear regressions on the model, one for data below 50000 km and one for above: https://docs.google.com/spreadsheets/d/1VpDK3H1dosidNNIFpzxSgyzz8tYIonZFWhdJflAynew/edit#gid=154312675
I understand it would complexify quite a bit your calculations of what is above and what is below trendline, but that pair of trendlines could be only for display.</t>
  </si>
  <si>
    <t>|42822|fsch|Following Go4IT comment, I tried to see if there was a correlation between the range and the time of year (more precisely between range and cos(2pi*day_of_year/365), which varies between +1 in January and -1 in July and should itself correlate to temperature). I would have used only the data for the North-most people but there are not enough stats from Canadians, and no way to know for the others. Anyway, considering everyone, only about 0.8% of the range change is due to the January-July variation. That's only about 2 miles or 3 km on an MS 85.
Unrelated topic: Matteo, I understand the problems with the trendlines, but currently, the tail effect is quite intense. Here is a suggestion: two linear regressions on the model, one for data below 50000 km and one for above: https://docs.google.com/spreadsheets/d/1VpDK3H1dosidNNIFpzxSgyzz8tYIonZFWhdJflAynew/edit#gid=154312675
I understand it would complexify quite a bit your calculations of what is above and what is below trendline, but that pair of trendlines could be only for display.||||||</t>
  </si>
  <si>
    <t>Hi fsch. I updated the trendline for the first chart. If you look closer, now the trendline is actually constructed of lots of tiny 1 pixel red dots. The trendlines of the last two charts are still using Google's default polynomial trendlines. No matter what power level you select, they are not accurate. Switching them too will make the sheet slower. The first chart's trendline already makes things slower. So I'm trying to find a balance between improving the presentation vs speed.</t>
  </si>
  <si>
    <t>|42823|Matteo|Hi fsch. I updated the trendline for the first chart. If you look closer, now the trendline is actually constructed of lots of tiny 1 pixel red dots. The trendlines of the last two charts are still using Google's default polynomial trendlines. No matter what power level you select, they are not accurate. Switching them too will make the sheet slower. The first chart's trendline already makes things slower. So I'm trying to find a balance between improving the presentation vs speed.||||||</t>
  </si>
  <si>
    <t>dz1523</t>
  </si>
  <si>
    <t>With Update 8.0 software, I noted an immediate drop in maximum range from 247 to 233. I have driven the car almost 10 miles past 0 and not bricked. I believe that the 8.0 software created a 14 mile buffer below 0; this might alter your calculations if people are reporting the max range reported by the car after charging.</t>
  </si>
  <si>
    <t>|42830|dz1523|With Update 8.0 software, I noted an immediate drop in maximum range from 247 to 233. I have driven the car almost 10 miles past 0 and not bricked. I believe that the 8.0 software created a 14 mile buffer below 0; this might alter your calculations if people are reporting the max range reported by the car after charging.||||||</t>
  </si>
  <si>
    <t xml:space="preserve">Hi. v8.0 was released in late Sep 2016. I have checked a few entries by people who submit lots of entries to see if there was any change. For example, on the USA tab the users ghurenkamp, DavidH and Benjamin Brooks have submitted entries before and after v8.0 and they don't report any sudden or unexpected drop in range. 
I have then selected your username on the charts tab and your current entry is a little below the trendline but it looks normal. I think you have experienced the sharp drop that happens at early stages. If you look at the trendline on charts tab, the battery loses 4% in the first 20,000 miles but then it loses only 1% in the second 20,000 miles. When you select your username, the chart will switch from km to miles. In other words, the sharp drop was to be expected at that mileage. 
I recommend submitting new entries every 5,000-7,500 miles. If you have old data from 2016, you can enter those too if you want. </t>
  </si>
  <si>
    <t>|42831|Matteo|Hi. v8.0 was released in late Sep 2016. I have checked a few entries by people who submit lots of entries to see if there was any change. For example, on the USA tab the users ghurenkamp, DavidH and Benjamin Brooks have submitted entries before and after v8.0 and they don't report any sudden or unexpected drop in range. 
I have then selected your username on the charts tab and your current entry is a little below the trendline but it looks normal. I think you have experienced the sharp drop that happens at early stages. If you look at the trendline on charts tab, the battery loses 4% in the first 20,000 miles but then it loses only 1% in the second 20,000 miles. When you select your username, the chart will switch from km to miles. In other words, the sharp drop was to be expected at that mileage. 
I recommend submitting new entries every 5,000-7,500 miles. If you have old data from 2016, you can enter those too if you want. ||||||</t>
  </si>
  <si>
    <t>Holmes</t>
  </si>
  <si>
    <t>Trying to understand cycles better and I'm not terribly smart at this stuff. Is the formula behind cycles something that can be somewhat easily explained?</t>
  </si>
  <si>
    <t>|42839|Holmes|Trying to understand cycles better and I'm not terribly smart at this stuff. Is the formula behind cycles something that can be somewhat easily explained?||||||</t>
  </si>
  <si>
    <t>Hi Holmes. I have expanded the explanation under the charts section. I also added the title "Understanding Cycles" so it's easier to see. Check out Charts tab row 114. Cheers</t>
  </si>
  <si>
    <t>|42841|Matteo|Hi Holmes. I have expanded the explanation under the charts section. I also added the title "Understanding Cycles" so it's easier to see. Check out Charts tab row 114. Cheers||||||</t>
  </si>
  <si>
    <t>thanar</t>
  </si>
  <si>
    <t>Hello. Would be interesting if you would add mean temperature to the mix, so as to see if degradation changes by the place you live. A mean temperature of each participant, or a latitude entry maybe?</t>
  </si>
  <si>
    <t>|42844|thanar|Hello. Would be interesting if you would add mean temperature to the mix, so as to see if degradation changes by the place you live. A mean temperature of each participant, or a latitude entry maybe?||||||</t>
  </si>
  <si>
    <t>Hi thanar. Temperature used to be one of the survey questions a long time ago but it was removed because outside temperature or even ambient temperature is not relevant but battery pack temperature is and the user has no easy way to read battery pack temperature.</t>
  </si>
  <si>
    <t>|42869|Matteo|Hi thanar. Temperature used to be one of the survey questions a long time ago but it was removed because outside temperature or even ambient temperature is not relevant but battery pack temperature is and the user has no easy way to read battery pack temperature.||||||</t>
  </si>
  <si>
    <t>Lucas</t>
  </si>
  <si>
    <t>To thanar:
most important are ultra low temperatures. -10 have no impact on battery, but if you keep car discharged at -30 u are loosing warranty... From my experiences over -25C with 0% left had impact on battery like -1km on range overnight</t>
  </si>
  <si>
    <t>|42846|Lucas|To thanar:
most important are ultra low temperatures. -10 have no impact on battery, but if you keep car discharged at -30 u are loosing warranty... From my experiences over -25C with 0% left had impact on battery like -1km on range overnight||||||</t>
  </si>
  <si>
    <t>In teslalog.com is over 1000 TM with data directly API. It will be nice compare, because API data are more reliable than man entered numbers... Are u interested for that Matteo?</t>
  </si>
  <si>
    <t>|42845|Lucas|In teslalog.com is over 1000 TM with data directly API. It will be nice compare, because API data are more reliable than man entered numbers... Are u interested for that Matteo?||||||</t>
  </si>
  <si>
    <t>Hi Lucas. If you want to compare the data, feel free to copy the data you see here. On the top right, click "File &gt; Make a copy" to create a copy of this file. Unfortunately, I don't have much time for more collaboration. Good luck.</t>
  </si>
  <si>
    <t>|42869|Matteo|Hi Lucas. If you want to compare the data, feel free to copy the data you see here. On the top right, click "File &gt; Make a copy" to create a copy of this file. Unfortunately, I don't have much time for more collaboration. Good luck.||||||</t>
  </si>
  <si>
    <t xml:space="preserve">Temperature is important but I doubt selecting a region would be helpful. Here in California, themps are very very different depending on what part you live in. Even a few miles from the ocean the temps are significantly higher. </t>
  </si>
  <si>
    <t>|42856|Unknown User|Temperature is important but I doubt selecting a region would be helpful. Here in California, themps are very very different depending on what part you live in. Even a few miles from the ocean the temps are significantly higher. ||||||</t>
  </si>
  <si>
    <t>Hi Matteo, 
Back in end 11/2016 I dropped a few lines about influence of pack temperature and since then included a comment related to temperature to each entry I did.
Now I would like to discuss another aspect which I believe to have an influence on the true pack capacity and that is the "quality" of the first and last km i.e. the charge quality near 100% (the "first km") and 0% (the "last km").
When my car was new (almost 4 years ago...), I had about 400km at 100% (like most with a 85kWh battery) and I could often drive 3-5 km before km count would go down. Nowadays, I often see 3-5 km disappearing almost instantly as soon as the car is powered on and starts moving.
Similarly, when car was new, I could drive to -15km or even -20km before the battery would go completely empty. Nowadays, the car turns off right at 0 km and I have to tow it to my charging point (I do this on purpose for better calibration and to get a good experience with an empty battery... but I do it very close to home!)
This leads me to believe that the "quality" of the first and last km is decreasing significantly in my case, probably due to aging and to number of charging cycles.
I believe this to be further demonstrated by your alternative capacity calculation which is based on an actual trip (I always use the same trip as a reference to ease comparison between my lines).
Overall, my impression and usage experience is that this alternative capacity calculation is closer to reality and that I am probably well into the 15-20% capacity loss...
I wanted to share this with you because I wonder if the max km is a good indication about battery capacity, especially when it comes from the vendor who may not be as neutral as it could be in this measurement...
Interested to hear in your thoughts on this...</t>
  </si>
  <si>
    <t>|42864|Go4IT|Hi Matteo, 
Back in end 11/2016 I dropped a few lines about influence of pack temperature and since then included a comment related to temperature to each entry I did.
Now I would like to discuss another aspect which I believe to have an influence on the true pack capacity and that is the "quality" of the first and last km i.e. the charge quality near 100% (the "first km") and 0% (the "last km").
When my car was new (almost 4 years ago...), I had about 400km at 100% (like most with a 85kWh battery) and I could often drive 3-5 km before km count would go down. Nowadays, I often see 3-5 km disappearing almost instantly as soon as the car is powered on and starts moving.
Similarly, when car was new, I could drive to -15km or even -20km before the battery would go completely empty. Nowadays, the car turns off right at 0 km and I have to tow it to my charging point (I do this on purpose for better calibration and to get a good experience with an empty battery... but I do it very close to home!)
This leads me to believe that the "quality" of the first and last km is decreasing significantly in my case, probably due to aging and to number of charging cycles.
I believe this to be further demonstrated by your alternative capacity calculation which is based on an actual trip (I always use the same trip as a reference to ease comparison between my lines).
Overall, my impression and usage experience is that this alternative capacity calculation is closer to reality and that I am probably well into the 15-20% capacity loss...
I wanted to share this with you because I wonder if the max km is a good indication about battery capacity, especially when it comes from the vendor who may not be as neutral as it could be in this measurement...
Interested to hear in your thoughts on this...||||||</t>
  </si>
  <si>
    <t>Hi, Go4IT. WK057 has an interesting thread about these topics here: 
https://teslamotorsclub.com/tmc/posts/1923792/ If you read message #1, paragraph 2 that starts with "As it turns out, ...", it looks like the displayed range is a very good metric to calculate usable battery capacity. But I wonder if the non-usable part changes over time. According to WK057, the 85 kWh battery has 81.5 kWh total and 77.5 kWh usable capacity. In other words, 4 kWh is not usable. Maybe Tesla is reducing the 4 kWh over time to compensate for part of the degradation. This would explain why you were able to drive below 0 typical range but now you are not. I don't know if they are actually doing this or not but if they are, it would mean after a certain mileage, degradation will be more sudden because the 4 kWh will run out.</t>
  </si>
  <si>
    <t>|42869|Matteo|Hi, Go4IT. WK057 has an interesting thread about these topics here: 
https://teslamotorsclub.com/tmc/posts/1923792/ If you read message #1, paragraph 2 that starts with "As it turns out, ...", it looks like the displayed range is a very good metric to calculate usable battery capacity. But I wonder if the non-usable part changes over time. According to WK057, the 85 kWh battery has 81.5 kWh total and 77.5 kWh usable capacity. In other words, 4 kWh is not usable. Maybe Tesla is reducing the 4 kWh over time to compensate for part of the degradation. This would explain why you were able to drive below 0 typical range but now you are not. I don't know if they are actually doing this or not but if they are, it would mean after a certain mileage, degradation will be more sudden because the 4 kWh will run out.||||||</t>
  </si>
  <si>
    <t>JCB</t>
  </si>
  <si>
    <t>Could we add a column for climate zone?  ( i suggest following the "plant hardiness zone, 6,7,8 etc)</t>
  </si>
  <si>
    <t>|42851|JCB|Could we add a column for climate zone?  ( i suggest following the "plant hardiness zone, 6,7,8 etc)||||||</t>
  </si>
  <si>
    <t>Hi. Thanks for the feedback. I'm trying to keep the survey simple because some people just close the page and go away when they see too many questions. We need more entries. Therefore I try to keep only the most relevant questions. I'm actually considering removing some existing questions. However, feel free to expand your idea a little more so I can understand it better. Cheers.</t>
  </si>
  <si>
    <t>|42869|Matteo|Hi. Thanks for the feedback. I'm trying to keep the survey simple because some people just close the page and go away when they see too many questions. We need more entries. Therefore I try to keep only the most relevant questions. I'm actually considering removing some existing questions. However, feel free to expand your idea a little more so I can understand it better. Cheers.||||||</t>
  </si>
  <si>
    <t>nickjhowe</t>
  </si>
  <si>
    <t>Column O label on USA sheet is wrong - says km but is actually miles. Makes me wonder if the chart is correct using km...</t>
  </si>
  <si>
    <t>|42856|nickjhowe|Column O label on USA sheet is wrong - says km but is actually miles. Makes me wonder if the chart is correct using km...||||||</t>
  </si>
  <si>
    <t>Thanks, Nick. Fixed. It was just a cosmetic error that happened when copying and pasting formulas between country tabs. The chart works correctly. All country tabs show mileage in km in column AP. These km numbers from column AP are put together on a single hidden tab called "Charts Data". By the way, if you want to see the numbers in miles, select any random user from the USA or UK tabs. Cheers</t>
  </si>
  <si>
    <t>|42869|Matteo|Thanks, Nick. Fixed. It was just a cosmetic error that happened when copying and pasting formulas between country tabs. The chart works correctly. All country tabs show mileage in km in column AP. These km numbers from column AP are put together on a single hidden tab called "Charts Data". By the way, if you want to see the numbers in miles, select any random user from the USA or UK tabs. Cheers||||||</t>
  </si>
  <si>
    <t xml:space="preserve">Could you make it possible to select only all cars with the old battery cells and then only car with the new battery cells? I believe the new cells might degrade a little faster than the old ones. </t>
  </si>
  <si>
    <t>|42859|DavidH|Could you make it possible to select only all cars with the old battery cells and then only car with the new battery cells? I believe the new cells might degrade a little faster than the old ones. ||||||</t>
  </si>
  <si>
    <t>Hi, David. This sounds like a good idea. I will keep this in mind for the next major overhaul. Too many things are too messy right now. I need to simplify and improve things before adding new features but I like your idea. I guess old cells means the 85 kWh and the original 60 kWh. Let me know if it means something else.</t>
  </si>
  <si>
    <t>|42869|Matteo|Hi, David. This sounds like a good idea. I will keep this in mind for the next major overhaul. Too many things are too messy right now. I need to simplify and improve things before adding new features but I like your idea. I guess old cells means the 85 kWh and the original 60 kWh. Let me know if it means something else.||||||</t>
  </si>
  <si>
    <t>jensk2</t>
  </si>
  <si>
    <t xml:space="preserve">Excellent Survey! Some of the Asian Range numbers looks a little wrong. User jvds has a 70D and reports mostly around 360 km, but has ONE reading of 402, which COULD be the 'Estimated' mileage.  Same problem COULD affect some of the 85D numbers, where 430km is impressive, but well into 90D normal Range. Given how close the different models typical numbers are, I understand that is difficult to do 'data input sanity' verification at entry. The 70D assumed error, could be caught by an alert if entered value is more than 10% off of the average for all 70D's, which is 357,4 km:-) </t>
  </si>
  <si>
    <t>|42905|jensk2|Excellent Survey! Some of the Asian Range numbers looks a little wrong. User jvds has a 70D and reports mostly around 360 km, but has ONE reading of 402, which COULD be the 'Estimated' mileage.  Same problem COULD affect some of the 85D numbers, where 430km is impressive, but well into 90D normal Range. Given how close the different models typical numbers are, I understand that is difficult to do 'data input sanity' verification at entry. The 70D assumed error, could be caught by an alert if entered value is more than 10% off of the average for all 70D's, which is 357,4 km:-) ||||||</t>
  </si>
  <si>
    <t>Hi, jensk2. I like the instant alert idea. I will keep this in mind for the next major update. Thanks</t>
  </si>
  <si>
    <t>|42906|Matteo|Hi, jensk2. I like the instant alert idea. I will keep this in mind for the next major update. Thanks||||||</t>
  </si>
  <si>
    <t>aggregate</t>
  </si>
  <si>
    <t>Hi Matteo, is it an idea to add a model selection in the chart section, so you can see an aggregation per battery size</t>
  </si>
  <si>
    <t>|42912|aggregate|Hi Matteo, is it an idea to add a model selection in the chart section, so you can see an aggregation per battery size||||||</t>
  </si>
  <si>
    <t xml:space="preserve">Hi, aggregate. That would be a nice feature to have. Unfortunately, Google Sheets slows down as the file gets bigger and more complicated. Therefore I try to find a balance between the features we have and how fast the file works when people enter or read data. However, I like your idea. I will test it out during the next major update to see if it is something that can be implemented. Thanks for the feedback. </t>
  </si>
  <si>
    <t>|42922|Matteo|Hi, aggregate. That would be a nice feature to have. Unfortunately, Google Sheets slows down as the file gets bigger and more complicated. Therefore I try to find a balance between the features we have and how fast the file works when people enter or read data. However, I like your idea. I will test it out during the next major update to see if it is something that can be implemented. Thanks for the feedback. ||||||</t>
  </si>
  <si>
    <t>Hi Matteo, please check my entries from today and yesterday (based on exact same reference trip under very similar traffic conditions). Clearly your optional calculation is a more reliable way of measuring the battery capacity as the first 3-5km after a 100% charge dissappear almost instantaneously after change completion and a brief power on move (for instance just to move the car out of garage). As mentioned in my 09/05/2017 comment above, same can be observed near the 0% charge where car goes off almost right after displaying 0km (no more grace km as in the past). In other words, the first and last 3-5 km of energy are of a "bad quality" (low energy content). Such observation cannot be inferred from a simple km reading like most do in the table. True battery degradation is to be evaluated at 100% (we knew that) measuring what the first km are really worth (almost nothing in my case with a 4 year/250.000km pack).In my opinion, this has nothing to do with the 4kWh unsuable capacity Telsa keeps for protecting the pack (anti-bricking).</t>
  </si>
  <si>
    <t>|42929|Go4IT|Hi Matteo, please check my entries from today and yesterday (based on exact same reference trip under very similar traffic conditions). Clearly your optional calculation is a more reliable way of measuring the battery capacity as the first 3-5km after a 100% charge dissappear almost instantaneously after change completion and a brief power on move (for instance just to move the car out of garage). As mentioned in my 09/05/2017 comment above, same can be observed near the 0% charge where car goes off almost right after displaying 0km (no more grace km as in the past). In other words, the first and last 3-5 km of energy are of a "bad quality" (low energy content). Such observation cannot be inferred from a simple km reading like most do in the table. True battery degradation is to be evaluated at 100% (we knew that) measuring what the first km are really worth (almost nothing in my case with a 4 year/250.000km pack).In my opinion, this has nothing to do with the 4kWh unsuable capacity Telsa keeps for protecting the pack (anti-bricking).||||||</t>
  </si>
  <si>
    <t>univ</t>
  </si>
  <si>
    <t>Hi Matteo, great work! In the German Tesla forum we keep updating a list of the drivers with the most kilometers, per model, e.g. drivers who drove the farthest with 85, 70 or D models. It would be cool to have this kind of information here in the charts or stats as well. Or maybe a new sheet like "Hall of fame" or something like that, haha. Like, who drove the most per model (all 85 drivers, all 70(D) drivers, all D drivers, all 100 drivers etc.). And maybe who drove the most overall. Maybe per year. I guess there are many ways. :)  For example (link to the German forum, text only, but you will get an idea): http://tff-forum.de/viewtopic.php?f=56&amp;t=8554</t>
  </si>
  <si>
    <t>|42929|univ|Hi Matteo, great work! In the German Tesla forum we keep updating a list of the drivers with the most kilometers, per model, e.g. drivers who drove the farthest with 85, 70 or D models. It would be cool to have this kind of information here in the charts or stats as well. Or maybe a new sheet like "Hall of fame" or something like that, haha. Like, who drove the most per model (all 85 drivers, all 70(D) drivers, all D drivers, all 100 drivers etc.). And maybe who drove the most overall. Maybe per year. I guess there are many ways. :)  For example (link to the German forum, text only, but you will get an idea): http://tff-forum.de/viewtopic.php?f=56&amp;t=8554||||||</t>
  </si>
  <si>
    <t xml:space="preserve">Hi, Go4IT. Thanks for the feedback. I'm glad you found the alternative method in columns AC:AH useful. Thanks for reporting about the typical range that you lose instantly near 100% and 0%. I don't know if this is a rare problem or common problem. It would be good to find out more. </t>
  </si>
  <si>
    <t>|42930|Matteo|Hi, Go4IT. Thanks for the feedback. I'm glad you found the alternative method in columns AC:AH useful. Thanks for reporting about the typical range that you lose instantly near 100% and 0%. I don't know if this is a rare problem or common problem. It would be good to find out more. ||||||</t>
  </si>
  <si>
    <t>Hi, univ. Thanks for the feedback. I will keep this in mind for future updates.</t>
  </si>
  <si>
    <t>|42930|Matteo|Hi, univ. Thanks for the feedback. I will keep this in mind for future updates.||||||</t>
  </si>
  <si>
    <t>Gabeincal</t>
  </si>
  <si>
    <t>Hi, great data and charts. Filled it out for my S75. I don't see an S100D as a car option, perhaps you need to update the sheet for that option for other owners?</t>
  </si>
  <si>
    <t>|42930|Gabeincal|Hi, great data and charts. Filled it out for my S75. I don't see an S100D as a car option, perhaps you need to update the sheet for that option for other owners?||||||</t>
  </si>
  <si>
    <t>Hi, Gabeincal. The Model S 100D and P100D are there. They are the last two items before the Model X list starts. Cheers</t>
  </si>
  <si>
    <t>|42930|Matteo|Hi, Gabeincal. The Model S 100D and P100D are there. They are the last two items before the Model X list starts. Cheers||||||</t>
  </si>
  <si>
    <t>BennyG</t>
  </si>
  <si>
    <t>Hi Matteo, I've got a new 75D after my 85 got wrecked. I assume I can just start adding the new data of the new car, right?</t>
  </si>
  <si>
    <t>|42971|BennyG|Hi Matteo, I've got a new 75D after my 85 got wrecked. I assume I can just start adding the new data of the new car, right?||||||</t>
  </si>
  <si>
    <t>Hi, BennyG. If you want, you could use different usernames so both cars don't appear when you select your username on the charts page. It's up to you. For example, you could change all your old entries to BennyG 85 (I can do that for you if you want) or use BennyG 75D for new entries.</t>
  </si>
  <si>
    <t>|42971|Matteo|Hi, BennyG. If you want, you could use different usernames so both cars don't appear when you select your username on the charts page. It's up to you. For example, you could change all your old entries to BennyG 85 (I can do that for you if you want) or use BennyG 75D for new entries.||||||</t>
  </si>
  <si>
    <t>cornoisseur</t>
  </si>
  <si>
    <t xml:space="preserve">Not sure if you are aware of Google Data Studio (datastudio.google.com), but I think we could make a pretty slick dashboard with this database on that site. I can make a proof of concept if you are interested. </t>
  </si>
  <si>
    <t>|42977|cornoisseur|Not sure if you are aware of Google Data Studio (datastudio.google.com), but I think we could make a pretty slick dashboard with this database on that site. I can make a proof of concept if you are interested. ||||||</t>
  </si>
  <si>
    <t xml:space="preserve">Hi, cornoisseur. Thanks for the heads up. I will check it out. </t>
  </si>
  <si>
    <t>|42977|Matteo|Hi, cornoisseur. Thanks for the heads up. I will check it out. ||||||</t>
  </si>
  <si>
    <t>Hart</t>
  </si>
  <si>
    <t>Not sure how I enter data, but accidently charged my 2014 S to 100% last night. Got rated range of 259 vs. 265 when new.</t>
  </si>
  <si>
    <t>|42988|Hart|Not sure how I enter data, but accidently charged my 2014 S to 100% last night. Got rated range of 259 vs. 265 when new.||||||</t>
  </si>
  <si>
    <t>Hi, Hart. You can go to the USA tab and start typing to the next available row. Be aware that this will be difficult on a smartphone or tablet, therefore, using a laptop or desktop computer is recommended. Then go to the charts page and select your username. Cheers</t>
  </si>
  <si>
    <t>|42989|Matteo|Hi, Hart. You can go to the USA tab and start typing to the next available row. Be aware that this will be difficult on a smartphone or tablet, therefore, using a laptop or desktop computer is recommended. Then go to the charts page and select your username. Cheers||||||</t>
  </si>
  <si>
    <t>Matteo - I was looking at MS/MX entries specifically for those with 90 battery packs.  Spotted the data in the USA tab for user James.  His data fall as outliers.  I see there has not been an update on his for about a year, but I am highly suspicious that the values he has entered are not actually 100% SOC.  He lists his daily charging level as 90% and the values he lists for 100% SOC would make total sense if they were actually his 90% SOC daily readings.  I am reading between the lines, but am suspicious of the validity of these datapoints.</t>
  </si>
  <si>
    <t>|42995|PCMc|Matteo - I was looking at MS/MX entries specifically for those with 90 battery packs.  Spotted the data in the USA tab for user James.  His data fall as outliers.  I see there has not been an update on his for about a year, but I am highly suspicious that the values he has entered are not actually 100% SOC.  He lists his daily charging level as 90% and the values he lists for 100% SOC would make total sense if they were actually his 90% SOC daily readings.  I am reading between the lines, but am suspicious of the validity of these datapoints.||||||</t>
  </si>
  <si>
    <t>Hi, PCMc. I've looked closer into this and you are right, there is a problem. However, the problem seems to be that Tesla has changed the EPA range of the 90D at some point. There are two data points to support this theory:
1. Check out the 90D's range in these two Design Studio screenshots:
http://i.imgur.com/n7kJAE1.gif
http://i.imgur.com/XDlwDbT.gif
It was 288 mi and then it increased to 294.
2. In column AA, there is the question that says "What was 100% rated range when the car was new?". Some users have entered 282 or 283 mi to this column. 
Here is a screenshot: https://i.imgur.com/6VActp6.gif
The same problem happened in Europe. Some people say the 90D had 408 km when new, some say 452 km when new. It is messed up because Tesla has messed up things. 
To correct this problem, I have created a new car model called "Model S 90D 2015" with less range and then moved most of the 2015 models to this category. I'm not sure if things are 100% accurate now but I'm pretty sure they are more accurate now than before. Thanks for reporting the problem. Cheers</t>
  </si>
  <si>
    <t>|42996|Matteo|Hi, PCMc. I've looked closer into this and you are right, there is a problem. However, the problem seems to be that Tesla has changed the EPA range of the 90D at some point. There are two data points to support this theory:
1. Check out the 90D's range in these two Design Studio screenshots:
http://i.imgur.com/n7kJAE1.gif
http://i.imgur.com/XDlwDbT.gif
It was 288 mi and then it increased to 294.
2. In column AA, there is the question that says "What was 100% rated range when the car was new?". Some users have entered 282 or 283 mi to this column. 
Here is a screenshot: https://i.imgur.com/6VActp6.gif
The same problem happened in Europe. Some people say the 90D had 408 km when new, some say 452 km when new. It is messed up because Tesla has messed up things. 
To correct this problem, I have created a new car model called "Model S 90D 2015" with less range and then moved most of the 2015 models to this category. I'm not sure if things are 100% accurate now but I'm pretty sure they are more accurate now than before. Thanks for reporting the problem. Cheers||||||</t>
  </si>
  <si>
    <t>Spencer</t>
  </si>
  <si>
    <t>I've created an interactive chart in Domo to show the milage vs remaining range from the data provided. Check it out if you'd like to gain more insights. https://public.demo.domo.com/cards/e31Mb</t>
  </si>
  <si>
    <t>|43004|Spencer|I've created an interactive chart in Domo to show the milage vs remaining range from the data provided. Check it out if you'd like to gain more insights. https://public.demo.domo.com/cards/e31Mb||||||</t>
  </si>
  <si>
    <t>Hi, Spencer. It looks good.</t>
  </si>
  <si>
    <t>|43005|Matteo|Hi, Spencer. It looks good.||||||</t>
  </si>
  <si>
    <t>VikingC</t>
  </si>
  <si>
    <t>I saw a comment about inconsistent data.  It all looks OK to me.  If you can be more specific I can double check the numbers.</t>
  </si>
  <si>
    <t>|43022|VikingC|I saw a comment about inconsistent data.  It all looks OK to me.  If you can be more specific I can double check the numbers.||||||</t>
  </si>
  <si>
    <t>Hi, VikingC. I don't see any problem with your data.</t>
  </si>
  <si>
    <t>|43023|Matteo|Hi, VikingC. I don't see any problem with your data.||||||</t>
  </si>
  <si>
    <t>Claudiu T.</t>
  </si>
  <si>
    <t>Do not forget Joel's request (22 Jan 2016). A field for the county / country would be very interesting for those interested in these calculations.
Thank you very much.</t>
  </si>
  <si>
    <t>|43046|Claudiu T.|Do not forget Joel's request (22 Jan 2016). A field for the county / country would be very interesting for those interested in these calculations.
Thank you very much.||||||</t>
  </si>
  <si>
    <t>Hello Matteo. May I draw your attention to my 25 entries covering over 4 years/275.000km of driving. Clearly one can distinguish a yearly cycle showing a min 5% reduction of battery capacity during the winter compared to summer values. All my entries are provided based on very similar charging conditions (except for the ambient temperature which I cannot control  ;-) 
As you have a date for every entry, would there be any way to factor the yearly cycle effect on the graphs and the statistics?</t>
  </si>
  <si>
    <t>|43048|Go4IT|Hello Matteo. May I draw your attention to my 25 entries covering over 4 years/275.000km of driving. Clearly one can distinguish a yearly cycle showing a min 5% reduction of battery capacity during the winter compared to summer values. All my entries are provided based on very similar charging conditions (except for the ambient temperature which I cannot control  ;-) 
As you have a date for every entry, would there be any way to factor the yearly cycle effect on the graphs and the statistics?||||||</t>
  </si>
  <si>
    <t>Hi, Go4IT. I have responded in the forum here: https://teslamotorsclub.com/tmc/posts/2407284/</t>
  </si>
  <si>
    <t>|43052|Matteo|Hi, Go4IT. I have responded in the forum here: https://teslamotorsclub.com/tmc/posts/2407284/||||||</t>
  </si>
  <si>
    <t>Will be usefull split TMS and TMX charts or not count km but MWh, because TMX have higher consumption and often hauling trailers, then degradation per kilometer is much higher like 10% compare to TMS...</t>
  </si>
  <si>
    <t>|43070|Lucas|Will be usefull split TMS and TMX charts or not count km but MWh, because TMX have higher consumption and often hauling trailers, then degradation per kilometer is much higher like 10% compare to TMS...||||||</t>
  </si>
  <si>
    <t>Hi Lucas. For the first chart (mileage vs battery capacity chart), in the future, we could eventually add a way to select only the models you want to see in the chart. Currently, only 9 Model X owners submitted data compared to 375 Model S owners. However, with the Model 3 things could change. Also, if the Model S/X switch to 2170 cells, it would be interesting to compare 18650 to 2170 cells. 
By the way, on the Charts tab, if you scroll down you can see the Cycles chart. This chart considers how many times the battery was charged. Efficiency and battery size play a role here. Looking at cycles instead of mileage is a way to equalize efficiency and battery size differences.</t>
  </si>
  <si>
    <t>|43072|Matteo|Hi Lucas. For the first chart (mileage vs battery capacity chart), in the future, we could eventually add a way to select only the models you want to see in the chart. Currently, only 9 Model X owners submitted data compared to 375 Model S owners. However, with the Model 3 things could change. Also, if the Model S/X switch to 2170 cells, it would be interesting to compare 18650 to 2170 cells. 
By the way, on the Charts tab, if you scroll down you can see the Cycles chart. This chart considers how many times the battery was charged. Efficiency and battery size play a role here. Looking at cycles instead of mileage is a way to equalize efficiency and battery size differences.||||||</t>
  </si>
  <si>
    <t>Shoot72</t>
  </si>
  <si>
    <t>Hi Matteo, Model S 100D at first full charge (at 150km, so new car) to 100% give me about 509 km typical (range mode off), not the reported 526 km, battery was at 100% but charging at 2kW. But I don't think it would add a other 20km of typical range.</t>
  </si>
  <si>
    <t>|43090|Shoot72|Hi Matteo, Model S 100D at first full charge (at 150km, so new car) to 100% give me about 509 km typical (range mode off), not the reported 526 km, battery was at 100% but charging at 2kW. But I don't think it would add a other 20km of typical range.||||||</t>
  </si>
  <si>
    <t>Hi, Shoot72. Because Tesla does not publish the 'Typical Range' numbers they use outside of North America, we have to ask people the question, "What was 100% typical range when the car was new?". You are the first person who answered that for the Model S 100D. Thanks. I have changed the setting for the Model S 100D based on your answer. If more people answer this question for the Model S 100D, I will update the number in the future. Cheers</t>
  </si>
  <si>
    <t>|43091|Matteo|Hi, Shoot72. Because Tesla does not publish the 'Typical Range' numbers they use outside of North America, we have to ask people the question, "What was 100% typical range when the car was new?". You are the first person who answered that for the Model S 100D. Thanks. I have changed the setting for the Model S 100D based on your answer. If more people answer this question for the Model S 100D, I will update the number in the future. Cheers||||||</t>
  </si>
  <si>
    <t>TomB</t>
  </si>
  <si>
    <t xml:space="preserve">Hi Matteo, do you think you could introduce a chart comparing how the different Batteries (60, 70, 75, 85, 90 and 100) age at certain levels? I was thinking that you could maybe have a chart for all batteries at 50k km which would then maybe return that the 75 and 100 usually did fare better in terms of capacity than say a 60, 70 or 90. Do you think that would be possible? Also we see clearly a winter penalty in range which may project a much worse picture that acutally is. I checked this with Go4IT as you have a lot of data from him. So question I guess is, can you level that somehow? I know, this one is extremely tricky becaus you can only use data from the user to level its curve. </t>
  </si>
  <si>
    <t>|43119|TomB|Hi Matteo, do you think you could introduce a chart comparing how the different Batteries (60, 70, 75, 85, 90 and 100) age at certain levels? I was thinking that you could maybe have a chart for all batteries at 50k km which would then maybe return that the 75 and 100 usually did fare better in terms of capacity than say a 60, 70 or 90. Do you think that would be possible? Also we see clearly a winter penalty in range which may project a much worse picture that acutally is. I checked this with Go4IT as you have a lot of data from him. So question I guess is, can you level that somehow? I know, this one is extremely tricky becaus you can only use data from the user to level its curve. ||||||</t>
  </si>
  <si>
    <t xml:space="preserve">Hi, TomB
1. Different charts for different battery packs is a good idea. However, it is something that would complicate how the spreadsheet works. Adding username selections to the charts has already complicated things. In addition, we have a unique custom trendline on the Charts tab for the first chart. That trendline also complicated things a lot. I'm always trying to find a balance between features and speed. I will keep this suggestion in mind for future revisions. 
2. I agree that winter range is lower than summer range. See my response a few rows above on 13 Nov 2017. I also agree that we should try to fix it. However, I'm not sure how to do that. Do we ask everybody to enter a temperature? Is that going to be a mandatory field? Do we make it optional? I don't want to make it less convenient to enter data. Temperature is more difficult than other data like mileage or vehicle manufacture date. We could make it optional and apply a winter correction if somebody has entered the terperature and it was too cold. </t>
  </si>
  <si>
    <t>|43120|Matteo|Hi, TomB
1. Different charts for different battery packs is a good idea. However, it is something that would complicate how the spreadsheet works. Adding username selections to the charts has already complicated things. In addition, we have a unique custom trendline on the Charts tab for the first chart. That trendline also complicated things a lot. I'm always trying to find a balance between features and speed. I will keep this suggestion in mind for future revisions. 
2. I agree that winter range is lower than summer range. See my response a few rows above on 13 Nov 2017. I also agree that we should try to fix it. However, I'm not sure how to do that. Do we ask everybody to enter a temperature? Is that going to be a mandatory field? Do we make it optional? I don't want to make it less convenient to enter data. Temperature is more difficult than other data like mileage or vehicle manufacture date. We could make it optional and apply a winter correction if somebody has entered the terperature and it was too cold. ||||||</t>
  </si>
  <si>
    <t>Benjamin Brooks</t>
  </si>
  <si>
    <t>Sheet doesn't support seperate vehicle reports from single owner?</t>
  </si>
  <si>
    <t>|43125|Benjamin Brooks|Sheet doesn't support seperate vehicle reports from single owner?||||||</t>
  </si>
  <si>
    <t>egn</t>
  </si>
  <si>
    <t>Hi Matteo, the calculation reports for my S85 about 74.9 kWh usable capacity. But in reality the BMS reports through OBD2 on the diagnostic bus 71.9 kWh usable capacity. I suppose that the degradation is underestimated considerably, and much higher than shown.</t>
  </si>
  <si>
    <t>|43125|egn|Hi Matteo, the calculation reports for my S85 about 74.9 kWh usable capacity. But in reality the BMS reports through OBD2 on the diagnostic bus 71.9 kWh usable capacity. I suppose that the degradation is underestimated considerably, and much higher than shown.||||||</t>
  </si>
  <si>
    <t>Hi, Benjamin Brooks. You can use slightly different usernames. You could change just the current username or the previous one or both. Here are a few ideas:
Benjamin Brooks (S)
Benjamin Brooks S85
Benjamin Brooks MS
Benjamin Brooks 1
I could change all of your past entries for you if you want. Cheers. 
BB: sounds good to me, with S85 suffix for old records. thanks!
Matteo: Done.</t>
  </si>
  <si>
    <t>|43127|Matteo|Hi, Benjamin Brooks. You can use slightly different usernames. You could change just the current username or the previous one or both. Here are a few ideas:
Benjamin Brooks (S)
Benjamin Brooks S85
Benjamin Brooks MS
Benjamin Brooks 1
I could change all of your past entries for you if you want. Cheers. 
BB: sounds good to me, with S85 suffix for old records. thanks!
Matteo: Done.||||||</t>
  </si>
  <si>
    <t>Hi, egn. I'm always trying to improve things. Therefore what you said sounds interesting. Here are some questions that come to my mind:
1. Could the 71.9 kWh number related to cold weather? I wonder if the number was higher in the summer?
2. I wonder what the BMS reports for a brand new Model S or X of any battery size. There is an EPA document that shows 73.2 kWh usable capacity for the 75 kWh and another document that shows 78.27 kWh for the Model 3 LR. How would these numbers compare to a BMS reading of one of these cars when it was new? I'm trying to understand if the BMS reading is lower than expected for all Tesla models or for just the 85 kWh.</t>
  </si>
  <si>
    <t>|43127|Matteo|Hi, egn. I'm always trying to improve things. Therefore what you said sounds interesting. Here are some questions that come to my mind:
1. Could the 71.9 kWh number related to cold weather? I wonder if the number was higher in the summer?
2. I wonder what the BMS reports for a brand new Model S or X of any battery size. There is an EPA document that shows 73.2 kWh usable capacity for the 75 kWh and another document that shows 78.27 kWh for the Model 3 LR. How would these numbers compare to a BMS reading of one of these cars when it was new? I'm trying to understand if the BMS reading is lower than expected for all Tesla models or for just the 85 kWh.||||||</t>
  </si>
  <si>
    <t>Andrew</t>
  </si>
  <si>
    <t xml:space="preserve">Hi Matteo, first off this is amazing work. I am a battery economist/engineer and would be very interested in speaking with you offline about your estimation techniques if you have some time. I've been working on battery degradation models for my PhD and may be able to bring some insight as well. For the short term, would it be possible to see the username readout when selecting a datapoint on the graphs? Instead of having to select the username from the dropdown which doesn't contain much information unless you go back and find them in the entries. </t>
  </si>
  <si>
    <t>|43133|Andrew|Hi Matteo, first off this is amazing work. I am a battery economist/engineer and would be very interested in speaking with you offline about your estimation techniques if you have some time. I've been working on battery degradation models for my PhD and may be able to bring some insight as well. For the short term, would it be possible to see the username readout when selecting a datapoint on the graphs? Instead of having to select the username from the dropdown which doesn't contain much information unless you go back and find them in the entries. ||||||</t>
  </si>
  <si>
    <t>Hi Matteo, above value is the usable capacity, nominal capacity is 75.9 kWh (4 kWh reserve). The values of a new S85 were usable 77.5 kWh and nominal 81.5 kW. https://electrek.co/2016/12/14/tesla-battery-capacity/ So the battery of my S85 has degraded to about 93 % and not to 96 % as calculated. I assume that most vehicles BMS report a lower remaining capacity as calculated. May be others with OBD2 access to BMS can report their nominal capacity reading to verify this.</t>
  </si>
  <si>
    <t>|43133|egn|Hi Matteo, above value is the usable capacity, nominal capacity is 75.9 kWh (4 kWh reserve). The values of a new S85 were usable 77.5 kWh and nominal 81.5 kW. https://electrek.co/2016/12/14/tesla-battery-capacity/ So the battery of my S85 has degraded to about 93 % and not to 96 % as calculated. I assume that most vehicles BMS report a lower remaining capacity as calculated. May be others with OBD2 access to BMS can report their nominal capacity reading to verify this.||||||</t>
  </si>
  <si>
    <t>Hi, egn. Here is how the percentage was calculated: In columns AE and AF, people have reported that the S85 dislays 400 km typical range with range mode on when the car was new. In your last entry you said 379 km with range mode off. I'm calculating 383.8 km with range mode on. Check out these two videos about range mode: 
https://youtu.be/MoAPDZTzxd0?t=1
https://youtu.be/OUEVyw7iXNE?t=68
Therefore your range compared to a new S85 is 383.8/400= 95.95%. That means your usable capacity is 77,500 * 0.9595= 74,361 Wh.</t>
  </si>
  <si>
    <t>|43135|Matteo|Hi, egn. Here is how the percentage was calculated: In columns AE and AF, people have reported that the S85 dislays 400 km typical range with range mode on when the car was new. In your last entry you said 379 km with range mode off. I'm calculating 383.8 km with range mode on. Check out these two videos about range mode: 
https://youtu.be/MoAPDZTzxd0?t=1
https://youtu.be/OUEVyw7iXNE?t=68
Therefore your range compared to a new S85 is 383.8/400= 95.95%. That means your usable capacity is 77,500 * 0.9595= 74,361 Wh.||||||</t>
  </si>
  <si>
    <t xml:space="preserve">Hi, Andrew. I tried to add the usernames as data labels when you hover over the dots but it doesn't work with scatter charts. I can add permanent username labels to all dots instead of displaying them when you hover but then the whole chart is covered with usernames and you cant see any of the dots. 
If you want to analyze the data you could copy one of the tabs into your own file. Next to the tab name click on the down arrow and select Copy to. Also, you can copy the entire file by selecting File &gt; Make a copy. 
The way the calculations work is simple. Each Tesla model has a certain range at 100% charge when it is new. For example, the Model S 85 has 265 miles EPA rated range. The survey simply asks people what their range is at 100% charge. If an S85 owner reports 260 miles, that would mean 260/265= 98.1% remaining range. </t>
  </si>
  <si>
    <t>|43135|Matteo|Hi, Andrew. I tried to add the usernames as data labels when you hover over the dots but it doesn't work with scatter charts. I can add permanent username labels to all dots instead of displaying them when you hover but then the whole chart is covered with usernames and you cant see any of the dots. 
If you want to analyze the data you could copy one of the tabs into your own file. Next to the tab name click on the down arrow and select Copy to. Also, you can copy the entire file by selecting File &gt; Make a copy. 
The way the calculations work is simple. Each Tesla model has a certain range at 100% charge when it is new. For example, the Model S 85 has 265 miles EPA rated range. The survey simply asks people what their range is at 100% charge. If an S85 owner reports 260 miles, that would mean 260/265= 98.1% remaining range. ||||||</t>
  </si>
  <si>
    <t xml:space="preserve">You can see 265 miles for the Model S 85 on the following page under the small car icon:
http://www.fueleconomy.gov/feg/Find.do?action=sbs&amp;id=37234
You might say how about different driving habits? Wouldn't the displayed range be different for each person because everybody has a different driving style? No, it wouldn't because unlike most other EVs, Tesla cars don't display range based on your driving style. They calculate the range based on a constant for each model. For example, the Model S 75D has 73,200 Wh usable capacity and 259 miles EPA rated range in the US. It displays 1 mi per 282 Wh. Let's say the car calculates that it has 71,500 Wh usable capacity available at a certain time. It would convert this number to displayed range by calculating 71,500 Wh/ 282 Wh/mi= 254 mi. It doesn't matter whether the car has the small wheels or large wheels. It doesn't matter whether the person has driven at 80 mph or 50 mph recently. It will still display the same 254 mi available range. </t>
  </si>
  <si>
    <t>|43135|Matteo|You can see 265 miles for the Model S 85 on the following page under the small car icon:
http://www.fueleconomy.gov/feg/Find.do?action=sbs&amp;id=37234
You might say how about different driving habits? Wouldn't the displayed range be different for each person because everybody has a different driving style? No, it wouldn't because unlike most other EVs, Tesla cars don't display range based on your driving style. They calculate the range based on a constant for each model. For example, the Model S 75D has 73,200 Wh usable capacity and 259 miles EPA rated range in the US. It displays 1 mi per 282 Wh. Let's say the car calculates that it has 71,500 Wh usable capacity available at a certain time. It would convert this number to displayed range by calculating 71,500 Wh/ 282 Wh/mi= 254 mi. It doesn't matter whether the car has the small wheels or large wheels. It doesn't matter whether the person has driven at 80 mph or 50 mph recently. It will still display the same 254 mi available range. ||||||</t>
  </si>
  <si>
    <t>There are a few things that can change this number. If you charge the car at night and come back in the morning, the displayed range will drop slightly because of vampire loss. If you switch the range mode setting on, the displayed range will increase instantly (usually by ~3 miles). If the weather is too cold, the displayed range at 100% charge will be slightly lower. Also, the car has sometimes trouble estimating how much energy the battery holds. Especially if the battery never dropped to close to zero or charged to 100% for many months, the car has more trouble calculating the available energy. 
Some owners know how to read data by connecting to the car's computer. There is a video here: https://www.youtube.com/watch?v=F3tF0i98MpI I'm not sure the numbers you read this way would be more accurate than what the displayed range shows. Normally, the displayed range should be a direct reflection of what the car thinks is the available energy. Therefore it shouldn't make a difference. But of course, it is possible that the numbers might be more accurate if you read them directly from the car's computer. We don't use that method because if we did we would have very few entries. 
I prefer answering questions online if you have any questions. Let me know if you have any feedback if we doing something wrong etc. I'm just a Tesla enthusiast who happens to enjoy Google sheets and this file needed some attention. Cheers</t>
  </si>
  <si>
    <t>|43135|Matteo|There are a few things that can change this number. If you charge the car at night and come back in the morning, the displayed range will drop slightly because of vampire loss. If you switch the range mode setting on, the displayed range will increase instantly (usually by ~3 miles). If the weather is too cold, the displayed range at 100% charge will be slightly lower. Also, the car has sometimes trouble estimating how much energy the battery holds. Especially if the battery never dropped to close to zero or charged to 100% for many months, the car has more trouble calculating the available energy. 
Some owners know how to read data by connecting to the car's computer. There is a video here: https://www.youtube.com/watch?v=F3tF0i98MpI I'm not sure the numbers you read this way would be more accurate than what the displayed range shows. Normally, the displayed range should be a direct reflection of what the car thinks is the available energy. Therefore it shouldn't make a difference. But of course, it is possible that the numbers might be more accurate if you read them directly from the car's computer. We don't use that method because if we did we would have very few entries. 
I prefer answering questions online if you have any questions. Let me know if you have any feedback if we doing something wrong etc. I'm just a Tesla enthusiast who happens to enjoy Google sheets and this file needed some attention. Cheers||||||</t>
  </si>
  <si>
    <t xml:space="preserve">Editing is disabled for now because of vandalism. There is an Electrek article today with a link to this spreadsheet. That caused some trolls to target this file. We had two vandalism incidents today. https://i.imgur.com/N3vNOO1.png
Update, 20 Apr: We are back to normal. </t>
  </si>
  <si>
    <t>|43205|Matteo|Editing is disabled for now because of vandalism. There is an Electrek article today with a link to this spreadsheet. That caused some trolls to target this file. We had two vandalism incidents today. https://i.imgur.com/N3vNOO1.png
Update, 20 Apr: We are back to normal. ||||||</t>
  </si>
  <si>
    <t>Michael</t>
  </si>
  <si>
    <t>Hi Sir, I am wondering if you would mind me using this data in my university dissertation and if so how would you like me to reference it?</t>
  </si>
  <si>
    <t>|43212|Michael|Hi Sir, I am wondering if you would mind me using this data in my university dissertation and if so how would you like me to reference it?||||||</t>
  </si>
  <si>
    <t>Hi, Michael. Yes, academic use is not a problem. This is a crowdsourced project. There is a link on top of this page to a Tesla forum where the project originated from in case you want to read the discussions there.</t>
  </si>
  <si>
    <t>|43212|Matteo|Hi, Michael. Yes, academic use is not a problem. This is a crowdsourced project. There is a link on top of this page to a Tesla forum where the project originated from in case you want to read the discussions there.||||||</t>
  </si>
  <si>
    <t>ticobird</t>
  </si>
  <si>
    <t>Am I supposed to enter a new line every time I add data or just edit the existing data I have already entered?</t>
  </si>
  <si>
    <t>|43212|ticobird|Am I supposed to enter a new line every time I add data or just edit the existing data I have already entered?||||||</t>
  </si>
  <si>
    <t>You would enter each entry into a new row. This way, when you go to the Charts tab and select your username, you can see all of your entries on the chart.</t>
  </si>
  <si>
    <t>|43213|Matteo|You would enter each entry into a new row. This way, when you go to the Charts tab and select your username, you can see all of your entries on the chart.||||||</t>
  </si>
  <si>
    <t>There was another vandalism incident two weeks after the previous one. Here is a screenshot: https://i.imgur.com/1SP2311.png
The file is now locked to edits and new entries until we figure out what to do. The vandalism accident two weeks ago happened when Electrek published a positive article about this survey with a link to this file. Unfortunately that attracted some trolls who don't like Tesla. Electrek article: https://electrek.co/2018/04/14/tesla-battery-degradation-data/</t>
  </si>
  <si>
    <t>|43225|Matteo|There was another vandalism incident two weeks after the previous one. Here is a screenshot: https://i.imgur.com/1SP2311.png
The file is now locked to edits and new entries until we figure out what to do. The vandalism accident two weeks ago happened when Electrek published a positive article about this survey with a link to this file. Unfortunately that attracted some trolls who don't like Tesla. Electrek article: https://electrek.co/2018/04/14/tesla-battery-degradation-data/||||||</t>
  </si>
  <si>
    <t>Maybe share the page, at least to a certain number of regular contributors. We would send you an email. (I wish I can enter my data when I reach 200 000 km in the next  couple of weeks!)</t>
  </si>
  <si>
    <t>|43274|fsch|Maybe share the page, at least to a certain number of regular contributors. We would send you an email. (I wish I can enter my data when I reach 200 000 km in the next  couple of weeks!)||||||</t>
  </si>
  <si>
    <t xml:space="preserve">Hi, fsch. I'm not the owner of this spreadsheet. I contacted the owner Merijn about how he wants to proceed with the project but I haven't heard back yet. </t>
  </si>
  <si>
    <t>|43274|Matteo|Hi, fsch. I'm not the owner of this spreadsheet. I contacted the owner Merijn about how he wants to proceed with the project but I haven't heard back yet. ||||||</t>
  </si>
  <si>
    <t>As a responsible user of this resource I am curious how things are going with regard to preventing future vandalism.</t>
  </si>
  <si>
    <t>|43296|ticobird|As a responsible user of this resource I am curious how things are going with regard to preventing future vandalism.||||||</t>
  </si>
  <si>
    <t>Hi, ticobird. It's up to the spreadsheet owner what he wants to do but I haven't heard back. Therefore, I don't know.</t>
  </si>
  <si>
    <t>|43297|Matteo|Hi, ticobird. It's up to the spreadsheet owner what he wants to do but I haven't heard back. Therefore, I don't know.||||||</t>
  </si>
  <si>
    <t>I also sent a PM Merjin on TMC Forum a few weeks ago and no answer. Seems to be offline for more than a year. I understand that he owns the address of the page, but to what extent he owns its content? For example, Matteo contributed several improvement and new computations, I contributed the model, etc. I did not follow this page from the beginning so I don't know what fraction of the sheets were designed by Merjin, but I consider that I can at least copy my own data somewhere else. So maybe Matteo or someone else could start a new page. My two cents.</t>
  </si>
  <si>
    <t>|43299|fsch|I also sent a PM Merjin on TMC Forum a few weeks ago and no answer. Seems to be offline for more than a year. I understand that he owns the address of the page, but to what extent he owns its content? For example, Matteo contributed several improvement and new computations, I contributed the model, etc. I did not follow this page from the beginning so I don't know what fraction of the sheets were designed by Merjin, but I consider that I can at least copy my own data somewhere else. So maybe Matteo or someone else could start a new page. My two cents.||||||</t>
  </si>
  <si>
    <t>NotaMember</t>
  </si>
  <si>
    <t>Battery age chart.  Seems like you could take groups of milages (50,000 to 75,000, for example) and plot battery capacity against battery age and get an indication of the role of battery age.</t>
  </si>
  <si>
    <t>|43348|NotaMember|Battery age chart.  Seems like you could take groups of milages (50,000 to 75,000, for example) and plot battery capacity against battery age and get an indication of the role of battery age.||||||</t>
  </si>
  <si>
    <t>Any chance you can open the sheet up again? Maybe give people access after they emailed you and identified themselves. It would be sad if this was the end of this.</t>
  </si>
  <si>
    <t>|||Any chance you can open the sheet up again? Maybe give people access after they emailed you and identified themselves. It would be sad if this was the end of this.||||||</t>
  </si>
  <si>
    <t>Mateo, user pjw65 on TMC has annouced on MaxRange thread that he made available a new copy of this page. He has a nice solution: he locks the cells of current entries, and will come back from time to time to lock those of new entries.</t>
  </si>
  <si>
    <t>|43409|fsch|Mateo, user pjw65 on TMC has annouced on MaxRange thread that he made available a new copy of this page. He has a nice solution: he locks the cells of current entries, and will come back from time to time to lock those of new entries.||||||</t>
  </si>
  <si>
    <t>teslapetrus</t>
  </si>
  <si>
    <t>Hi, I am from The Netherlands and would like to add the data of my S 85 produced October 2015. My range now is 383 km when fully charged (teslapetrusat gmail.com)</t>
  </si>
  <si>
    <t>|43462|teslapetrus|Hi, I am from The Netherlands and would like to add the data of my S 85 produced October 2015. My range now is 383 km when fully charged (teslapetrusat gmail.com)||||||</t>
  </si>
  <si>
    <t>data changed</t>
  </si>
  <si>
    <t>|43473||||||||</t>
  </si>
  <si>
    <t>31.1.2019</t>
  </si>
  <si>
    <t>newby</t>
  </si>
  <si>
    <t>Will that spreadsheet be continued? Maybe on another place (Link?)</t>
  </si>
  <si>
    <t>|31.1.2019|newby|Will that spreadsheet be continued? Maybe on another place (Link?)||||||</t>
  </si>
  <si>
    <t>There is another place indicated in this post: https://teslamotorsclub.com/tmc/posts/3176370/</t>
  </si>
  <si>
    <t>|43496|fsch|There is another place indicated in this post: https://teslamotorsclub.com/tmc/posts/3176370/||||||</t>
  </si>
  <si>
    <t>Arc Strike</t>
  </si>
  <si>
    <t>How can I contribute Model 3 data?</t>
  </si>
  <si>
    <t>|43520|Arc Strike|How can I contribute Model 3 data?||||||</t>
  </si>
  <si>
    <t>|||Matteo says: Hi. If you have any feedback you can write to row 175||||||</t>
  </si>
  <si>
    <t>|||Matteo says: Hi. If you have any feedback you can write to row 152||||||</t>
  </si>
  <si>
    <t>Change Log</t>
  </si>
  <si>
    <t>|Date
(double click empty cell)|Username|Change Log||||||</t>
  </si>
  <si>
    <t>Trip based calculation is added. This performs a second percentage calculation based on trip data. The first percentage calculation is based on typical or rated range. Here is an example explaining trip based range calculation. Input data is:
Typical range at the beginning of the trip: 381 km 
Typical range at the end of the trip: 94 km
kWh consumption for this trip: 54,9 kWh
Range mode on/off when you read these trip numbers? Off
The calculation: Typical range consumption was 381-94= 287. However, range mode was off. If range mode was on, the numbers would be 381*400/395 and 94*400/395. Therefore typical range consumption that we will use is (381*400/395) - (94*400/395) = (381-94) * 400/395 = 290,6329 km
If 290,6329 km typical range equals to 54,9 kWh
Then 385,82 km typical range equals to X kWh
X= 385,82 * 54,9 / 290,6329 = 72,88 kWh (By the way 385,82 km is typical range at 100% charge when range mode on. This is shown in column L. Column name is "Typical Range correction if range mode was off")
85 kWh battery has 75,9 kWh usable capacity when new. Therefore remaining usable battery capacity is 72,88/75,9= 0.9602= 96,02%</t>
  </si>
  <si>
    <t>|42153|Matteo|Trip based calculation is added. This performs a second percentage calculation based on trip data. The first percentage calculation is based on typical or rated range. Here is an example explaining trip based range calculation. Input data is:
Typical range at the beginning of the trip: 381 km 
Typical range at the end of the trip: 94 km
kWh consumption for this trip: 54,9 kWh
Range mode on/off when you read these trip numbers? Off
The calculation: Typical range consumption was 381-94= 287. However, range mode was off. If range mode was on, the numbers would be 381*400/395 and 94*400/395. Therefore typical range consumption that we will use is (381*400/395) - (94*400/395) = (381-94) * 400/395 = 290,6329 km
If 290,6329 km typical range equals to 54,9 kWh
Then 385,82 km typical range equals to X kWh
X= 385,82 * 54,9 / 290,6329 = 72,88 kWh (By the way 385,82 km is typical range at 100% charge when range mode on. This is shown in column L. Column name is "Typical Range correction if range mode was off")
85 kWh battery has 75,9 kWh usable capacity when new. Therefore remaining usable battery capacity is 72,88/75,9= 0.9602= 96,02%||||||</t>
  </si>
  <si>
    <t>Username selection to charts page is added. You can display your entries in a different colour from all the other dots.</t>
  </si>
  <si>
    <t>|42155|Matteo|Username selection to charts page is added. You can display your entries in a different colour from all the other dots.||||||</t>
  </si>
  <si>
    <t>All charts show now data from all countries.</t>
  </si>
  <si>
    <t>|42155|Matteo|All charts show now data from all countries.||||||</t>
  </si>
  <si>
    <t>The way replacement batteries are processed has been improved. This is how it works.
If you have a replacement battery, don't be surprised if you don't 
recognise the mileage and battery age numbers you see above. These 
numbers are calculated for your replacement battery. They are different 
than your car mileage or vehicle age. If you want to know more about how
 this calculation is done, read on. Otherwise this might be too much 
detail.
Let's assume somebody entered this data:
◘ Mileage: 30,000 km
◘ At what km did you replace battery? 24,000 km
◘ What happened to typical range after replacement? Improved 5 km
◘ Typical Range at 100% charge: 390 km
◘ Ownership duration: 350 days
Mileage calculation for replacement battery: If the battery hadn't been replaced, typical range would be 390-5= 385 km on the old battery at 30,000 km.
If 30,000 km equals to 400-385 km range loss
then X km equals to 400-390 km range loss
Cross multiply. X= 30,000 * (400-390) / (400-385) = 30,000 * 10 / 15 = 20,000 km. The chart will display 20,000 km
◘ Why does the chart display 20,000 km even though actual mileage on the replacement battery is only 30,000-24,000= 6,000 km?
Because this replacement battery was refurbished and had some mileage on it.
◘ Why does the chart display 20,000 km even though mileage on the car is 30,000 km?
Because the chart displays mileage on the current battery not on the car and it has calculated that the replacement battery has 20,000 km mileage on it.
◘ How would the chart calculate age on the replacement battery?
Age = 350 * (400-390) / (400-385) = 350 * 10 / 15 = 233 days
◘ What mileage would the chart show if the replacement battery still had 400 km range?
Even though the calculation would result in zero miles (X= 30,000 * (400-400) / (400-395) = 30,000 * 0 / 5 = 0 km) the chart recognises that the calculation shouldn't be less than what the user reported. In this case odometer shows 30,000, replacement happened at 24,000. Therefore mileage on the replacement battery is at least 6,000 km. Therefore the chart would display 6,000 km. The age calculation for the replacement battery would result in zero days too because the typical range is still 400 km (same as a new battery). Of course zero days would be incorrect too because the battery has 6000 km on it. Again the chart wouldn't use zero and would calculate the time that corresponds to 6000 km mileage as follows:
If 30,000 km equals to 350 days
Then 6,000 km equals to X days
X= 6,000*350/30,000=  70 days</t>
  </si>
  <si>
    <t>|42156|Matteo|The way replacement batteries are processed has been improved. This is how it works.
If you have a replacement battery, don't be surprised if you don't 
recognise the mileage and battery age numbers you see above. These 
numbers are calculated for your replacement battery. They are different 
than your car mileage or vehicle age. If you want to know more about how
 this calculation is done, read on. Otherwise this might be too much 
detail.
Let's assume somebody entered this data:
◘ Mileage: 30,000 km
◘ At what km did you replace battery? 24,000 km
◘ What happened to typical range after replacement? Improved 5 km
◘ Typical Range at 100% charge: 390 km
◘ Ownership duration: 350 days
Mileage calculation for replacement battery: If the battery hadn't been replaced, typical range would be 390-5= 385 km on the old battery at 30,000 km.
If 30,000 km equals to 400-385 km range loss
then X km equals to 400-390 km range loss
Cross multiply. X= 30,000 * (400-390) / (400-385) = 30,000 * 10 / 15 = 20,000 km. The chart will display 20,000 km
◘ Why does the chart display 20,000 km even though actual mileage on the replacement battery is only 30,000-24,000= 6,000 km?
Because this replacement battery was refurbished and had some mileage on it.
◘ Why does the chart display 20,000 km even though mileage on the car is 30,000 km?
Because the chart displays mileage on the current battery not on the car and it has calculated that the replacement battery has 20,000 km mileage on it.
◘ How would the chart calculate age on the replacement battery?
Age = 350 * (400-390) / (400-385) = 350 * 10 / 15 = 233 days
◘ What mileage would the chart show if the replacement battery still had 400 km range?
Even though the calculation would result in zero miles (X= 30,000 * (400-400) / (400-395) = 30,000 * 0 / 5 = 0 km) the chart recognises that the calculation shouldn't be less than what the user reported. In this case odometer shows 30,000, replacement happened at 24,000. Therefore mileage on the replacement battery is at least 6,000 km. Therefore the chart would display 6,000 km. The age calculation for the replacement battery would result in zero days too because the typical range is still 400 km (same as a new battery). Of course zero days would be incorrect too because the battery has 6000 km on it. Again the chart wouldn't use zero and would calculate the time that corresponds to 6000 km mileage as follows:
If 30,000 km equals to 350 days
Then 6,000 km equals to X days
X= 6,000*350/30,000=  70 days||||||</t>
  </si>
  <si>
    <t>I added two new columns:
#1. Capacity at this mileage according to chart trendline
#2. Your capacity minus chart trendline at this mileage
What do these mean? On charts page there is a chart called "Mileage vs Range". The trendline on this chart shows how range changes based on mileage considering all entries. #1 shows the trendline value at your mileage. For example if the average capacity at 25,000km is 96.9%, then #1 will show 96.9% if your mileage is  25,000km. In other words #1 shows what your battery capacity should be at this mileage if it was like other cars.
#2 shows how much above or below of the trendline you are. For example if your mileage is 25,000km and your battery capacity is 97.1% then you are 0.2% better than the average and #2 will show 0.2%. In other words, #2 shows how your battery capacity compares to other cars. If #2 is positive, then you are doing better than the average. If #2 is negative than you are not. All this data is dynamic. The trendline changes with each new entry. #1 changes with the trendline. #2 changes with #1.</t>
  </si>
  <si>
    <t>|42172|Matteo|I added two new columns:
#1. Capacity at this mileage according to chart trendline
#2. Your capacity minus chart trendline at this mileage
What do these mean? On charts page there is a chart called "Mileage vs Range". The trendline on this chart shows how range changes based on mileage considering all entries. #1 shows the trendline value at your mileage. For example if the average capacity at 25,000km is 96.9%, then #1 will show 96.9% if your mileage is  25,000km. In other words #1 shows what your battery capacity should be at this mileage if it was like other cars.
#2 shows how much above or below of the trendline you are. For example if your mileage is 25,000km and your battery capacity is 97.1% then you are 0.2% better than the average and #2 will show 0.2%. In other words, #2 shows how your battery capacity compares to other cars. If #2 is positive, then you are doing better than the average. If #2 is negative than you are not. All this data is dynamic. The trendline changes with each new entry. #1 changes with the trendline. #2 changes with #1.||||||</t>
  </si>
  <si>
    <t>I added a stats page.</t>
  </si>
  <si>
    <t>|42175|Matteo|I added a stats page.||||||</t>
  </si>
  <si>
    <t>I added the "Typical / Rated Range Consumption Calculator" to Range Types Explained sheet.</t>
  </si>
  <si>
    <t>|42185|Matteo|I added the "Typical / Rated Range Consumption Calculator" to Range Types Explained sheet.||||||</t>
  </si>
  <si>
    <t>On TMC somebody asked this question: "Which is worse? 100% SOC or nearly empty?" http://www.teslamotorsclub.com/showthread.php/49434-Which-is-worse-100-SOC-or-nearly-empty
So I added both data to stats page. According to the data so far, charging to 100% daily or weekly makes your battery about 1% worse than people who do it a few times a year and about 2% worse than people who do it once or twice a year. However the other chart about running the battery nearly empty is inconsistent. There is a chance this will correct itself when there are entries from more people. Only the last entry from each person counts.</t>
  </si>
  <si>
    <t>|42191|Matteo|On TMC somebody asked this question: "Which is worse? 100% SOC or nearly empty?" http://www.teslamotorsclub.com/showthread.php/49434-Which-is-worse-100-SOC-or-nearly-empty
So I added both data to stats page. According to the data so far, charging to 100% daily or weekly makes your battery about 1% worse than people who do it a few times a year and about 2% worse than people who do it once or twice a year. However the other chart about running the battery nearly empty is inconsistent. There is a chance this will correct itself when there are entries from more people. Only the last entry from each person counts.||||||</t>
  </si>
  <si>
    <t>If visitors from USA select their username on charts page, the chart now shows miles instead km.</t>
  </si>
  <si>
    <t>|42215|Matteo|If visitors from USA select their username on charts page, the chart now shows miles instead km.||||||</t>
  </si>
  <si>
    <t xml:space="preserve">Added new chart to stats page about daily charge level effect on degradation. </t>
  </si>
  <si>
    <t>|42218|Matteo|Added new chart to stats page about daily charge level effect on degradation. ||||||</t>
  </si>
  <si>
    <t>Stats page has data about 4 frequency questions. The way these are processed has changed from percentage average to head count method.
Example: People were asked how often they supercharge. The following 4 users said they supercharge twice a week. Their battery capacity was as follows:
John: 1.7% above trendline at their mileage
James: 0.5% above trendline at their mileage
Jane: 0.6% above trendline at their mileage
Jennifer: -3.2% above trendline at their mileage
In the previous method, the average of these percentages would be calculated. That would be (1.7+0.5+0.6-3.2)/4= -0.1% The group average would be -0.1%. In other words supercharging twice a week is slighly bad. The problem is, only one user has a low negative score but because ir is very low it affects the entire group average. According to the new method, 3 out of 4 people in this group are above the trendline. Therefore this answer (supercharging twice a week) is 75% good.</t>
  </si>
  <si>
    <t>|42225|Matteo|Stats page has data about 4 frequency questions. The way these are processed has changed from percentage average to head count method.
Example: People were asked how often they supercharge. The following 4 users said they supercharge twice a week. Their battery capacity was as follows:
John: 1.7% above trendline at their mileage
James: 0.5% above trendline at their mileage
Jane: 0.6% above trendline at their mileage
Jennifer: -3.2% above trendline at their mileage
In the previous method, the average of these percentages would be calculated. That would be (1.7+0.5+0.6-3.2)/4= -0.1% The group average would be -0.1%. In other words supercharging twice a week is slighly bad. The problem is, only one user has a low negative score but because ir is very low it affects the entire group average. According to the new method, 3 out of 4 people in this group are above the trendline. Therefore this answer (supercharging twice a week) is 75% good.||||||</t>
  </si>
  <si>
    <t>Added daily charge power. Removed NEDC, battery type and firmware version.</t>
  </si>
  <si>
    <t>|42226|Matteo|Added daily charge power. Removed NEDC, battery type and firmware version.||||||</t>
  </si>
  <si>
    <t xml:space="preserve">I added "Average Supercharger Use" number to stats page. This is calculated from the answer people selected under "frequency of supercharging". For example "once a week" is converted to 52 times per year, "once a month" to 12 times etc. Then an average is calculated. As usual, for any stats data, only the last entry from each user counts to improve accuracy. 
Tesla's reminder letter about decreasing local supercharging is a popular discussion subject. So I thought it would be interesting to find out how many times an average user supercharges. Currently the number is 27 times per user per year. </t>
  </si>
  <si>
    <t>|42234|Matteo|I added "Average Supercharger Use" number to stats page. This is calculated from the answer people selected under "frequency of supercharging". For example "once a week" is converted to 52 times per year, "once a month" to 12 times etc. Then an average is calculated. As usual, for any stats data, only the last entry from each user counts to improve accuracy. 
Tesla's reminder letter about decreasing local supercharging is a popular discussion subject. So I thought it would be interesting to find out how many times an average user supercharges. Currently the number is 27 times per user per year. ||||||</t>
  </si>
  <si>
    <t>The trendline for Mileage vs Battery Capacity chart was updated. We switched from a third order polynomial trendline to a partly polynomial, partly linear trendline. This screenshot shows the old and new trendlines: http://i.imgur.com/pmYQykf.gif</t>
  </si>
  <si>
    <t>|42411|Matteo|The trendline for Mileage vs Battery Capacity chart was updated. We switched from a third order polynomial trendline to a partly polynomial, partly linear trendline. This screenshot shows the old and new trendlines: http://i.imgur.com/pmYQykf.gif||||||</t>
  </si>
  <si>
    <t>I updated the range numbers we use for USA and Canada. For example, P85D is supposed to display 253 mi EPA rated range with range mode on but it shows 256 miles on average according to answers to the survey question "What was 100% range when car was new?". Therefore I increased it from 253 to 256. S85 from 265 to 268, S70D from 240 to 243, S85D from 270 to 273. However I dropped S90D from 288 to 285. Canada numbers are the equivalent of these numbers in km. After his change the accuracy in USA and Canada sheets should have improved. In USA and Canada we had far too many entries above the trendline compared to Europe. This is now more balanced.</t>
  </si>
  <si>
    <t>|42412|Matteo|I updated the range numbers we use for USA and Canada. For example, P85D is supposed to display 253 mi EPA rated range with range mode on but it shows 256 miles on average according to answers to the survey question "What was 100% range when car was new?". Therefore I increased it from 253 to 256. S85 from 265 to 268, S70D from 240 to 243, S85D from 270 to 273. However I dropped S90D from 288 to 285. Canada numbers are the equivalent of these numbers in km. After his change the accuracy in USA and Canada sheets should have improved. In USA and Canada we had far too many entries above the trendline compared to Europe. This is now more balanced.||||||</t>
  </si>
  <si>
    <t xml:space="preserve">I added range numbers for S70, S70D and made minor adjustments in existing models. </t>
  </si>
  <si>
    <t>|42568|Matteo|I added range numbers for S70, S70D and made minor adjustments in existing models. ||||||</t>
  </si>
  <si>
    <t>Range numbers for different Tesla models have been updated based on the answer to the survey question "What was 100% range when the car was new?"</t>
  </si>
  <si>
    <t>|42597|Matteo|Range numbers for different Tesla models have been updated based on the answer to the survey question "What was 100% range when the car was new?"||||||</t>
  </si>
  <si>
    <t>We have had a vandalism incident today. A few entries were changed by somebody. In one entry the mileage was changed from 46,000 km to 460,000 km. I reversed all of them.</t>
  </si>
  <si>
    <t>|42605|Matteo|We have had a vandalism incident today. A few entries were changed by somebody. In one entry the mileage was changed from 46,000 km to 460,000 km. I reversed all of them.||||||</t>
  </si>
  <si>
    <t>I converted most in-cell formulas to arrayformula. This should speed up the file.</t>
  </si>
  <si>
    <t>|42694|Matteo|I converted most in-cell formulas to arrayformula. This should speed up the file.||||||</t>
  </si>
  <si>
    <t>I have updated usable battery capacity numbers according to the latest data posted here: https://teslamotorsclub.com/tmc/posts/1865416/</t>
  </si>
  <si>
    <t>|42716|Matteo|I have updated usable battery capacity numbers according to the latest data posted here: https://teslamotorsclub.com/tmc/posts/1865416/||||||</t>
  </si>
  <si>
    <t>18 Apr 2017, Matteo says: Editing old entries has been disabled for a while but will be re-enabled on 4 May 2017. The reason is because, I will be away and can't monitor the sheet regulary against unwanted edits.</t>
  </si>
  <si>
    <t>|42843|Matteo|18 Apr 2017, Matteo says: Editing old entries has been disabled for a while but will be re-enabled on 4 May 2017. The reason is because, I will be away and can't monitor the sheet regulary against unwanted edits.||||||</t>
  </si>
  <si>
    <t>I have updated the "Stats" tab. In the "Vehicle stats" table, I added these columns:
Usable battery capacity when new (Wh)
Average real world range when new (km)
Average real world range when new (mi)
Typical range when new (km)
EPA rated range when new (mi)
Avg real world range/Typical range
Avg real world range/EPA rated range</t>
  </si>
  <si>
    <t>|42994|Matteo|I have updated the "Stats" tab. In the "Vehicle stats" table, I added these columns:
Usable battery capacity when new (Wh)
Average real world range when new (km)
Average real world range when new (mi)
Typical range when new (km)
EPA rated range when new (mi)
Avg real world range/Typical range
Avg real world range/EPA rated range||||||</t>
  </si>
  <si>
    <t>|||Matteo says: Feedback section is above. Don't write here please. Scroll up to row 93||||||</t>
  </si>
  <si>
    <t>Username (can be anything inoffensive)</t>
  </si>
  <si>
    <t>Date of range reading
(double click empty cell)</t>
  </si>
  <si>
    <t>Day number in that year</t>
  </si>
  <si>
    <t>Months</t>
  </si>
  <si>
    <t>Month</t>
  </si>
  <si>
    <t>Your capacity minus chart trendline at this mileage</t>
  </si>
  <si>
    <t>Average deviation from average user</t>
  </si>
  <si>
    <t>Below</t>
  </si>
  <si>
    <t>Above</t>
  </si>
  <si>
    <t>Above or Below</t>
  </si>
  <si>
    <t>korgmatose</t>
  </si>
  <si>
    <t>techmaven</t>
  </si>
  <si>
    <t>January</t>
  </si>
  <si>
    <t>C</t>
  </si>
  <si>
    <t>F</t>
  </si>
  <si>
    <t>Wim S.</t>
  </si>
  <si>
    <t>pbakk</t>
  </si>
  <si>
    <t>RaBalder</t>
  </si>
  <si>
    <t>x-ray</t>
  </si>
  <si>
    <t>Thor</t>
  </si>
  <si>
    <t>MarcusS</t>
  </si>
  <si>
    <t>HWS 90D</t>
  </si>
  <si>
    <t>BasvdPoel</t>
  </si>
  <si>
    <t>redevries</t>
  </si>
  <si>
    <t>Zextraterrestrial</t>
  </si>
  <si>
    <t>JoeNe</t>
  </si>
  <si>
    <t>Nulwoning</t>
  </si>
  <si>
    <t>MarkVL</t>
  </si>
  <si>
    <t>PaulusdB</t>
  </si>
  <si>
    <t>Rprp</t>
  </si>
  <si>
    <t>Ervee</t>
  </si>
  <si>
    <t>jonas_man</t>
  </si>
  <si>
    <t>QueenieEye</t>
  </si>
  <si>
    <t>Juicer</t>
  </si>
  <si>
    <t>brderyck</t>
  </si>
  <si>
    <t>Dimivdb</t>
  </si>
  <si>
    <t>HansBe</t>
  </si>
  <si>
    <t>HWS</t>
  </si>
  <si>
    <t>RealNuke</t>
  </si>
  <si>
    <t>February</t>
  </si>
  <si>
    <t>March</t>
  </si>
  <si>
    <t>widodh</t>
  </si>
  <si>
    <t>April</t>
  </si>
  <si>
    <t>May</t>
  </si>
  <si>
    <t>ghurenkamp</t>
  </si>
  <si>
    <t>June</t>
  </si>
  <si>
    <t>August</t>
  </si>
  <si>
    <t>TTheo</t>
  </si>
  <si>
    <t>September</t>
  </si>
  <si>
    <t>October</t>
  </si>
  <si>
    <t>Edi99</t>
  </si>
  <si>
    <t>November</t>
  </si>
  <si>
    <t>ErikR</t>
  </si>
  <si>
    <t>December</t>
  </si>
  <si>
    <t>Xfrank</t>
  </si>
  <si>
    <t>nico180</t>
  </si>
  <si>
    <t>Hans Noordsij</t>
  </si>
  <si>
    <t>selsrog</t>
  </si>
  <si>
    <t>kwenix</t>
  </si>
  <si>
    <t>pvh</t>
  </si>
  <si>
    <t>Zuid5.nl</t>
  </si>
  <si>
    <t>in-clusion</t>
  </si>
  <si>
    <t>Gunjanov</t>
  </si>
  <si>
    <t>Janc</t>
  </si>
  <si>
    <t>Maarten ST</t>
  </si>
  <si>
    <t>Rob N.</t>
  </si>
  <si>
    <t>Keezje</t>
  </si>
  <si>
    <t>Jean</t>
  </si>
  <si>
    <t>Deffe</t>
  </si>
  <si>
    <t>mcalahan</t>
  </si>
  <si>
    <t>ebullio</t>
  </si>
  <si>
    <t>apollo 46</t>
  </si>
  <si>
    <t>patrickCH</t>
  </si>
  <si>
    <t>DFibRL8r</t>
  </si>
  <si>
    <t>Bianco</t>
  </si>
  <si>
    <t>MS75 GA</t>
  </si>
  <si>
    <t>FVO</t>
  </si>
  <si>
    <t>Erik-S85</t>
  </si>
  <si>
    <t>MisterGreen</t>
  </si>
  <si>
    <t>eae</t>
  </si>
  <si>
    <t>gelden</t>
  </si>
  <si>
    <t>fren</t>
  </si>
  <si>
    <t>CarlL</t>
  </si>
  <si>
    <t>Koen De Smet</t>
  </si>
  <si>
    <t>svimtapp</t>
  </si>
  <si>
    <t>Nexus</t>
  </si>
  <si>
    <t>dekoene</t>
  </si>
  <si>
    <t>shoot72</t>
  </si>
  <si>
    <t>Louis</t>
  </si>
  <si>
    <t>Stickybit</t>
  </si>
  <si>
    <t>wizputer</t>
  </si>
  <si>
    <t>Aggregate</t>
  </si>
  <si>
    <t>chrisdl</t>
  </si>
  <si>
    <t>GerardF</t>
  </si>
  <si>
    <t>SeanMichaelMitchell</t>
  </si>
  <si>
    <t>sjøhyene</t>
  </si>
  <si>
    <t>RonVerbrugge</t>
  </si>
  <si>
    <t>MarcG</t>
  </si>
  <si>
    <t>Forty Creek</t>
  </si>
  <si>
    <t>DRM</t>
  </si>
  <si>
    <t>JCar</t>
  </si>
  <si>
    <t>moho</t>
  </si>
  <si>
    <t>Sues</t>
  </si>
  <si>
    <t>gyapi</t>
  </si>
  <si>
    <t>misterp</t>
  </si>
  <si>
    <t>Liddus</t>
  </si>
  <si>
    <t>jdw</t>
  </si>
  <si>
    <t>CJAhulskamp</t>
  </si>
  <si>
    <t>twall-e</t>
  </si>
  <si>
    <t>gvveen</t>
  </si>
  <si>
    <t>dosmont</t>
  </si>
  <si>
    <t>Pebe</t>
  </si>
  <si>
    <t>Anssi</t>
  </si>
  <si>
    <t>JBou</t>
  </si>
  <si>
    <t>mikelger</t>
  </si>
  <si>
    <t>Drinden</t>
  </si>
  <si>
    <t>GW</t>
  </si>
  <si>
    <t>Changedriver</t>
  </si>
  <si>
    <t>Greenstorm</t>
  </si>
  <si>
    <t>Rprp 90D</t>
  </si>
  <si>
    <t>Niels1275</t>
  </si>
  <si>
    <t>KrisB</t>
  </si>
  <si>
    <t>EggyP85</t>
  </si>
  <si>
    <t>Gepekop</t>
  </si>
  <si>
    <t>Dark Matter</t>
  </si>
  <si>
    <t>Dark Singularity</t>
  </si>
  <si>
    <t>cedv17</t>
  </si>
  <si>
    <t>Thor2</t>
  </si>
  <si>
    <t>KR</t>
  </si>
  <si>
    <t>mw80</t>
  </si>
  <si>
    <t>luckyluke</t>
  </si>
  <si>
    <t>Geert.Snijders</t>
  </si>
  <si>
    <t>p666d</t>
  </si>
  <si>
    <t>Matthias Wagner</t>
  </si>
  <si>
    <t>morth_X</t>
  </si>
  <si>
    <t>pdx4s</t>
  </si>
  <si>
    <t>jelloslug</t>
  </si>
  <si>
    <t>thethe</t>
  </si>
  <si>
    <t>morth_S</t>
  </si>
  <si>
    <t>Muzzman1</t>
  </si>
  <si>
    <t>C Bretaud</t>
  </si>
  <si>
    <t>velociped77</t>
  </si>
  <si>
    <t>RSayer</t>
  </si>
  <si>
    <t>Steinar</t>
  </si>
  <si>
    <t>jvds</t>
  </si>
  <si>
    <t>Canta</t>
  </si>
  <si>
    <t>cges</t>
  </si>
  <si>
    <t>Danielk</t>
  </si>
  <si>
    <t>jja</t>
  </si>
  <si>
    <t>gr8boy</t>
  </si>
  <si>
    <t>Patrick</t>
  </si>
  <si>
    <t>Alkiter</t>
  </si>
  <si>
    <t>DavidLVN</t>
  </si>
  <si>
    <t>jgallops</t>
  </si>
  <si>
    <t>tehjimos</t>
  </si>
  <si>
    <t>jakoys</t>
  </si>
  <si>
    <t>Gary</t>
  </si>
  <si>
    <t>Robrecht</t>
  </si>
  <si>
    <t>Jolinar</t>
  </si>
  <si>
    <t>Justin</t>
  </si>
  <si>
    <t>pvandamcom</t>
  </si>
  <si>
    <t>gec</t>
  </si>
  <si>
    <t>philhill</t>
  </si>
  <si>
    <t>khattar</t>
  </si>
  <si>
    <t>l_younis</t>
  </si>
  <si>
    <t>JimmyJam</t>
  </si>
  <si>
    <t>Raymond</t>
  </si>
  <si>
    <t>Big daddy G</t>
  </si>
  <si>
    <t>Todd Burch</t>
  </si>
  <si>
    <t>Jolnar</t>
  </si>
  <si>
    <t>Miiln Patel</t>
  </si>
  <si>
    <t>dvroegop</t>
  </si>
  <si>
    <t>Smartypnz</t>
  </si>
  <si>
    <t>Eric Vergeer</t>
  </si>
  <si>
    <t>hansenluu</t>
  </si>
  <si>
    <t>KL</t>
  </si>
  <si>
    <t>anco</t>
  </si>
  <si>
    <t>Martin</t>
  </si>
  <si>
    <t>Maarten</t>
  </si>
  <si>
    <t>WhiteStorm</t>
  </si>
  <si>
    <t>Gretsch</t>
  </si>
  <si>
    <t>Dax</t>
  </si>
  <si>
    <t>eddyf0032</t>
  </si>
  <si>
    <t>Sh3xCod</t>
  </si>
  <si>
    <t>D4Ha (NL)</t>
  </si>
  <si>
    <t>ward</t>
  </si>
  <si>
    <t>peters25</t>
  </si>
  <si>
    <t>Zee</t>
  </si>
  <si>
    <t>cgladue</t>
  </si>
  <si>
    <t>Helmuth</t>
  </si>
  <si>
    <t>ptindle</t>
  </si>
  <si>
    <t>Bernie</t>
  </si>
  <si>
    <t>ckcland2</t>
  </si>
  <si>
    <t>terrymisu</t>
  </si>
  <si>
    <t>Dark Knight</t>
  </si>
  <si>
    <t>sadyel</t>
  </si>
  <si>
    <t>r.wagner</t>
  </si>
  <si>
    <t>arjan.a</t>
  </si>
  <si>
    <t>SCCRENDO</t>
  </si>
  <si>
    <t>tes-s</t>
  </si>
  <si>
    <t>iggypop</t>
  </si>
  <si>
    <t>flabbergasted</t>
  </si>
  <si>
    <t>Sparky</t>
  </si>
  <si>
    <t>sgblank</t>
  </si>
  <si>
    <t>Groeneweg1</t>
  </si>
  <si>
    <t>Groeneweg2</t>
  </si>
  <si>
    <t>snail3</t>
  </si>
  <si>
    <t>mknox</t>
  </si>
  <si>
    <t>220v</t>
  </si>
  <si>
    <t>sdoorex</t>
  </si>
  <si>
    <t>bpsmits</t>
  </si>
  <si>
    <t>Coltsmild</t>
  </si>
  <si>
    <t>Fuelman</t>
  </si>
  <si>
    <t>Knobby</t>
  </si>
  <si>
    <t>Energie Gratiz</t>
  </si>
  <si>
    <t>Thor4</t>
  </si>
  <si>
    <t>Alex F</t>
  </si>
  <si>
    <t>Ashtorak</t>
  </si>
  <si>
    <t>CJAHulskamp</t>
  </si>
  <si>
    <t>BobbyKings</t>
  </si>
  <si>
    <t>idefix</t>
  </si>
  <si>
    <t>Kensiko</t>
  </si>
  <si>
    <t>cmorgan</t>
  </si>
  <si>
    <t>Forza</t>
  </si>
  <si>
    <t>Taurusking</t>
  </si>
  <si>
    <t>Ugliest1</t>
  </si>
  <si>
    <t>L-P-G</t>
  </si>
  <si>
    <t>rsvarthur</t>
  </si>
  <si>
    <t>GDgreen</t>
  </si>
  <si>
    <t>mikeyc</t>
  </si>
  <si>
    <t>Raibman</t>
  </si>
  <si>
    <t>Luske</t>
  </si>
  <si>
    <t>MVNJ</t>
  </si>
  <si>
    <t>Buickguy</t>
  </si>
  <si>
    <t>One2sojournb</t>
  </si>
  <si>
    <t>EggyP85+</t>
  </si>
  <si>
    <t>Rick A.</t>
  </si>
  <si>
    <t>Script</t>
  </si>
  <si>
    <t>notacarguy</t>
  </si>
  <si>
    <t>MrvdG</t>
  </si>
  <si>
    <t>Baselland</t>
  </si>
  <si>
    <t>DamienP</t>
  </si>
  <si>
    <t>BaselLandShrooms</t>
  </si>
  <si>
    <t>Siggy101</t>
  </si>
  <si>
    <t>Berg</t>
  </si>
  <si>
    <t>CPA</t>
  </si>
  <si>
    <t>ZSW</t>
  </si>
  <si>
    <t>Stuke</t>
  </si>
  <si>
    <t>CrypticError</t>
  </si>
  <si>
    <t>IAV_P85_weiss</t>
  </si>
  <si>
    <t>Eelcodb</t>
  </si>
  <si>
    <t>ChrisK</t>
  </si>
  <si>
    <t>fc12</t>
  </si>
  <si>
    <t>Bernhard</t>
  </si>
  <si>
    <t>AmpedRealtor</t>
  </si>
  <si>
    <t>Andre68</t>
  </si>
  <si>
    <t>TMiller</t>
  </si>
  <si>
    <t>merlinfive</t>
  </si>
  <si>
    <t>CF777E</t>
  </si>
  <si>
    <t>Biet</t>
  </si>
  <si>
    <t>tnt369</t>
  </si>
  <si>
    <t>JCK</t>
  </si>
  <si>
    <t>Zouteval</t>
  </si>
  <si>
    <t>S-19910</t>
  </si>
  <si>
    <t>Blumewirt</t>
  </si>
  <si>
    <t>ElectricSingh</t>
  </si>
  <si>
    <t>Xighting</t>
  </si>
  <si>
    <t>mmccord</t>
  </si>
  <si>
    <t>ma47</t>
  </si>
  <si>
    <t>Top</t>
  </si>
  <si>
    <t>chrisschorsch</t>
  </si>
  <si>
    <t>chr20</t>
  </si>
  <si>
    <t>KaJu74</t>
  </si>
  <si>
    <t>MjjVonk</t>
  </si>
  <si>
    <t>JMG</t>
  </si>
  <si>
    <t>dfranssen</t>
  </si>
  <si>
    <t>m0rph</t>
  </si>
  <si>
    <t>Phil V</t>
  </si>
  <si>
    <t>KRM</t>
  </si>
  <si>
    <t>Rolfe</t>
  </si>
  <si>
    <t>AC1K</t>
  </si>
  <si>
    <t>MarcK</t>
  </si>
  <si>
    <t>DamienG</t>
  </si>
  <si>
    <t>XFrank-85</t>
  </si>
  <si>
    <t>Poison Dart Brew</t>
  </si>
  <si>
    <t>Manu37</t>
  </si>
  <si>
    <t>Tesla-SF</t>
  </si>
  <si>
    <t>Silent Bolt</t>
  </si>
  <si>
    <t>l.10.i</t>
  </si>
  <si>
    <t>dredog03</t>
  </si>
  <si>
    <t>eric verlaet</t>
  </si>
  <si>
    <t>Anco</t>
  </si>
  <si>
    <t>Swissojourners</t>
  </si>
  <si>
    <t>zdre</t>
  </si>
  <si>
    <t>Gert</t>
  </si>
  <si>
    <t>GOS</t>
  </si>
  <si>
    <t>Hanteta</t>
  </si>
  <si>
    <t>docjones</t>
  </si>
  <si>
    <t>KidDoc</t>
  </si>
  <si>
    <t>Wannes</t>
  </si>
  <si>
    <t>iKhalid</t>
  </si>
  <si>
    <t>ODE90D</t>
  </si>
  <si>
    <t>txakoli</t>
  </si>
  <si>
    <t>Yannick</t>
  </si>
  <si>
    <t>Patrick Claerhout</t>
  </si>
  <si>
    <t>Kirre</t>
  </si>
  <si>
    <t>vdiv</t>
  </si>
  <si>
    <t>pvkeep</t>
  </si>
  <si>
    <t>YippyKayYay</t>
  </si>
  <si>
    <t>Astrid</t>
  </si>
  <si>
    <t>Tazmanian</t>
  </si>
  <si>
    <t>Spence</t>
  </si>
  <si>
    <t>btrflyl8e</t>
  </si>
  <si>
    <t>Bollar</t>
  </si>
  <si>
    <t>diegop</t>
  </si>
  <si>
    <t>CAHL</t>
  </si>
  <si>
    <t>RCH1708</t>
  </si>
  <si>
    <t>KyP85D</t>
  </si>
  <si>
    <t>Poko</t>
  </si>
  <si>
    <t>Sean O</t>
  </si>
  <si>
    <t>AnalysiZ P85</t>
  </si>
  <si>
    <t>PaulW5</t>
  </si>
  <si>
    <t>radio</t>
  </si>
  <si>
    <t>florianuhlemann</t>
  </si>
  <si>
    <t>HWS X100D</t>
  </si>
  <si>
    <t>CarlosW</t>
  </si>
  <si>
    <t>Hans (Amsterdam)</t>
  </si>
  <si>
    <t>kbekaert</t>
  </si>
  <si>
    <t>pjhartog</t>
  </si>
  <si>
    <t>Dakine</t>
  </si>
  <si>
    <t>Zneip</t>
  </si>
  <si>
    <t>Haa</t>
  </si>
  <si>
    <t>Yurand</t>
  </si>
  <si>
    <t>DH12345</t>
  </si>
  <si>
    <t>Polly Wog</t>
  </si>
  <si>
    <t>Willem</t>
  </si>
  <si>
    <t>Johann Koeber</t>
  </si>
  <si>
    <t>Boost</t>
  </si>
  <si>
    <t>tliviuc</t>
  </si>
  <si>
    <t>iDrops</t>
  </si>
  <si>
    <t>KmanAuto</t>
  </si>
  <si>
    <t>Ruben7113</t>
  </si>
  <si>
    <t>Quenbo</t>
  </si>
  <si>
    <t>KC</t>
  </si>
  <si>
    <t>Luiping</t>
  </si>
  <si>
    <t>Cookie Monster</t>
  </si>
  <si>
    <t>UlrA</t>
  </si>
  <si>
    <t>Dom</t>
  </si>
  <si>
    <t>PimEffting</t>
  </si>
  <si>
    <t>trygvelo</t>
  </si>
  <si>
    <t>mguw</t>
  </si>
  <si>
    <t>trou</t>
  </si>
  <si>
    <t>Thor3</t>
  </si>
  <si>
    <t>arnkl</t>
  </si>
  <si>
    <t>MJ</t>
  </si>
  <si>
    <t>cairnz</t>
  </si>
  <si>
    <t>Bonkers</t>
  </si>
  <si>
    <t>maarteneekels</t>
  </si>
  <si>
    <t>eMarkus</t>
  </si>
  <si>
    <t>tnt71</t>
  </si>
  <si>
    <t>u00mem9</t>
  </si>
  <si>
    <t>Muffinman</t>
  </si>
  <si>
    <t>TR</t>
  </si>
  <si>
    <t>teslabil</t>
  </si>
  <si>
    <t>HansBE</t>
  </si>
  <si>
    <t>dieselol</t>
  </si>
  <si>
    <t>e-Rik</t>
  </si>
  <si>
    <t>Kalud</t>
  </si>
  <si>
    <t>Simon Mac</t>
  </si>
  <si>
    <t>jtesla</t>
  </si>
  <si>
    <t>Pilot_51</t>
  </si>
  <si>
    <t>hgs</t>
  </si>
  <si>
    <t>Cato76</t>
  </si>
  <si>
    <t>mj</t>
  </si>
  <si>
    <t>namu</t>
  </si>
  <si>
    <t>francop</t>
  </si>
  <si>
    <t>TStolz</t>
  </si>
  <si>
    <t>ganimed</t>
  </si>
  <si>
    <t>memesweeper</t>
  </si>
  <si>
    <t>Xenius</t>
  </si>
  <si>
    <t>Heinz Ruffieux</t>
  </si>
  <si>
    <t>jcaspar</t>
  </si>
  <si>
    <t>fonberg</t>
  </si>
  <si>
    <t>Phil_BE</t>
  </si>
  <si>
    <t>ChrisWorks</t>
  </si>
  <si>
    <t>wout</t>
  </si>
  <si>
    <t/>
  </si>
  <si>
    <t>cbretaud</t>
  </si>
  <si>
    <t>Andyw2100</t>
  </si>
  <si>
    <t>GeirHM</t>
  </si>
  <si>
    <t>Me</t>
  </si>
  <si>
    <t>aikisteve</t>
  </si>
  <si>
    <t>voll1</t>
  </si>
  <si>
    <t>SmartElectric</t>
  </si>
  <si>
    <t>flatlander</t>
  </si>
  <si>
    <t>Alain13</t>
  </si>
  <si>
    <t>ChadS</t>
  </si>
  <si>
    <t>jepicken</t>
  </si>
  <si>
    <t>Liuping</t>
  </si>
  <si>
    <t>gyroscope</t>
  </si>
  <si>
    <t>villena</t>
  </si>
  <si>
    <t>Scholten</t>
  </si>
  <si>
    <t>ReNe</t>
  </si>
  <si>
    <t>MNGreene</t>
  </si>
  <si>
    <t>Bram</t>
  </si>
  <si>
    <t>DLB</t>
  </si>
  <si>
    <t>Mjølner</t>
  </si>
  <si>
    <t>HWS2</t>
  </si>
  <si>
    <t>sblank</t>
  </si>
  <si>
    <t>Sheffie</t>
  </si>
  <si>
    <t>DMC</t>
  </si>
  <si>
    <t>JM_AU</t>
  </si>
  <si>
    <t>dirkhh</t>
  </si>
  <si>
    <t>efusco</t>
  </si>
  <si>
    <t>LM</t>
  </si>
  <si>
    <t>CliffG</t>
  </si>
  <si>
    <t>Max 35111</t>
  </si>
  <si>
    <t>Beeeerock</t>
  </si>
  <si>
    <t>Grotebeer</t>
  </si>
  <si>
    <t>tes</t>
  </si>
  <si>
    <t>AnalysiZ S70</t>
  </si>
  <si>
    <t>Viking</t>
  </si>
  <si>
    <t>Leiha</t>
  </si>
  <si>
    <t>HenningH</t>
  </si>
  <si>
    <t>Xfrank-85</t>
  </si>
  <si>
    <t>4dme</t>
  </si>
  <si>
    <t>JoeJoe</t>
  </si>
  <si>
    <t>Timestamp</t>
  </si>
  <si>
    <t>Select your region</t>
  </si>
  <si>
    <t>Select range unit</t>
  </si>
  <si>
    <t>Enter Vehicle manufacture date</t>
  </si>
  <si>
    <t>Vehicle model</t>
  </si>
  <si>
    <t>How often do you Supercharge?</t>
  </si>
  <si>
    <t>How often do charge to 100% ?</t>
  </si>
  <si>
    <t>How often does your range drop 5% or less ?</t>
  </si>
  <si>
    <t>What is your daily charge level ?</t>
  </si>
  <si>
    <t>What was range at 100% when the car was new?</t>
  </si>
  <si>
    <t>At what Wh/mi or Wh/km do you achieve rated range?</t>
  </si>
  <si>
    <t>What is your lifetime average Wh/mi or Wh/km?</t>
  </si>
  <si>
    <t>If this car had a battery replacement, what was the mileage when it happened?</t>
  </si>
  <si>
    <t>If this car had a battery replacement, how did range change after the replacement?</t>
  </si>
  <si>
    <t>Entry #1: Enter the date you charged to 100%</t>
  </si>
  <si>
    <t>Entry #1: Enter your mileage on that date</t>
  </si>
  <si>
    <t>Entry #1: Enter your range at 100%</t>
  </si>
  <si>
    <t>Entry #2: Enter the date you charged to 100%</t>
  </si>
  <si>
    <t>Entry #2: Enter your mileage on that date</t>
  </si>
  <si>
    <t>Entry #2: Enter your range at 100%</t>
  </si>
  <si>
    <t>Entry #3: Enter the date you charged to 100%</t>
  </si>
  <si>
    <t>Entry #3: Enter your mileage on that date</t>
  </si>
  <si>
    <t>Entry #3: Enter your range at 100%</t>
  </si>
  <si>
    <t>What do you want to do now?</t>
  </si>
  <si>
    <t>Entry #4: Enter the date you charged to 100%</t>
  </si>
  <si>
    <t>Entry #4: Enter your mileage on that date</t>
  </si>
  <si>
    <t>Entry #4: Enter your range at 100%</t>
  </si>
  <si>
    <t>Entry #5: Enter the date you charged to 100%</t>
  </si>
  <si>
    <t>Entry #5: Enter your mileage on that date</t>
  </si>
  <si>
    <t>Entry #5: Enter your range at 100%</t>
  </si>
  <si>
    <t>Entry #6: Enter the date you charged to 100%</t>
  </si>
  <si>
    <t>Entry #6: Enter your mileage on that date</t>
  </si>
  <si>
    <t>Entry #6: Enter your range at 100%</t>
  </si>
  <si>
    <t>Entry #7: Enter the date you charged to 100%</t>
  </si>
  <si>
    <t>Entry #7: Enter your mileage on that date</t>
  </si>
  <si>
    <t>Entry #7: Enter your range at 100%</t>
  </si>
  <si>
    <t>Entry #8: Enter the date you charged to 100%</t>
  </si>
  <si>
    <t>Entry #8: Enter your mileage on that date</t>
  </si>
  <si>
    <t>Entry #8: Enter your range at 100%</t>
  </si>
  <si>
    <t>Entry #9: Enter the date you charged to 100%</t>
  </si>
  <si>
    <t>Entry #9: Enter your mileage on that date</t>
  </si>
  <si>
    <t>Entry #9: Enter your range at 100%</t>
  </si>
  <si>
    <t>Entry #10: Enter the date you charged to 100%</t>
  </si>
  <si>
    <t>Entry #10: Enter your mileage on that date</t>
  </si>
  <si>
    <t>Entry #10: Enter your range at 100%</t>
  </si>
  <si>
    <t>Entry #11: Enter the date you charged to 100%</t>
  </si>
  <si>
    <t>Entry #11: Enter your mileage on that date</t>
  </si>
  <si>
    <t>Entry #11: Enter your range at 100%</t>
  </si>
  <si>
    <t>Entry #12: Enter the date you charged to 100%</t>
  </si>
  <si>
    <t>Entry #12: Enter your mileage on that date</t>
  </si>
  <si>
    <t>Entry #12: Enter your range at 100%</t>
  </si>
  <si>
    <t>Entry #13: Enter the date you charged to 100%</t>
  </si>
  <si>
    <t>Entry #13: Enter your mileage on that date</t>
  </si>
  <si>
    <t>Entry #13: Enter your range at 100%</t>
  </si>
  <si>
    <t>Entry #14: Enter the date you charged to 100%</t>
  </si>
  <si>
    <t>Entry #14: Enter your mileage on that date</t>
  </si>
  <si>
    <t>Entry #14: Enter your range at 100%</t>
  </si>
  <si>
    <t>Entry #15: Enter the date you charged to 100%</t>
  </si>
  <si>
    <t>Entry #15: Enter your mileage on that date</t>
  </si>
  <si>
    <t>Entry #15: Enter your range at 100%</t>
  </si>
  <si>
    <t>Europe (excluding UK) &amp; Asia Pacific</t>
  </si>
  <si>
    <t>km. My car displays range in kilometres and I will enter all range numbers in kilometres.</t>
  </si>
  <si>
    <t>Twice a month</t>
  </si>
  <si>
    <t>Monthly</t>
  </si>
  <si>
    <t>A few times a year</t>
  </si>
  <si>
    <t>Submit the form</t>
  </si>
  <si>
    <t>Dinesh Thakur</t>
  </si>
  <si>
    <t>USA</t>
  </si>
  <si>
    <t>mi. My car displays range in miles and I will enter all range numbers in miles.</t>
  </si>
  <si>
    <t>Once or twice a year</t>
  </si>
  <si>
    <t>Never</t>
  </si>
  <si>
    <t>dschüsä</t>
  </si>
  <si>
    <t>shred</t>
  </si>
  <si>
    <t>Weekly</t>
  </si>
  <si>
    <t>Wennfred</t>
  </si>
  <si>
    <t>Model 3 SR+</t>
  </si>
  <si>
    <t>Bluezap</t>
  </si>
  <si>
    <t>ahkahn</t>
  </si>
  <si>
    <t>PW01</t>
  </si>
  <si>
    <t>triprip</t>
  </si>
  <si>
    <t>Canada</t>
  </si>
  <si>
    <t>RobPet</t>
  </si>
  <si>
    <t>Model 3 P</t>
  </si>
  <si>
    <t>glhs272</t>
  </si>
  <si>
    <t>TonyC</t>
  </si>
  <si>
    <t>Icey</t>
  </si>
  <si>
    <t>Twice a week</t>
  </si>
  <si>
    <t>snakefunbirdy</t>
  </si>
  <si>
    <t>Daily</t>
  </si>
  <si>
    <t>TG</t>
  </si>
  <si>
    <t>It didn't change</t>
  </si>
  <si>
    <t>caddy123</t>
  </si>
  <si>
    <t>kkitzhaber</t>
  </si>
  <si>
    <t>Add more entries</t>
  </si>
  <si>
    <t>EdvanS</t>
  </si>
  <si>
    <t>joech26</t>
  </si>
  <si>
    <t>Guillaume</t>
  </si>
  <si>
    <t>MIKLES</t>
  </si>
  <si>
    <t>reiter@lav.at</t>
  </si>
  <si>
    <t>JoDome</t>
  </si>
  <si>
    <t>Model 3 LR AWD</t>
  </si>
  <si>
    <t>SSChicken</t>
  </si>
  <si>
    <t>sachin007</t>
  </si>
  <si>
    <t>SalisburySam</t>
  </si>
  <si>
    <t>Model 3 LR</t>
  </si>
  <si>
    <t>Cambocovey</t>
  </si>
  <si>
    <t>Alphonso14</t>
  </si>
  <si>
    <t>Bogart9999</t>
  </si>
  <si>
    <t>Model 3 MR</t>
  </si>
  <si>
    <t>Calif94577</t>
  </si>
  <si>
    <t>dcdttu</t>
  </si>
  <si>
    <t>antdun</t>
  </si>
  <si>
    <t>DjRazz</t>
  </si>
  <si>
    <t>J0hnny3010</t>
  </si>
  <si>
    <t>damieng</t>
  </si>
  <si>
    <t>Daankool</t>
  </si>
  <si>
    <t>J.K</t>
  </si>
  <si>
    <t>Model 3 SR</t>
  </si>
  <si>
    <t>SBA1991</t>
  </si>
  <si>
    <t>Dana1</t>
  </si>
  <si>
    <t>atulbr</t>
  </si>
  <si>
    <t>Aellinsar</t>
  </si>
  <si>
    <t>Dryland</t>
  </si>
  <si>
    <t>BobRob</t>
  </si>
  <si>
    <t>Nino</t>
  </si>
  <si>
    <t>EricV</t>
  </si>
  <si>
    <t xml:space="preserve">DestinationEV </t>
  </si>
  <si>
    <t>rsp</t>
  </si>
  <si>
    <t>neight</t>
  </si>
  <si>
    <t>Krm</t>
  </si>
  <si>
    <t>WLF46</t>
  </si>
  <si>
    <t>N54tt</t>
  </si>
  <si>
    <t>goetzingert</t>
  </si>
  <si>
    <t>Dangis</t>
  </si>
  <si>
    <t>GoChaddy</t>
  </si>
  <si>
    <t>Johan</t>
  </si>
  <si>
    <t>riccardol</t>
  </si>
  <si>
    <t>Mark Schreurs</t>
  </si>
  <si>
    <t>mr Lois</t>
  </si>
  <si>
    <t>rdr</t>
  </si>
  <si>
    <t>Burning_Electrons</t>
  </si>
  <si>
    <t>Lupus Mercator</t>
  </si>
  <si>
    <t>tom8oe</t>
  </si>
  <si>
    <t>Broekroelofs</t>
  </si>
  <si>
    <t>Simone</t>
  </si>
  <si>
    <t>lemonterror</t>
  </si>
  <si>
    <t>Teslatim</t>
  </si>
  <si>
    <t>caspakomiker</t>
  </si>
  <si>
    <t>Jlk</t>
  </si>
  <si>
    <t>Spacklewoof</t>
  </si>
  <si>
    <t>patrickmahoney</t>
  </si>
  <si>
    <t>kar365</t>
  </si>
  <si>
    <t>Apostol Nikolay</t>
  </si>
  <si>
    <t>mrjohnmoreno</t>
  </si>
  <si>
    <t>DvdBlink</t>
  </si>
  <si>
    <t>Henkepank</t>
  </si>
  <si>
    <t>DRZMKRMT</t>
  </si>
  <si>
    <t>BTKKBS</t>
  </si>
  <si>
    <t>Rebkas</t>
  </si>
  <si>
    <t>frankvanhoesel</t>
  </si>
  <si>
    <t>Giles_gs</t>
  </si>
  <si>
    <t>NateL</t>
  </si>
  <si>
    <t>eSpochtback</t>
  </si>
  <si>
    <t>C3PO</t>
  </si>
  <si>
    <t>Thepilo</t>
  </si>
  <si>
    <t>mike</t>
  </si>
  <si>
    <t>AustinP</t>
  </si>
  <si>
    <t>juergen767</t>
  </si>
  <si>
    <t>Siempie76</t>
  </si>
  <si>
    <t>Super Speed</t>
  </si>
  <si>
    <t>cambonp</t>
  </si>
  <si>
    <t>ancreserve</t>
  </si>
  <si>
    <t>Az_Rael</t>
  </si>
  <si>
    <t>fluelimat</t>
  </si>
  <si>
    <t>Carmen</t>
  </si>
  <si>
    <t>UK</t>
  </si>
  <si>
    <t>sonbebert</t>
  </si>
  <si>
    <t>rjseaman</t>
  </si>
  <si>
    <t>sbeau</t>
  </si>
  <si>
    <t>tdriver</t>
  </si>
  <si>
    <t>Laurent</t>
  </si>
  <si>
    <t>TJPDX</t>
  </si>
  <si>
    <t>Paosaep</t>
  </si>
  <si>
    <t>Surfi</t>
  </si>
  <si>
    <t>vmbert</t>
  </si>
  <si>
    <t>Increased by 10 km or mi</t>
  </si>
  <si>
    <t>ElonTesla2018</t>
  </si>
  <si>
    <t>Consolaus</t>
  </si>
  <si>
    <t>khwa</t>
  </si>
  <si>
    <t>nanafadnavis</t>
  </si>
  <si>
    <t>egnX</t>
  </si>
  <si>
    <t>azulMx</t>
  </si>
  <si>
    <t>Hsurapar</t>
  </si>
  <si>
    <t>kwdavids</t>
  </si>
  <si>
    <t>ku7</t>
  </si>
  <si>
    <t>T-Drive</t>
  </si>
  <si>
    <t>th0rsten</t>
  </si>
  <si>
    <t>Jaaacob</t>
  </si>
  <si>
    <t xml:space="preserve">Nunya </t>
  </si>
  <si>
    <t>caspernix</t>
  </si>
  <si>
    <t>pellet</t>
  </si>
  <si>
    <t>Kyyyyyy</t>
  </si>
  <si>
    <t>Pinosaurier</t>
  </si>
  <si>
    <t>lewurm</t>
  </si>
  <si>
    <t>thelgeson</t>
  </si>
  <si>
    <t>ABC123</t>
  </si>
  <si>
    <t>I don't know</t>
  </si>
  <si>
    <t>MarsOrBust</t>
  </si>
  <si>
    <t>fadiawesome</t>
  </si>
  <si>
    <t>Pnwguy</t>
  </si>
  <si>
    <t>AfricanTesla</t>
  </si>
  <si>
    <t>Sylvia</t>
  </si>
  <si>
    <t>Brentonator</t>
  </si>
  <si>
    <t>bystedt</t>
  </si>
  <si>
    <t>Blue Arrow</t>
  </si>
  <si>
    <t>test</t>
  </si>
  <si>
    <t>Frodo_ax</t>
  </si>
  <si>
    <t>Mrgoogle</t>
  </si>
  <si>
    <t>byoder1122</t>
  </si>
  <si>
    <t>ehaus</t>
  </si>
  <si>
    <t>NONE</t>
  </si>
  <si>
    <t>1/1/0001</t>
  </si>
  <si>
    <t>golfleep</t>
  </si>
  <si>
    <t>jedi2b</t>
  </si>
  <si>
    <t>Sascha</t>
  </si>
  <si>
    <t>Increased by 9 km or mi</t>
  </si>
  <si>
    <t>nvjx</t>
  </si>
  <si>
    <t>Raphdef</t>
  </si>
  <si>
    <t>SLJC</t>
  </si>
  <si>
    <t>enahpets71</t>
  </si>
  <si>
    <t>VBRaj</t>
  </si>
  <si>
    <t>camthehombre</t>
  </si>
  <si>
    <t>Select the range unit</t>
  </si>
  <si>
    <t>What was range at 100% when the car was new? [mi or km]</t>
  </si>
  <si>
    <t>At what Wh/mi or Wh/km do you achieve rated range? [Wh/mi or Wh/km]</t>
  </si>
  <si>
    <t>Lifetime average energy consumption at the time of reading Wh/km</t>
  </si>
  <si>
    <t>At what mileage did you replace battery?</t>
  </si>
  <si>
    <t>What happened to range after replacement?</t>
  </si>
  <si>
    <t>Date you charged to 100%</t>
  </si>
  <si>
    <t>Mileage [mi or km]</t>
  </si>
  <si>
    <t>Range at 100% before range mode correction km</t>
  </si>
  <si>
    <t>Range at 100% after range mode correction</t>
  </si>
  <si>
    <t>Range mode on/off at time of reading?</t>
  </si>
  <si>
    <t>Did you have a battery replacement?</t>
  </si>
  <si>
    <t>Typical range at the beginning of the trip</t>
  </si>
  <si>
    <t>Typical range at the end of the trip</t>
  </si>
  <si>
    <t>kWh consumption for this trip
(comma or dot is fine)</t>
  </si>
  <si>
    <t>Range mode on/off when you read these trip numbers?</t>
  </si>
  <si>
    <t>Comments</t>
  </si>
  <si>
    <t>Off</t>
  </si>
  <si>
    <t>No</t>
  </si>
  <si>
    <t>600sl</t>
  </si>
  <si>
    <t>On</t>
  </si>
  <si>
    <t>Unspecified 85 kWh</t>
  </si>
  <si>
    <t>alertic</t>
  </si>
  <si>
    <t>South Florida local driving</t>
  </si>
  <si>
    <t>19"</t>
  </si>
  <si>
    <t>409 typical stayed for 8 kms....</t>
  </si>
  <si>
    <t>typical range stayed the same for 7,5 kms</t>
  </si>
  <si>
    <t>19" (Matteo: Hi. I recovered your old entry and added the new one separately)</t>
  </si>
  <si>
    <t>New 75D</t>
  </si>
  <si>
    <t>Matteo says: The trip section is optional but it needs to be any recent non-stop trip to be accurate.</t>
  </si>
  <si>
    <t>19"summer (19" winter) Trip1907</t>
  </si>
  <si>
    <t>no daily charging, SOC is between 50 and 90% most of the time</t>
  </si>
  <si>
    <t>Battery type 1056776-00-E (P90D without ludicrous)</t>
  </si>
  <si>
    <t>19" typical range at 90%=346</t>
  </si>
  <si>
    <t>Noticed app and car varied by 1km for rated range at 100%</t>
  </si>
  <si>
    <t>18" Aero, Northern California</t>
  </si>
  <si>
    <t>Benjamin Brooks S85</t>
  </si>
  <si>
    <t>19" S85, Nothern California</t>
  </si>
  <si>
    <t>19" all weather tires from Tesla</t>
  </si>
  <si>
    <t>34,1</t>
  </si>
  <si>
    <t>54,6</t>
  </si>
  <si>
    <t>49,2</t>
  </si>
  <si>
    <t>36,4</t>
  </si>
  <si>
    <t>21" Michelin summer, 19" Pirelli winter  (Matteo: Hi. I recovered your old entry and added the new one separately. It is better this way when you check charts page.)</t>
  </si>
  <si>
    <t>21" Michelin summer, 19" Pirelli winter</t>
  </si>
  <si>
    <t>21 inc, michelin super sport, 19 inch winter pirelli</t>
  </si>
  <si>
    <t>Bernie 75D</t>
  </si>
  <si>
    <t>21 turbine wheels summer and winter</t>
  </si>
  <si>
    <t>BiancoP85D</t>
  </si>
  <si>
    <t>Increased by 24 km or mi</t>
  </si>
  <si>
    <t>Yes</t>
  </si>
  <si>
    <t>Range dropped from 405 km at 100% charge to 390 km after 36000 km before battery change</t>
  </si>
  <si>
    <t>Blackbird</t>
  </si>
  <si>
    <t>Blitz</t>
  </si>
  <si>
    <t>19" Tesla Aero for Winter and Diwe Impatto in summer (better than Turbine)</t>
  </si>
  <si>
    <t xml:space="preserve">19" </t>
  </si>
  <si>
    <t>19" Tires</t>
  </si>
  <si>
    <t>19" drive unit replace 3 times</t>
  </si>
  <si>
    <t>Unknown</t>
  </si>
  <si>
    <t>hoog vebruik komt voornamelijk door het spelen deze 1e week, bij normaal gebruik op 230</t>
  </si>
  <si>
    <t>Northern California</t>
  </si>
  <si>
    <t>Had a battery for replacement for 3 months between march and june 2015</t>
  </si>
  <si>
    <t>21", bij aanschaf typ range 303</t>
  </si>
  <si>
    <t>21" summer tires (Mchelin) and 20" winter tires (Nokian R2)</t>
  </si>
  <si>
    <t>19''</t>
  </si>
  <si>
    <t>Only charge to 80% 2 months during the summer.</t>
  </si>
  <si>
    <t>19" BBS Summer / 19" Slipstream Winter</t>
  </si>
  <si>
    <t>19" RSA2 at summer, 19" Nokian R2 Studless at winter</t>
  </si>
  <si>
    <t>19", New England</t>
  </si>
  <si>
    <t>21" turbine</t>
  </si>
  <si>
    <t>Dagger600</t>
  </si>
  <si>
    <t>19", CPO, B series pack</t>
  </si>
  <si>
    <t>19", SoCal</t>
  </si>
  <si>
    <t>Daniel74</t>
  </si>
  <si>
    <t>21" summer tires, 20" winter tires</t>
  </si>
  <si>
    <t>19" - updated at 46k km</t>
  </si>
  <si>
    <t>(Matteo: Hi. I recovered this old entry from version history. It was overwritten with newer data. It is better to use a blank line instead editing existing entries. Thanks)</t>
  </si>
  <si>
    <t>DanielP</t>
  </si>
  <si>
    <t>Original 85 Battery replaced by 90kWh on Nov 14th 2017.</t>
  </si>
  <si>
    <t>David h</t>
  </si>
  <si>
    <t>76.5</t>
  </si>
  <si>
    <t>66.2</t>
  </si>
  <si>
    <t>CPO car</t>
  </si>
  <si>
    <t>CPO</t>
  </si>
  <si>
    <t>DidierDozer</t>
  </si>
  <si>
    <t>21 inch</t>
  </si>
  <si>
    <t>21"</t>
  </si>
  <si>
    <t>21" tyres</t>
  </si>
  <si>
    <t>dmann000</t>
  </si>
  <si>
    <t>Domidragon</t>
  </si>
  <si>
    <t>21" turbine original summer / 19" turbine winter // We both the car at 31000km on 14. October 2017 ( since then we drove 6000 km in 2 month)</t>
  </si>
  <si>
    <t>Dreamy</t>
  </si>
  <si>
    <t xml:space="preserve">Matteo: I have recovered your old entry and added your new data as a new entry. </t>
  </si>
  <si>
    <t>19", Atlanta</t>
  </si>
  <si>
    <t>43.9</t>
  </si>
  <si>
    <t>19" NorCal</t>
  </si>
  <si>
    <t>e-fan</t>
  </si>
  <si>
    <t>easygysi</t>
  </si>
  <si>
    <t>I am the owner for the last 2 weeks and 3'000 kilometers. I do not know the previous owners charging behaviour.</t>
  </si>
  <si>
    <t>19" Brocks B32</t>
  </si>
  <si>
    <t>eddyf0032 - s85</t>
  </si>
  <si>
    <t>drive unit replaced</t>
  </si>
  <si>
    <t>Drives unit replaced at 78.000 - now on number three</t>
  </si>
  <si>
    <t xml:space="preserve">22"Summer Tyres (Vossen HC 3) </t>
  </si>
  <si>
    <t>OBD2 Reading 71.9 kWh remaining</t>
  </si>
  <si>
    <t>ELDIAC</t>
  </si>
  <si>
    <t>(Matteo: Hi ElectricSingh. Double click to read. Congratulations on being the first to submit an entry from the UK. Tesla doesn't publish typical range numbers anywhere. We have to guess based on what people report seeing in the car. You reported 246 miles. On the other hand elsewhere in Europe the number is 400km which equals to 248.5 miles when converted. I entered 248 miles as the default number for new S85 in the UK. This is a guess. This might change to 249, 247, or 246 in the future based on what other people report. I recommend submitting more entries over time to compare how your capacity changes. Also check out charts page. Cheers</t>
  </si>
  <si>
    <t>Increased by 20 km or mi</t>
  </si>
  <si>
    <t>(Matteo: Hi. After replacement if your range increased more than 8kms, you can now change that)</t>
  </si>
  <si>
    <t>Matteo says: In your previous entry #345 you selected yes to battery replacement. I added the same data to this entry.</t>
  </si>
  <si>
    <t>battery capacity 66KWH read with TM spy app</t>
  </si>
  <si>
    <t>capacite 65.8 KWH par tmspy</t>
  </si>
  <si>
    <t>54.9</t>
  </si>
  <si>
    <t>(Matteo: Thanks for the trip data. I added more info to feedback page. If you have any questions, you can ask there. Btw those two additional numbers are not needed.) Trip: 222,7 km, 246Wh/km</t>
  </si>
  <si>
    <t>Fjack</t>
  </si>
  <si>
    <t>floger</t>
  </si>
  <si>
    <t>19" summer &amp; winter</t>
  </si>
  <si>
    <t>19" stock wheels with Goodyear All-Season tires, A/C disabled, only heat/ventilation</t>
  </si>
  <si>
    <t>Increased by 8 km or mi</t>
  </si>
  <si>
    <t>(Matteo: Hi. After replacement if your range increased more than 8kms, you can now change that) 19" RSA2 at summer, 19" Nokian R2 Studless at winter</t>
  </si>
  <si>
    <t>(Matteo: Hi. I recovered your old data and submitted the changes you made as a new entry.)</t>
  </si>
  <si>
    <t>Fozzy D</t>
  </si>
  <si>
    <t xml:space="preserve"> in france: 271 miles ( 436.6km at 100% ) got it new at 284miles ( 457km) </t>
  </si>
  <si>
    <t>19 all year</t>
  </si>
  <si>
    <t>19" cyclone</t>
  </si>
  <si>
    <t>382 km a week ago, 398 km today... go figure!</t>
  </si>
  <si>
    <t>Met leeg bedoel ik &lt;10km rest (bij vorige Firmware-versie)</t>
  </si>
  <si>
    <t>This 100%charging &amp; reading was done at a SuC and kept charging, but the kilometers didn't add up anymore (the current did lowered in the 20minutes we waited) but at 6A we aborted the charging and had to continue our drive.</t>
  </si>
  <si>
    <t>Mounted Goodyear Eagle LS2 ROF since odo 50.000km. And consumption increased to +/-240Wh/km</t>
  </si>
  <si>
    <t>19", S60 -&gt; S75 upgrade in Apr 2017, Northern California</t>
  </si>
  <si>
    <t>Bijna altijd superchargen. Soms beetje gewoon bijladen.</t>
  </si>
  <si>
    <t>suc/rch ingevuld sinds de nieuwe batterij</t>
  </si>
  <si>
    <t>Increased by 7 km or mi</t>
  </si>
  <si>
    <t>20" tyres (Borbet)</t>
  </si>
  <si>
    <t>drive unit 2x vervangen W:19" Z:21"</t>
  </si>
  <si>
    <t>drive unit replaced 2x</t>
  </si>
  <si>
    <t xml:space="preserve"> 21" S85</t>
  </si>
  <si>
    <t xml:space="preserve"> Range now higher, was 373 @  27k  (assume influenced by ambient temp and/or F/W version)</t>
  </si>
  <si>
    <t>drive unit replaced twice</t>
  </si>
  <si>
    <t>Drive unit replace twice</t>
  </si>
  <si>
    <t>Charging conditions: Cold pack from 90% (328km typ) to 100% at 0ºC ambiant temp.</t>
  </si>
  <si>
    <t>Charging conditions: Cold pack from 25% to 100% in one go at  -7°C ambiant temp.</t>
  </si>
  <si>
    <t>Charging conditions: Cold pack from 25% to 100% in one go at  5°C ambiant temp.</t>
  </si>
  <si>
    <t>Charging conditions: Cold pack from 40% to 100% in one go at  6°C ambiant temp.</t>
  </si>
  <si>
    <t>Charging conditions: Cold pack from 40% to 100% in one go at  12°C ambiant temp.</t>
  </si>
  <si>
    <t>Charging conditions: Cold pack from 40% to 100% in one go at 15°C ambiant temp. Leaving right after disconnection when charge reached 369 km</t>
  </si>
  <si>
    <t>Charging conditions: Cold pack from 40% to 100% in one go at 15°C ambiant temp. Leaving 15 minutes after moving the car out of garag. In other words, the last 3-5 km of charge are of poor energy quality so the optional calculation is a more capacity measure than the displayed capacity...</t>
  </si>
  <si>
    <t>Charging conditions: Cold pack from 40% to 100% in one go at  16°C ambiant temp.</t>
  </si>
  <si>
    <t>Charging conditions: Cold pack from 40% to 100% in one go at 3°C ambiant temp.</t>
  </si>
  <si>
    <t>gollum123</t>
  </si>
  <si>
    <t>19" winter tyre</t>
  </si>
  <si>
    <t>19" tires</t>
  </si>
  <si>
    <t>Haalie</t>
  </si>
  <si>
    <t>no charge at home possible</t>
  </si>
  <si>
    <t>Hammer</t>
  </si>
  <si>
    <t>helio</t>
  </si>
  <si>
    <t>helipilot</t>
  </si>
  <si>
    <t>Hulteberg</t>
  </si>
  <si>
    <t>nwe motor, 21"</t>
  </si>
  <si>
    <t>90%=343</t>
  </si>
  <si>
    <t>90%=342</t>
  </si>
  <si>
    <t>19/21" P85</t>
  </si>
  <si>
    <t>21" Michelin</t>
  </si>
  <si>
    <t>Model S 90D 2015</t>
  </si>
  <si>
    <t>First reading of new car</t>
  </si>
  <si>
    <t>imported early US-Model, no Supercharging possibility</t>
  </si>
  <si>
    <t>21 inch P85+</t>
  </si>
  <si>
    <t>20/21 P85+</t>
  </si>
  <si>
    <t>21 inch stagered</t>
  </si>
  <si>
    <t>45,4</t>
  </si>
  <si>
    <t>20" stagegerd Winterset 9 inch 245 front / 10,5 inch 285 rear</t>
  </si>
  <si>
    <t xml:space="preserve"> 21 stagered summer, 20 stagered winter</t>
  </si>
  <si>
    <t>Jaydee</t>
  </si>
  <si>
    <t>19". Laadt meestal tot 70%.</t>
  </si>
  <si>
    <t>(Matteo: I recovered this old entry and added a new one for you)</t>
  </si>
  <si>
    <t>19" wheels with stock Goodyear tires</t>
  </si>
  <si>
    <t>JHO</t>
  </si>
  <si>
    <t>(Matteo: Possible error. 45.845km= 391km typical range but was 33.150km=377) 19"</t>
  </si>
  <si>
    <t>Increased by 5 km or mi</t>
  </si>
  <si>
    <t>(Matteo: In your previous entry it says range increased 5 km after battery change. Please check data.)</t>
  </si>
  <si>
    <t>(Matteo: In your previous entry it says battery was replaced. Please check your data.)</t>
  </si>
  <si>
    <t>happy</t>
  </si>
  <si>
    <t>19" winter wheels, 21" summer wheels</t>
  </si>
  <si>
    <t>not sure of the manufactor date, but it is close. I only charge on weekends to 90%</t>
  </si>
  <si>
    <t>316,5</t>
  </si>
  <si>
    <t>JonathanD</t>
  </si>
  <si>
    <t>21" staggered P85D</t>
  </si>
  <si>
    <t>21" staggered summer / 19" staggered winter</t>
  </si>
  <si>
    <t>50,5</t>
  </si>
  <si>
    <t>20,8</t>
  </si>
  <si>
    <t>66,8</t>
  </si>
  <si>
    <t>overnight charging only 1-phase 16A, so 3.7kW "trickle charge"; drive unit replaced 27/02/2015</t>
  </si>
  <si>
    <t>Seems the capacitiy of the battery is 65 kWh usable (Matteo: Same date was entered to manufacture date and range reading date. I changed range reading to 14 Jan 2016. Feel free to update if different. Cheers)</t>
  </si>
  <si>
    <t>first km of typical range decreased after driving 5,4 real km's</t>
  </si>
  <si>
    <t>typical range descended after 9,1km (Matteo: I moved your question to "Feedback" page).</t>
  </si>
  <si>
    <t>24.5</t>
  </si>
  <si>
    <t>19" summer</t>
  </si>
  <si>
    <t>19'</t>
  </si>
  <si>
    <t>(Matteo: Hi. I have recovered your old entry and created a new entry with your new data. It is better to submit a new entry every 5,000 to 8,000 miles. You can have multiple entries. Thanks)</t>
  </si>
  <si>
    <t>kcain</t>
  </si>
  <si>
    <t>eerste 15.000 op 21"; daarna op 19"; 2x drive unit vervangen</t>
  </si>
  <si>
    <t>71,6</t>
  </si>
  <si>
    <t>10C, 1/3 rain, avg speed 130km/h</t>
  </si>
  <si>
    <t>19"; DU replacement May 2016; consumption reducing</t>
  </si>
  <si>
    <t>19" Texas</t>
  </si>
  <si>
    <t>21" S85D, Northern California</t>
  </si>
  <si>
    <t>Driving with Aero Rims</t>
  </si>
  <si>
    <t>Charging conditions heavily changed: Supercharged 4 times/week during first 3 months + nightly on 10A/230V (2.3kW) single phase with UMC. From then on, mostly only nightly on 2.3kW.</t>
  </si>
  <si>
    <t>Updated typical range at 100% (previous value was estimated)</t>
  </si>
  <si>
    <t>LastGas</t>
  </si>
  <si>
    <t>This car was originally a software limited S60 charged to 100% (210 mi)</t>
  </si>
  <si>
    <t>lcs.toulouse</t>
  </si>
  <si>
    <t>19'', tires replaced at 30tkm front, 35tkm rear</t>
  </si>
  <si>
    <t>Leen</t>
  </si>
  <si>
    <t>SW at time of reading: v7.1 (2.14.66)</t>
  </si>
  <si>
    <t>SW at time of reading: v7.1 (2.28.60)</t>
  </si>
  <si>
    <t>SW at time of reading: v8.0 (2.42.40)</t>
  </si>
  <si>
    <t>SW 8.0 (17.4.14)</t>
  </si>
  <si>
    <t>SW 8.1 (17.24.28), 19" wheels</t>
  </si>
  <si>
    <t>19" Cyclone Wheels, San Diego, CA</t>
  </si>
  <si>
    <t>I get 3% better range with 19" tires. I use both</t>
  </si>
  <si>
    <t>hij ging pas naar 376 toen ik al 6,4km/1,5kWh verbruikt had</t>
  </si>
  <si>
    <t xml:space="preserve"> 19" Cyclone Wheels, San Diego, CA</t>
  </si>
  <si>
    <t>Lukas</t>
  </si>
  <si>
    <t xml:space="preserve">21" Summer tyres 19" Winter tyres; </t>
  </si>
  <si>
    <t>Luske2</t>
  </si>
  <si>
    <t>19" S75, Southern California</t>
  </si>
  <si>
    <t>21"| Summer, 20" Winter</t>
  </si>
  <si>
    <t>19/21" P85+</t>
  </si>
  <si>
    <t>21", range was last months 384, now 390</t>
  </si>
  <si>
    <t>marlan99</t>
  </si>
  <si>
    <t>MartinPF</t>
  </si>
  <si>
    <t>19" winter tyres, summer tires only the first 5,000 km</t>
  </si>
  <si>
    <t>(Matteo: Hi Max. Double click to read. You are the first user to enter data for 90D. Tesla doesn't publish typical range numbers. Based on your data I entered 426 km at 100% charge when range mode on (421 km range mode off) as default setting. 426 is the number we will use for percentage calculations. This might change in the future when we have more 90D entries. Thanks</t>
  </si>
  <si>
    <t>(Matteo: Hi. Please check trip numbers)</t>
  </si>
  <si>
    <t>19" S85, Altanta, Georgia</t>
  </si>
  <si>
    <t>almost only supercharged for the first 12 months (unable to charge at home)</t>
  </si>
  <si>
    <t>Pas na 1,7 kWh begon de typical range af te nemen. Paar dagen erna rangecharge 379 km en wel direct afname na 1 km...</t>
  </si>
  <si>
    <t>Na 0,3 kWh was de typical al gezakt naar 374.</t>
  </si>
  <si>
    <t>zelfde ochtend nog 373 en paar dagen later weer 374</t>
  </si>
  <si>
    <t>Zelfde dag later nog een rangecharge gedaan: 370 km, maar pas na 2 kWh (10 km typical) gezakt naar 369 km.</t>
  </si>
  <si>
    <t>merzhase</t>
  </si>
  <si>
    <t>19" witer tires</t>
  </si>
  <si>
    <t>1,5 grd.C temperature at recent trip</t>
  </si>
  <si>
    <t>mnpTesla</t>
  </si>
  <si>
    <t>19"  only summer car usage</t>
  </si>
  <si>
    <t>19" only summer car usage</t>
  </si>
  <si>
    <t>20"  only summer car usage</t>
  </si>
  <si>
    <t>20" only summer car usage</t>
  </si>
  <si>
    <t>msinz</t>
  </si>
  <si>
    <t>I charge to 85% every day - could not pick that - drive a rather hilly route to/from work every day with over 1500 vert-feet of altitude change</t>
  </si>
  <si>
    <t>drive unit replaced 3 times</t>
  </si>
  <si>
    <t>Nico</t>
  </si>
  <si>
    <t>21" SoCal</t>
  </si>
  <si>
    <t>Nobbi 67</t>
  </si>
  <si>
    <t>19" 3e drive unit</t>
  </si>
  <si>
    <t>19" 2x drive unit</t>
  </si>
  <si>
    <t>19" 2 x drive train vervangen</t>
  </si>
  <si>
    <t>19"2 x drive train vervangen</t>
  </si>
  <si>
    <t xml:space="preserve">19" Hankook </t>
  </si>
  <si>
    <t>Winter 19"Hankook W320</t>
  </si>
  <si>
    <t>P85-wit</t>
  </si>
  <si>
    <t>patrick0101</t>
  </si>
  <si>
    <t>Oregon</t>
  </si>
  <si>
    <t>PaulT</t>
  </si>
  <si>
    <t>19" winter - 20" zomer</t>
  </si>
  <si>
    <t>19" winter, 20" summer wheels</t>
  </si>
  <si>
    <t>19" winter and 20" staggerred 245/285 summer</t>
  </si>
  <si>
    <t>19" Nokian winter</t>
  </si>
  <si>
    <t>Central Indiana. Local city driving with some 2-lane highway.  (Note: update on 7/31 was to add typical daily charging power of 10 kW)</t>
  </si>
  <si>
    <t>Central Indiana. 50-50 city driving and interstate</t>
  </si>
  <si>
    <t>Trip values are drive from Macedonia, OH to Indianapolis, IN superchargers non-stop</t>
  </si>
  <si>
    <t>15.4</t>
  </si>
  <si>
    <t>New MXM4 Primacy 19' tires e/m higher by 20%, maybe 7.0 and lower temp., Pdx area</t>
  </si>
  <si>
    <t>3kmiles on new MXM4 19</t>
  </si>
  <si>
    <t>michelin PS3 summer tyres</t>
  </si>
  <si>
    <t>20"</t>
  </si>
  <si>
    <t>Michigan. Normally charge to 80%, 90% for few months when heat is regularly used. Had 197 range when delivered at ~92%. Only ever charged once to 100% to try recovering range.</t>
  </si>
  <si>
    <t>Michigan. Car went to service where they charged to 100% (176mi), discharged to 0% using HVAC on HI, then charged back to 100% (178mi).</t>
  </si>
  <si>
    <t xml:space="preserve"> Merijn: range 288 ingevuld, aangepast naar 388</t>
  </si>
  <si>
    <t>21'' Tires</t>
  </si>
  <si>
    <t>pott pat</t>
  </si>
  <si>
    <t>Prc</t>
  </si>
  <si>
    <t>Datum invoer even een week teruggezet, voordat ik 3000km trips ging maken</t>
  </si>
  <si>
    <t>drive unit replaced 8500km, 21" P+</t>
  </si>
  <si>
    <t>Ram EH</t>
  </si>
  <si>
    <t>raptorsf</t>
  </si>
  <si>
    <t>realStarman</t>
  </si>
  <si>
    <t>Atlanta, GA</t>
  </si>
  <si>
    <t>RED</t>
  </si>
  <si>
    <t>RED_DS75</t>
  </si>
  <si>
    <t>Matteo says: If your data has changed, please add a new entry. We have had some vandalism incidents. Therefore I reversed some changes.</t>
  </si>
  <si>
    <t>Increased by 6 km or mi</t>
  </si>
  <si>
    <t>Sam</t>
  </si>
  <si>
    <t>19" SF Bay Area</t>
  </si>
  <si>
    <t>In de factory tilburg. New</t>
  </si>
  <si>
    <t>SchwartzMobile</t>
  </si>
  <si>
    <t>scottf200</t>
  </si>
  <si>
    <t>Service loaner car with 4000 miles when purchase 12/16/2017 (June 2017 build)</t>
  </si>
  <si>
    <t>Scriptacus</t>
  </si>
  <si>
    <t>sdragon</t>
  </si>
  <si>
    <t>Sébastien</t>
  </si>
  <si>
    <t>19" Northern California</t>
  </si>
  <si>
    <t>One year</t>
  </si>
  <si>
    <t>shoot72 S100D</t>
  </si>
  <si>
    <t>Simen1</t>
  </si>
  <si>
    <t>My car had an early firmware version. The calc for Wh/mi changed after delivery from 320 to 345</t>
  </si>
  <si>
    <t>Snakefun</t>
  </si>
  <si>
    <t>Sometimes</t>
  </si>
  <si>
    <t>(Matteo: It is better to submit a new entry instead editing the old one. I have recovered your old entry.)</t>
  </si>
  <si>
    <t>SS</t>
  </si>
  <si>
    <t>Drive unit replaced @12000km, 19" All-wheather, charging outside @3°C</t>
  </si>
  <si>
    <t>Drive unit replaced @12000km, 19" All-wheather, charging outside @8°C</t>
  </si>
  <si>
    <t>19" / drive unit replaced twice</t>
  </si>
  <si>
    <t>(Matteo: Hi SSc3010. Double click to read. It makes more sense to submit a new entry every 5 to 10 thousand kilometres to see how your battery capacity changes over time. For example 62,000km, 67,000km, 72,000 km etc. is a good idea.) 19" / drive unit replaced twice</t>
  </si>
  <si>
    <t>@17°C, 19" all wheather</t>
  </si>
  <si>
    <t>Charging @6°C</t>
  </si>
  <si>
    <t>RC @0°C</t>
  </si>
  <si>
    <t>@8°C 19" All wheather</t>
  </si>
  <si>
    <t>charging @ 4°C</t>
  </si>
  <si>
    <t>Charging @13°C</t>
  </si>
  <si>
    <t>Charging @kW over 36hrs.</t>
  </si>
  <si>
    <t>@10°C / Battery contactors replaced @ 126000km</t>
  </si>
  <si>
    <t>Battery contactors replaced @ 126000km</t>
  </si>
  <si>
    <t>@18°C</t>
  </si>
  <si>
    <t>@14°C</t>
  </si>
  <si>
    <t>@7°C</t>
  </si>
  <si>
    <t>StefanSarzio</t>
  </si>
  <si>
    <t>Teo says: I recovered your old data. It is better to submit a new entry when your data changes.</t>
  </si>
  <si>
    <t>sunday</t>
  </si>
  <si>
    <t>T. Johnson</t>
  </si>
  <si>
    <t>Dropped by 3 km or mi</t>
  </si>
  <si>
    <t>21" P85D, Northern California</t>
  </si>
  <si>
    <t>19" S85 Connecticut (Matteo says: I have recovered your old entry and added this as a new entry)</t>
  </si>
  <si>
    <t>19" S85, Nothern California, mostly highway driving</t>
  </si>
  <si>
    <t>Tesla8</t>
  </si>
  <si>
    <t>second owner: owned for 2 months putting 5,000 miles on</t>
  </si>
  <si>
    <t>19" obv 90%=356</t>
  </si>
  <si>
    <t>19" summer tires</t>
  </si>
  <si>
    <t>19" summer tires Michelin</t>
  </si>
  <si>
    <t>5Km without range change from 385</t>
  </si>
  <si>
    <t>First entry</t>
  </si>
  <si>
    <t>tice17</t>
  </si>
  <si>
    <t>ticketchu</t>
  </si>
  <si>
    <t>North Central Alabama rural or suburban driving</t>
  </si>
  <si>
    <t>Tintorera</t>
  </si>
  <si>
    <t>21" Cyclone Summer - 19" Slipstream Winter (studless)</t>
  </si>
  <si>
    <t>19" NYC area</t>
  </si>
  <si>
    <t>Tom Pot</t>
  </si>
  <si>
    <t>19" michelin (Matteo: Hi. Double click to read. You are the first to submit an entry for 70D in Europe. Tesla doesn't publish typical range numbers anywhere. We have to guess based on what people report seeing in the car. For now I have entered 343 km with range mode on. This might change when there are 70D entries from more people, depending on what numbers they report. So don't be surprised if your percentage number changes in the future. By the way, you can submit as many entries as you like to see how your range changes over time. Thanks for the data. Check out charts page.</t>
  </si>
  <si>
    <t>21" tires</t>
  </si>
  <si>
    <t xml:space="preserve">We have a heated garage .. never too hot or cold .. this car is babied! </t>
  </si>
  <si>
    <t>19" all season</t>
  </si>
  <si>
    <t>Full charge on 11kW</t>
  </si>
  <si>
    <t>19" SoCal</t>
  </si>
  <si>
    <t>19" OH ('new' 60kWh)</t>
  </si>
  <si>
    <t>ucmndd</t>
  </si>
  <si>
    <t>Last 100% charge RKm 405 by app, 402 in car &gt; after 1km 409, stayed at 409 for 7km</t>
  </si>
  <si>
    <t>19" aero wheels</t>
  </si>
  <si>
    <t>19", Virginia</t>
  </si>
  <si>
    <t>Verdi</t>
  </si>
  <si>
    <t>Volker.Berlin</t>
  </si>
  <si>
    <t>Dropped by 4 km or mi</t>
  </si>
  <si>
    <t>Drive unit replaced twice, 21"</t>
  </si>
  <si>
    <t>drive unit replaced, 21"</t>
  </si>
  <si>
    <t>Wulli</t>
  </si>
  <si>
    <t>Increased by 4 km or mi</t>
  </si>
  <si>
    <t>Aero Wheels</t>
  </si>
  <si>
    <t>19"  2x drive unit vervangen. 6 maanden op 60% geladen, ervan uitgaande dat dat het beste voltage voor de batterij is. Mogelijk daardoor minder gebalanceerde batterij....?</t>
  </si>
  <si>
    <t>2nd 85D in Europe</t>
  </si>
  <si>
    <t>(Matteo: Hi. I have recovered your old entry and created a new entry with your new data. It is better to submit a new entry if your data changes. Thanks)</t>
  </si>
  <si>
    <t>Charged more often to 90% this year - seems like the battery benefitted from this</t>
  </si>
  <si>
    <t>19" P85D, Maryland</t>
  </si>
  <si>
    <t>This section is related to the custom trendline.</t>
  </si>
  <si>
    <t>Usable battery capacity when new</t>
  </si>
  <si>
    <t>This section is about the survey question "What was 100% range when the car was new?" The numbers on the left are updated periodically based on the averages calculated here.</t>
  </si>
  <si>
    <t>Range change after battery replacement</t>
  </si>
  <si>
    <t>Form lists</t>
  </si>
  <si>
    <t>Comparing column names</t>
  </si>
  <si>
    <t>Dynamic</t>
  </si>
  <si>
    <t>Static</t>
  </si>
  <si>
    <t>Rated range</t>
  </si>
  <si>
    <t>Typical range for Model S/X WLTP for Model 3</t>
  </si>
  <si>
    <t>Average excluding min and max values</t>
  </si>
  <si>
    <t>Form responses</t>
  </si>
  <si>
    <t>Preform entries</t>
  </si>
  <si>
    <t>All entries</t>
  </si>
  <si>
    <t>Best D value that results in the lowest sum sq. number</t>
  </si>
  <si>
    <t>mi</t>
  </si>
  <si>
    <t>km</t>
  </si>
  <si>
    <t>Wh</t>
  </si>
  <si>
    <t>Median</t>
  </si>
  <si>
    <t>Increased by 1 km or mi</t>
  </si>
  <si>
    <t>A</t>
  </si>
  <si>
    <t>Increased by 2 km or mi</t>
  </si>
  <si>
    <t>B</t>
  </si>
  <si>
    <t>&lt;&lt; select car model</t>
  </si>
  <si>
    <t>Increased by 3 km or mi</t>
  </si>
  <si>
    <t>Range unit</t>
  </si>
  <si>
    <t>Manufacture date</t>
  </si>
  <si>
    <t>D</t>
  </si>
  <si>
    <t>Supercharge frequency</t>
  </si>
  <si>
    <t>100% charge frequency</t>
  </si>
  <si>
    <t>Frequency of 5% or less range</t>
  </si>
  <si>
    <t>Low value</t>
  </si>
  <si>
    <t>Daily charge level ?</t>
  </si>
  <si>
    <t>x= mileage in km
y= remaining original range %
y = A - x/(B*100) + C*exp(-x/D)</t>
  </si>
  <si>
    <t>Range at 100% when car was new? [mi or km]</t>
  </si>
  <si>
    <t>Increased by 11 km or mi</t>
  </si>
  <si>
    <t>Rated range [Wh/mi or Wh/km]</t>
  </si>
  <si>
    <t>Increased by 12 km or mi</t>
  </si>
  <si>
    <t>Lifetime average [Wh/mi or Wh/km]?</t>
  </si>
  <si>
    <t>Increased by 13 km or mi</t>
  </si>
  <si>
    <t>If battery was replaced, what was mileage? [mi or km]</t>
  </si>
  <si>
    <t>Increased by 14 km or mi</t>
  </si>
  <si>
    <t>If battery was replaced, how did range change?</t>
  </si>
  <si>
    <t xml:space="preserve">R^2 = </t>
  </si>
  <si>
    <t>Increased by 15 km or mi</t>
  </si>
  <si>
    <t>F =</t>
  </si>
  <si>
    <t>Increased by 16 km or mi</t>
  </si>
  <si>
    <t>Increased by 17 km or mi</t>
  </si>
  <si>
    <t>^ sum sq.</t>
  </si>
  <si>
    <t>Increased by 18 km or mi</t>
  </si>
  <si>
    <t>Increased by 19 km or mi</t>
  </si>
  <si>
    <t>D =</t>
  </si>
  <si>
    <t>Increased by 21 km or mi</t>
  </si>
  <si>
    <t>Increased by 22 km or mi</t>
  </si>
  <si>
    <t>Increased by 23 km or mi</t>
  </si>
  <si>
    <t>Middle value (Charts and tables use this one)</t>
  </si>
  <si>
    <t>Increased by 25 km or mi</t>
  </si>
  <si>
    <t>Increased by 26 km or mi</t>
  </si>
  <si>
    <t>Increased by 27 km or mi</t>
  </si>
  <si>
    <t>Increased by 28 km or mi</t>
  </si>
  <si>
    <t>Increased by 29 km or mi</t>
  </si>
  <si>
    <t>Increased by 30 km or mi</t>
  </si>
  <si>
    <t>Dropped by 1 km or mi</t>
  </si>
  <si>
    <t>Dropped by 2 km or mi</t>
  </si>
  <si>
    <t>Dropped by 5 km or mi</t>
  </si>
  <si>
    <t>High value</t>
  </si>
  <si>
    <t>Calculating trendline at specific mileage:</t>
  </si>
  <si>
    <t>Example:</t>
  </si>
  <si>
    <t>Mileage</t>
  </si>
  <si>
    <t>Remaining original capacity</t>
  </si>
  <si>
    <t>The range numbers above are with range mode on</t>
  </si>
  <si>
    <t>blue: my estimate</t>
  </si>
  <si>
    <t>puple: based on answers to survey question "What was 100% range when car was new?"</t>
  </si>
  <si>
    <t>orange: formulas</t>
  </si>
  <si>
    <t>Select Username &gt;&gt;</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</si>
</sst>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0[$ mi]"/>
    <numFmt numFmtId="165" formatCode="#,##0[$ km]"/>
    <numFmt numFmtId="166" formatCode="dd&quot; &quot;mmm&quot; &quot;yyyy"/>
    <numFmt numFmtId="167" formatCode="d-M-yyyy H:mm:ss"/>
    <numFmt numFmtId="168" formatCode="m/d/yyyy h:mm:ss"/>
    <numFmt numFmtId="169" formatCode="d&quot; &quot;mmm&quot; &quot;yyyy"/>
    <numFmt numFmtId="170" formatCode="d mmm yyyy"/>
    <numFmt numFmtId="171" formatCode="#,##0[$ Wh]"/>
    <numFmt numFmtId="172" formatCode="yyyy-mm-dd"/>
    <numFmt numFmtId="173" formatCode="#,##0.000"/>
    <numFmt numFmtId="174" formatCode="0.0"/>
    <numFmt numFmtId="175" formatCode="d mmmm yyyy"/>
    <numFmt numFmtId="176" formatCode="d. mmm yyyy"/>
    <numFmt numFmtId="177" formatCode="0.0%"/>
  </numFmts>
  <fonts count="40">
    <font>
      <sz val="10.0"/>
      <color rgb="FF000000"/>
      <name val="Arial"/>
    </font>
    <font>
      <b/>
      <color rgb="FF000000"/>
    </font>
    <font/>
    <font>
      <b/>
    </font>
    <font>
      <sz val="10.0"/>
      <name val="Arial"/>
    </font>
    <font>
      <color rgb="FF000000"/>
    </font>
    <font>
      <color rgb="FFFFFFFF"/>
    </font>
    <font>
      <u/>
      <color rgb="FF0000FF"/>
    </font>
    <font>
      <u/>
      <color rgb="FF0000FF"/>
    </font>
    <font>
      <u/>
      <color rgb="FF0000FF"/>
    </font>
    <font>
      <u/>
      <color rgb="FF0000FF"/>
    </font>
    <font>
      <u/>
      <color rgb="FF0000FF"/>
    </font>
    <font>
      <u/>
      <color rgb="FF0000FF"/>
    </font>
    <font>
      <u/>
      <color rgb="FF0000FF"/>
    </font>
    <font>
      <u/>
      <color rgb="FF0000FF"/>
    </font>
    <font>
      <b/>
      <sz val="10.0"/>
      <name val="Arial"/>
    </font>
    <font>
      <sz val="14.0"/>
    </font>
    <font>
      <u/>
      <color rgb="FF0000FF"/>
    </font>
    <font>
      <sz val="10.0"/>
    </font>
    <font>
      <sz val="11.0"/>
    </font>
    <font>
      <name val="Arial"/>
    </font>
    <font>
      <sz val="11.0"/>
      <name val="Roboto"/>
    </font>
    <font>
      <b/>
      <sz val="11.0"/>
      <name val="Roboto"/>
    </font>
    <font>
      <sz val="11.0"/>
      <color rgb="FFFFFFFF"/>
      <name val="Roboto"/>
    </font>
    <font>
      <b/>
      <sz val="11.0"/>
      <color rgb="FFFFFFFF"/>
      <name val="Roboto"/>
    </font>
    <font>
      <u/>
      <sz val="11.0"/>
      <color rgb="FF0000FF"/>
      <name val="Roboto"/>
    </font>
    <font>
      <u/>
      <sz val="11.0"/>
      <color rgb="FF0000FF"/>
      <name val="Roboto"/>
    </font>
    <font>
      <u/>
      <sz val="11.0"/>
      <color rgb="FF0000FF"/>
      <name val="Roboto"/>
    </font>
    <font>
      <u/>
      <sz val="11.0"/>
      <color rgb="FF0000FF"/>
      <name val="Roboto"/>
    </font>
    <font>
      <color rgb="FFFFFFFF"/>
      <name val="Roboto"/>
    </font>
    <font>
      <color rgb="FFEFEFEF"/>
      <name val="Roboto"/>
    </font>
    <font>
      <name val="Roboto"/>
    </font>
    <font>
      <color rgb="FF000000"/>
      <name val="Arial"/>
    </font>
    <font>
      <color rgb="FF173487"/>
      <name val="Roboto"/>
    </font>
    <font>
      <u/>
      <sz val="10.0"/>
      <color rgb="FF0000FF"/>
    </font>
    <font>
      <u/>
      <sz val="10.0"/>
      <color rgb="FF0000FF"/>
    </font>
    <font>
      <u/>
      <sz val="10.0"/>
      <color rgb="FF0000FF"/>
    </font>
    <font>
      <u/>
      <sz val="10.0"/>
      <color rgb="FF0000FF"/>
    </font>
    <font>
      <u/>
      <sz val="10.0"/>
      <color rgb="FF0000FF"/>
    </font>
    <font>
      <u/>
      <color rgb="FF0000FF"/>
    </font>
  </fonts>
  <fills count="30">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0E9F8"/>
        <bgColor rgb="FFE0E9F8"/>
      </patternFill>
    </fill>
    <fill>
      <patternFill patternType="solid">
        <fgColor rgb="FFFFA9A9"/>
        <bgColor rgb="FFFFA9A9"/>
      </patternFill>
    </fill>
    <fill>
      <patternFill patternType="solid">
        <fgColor rgb="FFB6D7A8"/>
        <bgColor rgb="FFB6D7A8"/>
      </patternFill>
    </fill>
    <fill>
      <patternFill patternType="solid">
        <fgColor rgb="FFFFEF32"/>
        <bgColor rgb="FFFFEF32"/>
      </patternFill>
    </fill>
    <fill>
      <patternFill patternType="solid">
        <fgColor rgb="FF1C4587"/>
        <bgColor rgb="FF1C4587"/>
      </patternFill>
    </fill>
    <fill>
      <patternFill patternType="solid">
        <fgColor rgb="FF20E803"/>
        <bgColor rgb="FF20E803"/>
      </patternFill>
    </fill>
    <fill>
      <patternFill patternType="solid">
        <fgColor rgb="FFFF0000"/>
        <bgColor rgb="FFFF0000"/>
      </patternFill>
    </fill>
    <fill>
      <patternFill patternType="solid">
        <fgColor rgb="FFA4C2F4"/>
        <bgColor rgb="FFA4C2F4"/>
      </patternFill>
    </fill>
    <fill>
      <patternFill patternType="solid">
        <fgColor rgb="FFFFD333"/>
        <bgColor rgb="FFFFD333"/>
      </patternFill>
    </fill>
    <fill>
      <patternFill patternType="solid">
        <fgColor rgb="FF8BF08E"/>
        <bgColor rgb="FF8BF08E"/>
      </patternFill>
    </fill>
    <fill>
      <patternFill patternType="solid">
        <fgColor rgb="FFFFD966"/>
        <bgColor rgb="FFFFD966"/>
      </patternFill>
    </fill>
    <fill>
      <patternFill patternType="solid">
        <fgColor rgb="FF93C47D"/>
        <bgColor rgb="FF93C47D"/>
      </patternFill>
    </fill>
    <fill>
      <patternFill patternType="solid">
        <fgColor rgb="FF12E504"/>
        <bgColor rgb="FF12E504"/>
      </patternFill>
    </fill>
    <fill>
      <patternFill patternType="solid">
        <fgColor rgb="FFFFFF00"/>
        <bgColor rgb="FFFFFF00"/>
      </patternFill>
    </fill>
    <fill>
      <patternFill patternType="solid">
        <fgColor rgb="FFA7CDD9"/>
        <bgColor rgb="FFA7CDD9"/>
      </patternFill>
    </fill>
    <fill>
      <patternFill patternType="solid">
        <fgColor rgb="FF00FFFF"/>
        <bgColor rgb="FF00FFFF"/>
      </patternFill>
    </fill>
    <fill>
      <patternFill patternType="solid">
        <fgColor rgb="FF65B3FD"/>
        <bgColor rgb="FF65B3FD"/>
      </patternFill>
    </fill>
    <fill>
      <patternFill patternType="solid">
        <fgColor rgb="FFFFE599"/>
        <bgColor rgb="FFFFE599"/>
      </patternFill>
    </fill>
    <fill>
      <patternFill patternType="solid">
        <fgColor rgb="FF1155CC"/>
        <bgColor rgb="FF1155CC"/>
      </patternFill>
    </fill>
    <fill>
      <patternFill patternType="solid">
        <fgColor rgb="FF666666"/>
        <bgColor rgb="FF666666"/>
      </patternFill>
    </fill>
    <fill>
      <patternFill patternType="solid">
        <fgColor rgb="FFEFEFEF"/>
        <bgColor rgb="FFEFEFEF"/>
      </patternFill>
    </fill>
    <fill>
      <patternFill patternType="solid">
        <fgColor rgb="FF6D9EEB"/>
        <bgColor rgb="FF6D9EEB"/>
      </patternFill>
    </fill>
    <fill>
      <patternFill patternType="solid">
        <fgColor rgb="FF25D690"/>
        <bgColor rgb="FF25D690"/>
      </patternFill>
    </fill>
    <fill>
      <patternFill patternType="solid">
        <fgColor rgb="FFD9D2E9"/>
        <bgColor rgb="FFD9D2E9"/>
      </patternFill>
    </fill>
    <fill>
      <patternFill patternType="solid">
        <fgColor rgb="FF45818E"/>
        <bgColor rgb="FF45818E"/>
      </patternFill>
    </fill>
    <fill>
      <patternFill patternType="solid">
        <fgColor rgb="FFB4A7D6"/>
        <bgColor rgb="FFB4A7D6"/>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999999"/>
      </left>
      <right style="thin">
        <color rgb="FF999999"/>
      </right>
      <top style="thin">
        <color rgb="FF999999"/>
      </top>
      <bottom style="thin">
        <color rgb="FF999999"/>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422">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2" fillId="0" fontId="1" numFmtId="0" xfId="0" applyAlignment="1" applyBorder="1" applyFont="1">
      <alignment horizontal="center" readingOrder="0" shrinkToFit="0" vertical="center" wrapText="1"/>
    </xf>
    <xf borderId="3" fillId="0" fontId="2" numFmtId="0" xfId="0" applyBorder="1" applyFont="1"/>
    <xf borderId="2" fillId="0" fontId="3" numFmtId="0" xfId="0" applyAlignment="1" applyBorder="1" applyFont="1">
      <alignment horizontal="center" readingOrder="0" shrinkToFit="0" vertical="center" wrapText="1"/>
    </xf>
    <xf borderId="4" fillId="0" fontId="2" numFmtId="0" xfId="0" applyBorder="1" applyFont="1"/>
    <xf borderId="2" fillId="0" fontId="2" numFmtId="0" xfId="0" applyAlignment="1" applyBorder="1" applyFont="1">
      <alignment readingOrder="0" vertical="center"/>
    </xf>
    <xf borderId="1" fillId="2" fontId="2" numFmtId="0" xfId="0" applyAlignment="1" applyBorder="1" applyFill="1" applyFont="1">
      <alignment shrinkToFit="0" vertical="top" wrapText="0"/>
    </xf>
    <xf borderId="1" fillId="2" fontId="2" numFmtId="0" xfId="0" applyAlignment="1" applyBorder="1" applyFont="1">
      <alignment shrinkToFit="0" vertical="top" wrapText="0"/>
    </xf>
    <xf borderId="1" fillId="2" fontId="2" numFmtId="0" xfId="0" applyBorder="1" applyFont="1"/>
    <xf borderId="1" fillId="2" fontId="4" numFmtId="0" xfId="0" applyAlignment="1" applyBorder="1" applyFont="1">
      <alignment horizontal="center" readingOrder="0" vertical="center"/>
    </xf>
    <xf borderId="1" fillId="2" fontId="2" numFmtId="0" xfId="0" applyAlignment="1" applyBorder="1" applyFont="1">
      <alignment horizontal="right" shrinkToFit="0" wrapText="0"/>
    </xf>
    <xf borderId="1" fillId="3" fontId="5" numFmtId="0" xfId="0" applyAlignment="1" applyBorder="1" applyFill="1" applyFont="1">
      <alignment horizontal="left" readingOrder="0" vertical="center"/>
    </xf>
    <xf borderId="1" fillId="4" fontId="5" numFmtId="0" xfId="0" applyAlignment="1" applyBorder="1" applyFill="1" applyFont="1">
      <alignment horizontal="center" readingOrder="0" vertical="center"/>
    </xf>
    <xf borderId="1" fillId="5" fontId="5" numFmtId="0" xfId="0" applyAlignment="1" applyBorder="1" applyFill="1" applyFont="1">
      <alignment horizontal="center" readingOrder="0" vertical="center"/>
    </xf>
    <xf borderId="1" fillId="6" fontId="2" numFmtId="0" xfId="0" applyAlignment="1" applyBorder="1" applyFill="1" applyFont="1">
      <alignment horizontal="center" readingOrder="0" vertical="center"/>
    </xf>
    <xf borderId="1" fillId="6" fontId="5" numFmtId="0" xfId="0" applyAlignment="1" applyBorder="1" applyFont="1">
      <alignment horizontal="center" readingOrder="0" vertical="center"/>
    </xf>
    <xf borderId="1" fillId="7" fontId="5" numFmtId="0" xfId="0" applyAlignment="1" applyBorder="1" applyFill="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center" vertical="center"/>
    </xf>
    <xf borderId="1" fillId="8" fontId="6" numFmtId="0" xfId="0" applyAlignment="1" applyBorder="1" applyFill="1" applyFont="1">
      <alignment readingOrder="0" vertical="center"/>
    </xf>
    <xf borderId="1" fillId="2" fontId="2" numFmtId="0" xfId="0" applyAlignment="1" applyBorder="1" applyFont="1">
      <alignment horizontal="center" readingOrder="0" vertical="center"/>
    </xf>
    <xf borderId="1" fillId="3" fontId="2" numFmtId="0" xfId="0" applyAlignment="1" applyBorder="1" applyFont="1">
      <alignment horizontal="left" readingOrder="0" vertical="center"/>
    </xf>
    <xf borderId="1" fillId="4" fontId="7" numFmtId="164" xfId="0" applyAlignment="1" applyBorder="1" applyFont="1" applyNumberFormat="1">
      <alignment horizontal="center" readingOrder="0" vertical="center"/>
    </xf>
    <xf borderId="1" fillId="4" fontId="2" numFmtId="0" xfId="0" applyAlignment="1" applyBorder="1" applyFont="1">
      <alignment horizontal="center" readingOrder="0" vertical="center"/>
    </xf>
    <xf borderId="1" fillId="5" fontId="8" numFmtId="165" xfId="0" applyAlignment="1" applyBorder="1" applyFont="1" applyNumberFormat="1">
      <alignment horizontal="center" readingOrder="0" vertical="center"/>
    </xf>
    <xf borderId="1" fillId="5" fontId="2" numFmtId="0" xfId="0" applyAlignment="1" applyBorder="1" applyFont="1">
      <alignment horizontal="center" readingOrder="0" vertical="center"/>
    </xf>
    <xf borderId="1" fillId="6" fontId="2" numFmtId="164" xfId="0" applyAlignment="1" applyBorder="1" applyFont="1" applyNumberFormat="1">
      <alignment horizontal="center" readingOrder="0" vertical="center"/>
    </xf>
    <xf borderId="1" fillId="7" fontId="2" numFmtId="165" xfId="0" applyAlignment="1" applyBorder="1" applyFont="1" applyNumberFormat="1">
      <alignment horizontal="center" vertical="center"/>
    </xf>
    <xf borderId="1" fillId="7" fontId="2" numFmtId="0" xfId="0" applyAlignment="1" applyBorder="1" applyFont="1">
      <alignment horizontal="center" readingOrder="0" vertical="center"/>
    </xf>
    <xf borderId="1" fillId="0" fontId="9" numFmtId="164" xfId="0" applyAlignment="1" applyBorder="1" applyFont="1" applyNumberFormat="1">
      <alignment horizontal="center" readingOrder="0" vertical="center"/>
    </xf>
    <xf borderId="1" fillId="0" fontId="10" numFmtId="165" xfId="0" applyAlignment="1" applyBorder="1" applyFont="1" applyNumberFormat="1">
      <alignment horizontal="center" readingOrder="0" vertical="center"/>
    </xf>
    <xf borderId="1" fillId="0" fontId="11" numFmtId="0" xfId="0" applyAlignment="1" applyBorder="1" applyFont="1">
      <alignment horizontal="center" readingOrder="0" vertical="center"/>
    </xf>
    <xf borderId="1" fillId="9" fontId="2" numFmtId="0" xfId="0" applyAlignment="1" applyBorder="1" applyFill="1" applyFont="1">
      <alignment readingOrder="0" vertical="center"/>
    </xf>
    <xf borderId="1" fillId="10" fontId="2" numFmtId="0" xfId="0" applyAlignment="1" applyBorder="1" applyFill="1" applyFont="1">
      <alignment readingOrder="0" vertical="center"/>
    </xf>
    <xf borderId="1" fillId="0" fontId="2" numFmtId="164" xfId="0" applyAlignment="1" applyBorder="1" applyFont="1" applyNumberFormat="1">
      <alignment horizontal="center" readingOrder="0" vertical="center"/>
    </xf>
    <xf borderId="1" fillId="0" fontId="2" numFmtId="165" xfId="0" applyAlignment="1" applyBorder="1" applyFont="1" applyNumberFormat="1">
      <alignment horizontal="center" readingOrder="0" vertical="center"/>
    </xf>
    <xf borderId="1" fillId="5" fontId="2" numFmtId="165" xfId="0" applyAlignment="1" applyBorder="1" applyFont="1" applyNumberFormat="1">
      <alignment horizontal="center" readingOrder="0" vertical="center"/>
    </xf>
    <xf borderId="1" fillId="0" fontId="2" numFmtId="0" xfId="0" applyAlignment="1" applyBorder="1" applyFont="1">
      <alignment shrinkToFit="0" wrapText="0"/>
    </xf>
    <xf borderId="0" fillId="0" fontId="2" numFmtId="0" xfId="0" applyAlignment="1" applyFont="1">
      <alignment vertical="center"/>
    </xf>
    <xf borderId="1" fillId="0" fontId="12" numFmtId="0" xfId="0" applyAlignment="1" applyBorder="1" applyFont="1">
      <alignment horizontal="center" vertical="center"/>
    </xf>
    <xf borderId="0" fillId="9" fontId="2" numFmtId="0" xfId="0" applyAlignment="1" applyFont="1">
      <alignment readingOrder="0" vertical="center"/>
    </xf>
    <xf borderId="0" fillId="9" fontId="2" numFmtId="0" xfId="0" applyAlignment="1" applyFont="1">
      <alignment vertical="center"/>
    </xf>
    <xf borderId="0" fillId="10" fontId="2" numFmtId="0" xfId="0" applyAlignment="1" applyFont="1">
      <alignment readingOrder="0" vertical="center"/>
    </xf>
    <xf borderId="0" fillId="10" fontId="2" numFmtId="0" xfId="0" applyAlignment="1" applyFont="1">
      <alignment vertical="center"/>
    </xf>
    <xf borderId="1" fillId="2" fontId="2" numFmtId="0" xfId="0" applyAlignment="1" applyBorder="1" applyFont="1">
      <alignment horizontal="right" shrinkToFit="0" wrapText="1"/>
    </xf>
    <xf borderId="1" fillId="4" fontId="2" numFmtId="164" xfId="0" applyAlignment="1" applyBorder="1" applyFont="1" applyNumberFormat="1">
      <alignment horizontal="center" readingOrder="0" vertical="center"/>
    </xf>
    <xf borderId="1" fillId="4" fontId="13" numFmtId="164" xfId="0" applyAlignment="1" applyBorder="1" applyFont="1" applyNumberFormat="1">
      <alignment horizontal="center" readingOrder="0" vertical="center"/>
    </xf>
    <xf borderId="1" fillId="11" fontId="3" numFmtId="0" xfId="0" applyAlignment="1" applyBorder="1" applyFill="1" applyFont="1">
      <alignment horizontal="right" readingOrder="0" shrinkToFit="0" vertical="center" wrapText="1"/>
    </xf>
    <xf borderId="2" fillId="11" fontId="3" numFmtId="0" xfId="0" applyAlignment="1" applyBorder="1" applyFont="1">
      <alignment horizontal="left" readingOrder="0" shrinkToFit="0" vertical="center" wrapText="0"/>
    </xf>
    <xf borderId="0" fillId="0" fontId="2" numFmtId="0" xfId="0" applyAlignment="1" applyFont="1">
      <alignment shrinkToFit="0" wrapText="0"/>
    </xf>
    <xf borderId="0" fillId="0" fontId="3" numFmtId="0" xfId="0" applyAlignment="1" applyFont="1">
      <alignment horizontal="center" readingOrder="0" shrinkToFit="0" vertical="center" wrapText="1"/>
    </xf>
    <xf borderId="0" fillId="0" fontId="2" numFmtId="0" xfId="0" applyAlignment="1" applyFont="1">
      <alignment readingOrder="0" shrinkToFit="0" vertical="center" wrapText="1"/>
    </xf>
    <xf borderId="5" fillId="0" fontId="2" numFmtId="14" xfId="0" applyAlignment="1" applyBorder="1" applyFont="1" applyNumberFormat="1">
      <alignment horizontal="right" readingOrder="0" vertical="center"/>
    </xf>
    <xf borderId="5" fillId="0" fontId="2" numFmtId="0" xfId="0" applyAlignment="1" applyBorder="1" applyFont="1">
      <alignment horizontal="right" readingOrder="0" vertical="center"/>
    </xf>
    <xf borderId="2" fillId="0" fontId="2" numFmtId="0" xfId="0" applyAlignment="1" applyBorder="1" applyFont="1">
      <alignment horizontal="left" readingOrder="0" shrinkToFit="0" vertical="center" wrapText="0"/>
    </xf>
    <xf borderId="6" fillId="0" fontId="2" numFmtId="0" xfId="0" applyBorder="1" applyFont="1"/>
    <xf borderId="2" fillId="0" fontId="14" numFmtId="0" xfId="0" applyAlignment="1" applyBorder="1" applyFont="1">
      <alignment horizontal="left" readingOrder="0" shrinkToFit="0" vertical="center" wrapText="0"/>
    </xf>
    <xf borderId="0" fillId="0" fontId="2" numFmtId="0" xfId="0" applyAlignment="1" applyFont="1">
      <alignment horizontal="center" shrinkToFit="0" wrapText="0"/>
    </xf>
    <xf borderId="5" fillId="3" fontId="2" numFmtId="0" xfId="0" applyAlignment="1" applyBorder="1" applyFont="1">
      <alignment horizontal="center" readingOrder="0" shrinkToFit="0" vertical="center" wrapText="1"/>
    </xf>
    <xf borderId="7" fillId="4" fontId="2" numFmtId="0" xfId="0" applyAlignment="1" applyBorder="1" applyFont="1">
      <alignment horizontal="center" readingOrder="0" shrinkToFit="0" vertical="center" wrapText="1"/>
    </xf>
    <xf borderId="8" fillId="0" fontId="2" numFmtId="0" xfId="0" applyBorder="1" applyFont="1"/>
    <xf borderId="7" fillId="5" fontId="2" numFmtId="0" xfId="0" applyAlignment="1" applyBorder="1" applyFont="1">
      <alignment horizontal="center" readingOrder="0" shrinkToFit="0" vertical="center" wrapText="1"/>
    </xf>
    <xf borderId="7" fillId="6" fontId="2" numFmtId="0" xfId="0" applyAlignment="1" applyBorder="1" applyFont="1">
      <alignment horizontal="center" readingOrder="0" shrinkToFit="0" vertical="center" wrapText="1"/>
    </xf>
    <xf borderId="7" fillId="7" fontId="2" numFmtId="0" xfId="0" applyAlignment="1" applyBorder="1" applyFont="1">
      <alignment horizontal="center" readingOrder="0" shrinkToFit="0" vertical="center" wrapText="1"/>
    </xf>
    <xf borderId="9" fillId="0" fontId="2" numFmtId="0" xfId="0" applyBorder="1" applyFont="1"/>
    <xf borderId="10" fillId="0" fontId="2" numFmtId="0" xfId="0" applyBorder="1" applyFont="1"/>
    <xf borderId="0" fillId="0" fontId="3" numFmtId="0" xfId="0" applyAlignment="1" applyFont="1">
      <alignment horizontal="right" readingOrder="0" shrinkToFit="0" vertical="center" wrapText="1"/>
    </xf>
    <xf borderId="0" fillId="0" fontId="3" numFmtId="0" xfId="0" applyAlignment="1" applyFont="1">
      <alignment horizontal="left" readingOrder="0" shrinkToFit="0" vertical="center" wrapText="0"/>
    </xf>
    <xf borderId="11" fillId="0" fontId="2" numFmtId="0" xfId="0" applyBorder="1" applyFont="1"/>
    <xf borderId="1" fillId="0" fontId="2" numFmtId="0" xfId="0" applyAlignment="1" applyBorder="1" applyFont="1">
      <alignment horizontal="right" readingOrder="0" shrinkToFit="0" vertical="center" wrapText="1"/>
    </xf>
    <xf borderId="12" fillId="0" fontId="2" numFmtId="0" xfId="0" applyBorder="1" applyFont="1"/>
    <xf borderId="2" fillId="0" fontId="2" numFmtId="0" xfId="0" applyAlignment="1" applyBorder="1" applyFont="1">
      <alignment readingOrder="0" shrinkToFit="0" vertical="center" wrapText="1"/>
    </xf>
    <xf borderId="13" fillId="0" fontId="2" numFmtId="0" xfId="0" applyBorder="1" applyFont="1"/>
    <xf borderId="1" fillId="0" fontId="2" numFmtId="14" xfId="0" applyAlignment="1" applyBorder="1" applyFont="1" applyNumberFormat="1">
      <alignment horizontal="right" readingOrder="0" vertical="center"/>
    </xf>
    <xf borderId="1" fillId="0" fontId="2" numFmtId="0" xfId="0" applyAlignment="1" applyBorder="1" applyFont="1">
      <alignment horizontal="right" readingOrder="0" vertical="center"/>
    </xf>
    <xf borderId="0" fillId="0" fontId="5" numFmtId="0" xfId="0" applyAlignment="1" applyFont="1">
      <alignment readingOrder="0" shrinkToFit="0" vertical="top" wrapText="1"/>
    </xf>
    <xf borderId="2" fillId="0" fontId="2" numFmtId="0" xfId="0" applyAlignment="1" applyBorder="1" applyFont="1">
      <alignment readingOrder="0" shrinkToFit="0" wrapText="1"/>
    </xf>
    <xf borderId="0" fillId="0" fontId="2" numFmtId="0" xfId="0" applyAlignment="1" applyFont="1">
      <alignment horizontal="center"/>
    </xf>
    <xf borderId="0" fillId="0" fontId="2" numFmtId="0" xfId="0" applyAlignment="1" applyFont="1">
      <alignment readingOrder="0" shrinkToFit="0" wrapText="1"/>
    </xf>
    <xf borderId="2" fillId="0" fontId="2" numFmtId="0" xfId="0" applyAlignment="1" applyBorder="1" applyFont="1">
      <alignment readingOrder="0" shrinkToFit="0" vertical="top" wrapText="1"/>
    </xf>
    <xf borderId="1" fillId="11"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11" fontId="2" numFmtId="0" xfId="0" applyAlignment="1" applyBorder="1" applyFont="1">
      <alignment horizontal="center" readingOrder="0" shrinkToFit="0" vertical="center" wrapText="0"/>
    </xf>
    <xf borderId="1" fillId="0" fontId="2"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borderId="0" fillId="0" fontId="2" numFmtId="14" xfId="0" applyAlignment="1" applyFont="1" applyNumberFormat="1">
      <alignment horizontal="right" readingOrder="0" vertical="center"/>
    </xf>
    <xf borderId="0" fillId="0" fontId="2" numFmtId="0" xfId="0" applyAlignment="1" applyFont="1">
      <alignment horizontal="right" readingOrder="0" vertical="center"/>
    </xf>
    <xf borderId="0" fillId="12" fontId="3" numFmtId="0" xfId="0" applyAlignment="1" applyFill="1" applyFont="1">
      <alignment horizontal="right" readingOrder="0" shrinkToFit="0" vertical="center" wrapText="1"/>
    </xf>
    <xf borderId="1" fillId="0" fontId="2" numFmtId="14" xfId="0" applyAlignment="1" applyBorder="1" applyFont="1" applyNumberFormat="1">
      <alignment horizontal="center" readingOrder="0" vertical="center"/>
    </xf>
    <xf borderId="0" fillId="12" fontId="3" numFmtId="0" xfId="0" applyAlignment="1" applyFont="1">
      <alignment horizontal="left" readingOrder="0" shrinkToFit="0" vertical="center" wrapText="0"/>
    </xf>
    <xf borderId="0" fillId="12" fontId="3" numFmtId="0" xfId="0" applyAlignment="1" applyFont="1">
      <alignment horizontal="center" readingOrder="0" shrinkToFit="0" vertical="center" wrapText="1"/>
    </xf>
    <xf borderId="0" fillId="0" fontId="2" numFmtId="0" xfId="0" applyAlignment="1" applyFont="1">
      <alignment readingOrder="0" shrinkToFit="0" vertical="center" wrapText="0"/>
    </xf>
    <xf borderId="0" fillId="0" fontId="2" numFmtId="0" xfId="0" applyAlignment="1" applyFont="1">
      <alignment horizontal="right" vertical="center"/>
    </xf>
    <xf borderId="1" fillId="0" fontId="15" numFmtId="0" xfId="0" applyAlignment="1" applyBorder="1" applyFont="1">
      <alignment horizontal="right" readingOrder="0" shrinkToFit="0" vertical="center" wrapText="1"/>
    </xf>
    <xf borderId="1" fillId="0" fontId="15" numFmtId="0" xfId="0" applyAlignment="1" applyBorder="1" applyFont="1">
      <alignment horizontal="left" readingOrder="0" shrinkToFit="0" vertical="center" wrapText="1"/>
    </xf>
    <xf borderId="0" fillId="0" fontId="2" numFmtId="0" xfId="0" applyAlignment="1" applyFont="1">
      <alignment horizontal="left"/>
    </xf>
    <xf borderId="1" fillId="13" fontId="4" numFmtId="0" xfId="0" applyAlignment="1" applyBorder="1" applyFill="1" applyFont="1">
      <alignment horizontal="left" readingOrder="0" shrinkToFit="0" vertical="center" wrapText="0"/>
    </xf>
    <xf borderId="1" fillId="14" fontId="4" numFmtId="0" xfId="0" applyAlignment="1" applyBorder="1" applyFill="1" applyFont="1">
      <alignment horizontal="left" readingOrder="0" shrinkToFit="0" vertical="center" wrapText="0"/>
    </xf>
    <xf borderId="1" fillId="14" fontId="4" numFmtId="0" xfId="0" applyAlignment="1" applyBorder="1" applyFont="1">
      <alignment horizontal="right" readingOrder="0" shrinkToFit="0" vertical="center" wrapText="1"/>
    </xf>
    <xf borderId="1" fillId="14" fontId="2" numFmtId="0" xfId="0" applyAlignment="1" applyBorder="1" applyFont="1">
      <alignment horizontal="center" readingOrder="0" shrinkToFit="0" vertical="center" wrapText="1"/>
    </xf>
    <xf borderId="1" fillId="10" fontId="2" numFmtId="0" xfId="0" applyAlignment="1" applyBorder="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0"/>
    </xf>
    <xf borderId="2" fillId="2" fontId="2" numFmtId="0" xfId="0" applyAlignment="1" applyBorder="1" applyFont="1">
      <alignment horizontal="center" readingOrder="0" shrinkToFit="0" wrapText="1"/>
    </xf>
    <xf borderId="2" fillId="15" fontId="2" numFmtId="0" xfId="0" applyAlignment="1" applyBorder="1" applyFill="1" applyFont="1">
      <alignment horizontal="center" readingOrder="0" shrinkToFit="0" wrapText="1"/>
    </xf>
    <xf borderId="5" fillId="0" fontId="2" numFmtId="0" xfId="0" applyAlignment="1" applyBorder="1" applyFont="1">
      <alignment horizontal="right" readingOrder="0" shrinkToFit="0" wrapText="1"/>
    </xf>
    <xf borderId="1" fillId="2" fontId="2" numFmtId="0" xfId="0" applyAlignment="1" applyBorder="1" applyFont="1">
      <alignment readingOrder="0"/>
    </xf>
    <xf borderId="1" fillId="15" fontId="2" numFmtId="0" xfId="0" applyAlignment="1" applyBorder="1" applyFont="1">
      <alignment readingOrder="0"/>
    </xf>
    <xf borderId="1" fillId="0" fontId="2" numFmtId="0" xfId="0" applyAlignment="1" applyBorder="1" applyFont="1">
      <alignment readingOrder="0"/>
    </xf>
    <xf borderId="1" fillId="0" fontId="2" numFmtId="0" xfId="0" applyAlignment="1" applyBorder="1" applyFont="1">
      <alignment horizontal="right" readingOrder="0"/>
    </xf>
    <xf borderId="1" fillId="10" fontId="2" numFmtId="0" xfId="0" applyAlignment="1" applyBorder="1" applyFont="1">
      <alignment horizontal="center" readingOrder="0"/>
    </xf>
    <xf borderId="1" fillId="0" fontId="2" numFmtId="0" xfId="0" applyBorder="1" applyFont="1"/>
    <xf quotePrefix="1" borderId="1" fillId="0" fontId="2" numFmtId="0" xfId="0" applyAlignment="1" applyBorder="1" applyFont="1">
      <alignment horizontal="right" readingOrder="0"/>
    </xf>
    <xf borderId="1" fillId="13" fontId="4" numFmtId="0" xfId="0" applyAlignment="1" applyBorder="1" applyFont="1">
      <alignment horizontal="left" readingOrder="0" shrinkToFit="0" vertical="center" wrapText="0"/>
    </xf>
    <xf borderId="1" fillId="14" fontId="4" numFmtId="0" xfId="0" applyAlignment="1" applyBorder="1" applyFont="1">
      <alignment horizontal="left" readingOrder="0" shrinkToFit="0" vertical="center" wrapText="0"/>
    </xf>
    <xf borderId="1" fillId="0" fontId="4" numFmtId="9" xfId="0" applyAlignment="1" applyBorder="1" applyFont="1" applyNumberFormat="1">
      <alignment horizontal="left" readingOrder="0" shrinkToFit="0" vertical="center" wrapText="0"/>
    </xf>
    <xf borderId="0" fillId="7" fontId="16" numFmtId="0" xfId="0" applyAlignment="1" applyFont="1">
      <alignment horizontal="left" readingOrder="0" vertical="center"/>
    </xf>
    <xf borderId="0" fillId="7" fontId="2" numFmtId="0" xfId="0" applyAlignment="1" applyFont="1">
      <alignment horizontal="right" vertical="center"/>
    </xf>
    <xf borderId="0" fillId="7" fontId="2" numFmtId="0" xfId="0" applyAlignment="1" applyFont="1">
      <alignment shrinkToFit="0" wrapText="1"/>
    </xf>
    <xf borderId="0" fillId="7" fontId="2" numFmtId="0" xfId="0" applyFont="1"/>
    <xf borderId="0" fillId="0" fontId="2" numFmtId="0" xfId="0" applyAlignment="1" applyFont="1">
      <alignment readingOrder="0"/>
    </xf>
    <xf borderId="1" fillId="2" fontId="5" numFmtId="0" xfId="0" applyAlignment="1" applyBorder="1" applyFont="1">
      <alignment horizontal="right" vertical="center"/>
    </xf>
    <xf borderId="1" fillId="16" fontId="2" numFmtId="0" xfId="0" applyAlignment="1" applyBorder="1" applyFill="1" applyFont="1">
      <alignment readingOrder="0"/>
    </xf>
    <xf borderId="1" fillId="0" fontId="2" numFmtId="10" xfId="0" applyAlignment="1" applyBorder="1" applyFont="1" applyNumberFormat="1">
      <alignment horizontal="right" readingOrder="0" vertical="center"/>
    </xf>
    <xf borderId="1" fillId="2" fontId="2" numFmtId="10" xfId="0" applyAlignment="1" applyBorder="1" applyFont="1" applyNumberFormat="1">
      <alignment horizontal="right" vertical="center"/>
    </xf>
    <xf borderId="0" fillId="0" fontId="2" numFmtId="0" xfId="0" applyAlignment="1" applyFont="1">
      <alignment horizontal="left" readingOrder="0" shrinkToFit="0" wrapText="1"/>
    </xf>
    <xf borderId="0" fillId="0" fontId="2" numFmtId="0" xfId="0" applyAlignment="1" applyFont="1">
      <alignment horizontal="right" readingOrder="0" shrinkToFit="0" wrapText="1"/>
    </xf>
    <xf borderId="2"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horizontal="center" readingOrder="0" shrinkToFit="0" wrapText="1"/>
    </xf>
    <xf borderId="0" fillId="0" fontId="2" numFmtId="0" xfId="0" applyAlignment="1" applyFont="1">
      <alignment horizontal="left" readingOrder="0" shrinkToFit="0" vertical="center" wrapText="1"/>
    </xf>
    <xf borderId="1" fillId="0" fontId="2" numFmtId="0" xfId="0" applyAlignment="1" applyBorder="1" applyFont="1">
      <alignment horizontal="center" readingOrder="0" shrinkToFit="0" vertical="center" wrapText="1"/>
    </xf>
    <xf borderId="2" fillId="2" fontId="2" numFmtId="0" xfId="0" applyAlignment="1" applyBorder="1" applyFont="1">
      <alignment horizontal="left" readingOrder="0" vertical="top"/>
    </xf>
    <xf borderId="0" fillId="0" fontId="2" numFmtId="166" xfId="0" applyAlignment="1" applyFont="1" applyNumberFormat="1">
      <alignment horizontal="center" readingOrder="0" shrinkToFit="0" vertical="center" wrapText="1"/>
    </xf>
    <xf borderId="1" fillId="0" fontId="2" numFmtId="0" xfId="0" applyAlignment="1" applyBorder="1" applyFont="1">
      <alignment horizontal="center" shrinkToFit="0" wrapText="1"/>
    </xf>
    <xf borderId="0" fillId="0" fontId="2" numFmtId="0" xfId="0" applyAlignment="1" applyFont="1">
      <alignment horizontal="right" readingOrder="0" shrinkToFit="0" vertical="center" wrapText="0"/>
    </xf>
    <xf borderId="0" fillId="0" fontId="2" numFmtId="0" xfId="0" applyAlignment="1" applyFont="1">
      <alignment horizontal="left" readingOrder="0" vertical="center"/>
    </xf>
    <xf borderId="0" fillId="0" fontId="17" numFmtId="0" xfId="0" applyAlignment="1" applyFont="1">
      <alignment horizontal="left" readingOrder="0" shrinkToFit="0" vertical="center" wrapText="0"/>
    </xf>
    <xf borderId="0" fillId="0" fontId="3" numFmtId="0" xfId="0" applyAlignment="1" applyFont="1">
      <alignment horizontal="center" readingOrder="0" shrinkToFit="0" vertical="center" wrapText="0"/>
    </xf>
    <xf borderId="1" fillId="2" fontId="4" numFmtId="10" xfId="0" applyAlignment="1" applyBorder="1" applyFont="1" applyNumberFormat="1">
      <alignment horizontal="left" readingOrder="0" shrinkToFit="0" vertical="top" wrapText="0"/>
    </xf>
    <xf borderId="0" fillId="0" fontId="2" numFmtId="0" xfId="0" applyAlignment="1" applyFont="1">
      <alignment horizontal="center" readingOrder="0" shrinkToFit="0" vertical="center" wrapText="0"/>
    </xf>
    <xf borderId="1" fillId="2" fontId="2" numFmtId="0" xfId="0" applyAlignment="1" applyBorder="1" applyFont="1">
      <alignment horizontal="left" shrinkToFit="0" vertical="top" wrapText="0"/>
    </xf>
    <xf borderId="1" fillId="2" fontId="4" numFmtId="0" xfId="0" applyAlignment="1" applyBorder="1" applyFont="1">
      <alignment horizontal="left" shrinkToFit="0" vertical="top" wrapText="0"/>
    </xf>
    <xf borderId="1" fillId="0" fontId="2" numFmtId="166" xfId="0" applyAlignment="1" applyBorder="1" applyFont="1" applyNumberFormat="1">
      <alignment horizontal="center" readingOrder="0" shrinkToFit="0" vertical="center" wrapText="1"/>
    </xf>
    <xf borderId="1" fillId="16" fontId="2" numFmtId="0" xfId="0" applyAlignment="1" applyBorder="1" applyFont="1">
      <alignment horizontal="center" vertical="center"/>
    </xf>
    <xf borderId="1" fillId="16" fontId="2" numFmtId="0" xfId="0" applyAlignment="1" applyBorder="1" applyFont="1">
      <alignment horizontal="center" shrinkToFit="0" wrapText="1"/>
    </xf>
    <xf borderId="2" fillId="17" fontId="18" numFmtId="0" xfId="0" applyAlignment="1" applyBorder="1" applyFill="1" applyFont="1">
      <alignment horizontal="left" readingOrder="0" shrinkToFit="0" vertical="center" wrapText="1"/>
    </xf>
    <xf borderId="1" fillId="16" fontId="2" numFmtId="0" xfId="0" applyAlignment="1" applyBorder="1" applyFont="1">
      <alignment horizontal="center"/>
    </xf>
    <xf borderId="1" fillId="11" fontId="2" numFmtId="166" xfId="0" applyAlignment="1" applyBorder="1" applyFont="1" applyNumberFormat="1">
      <alignment horizontal="center" readingOrder="0" shrinkToFit="0" vertical="center" wrapText="1"/>
    </xf>
    <xf borderId="1" fillId="11" fontId="3" numFmtId="0" xfId="0" applyAlignment="1" applyBorder="1" applyFont="1">
      <alignment horizontal="center" readingOrder="0" shrinkToFit="0" vertical="center" wrapText="1"/>
    </xf>
    <xf borderId="2" fillId="11" fontId="3" numFmtId="0" xfId="0" applyAlignment="1" applyBorder="1" applyFont="1">
      <alignment horizontal="center" readingOrder="0" shrinkToFit="0" vertical="center" wrapText="0"/>
    </xf>
    <xf borderId="1" fillId="18" fontId="2" numFmtId="0" xfId="0" applyAlignment="1" applyBorder="1" applyFill="1" applyFont="1">
      <alignment horizontal="left" shrinkToFit="0" vertical="top" wrapText="0"/>
    </xf>
    <xf borderId="2" fillId="0" fontId="2" numFmtId="0" xfId="0" applyAlignment="1" applyBorder="1" applyFont="1">
      <alignment horizontal="center" readingOrder="0"/>
    </xf>
    <xf borderId="2" fillId="0" fontId="2" numFmtId="0" xfId="0" applyAlignment="1" applyBorder="1" applyFont="1">
      <alignment readingOrder="0"/>
    </xf>
    <xf borderId="0" fillId="0" fontId="2" numFmtId="0" xfId="0" applyAlignment="1" applyFont="1">
      <alignment horizontal="center" vertical="bottom"/>
    </xf>
    <xf borderId="1" fillId="11" fontId="2" numFmtId="0" xfId="0" applyAlignment="1" applyBorder="1" applyFont="1">
      <alignment vertical="bottom"/>
    </xf>
    <xf borderId="1" fillId="11" fontId="2" numFmtId="0" xfId="0" applyAlignment="1" applyBorder="1" applyFont="1">
      <alignment horizontal="right" vertical="bottom"/>
    </xf>
    <xf borderId="1" fillId="0" fontId="2" numFmtId="0" xfId="0" applyAlignment="1" applyBorder="1" applyFont="1">
      <alignment vertical="bottom"/>
    </xf>
    <xf borderId="1" fillId="19" fontId="4" numFmtId="0" xfId="0" applyAlignment="1" applyBorder="1" applyFill="1" applyFont="1">
      <alignment horizontal="left" shrinkToFit="0" vertical="top" wrapText="0"/>
    </xf>
    <xf borderId="1" fillId="0" fontId="2" numFmtId="0" xfId="0" applyAlignment="1" applyBorder="1" applyFont="1">
      <alignment horizontal="right" vertical="bottom"/>
    </xf>
    <xf borderId="1" fillId="0" fontId="2" numFmtId="166" xfId="0" applyAlignment="1" applyBorder="1" applyFont="1" applyNumberFormat="1">
      <alignment horizontal="right" readingOrder="0" vertical="center"/>
    </xf>
    <xf borderId="1" fillId="0" fontId="4" numFmtId="0" xfId="0" applyAlignment="1" applyBorder="1" applyFont="1">
      <alignment horizontal="center" readingOrder="0" shrinkToFit="0" vertical="center" wrapText="0"/>
    </xf>
    <xf borderId="2" fillId="0" fontId="2" numFmtId="0" xfId="0" applyAlignment="1" applyBorder="1" applyFont="1">
      <alignment readingOrder="0" shrinkToFit="0" wrapText="1"/>
    </xf>
    <xf borderId="1" fillId="0" fontId="2" numFmtId="0" xfId="0" applyAlignment="1" applyBorder="1" applyFont="1">
      <alignment horizontal="center" vertical="bottom"/>
    </xf>
    <xf borderId="1" fillId="6" fontId="2" numFmtId="0" xfId="0" applyAlignment="1" applyBorder="1" applyFont="1">
      <alignment vertical="bottom"/>
    </xf>
    <xf borderId="4" fillId="6" fontId="2" numFmtId="0" xfId="0" applyAlignment="1" applyBorder="1" applyFont="1">
      <alignment horizontal="right" vertical="bottom"/>
    </xf>
    <xf borderId="6" fillId="0" fontId="2" numFmtId="0" xfId="0" applyAlignment="1" applyBorder="1" applyFont="1">
      <alignment vertical="bottom"/>
    </xf>
    <xf borderId="13" fillId="0" fontId="2" numFmtId="0" xfId="0" applyAlignment="1" applyBorder="1" applyFont="1">
      <alignment horizontal="right" vertical="bottom"/>
    </xf>
    <xf borderId="13" fillId="0" fontId="2" numFmtId="0" xfId="0" applyAlignment="1" applyBorder="1" applyFont="1">
      <alignment vertical="bottom"/>
    </xf>
    <xf borderId="0" fillId="0" fontId="2" numFmtId="0" xfId="0" applyAlignment="1" applyFont="1">
      <alignment readingOrder="0" shrinkToFit="0" vertical="center" wrapText="1"/>
    </xf>
    <xf borderId="0" fillId="0" fontId="19" numFmtId="0" xfId="0" applyAlignment="1" applyFont="1">
      <alignment vertical="center"/>
    </xf>
    <xf borderId="1" fillId="0" fontId="19" numFmtId="0" xfId="0" applyAlignment="1" applyBorder="1" applyFont="1">
      <alignment horizontal="center" readingOrder="0" vertical="center"/>
    </xf>
    <xf borderId="2" fillId="11" fontId="2"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quotePrefix="1" borderId="1" fillId="11" fontId="2" numFmtId="0" xfId="0" applyAlignment="1" applyBorder="1" applyFont="1">
      <alignment horizontal="right" readingOrder="0" shrinkToFit="0" vertical="center" wrapText="0"/>
    </xf>
    <xf borderId="1" fillId="11" fontId="2" numFmtId="0" xfId="0" applyAlignment="1" applyBorder="1" applyFont="1">
      <alignment horizontal="center" readingOrder="0" vertical="center"/>
    </xf>
    <xf quotePrefix="1" borderId="1" fillId="16" fontId="2" numFmtId="0" xfId="0" applyAlignment="1" applyBorder="1" applyFont="1">
      <alignment readingOrder="0"/>
    </xf>
    <xf borderId="0" fillId="0" fontId="2" numFmtId="0" xfId="0" applyAlignment="1" applyFont="1">
      <alignment horizontal="center" readingOrder="0" vertical="center"/>
    </xf>
    <xf borderId="1" fillId="0" fontId="2" numFmtId="0" xfId="0" applyAlignment="1" applyBorder="1" applyFont="1">
      <alignment readingOrder="0" vertical="center"/>
    </xf>
    <xf borderId="0" fillId="0" fontId="2" numFmtId="0" xfId="0" applyAlignment="1" applyFont="1">
      <alignment vertical="center"/>
    </xf>
    <xf borderId="1" fillId="0" fontId="18" numFmtId="0" xfId="0" applyAlignment="1" applyBorder="1" applyFont="1">
      <alignment horizontal="center" vertical="bottom"/>
    </xf>
    <xf borderId="11" fillId="0" fontId="18" numFmtId="0" xfId="0" applyAlignment="1" applyBorder="1" applyFont="1">
      <alignment vertical="bottom"/>
    </xf>
    <xf borderId="4" fillId="7" fontId="18" numFmtId="0" xfId="0" applyAlignment="1" applyBorder="1" applyFont="1">
      <alignment horizontal="center" vertical="bottom"/>
    </xf>
    <xf borderId="6" fillId="0" fontId="18" numFmtId="0" xfId="0" applyAlignment="1" applyBorder="1" applyFont="1">
      <alignment horizontal="center" vertical="bottom"/>
    </xf>
    <xf borderId="0" fillId="0" fontId="18" numFmtId="0" xfId="0" applyFont="1"/>
    <xf borderId="14" fillId="0" fontId="18" numFmtId="0" xfId="0" applyAlignment="1" applyBorder="1" applyFont="1">
      <alignment vertical="bottom"/>
    </xf>
    <xf borderId="5" fillId="0" fontId="2" numFmtId="166" xfId="0" applyAlignment="1" applyBorder="1" applyFont="1" applyNumberFormat="1">
      <alignment horizontal="right" readingOrder="0" vertical="center"/>
    </xf>
    <xf borderId="0" fillId="0" fontId="18" numFmtId="0" xfId="0" applyAlignment="1" applyFont="1">
      <alignment vertical="bottom"/>
    </xf>
    <xf borderId="5" fillId="0" fontId="2" numFmtId="0" xfId="0" applyAlignment="1" applyBorder="1" applyFont="1">
      <alignment horizontal="center" readingOrder="0" vertical="center"/>
    </xf>
    <xf borderId="13" fillId="0" fontId="18" numFmtId="0" xfId="0" applyAlignment="1" applyBorder="1" applyFont="1">
      <alignment horizontal="center" readingOrder="0" vertical="bottom"/>
    </xf>
    <xf borderId="14" fillId="0" fontId="18" numFmtId="0" xfId="0" applyAlignment="1" applyBorder="1" applyFont="1">
      <alignment vertical="bottom"/>
    </xf>
    <xf borderId="7" fillId="0" fontId="2" numFmtId="0" xfId="0" applyAlignment="1" applyBorder="1" applyFont="1">
      <alignment horizontal="left" readingOrder="0" shrinkToFit="0" vertical="center" wrapText="1"/>
    </xf>
    <xf borderId="13" fillId="20" fontId="18" numFmtId="0" xfId="0" applyAlignment="1" applyBorder="1" applyFill="1" applyFont="1">
      <alignment horizontal="center" vertical="bottom"/>
    </xf>
    <xf borderId="15" fillId="0" fontId="2" numFmtId="0" xfId="0" applyBorder="1" applyFont="1"/>
    <xf borderId="13" fillId="20" fontId="18" numFmtId="0" xfId="0" applyAlignment="1" applyBorder="1" applyFont="1">
      <alignment horizontal="center" vertical="bottom"/>
    </xf>
    <xf borderId="1" fillId="0" fontId="18" numFmtId="0" xfId="0" applyAlignment="1" applyBorder="1" applyFont="1">
      <alignment horizontal="right" readingOrder="0" vertical="center"/>
    </xf>
    <xf borderId="14" fillId="0" fontId="2" numFmtId="0" xfId="0" applyBorder="1" applyFont="1"/>
    <xf borderId="0" fillId="0" fontId="18" numFmtId="0" xfId="0" applyAlignment="1" applyFont="1">
      <alignment vertical="center"/>
    </xf>
    <xf borderId="0" fillId="0" fontId="18" numFmtId="0" xfId="0" applyAlignment="1" applyFont="1">
      <alignment readingOrder="0" vertical="center"/>
    </xf>
    <xf borderId="1" fillId="11" fontId="18" numFmtId="0" xfId="0" applyAlignment="1" applyBorder="1" applyFont="1">
      <alignment horizontal="right" readingOrder="0" vertical="center"/>
    </xf>
    <xf borderId="0" fillId="21" fontId="2" numFmtId="0" xfId="0" applyAlignment="1" applyFill="1" applyFont="1">
      <alignment readingOrder="0"/>
    </xf>
    <xf borderId="0" fillId="21" fontId="2" numFmtId="0" xfId="0" applyFont="1"/>
    <xf borderId="0" fillId="21" fontId="18" numFmtId="0" xfId="0" applyAlignment="1" applyFont="1">
      <alignment vertical="center"/>
    </xf>
    <xf borderId="0" fillId="21" fontId="18" numFmtId="0" xfId="0" applyAlignment="1" applyFont="1">
      <alignment readingOrder="0" vertical="center"/>
    </xf>
    <xf borderId="0" fillId="0" fontId="2" numFmtId="0" xfId="0" applyAlignment="1" applyFont="1">
      <alignment readingOrder="0" shrinkToFit="0" wrapText="1"/>
    </xf>
    <xf borderId="0" fillId="11" fontId="18" numFmtId="0" xfId="0" applyAlignment="1" applyFont="1">
      <alignment horizontal="center" readingOrder="0" vertical="center"/>
    </xf>
    <xf borderId="0" fillId="6" fontId="2" numFmtId="0" xfId="0" applyAlignment="1" applyFont="1">
      <alignment readingOrder="0"/>
    </xf>
    <xf borderId="0" fillId="6" fontId="18" numFmtId="0" xfId="0" applyAlignment="1" applyFont="1">
      <alignment vertical="center"/>
    </xf>
    <xf borderId="0" fillId="0" fontId="2" numFmtId="0" xfId="0" applyAlignment="1" applyFont="1">
      <alignment shrinkToFit="0" vertical="center" wrapText="1"/>
    </xf>
    <xf borderId="0" fillId="6" fontId="18" numFmtId="0" xfId="0" applyAlignment="1" applyFont="1">
      <alignment readingOrder="0" vertical="center"/>
    </xf>
    <xf borderId="0" fillId="0" fontId="2" numFmtId="167" xfId="0" applyFont="1" applyNumberFormat="1"/>
    <xf borderId="0" fillId="0" fontId="2" numFmtId="168" xfId="0" applyFont="1" applyNumberFormat="1"/>
    <xf borderId="0" fillId="0" fontId="2" numFmtId="46" xfId="0" applyFont="1" applyNumberFormat="1"/>
    <xf borderId="0" fillId="0" fontId="2" numFmtId="0" xfId="0" applyAlignment="1" applyFont="1">
      <alignment horizontal="left" readingOrder="0" shrinkToFit="0" vertical="center" wrapText="0"/>
    </xf>
    <xf borderId="0" fillId="0" fontId="2" numFmtId="0" xfId="0" applyAlignment="1" applyFont="1">
      <alignment horizontal="left" shrinkToFit="0" vertical="center" wrapText="1"/>
    </xf>
    <xf borderId="16" fillId="0" fontId="2" numFmtId="10" xfId="0" applyAlignment="1" applyBorder="1" applyFont="1" applyNumberFormat="1">
      <alignment horizontal="right" readingOrder="0" vertical="bottom"/>
    </xf>
    <xf borderId="16" fillId="0" fontId="2" numFmtId="10" xfId="0" applyAlignment="1" applyBorder="1" applyFont="1" applyNumberFormat="1">
      <alignment horizontal="right" vertical="bottom"/>
    </xf>
    <xf borderId="16" fillId="0" fontId="2" numFmtId="0" xfId="0" applyAlignment="1" applyBorder="1" applyFont="1">
      <alignment vertical="bottom"/>
    </xf>
    <xf borderId="4" fillId="0" fontId="20" numFmtId="0" xfId="0" applyAlignment="1" applyBorder="1" applyFont="1">
      <alignment horizontal="center" vertical="center"/>
    </xf>
    <xf borderId="3" fillId="0" fontId="20" numFmtId="0" xfId="0" applyAlignment="1" applyBorder="1" applyFont="1">
      <alignment horizontal="left" readingOrder="0" shrinkToFit="0" vertical="center" wrapText="1"/>
    </xf>
    <xf borderId="0" fillId="0" fontId="21" numFmtId="0" xfId="0" applyAlignment="1" applyFont="1">
      <alignment vertical="center"/>
    </xf>
    <xf borderId="0" fillId="0" fontId="22" numFmtId="0" xfId="0" applyAlignment="1" applyFont="1">
      <alignment horizontal="right" vertical="center"/>
    </xf>
    <xf borderId="0" fillId="0" fontId="21" numFmtId="0" xfId="0" applyAlignment="1" applyFont="1">
      <alignment shrinkToFit="0" vertical="center" wrapText="1"/>
    </xf>
    <xf borderId="0" fillId="0" fontId="23" numFmtId="0" xfId="0" applyAlignment="1" applyFont="1">
      <alignment vertical="center"/>
    </xf>
    <xf borderId="0" fillId="0" fontId="24" numFmtId="0" xfId="0" applyAlignment="1" applyFont="1">
      <alignment horizontal="right" vertical="center"/>
    </xf>
    <xf borderId="0" fillId="8" fontId="24" numFmtId="0" xfId="0" applyAlignment="1" applyFont="1">
      <alignment readingOrder="0" shrinkToFit="0" vertical="center" wrapText="1"/>
    </xf>
    <xf borderId="0" fillId="0" fontId="22" numFmtId="0" xfId="0" applyAlignment="1" applyFont="1">
      <alignment horizontal="right" readingOrder="0" vertical="center"/>
    </xf>
    <xf borderId="0" fillId="0" fontId="21" numFmtId="0" xfId="0" applyAlignment="1" applyFont="1">
      <alignment readingOrder="0" shrinkToFit="0" vertical="center" wrapText="1"/>
    </xf>
    <xf borderId="0" fillId="0" fontId="22" numFmtId="0" xfId="0" applyAlignment="1" applyFont="1">
      <alignment horizontal="right" vertical="top"/>
    </xf>
    <xf borderId="0" fillId="0" fontId="25" numFmtId="0" xfId="0" applyAlignment="1" applyFont="1">
      <alignment shrinkToFit="0" vertical="center" wrapText="1"/>
    </xf>
    <xf borderId="0" fillId="0" fontId="22" numFmtId="0" xfId="0" applyAlignment="1" applyFont="1">
      <alignment horizontal="right" readingOrder="0" vertical="top"/>
    </xf>
    <xf borderId="1" fillId="0" fontId="2" numFmtId="0" xfId="0" applyAlignment="1" applyBorder="1" applyFont="1">
      <alignment horizontal="center" readingOrder="0" shrinkToFit="0" vertical="center" wrapText="1"/>
    </xf>
    <xf borderId="0" fillId="22" fontId="24" numFmtId="0" xfId="0" applyAlignment="1" applyFill="1" applyFont="1">
      <alignment readingOrder="0" shrinkToFit="0" vertical="center" wrapText="1"/>
    </xf>
    <xf borderId="0" fillId="3" fontId="21" numFmtId="0" xfId="0" applyAlignment="1" applyFont="1">
      <alignment readingOrder="0" vertical="center"/>
    </xf>
    <xf borderId="0" fillId="3" fontId="21" numFmtId="0" xfId="0" applyAlignment="1" applyFont="1">
      <alignment readingOrder="0" shrinkToFit="0" vertical="center" wrapText="1"/>
    </xf>
    <xf borderId="0" fillId="3" fontId="26" numFmtId="0" xfId="0" applyAlignment="1" applyFont="1">
      <alignment readingOrder="0" vertical="center"/>
    </xf>
    <xf borderId="0" fillId="0" fontId="27" numFmtId="0" xfId="0" applyAlignment="1" applyFont="1">
      <alignment readingOrder="0" shrinkToFit="0" vertical="center" wrapText="1"/>
    </xf>
    <xf borderId="0" fillId="0" fontId="28" numFmtId="0" xfId="0" applyAlignment="1" applyFont="1">
      <alignment readingOrder="0" shrinkToFit="0" vertical="center" wrapText="1"/>
    </xf>
    <xf borderId="2" fillId="0" fontId="2" numFmtId="0" xfId="0" applyAlignment="1" applyBorder="1" applyFont="1">
      <alignment horizontal="left" readingOrder="0" shrinkToFit="0" vertical="center" wrapText="1"/>
    </xf>
    <xf borderId="0" fillId="8" fontId="29" numFmtId="0" xfId="0" applyAlignment="1" applyFont="1">
      <alignment shrinkToFit="0" vertical="top" wrapText="1"/>
    </xf>
    <xf borderId="0" fillId="8" fontId="29" numFmtId="0" xfId="0" applyAlignment="1" applyFont="1">
      <alignment shrinkToFit="0" vertical="top" wrapText="1"/>
    </xf>
    <xf borderId="0" fillId="8" fontId="29" numFmtId="169" xfId="0" applyAlignment="1" applyFont="1" applyNumberFormat="1">
      <alignment shrinkToFit="0" vertical="top" wrapText="1"/>
    </xf>
    <xf borderId="0" fillId="8" fontId="29" numFmtId="1" xfId="0" applyAlignment="1" applyFont="1" applyNumberFormat="1">
      <alignment shrinkToFit="0" vertical="top" wrapText="1"/>
    </xf>
    <xf borderId="0" fillId="8" fontId="29" numFmtId="0" xfId="0" applyAlignment="1" applyFont="1">
      <alignment shrinkToFit="0" vertical="top" wrapText="0"/>
    </xf>
    <xf borderId="0" fillId="8" fontId="29" numFmtId="169" xfId="0" applyAlignment="1" applyFont="1" applyNumberFormat="1">
      <alignment shrinkToFit="0" vertical="top" wrapText="0"/>
    </xf>
    <xf borderId="0" fillId="8" fontId="29" numFmtId="164" xfId="0" applyAlignment="1" applyFont="1" applyNumberFormat="1">
      <alignment readingOrder="0" shrinkToFit="0" vertical="top" wrapText="1"/>
    </xf>
    <xf borderId="1" fillId="0" fontId="2" numFmtId="170" xfId="0" applyAlignment="1" applyBorder="1" applyFont="1" applyNumberFormat="1">
      <alignment horizontal="right" readingOrder="0" vertical="center"/>
    </xf>
    <xf borderId="0" fillId="23" fontId="30" numFmtId="0" xfId="0" applyAlignment="1" applyFill="1" applyFont="1">
      <alignment readingOrder="0" shrinkToFit="0" vertical="top" wrapText="1"/>
    </xf>
    <xf borderId="2" fillId="0" fontId="4" numFmtId="171" xfId="0" applyAlignment="1" applyBorder="1" applyFont="1" applyNumberFormat="1">
      <alignment horizontal="left" readingOrder="0" shrinkToFit="0" vertical="center" wrapText="1"/>
    </xf>
    <xf borderId="0" fillId="23" fontId="30" numFmtId="10" xfId="0" applyAlignment="1" applyFont="1" applyNumberFormat="1">
      <alignment horizontal="center" shrinkToFit="0" vertical="top" wrapText="1"/>
    </xf>
    <xf borderId="1" fillId="0" fontId="2" numFmtId="169" xfId="0" applyAlignment="1" applyBorder="1" applyFont="1" applyNumberFormat="1">
      <alignment horizontal="right" readingOrder="0" vertical="center"/>
    </xf>
    <xf borderId="0" fillId="23" fontId="30" numFmtId="10" xfId="0" applyAlignment="1" applyFont="1" applyNumberFormat="1">
      <alignment shrinkToFit="0" vertical="top" wrapText="1"/>
    </xf>
    <xf borderId="0" fillId="0" fontId="31" numFmtId="0" xfId="0" applyAlignment="1" applyFont="1">
      <alignment horizontal="right" shrinkToFit="0" vertical="top" wrapText="1"/>
    </xf>
    <xf borderId="0" fillId="0" fontId="31" numFmtId="0" xfId="0" applyAlignment="1" applyFont="1">
      <alignment shrinkToFit="0" vertical="top" wrapText="1"/>
    </xf>
    <xf borderId="0" fillId="3" fontId="32" numFmtId="0" xfId="0" applyAlignment="1" applyFont="1">
      <alignment horizontal="center" readingOrder="0" vertical="center"/>
    </xf>
    <xf borderId="0" fillId="0" fontId="33" numFmtId="168" xfId="0" applyAlignment="1" applyFont="1" applyNumberFormat="1">
      <alignment shrinkToFit="0" vertical="center" wrapText="0"/>
    </xf>
    <xf borderId="0" fillId="0" fontId="33" numFmtId="0" xfId="0" applyAlignment="1" applyFont="1">
      <alignment shrinkToFit="0" vertical="center" wrapText="0"/>
    </xf>
    <xf borderId="0" fillId="0" fontId="33" numFmtId="0" xfId="0" applyAlignment="1" applyFont="1">
      <alignment shrinkToFit="0" vertical="center" wrapText="0"/>
    </xf>
    <xf borderId="0" fillId="0" fontId="33" numFmtId="169" xfId="0" applyAlignment="1" applyFont="1" applyNumberFormat="1">
      <alignment shrinkToFit="0" vertical="center" wrapText="0"/>
    </xf>
    <xf borderId="0" fillId="0" fontId="33" numFmtId="9" xfId="0" applyAlignment="1" applyFont="1" applyNumberFormat="1">
      <alignment shrinkToFit="0" vertical="center" wrapText="0"/>
    </xf>
    <xf borderId="0" fillId="0" fontId="33" numFmtId="1" xfId="0" applyAlignment="1" applyFont="1" applyNumberFormat="1">
      <alignment shrinkToFit="0" vertical="center" wrapText="0"/>
    </xf>
    <xf borderId="0" fillId="0" fontId="33" numFmtId="0" xfId="0" applyAlignment="1" applyFont="1">
      <alignment shrinkToFit="0" vertical="center" wrapText="0"/>
    </xf>
    <xf borderId="0" fillId="0" fontId="33" numFmtId="10" xfId="0" applyAlignment="1" applyFont="1" applyNumberFormat="1">
      <alignment shrinkToFit="0" vertical="center" wrapText="0"/>
    </xf>
    <xf borderId="0" fillId="0" fontId="33" numFmtId="164" xfId="0" applyAlignment="1" applyFont="1" applyNumberFormat="1">
      <alignment shrinkToFit="0" vertical="center" wrapText="0"/>
    </xf>
    <xf borderId="0" fillId="0" fontId="33" numFmtId="165" xfId="0" applyAlignment="1" applyFont="1" applyNumberFormat="1">
      <alignment shrinkToFit="0" vertical="center" wrapText="0"/>
    </xf>
    <xf borderId="0" fillId="2" fontId="33" numFmtId="0" xfId="0" applyAlignment="1" applyFont="1">
      <alignment shrinkToFit="0" vertical="center" wrapText="0"/>
    </xf>
    <xf borderId="0" fillId="2" fontId="33" numFmtId="10" xfId="0" applyAlignment="1" applyFont="1" applyNumberFormat="1">
      <alignment shrinkToFit="0" vertical="center" wrapText="0"/>
    </xf>
    <xf borderId="1" fillId="0" fontId="2" numFmtId="172" xfId="0" applyAlignment="1" applyBorder="1" applyFont="1" applyNumberFormat="1">
      <alignment horizontal="right" readingOrder="0" vertical="center"/>
    </xf>
    <xf borderId="0" fillId="0" fontId="33" numFmtId="0" xfId="0" applyAlignment="1" applyFont="1">
      <alignment horizontal="right" shrinkToFit="0" vertical="center" wrapText="0"/>
    </xf>
    <xf borderId="0" fillId="0" fontId="33" numFmtId="0" xfId="0" applyAlignment="1" applyFont="1">
      <alignment shrinkToFit="0" vertical="center" wrapText="0"/>
    </xf>
    <xf borderId="2" fillId="17" fontId="2" numFmtId="0" xfId="0" applyAlignment="1" applyBorder="1" applyFont="1">
      <alignment horizontal="left" readingOrder="0" shrinkToFit="0" vertical="center" wrapText="1"/>
    </xf>
    <xf borderId="0" fillId="0" fontId="2" numFmtId="166" xfId="0" applyAlignment="1" applyFont="1" applyNumberFormat="1">
      <alignment horizontal="right" readingOrder="0" vertical="center"/>
    </xf>
    <xf borderId="2" fillId="11" fontId="3" numFmtId="0" xfId="0" applyAlignment="1" applyBorder="1" applyFont="1">
      <alignment horizontal="center" readingOrder="0" shrinkToFit="0" vertical="center" wrapText="1"/>
    </xf>
    <xf borderId="2" fillId="17" fontId="2" numFmtId="0" xfId="0" applyAlignment="1" applyBorder="1" applyFont="1">
      <alignment readingOrder="0" shrinkToFit="0" vertical="center" wrapText="1"/>
    </xf>
    <xf borderId="0" fillId="0" fontId="2" numFmtId="0" xfId="0" applyAlignment="1" applyFont="1">
      <alignment readingOrder="0"/>
    </xf>
    <xf borderId="0" fillId="0" fontId="18" numFmtId="169" xfId="0" applyAlignment="1" applyFont="1" applyNumberFormat="1">
      <alignment horizontal="left" readingOrder="0" shrinkToFit="0" vertical="center" wrapText="0"/>
    </xf>
    <xf borderId="0" fillId="0" fontId="18" numFmtId="3" xfId="0" applyAlignment="1" applyFont="1" applyNumberFormat="1">
      <alignment horizontal="left" readingOrder="0" shrinkToFit="0" vertical="center" wrapText="0"/>
    </xf>
    <xf borderId="0" fillId="0" fontId="18" numFmtId="173" xfId="0" applyAlignment="1" applyFont="1" applyNumberFormat="1">
      <alignment horizontal="left" readingOrder="0" shrinkToFit="0" vertical="center" wrapText="0"/>
    </xf>
    <xf borderId="0" fillId="0" fontId="18" numFmtId="0" xfId="0" applyAlignment="1" applyFont="1">
      <alignment horizontal="right" readingOrder="0" shrinkToFit="0" vertical="center" wrapText="1"/>
    </xf>
    <xf borderId="0" fillId="0" fontId="18" numFmtId="3" xfId="0" applyAlignment="1" applyFont="1" applyNumberFormat="1">
      <alignment horizontal="right" readingOrder="0" shrinkToFit="0" vertical="center" wrapText="0"/>
    </xf>
    <xf borderId="0" fillId="0" fontId="2" numFmtId="0" xfId="0" applyAlignment="1" applyFont="1">
      <alignment horizontal="right" readingOrder="0" shrinkToFit="0" wrapText="1"/>
    </xf>
    <xf borderId="0" fillId="0" fontId="18" numFmtId="3" xfId="0" applyAlignment="1" applyFont="1" applyNumberFormat="1">
      <alignment horizontal="right" readingOrder="0" shrinkToFit="0" vertical="bottom" wrapText="0"/>
    </xf>
    <xf borderId="0" fillId="0" fontId="2" numFmtId="0" xfId="0" applyAlignment="1" applyFont="1">
      <alignment horizontal="right" readingOrder="0"/>
    </xf>
    <xf borderId="0" fillId="0" fontId="2" numFmtId="0" xfId="0" applyAlignment="1" applyFont="1">
      <alignment horizontal="right" readingOrder="0" shrinkToFit="0" vertical="bottom" wrapText="1"/>
    </xf>
    <xf borderId="0" fillId="0" fontId="2" numFmtId="9" xfId="0" applyAlignment="1" applyFont="1" applyNumberFormat="1">
      <alignment horizontal="right" readingOrder="0"/>
    </xf>
    <xf borderId="0" fillId="0" fontId="2" numFmtId="9" xfId="0" applyAlignment="1" applyFont="1" applyNumberFormat="1">
      <alignment horizontal="right" readingOrder="0" shrinkToFit="0" vertical="bottom" wrapText="1"/>
    </xf>
    <xf borderId="0" fillId="0" fontId="18" numFmtId="169" xfId="0" applyAlignment="1" applyFont="1" applyNumberFormat="1">
      <alignment horizontal="right" vertical="center"/>
    </xf>
    <xf borderId="0" fillId="0" fontId="18" numFmtId="3" xfId="0" applyAlignment="1" applyFont="1" applyNumberFormat="1">
      <alignment horizontal="right" vertical="center"/>
    </xf>
    <xf borderId="0" fillId="0" fontId="18" numFmtId="173" xfId="0" applyAlignment="1" applyFont="1" applyNumberFormat="1">
      <alignment horizontal="right" vertical="center"/>
    </xf>
    <xf borderId="0" fillId="0" fontId="18" numFmtId="3" xfId="0" applyAlignment="1" applyFont="1" applyNumberFormat="1">
      <alignment horizontal="center" vertical="center"/>
    </xf>
    <xf borderId="0" fillId="0" fontId="18" numFmtId="10" xfId="0" applyAlignment="1" applyFont="1" applyNumberFormat="1">
      <alignment horizontal="center" vertical="center"/>
    </xf>
    <xf borderId="0" fillId="19" fontId="2" numFmtId="3" xfId="0" applyFont="1" applyNumberFormat="1"/>
    <xf borderId="0" fillId="0" fontId="2" numFmtId="174" xfId="0" applyFont="1" applyNumberFormat="1"/>
    <xf borderId="0" fillId="0" fontId="2" numFmtId="10" xfId="0" applyFont="1" applyNumberFormat="1"/>
    <xf borderId="0" fillId="0" fontId="2" numFmtId="9" xfId="0" applyFont="1" applyNumberFormat="1"/>
    <xf borderId="0" fillId="0" fontId="2" numFmtId="3" xfId="0" applyFont="1" applyNumberFormat="1"/>
    <xf borderId="0" fillId="0" fontId="18" numFmtId="170" xfId="0" applyAlignment="1" applyFont="1" applyNumberFormat="1">
      <alignment horizontal="right" vertical="center"/>
    </xf>
    <xf borderId="0" fillId="0" fontId="18" numFmtId="175" xfId="0" applyAlignment="1" applyFont="1" applyNumberFormat="1">
      <alignment horizontal="right" vertical="center"/>
    </xf>
    <xf borderId="0" fillId="0" fontId="18" numFmtId="176" xfId="0" applyAlignment="1" applyFont="1" applyNumberFormat="1">
      <alignment horizontal="right" vertical="center"/>
    </xf>
    <xf borderId="0" fillId="0" fontId="18" numFmtId="169" xfId="0" applyAlignment="1" applyFont="1" applyNumberFormat="1">
      <alignment horizontal="right" readingOrder="0" vertical="center"/>
    </xf>
    <xf borderId="0" fillId="0" fontId="18" numFmtId="0" xfId="0" applyAlignment="1" applyFont="1">
      <alignment horizontal="right" vertical="center"/>
    </xf>
    <xf borderId="0" fillId="0" fontId="18" numFmtId="0" xfId="0" applyAlignment="1" applyFont="1">
      <alignment horizontal="center" vertical="center"/>
    </xf>
    <xf borderId="0" fillId="0" fontId="2" numFmtId="0" xfId="0" applyAlignment="1" applyFont="1">
      <alignment readingOrder="0" shrinkToFit="0" wrapText="0"/>
    </xf>
    <xf borderId="0" fillId="0" fontId="2" numFmtId="168" xfId="0" applyAlignment="1" applyFont="1" applyNumberFormat="1">
      <alignment readingOrder="0" shrinkToFit="0" wrapText="0"/>
    </xf>
    <xf borderId="0" fillId="0" fontId="2" numFmtId="14" xfId="0" applyAlignment="1" applyFont="1" applyNumberFormat="1">
      <alignment readingOrder="0" shrinkToFit="0" wrapText="0"/>
    </xf>
    <xf borderId="0" fillId="0" fontId="2" numFmtId="9" xfId="0" applyAlignment="1" applyFont="1" applyNumberFormat="1">
      <alignment readingOrder="0" shrinkToFit="0" wrapText="0"/>
    </xf>
    <xf borderId="0" fillId="0" fontId="2" numFmtId="168" xfId="0" applyAlignment="1" applyFont="1" applyNumberFormat="1">
      <alignment readingOrder="0"/>
    </xf>
    <xf borderId="0" fillId="0" fontId="2" numFmtId="14" xfId="0" applyAlignment="1" applyFont="1" applyNumberFormat="1">
      <alignment readingOrder="0"/>
    </xf>
    <xf borderId="0" fillId="0" fontId="2" numFmtId="9" xfId="0" applyAlignment="1" applyFont="1" applyNumberFormat="1">
      <alignment readingOrder="0"/>
    </xf>
    <xf borderId="0" fillId="0" fontId="2" numFmtId="169" xfId="0" applyAlignment="1" applyFont="1" applyNumberFormat="1">
      <alignment shrinkToFit="0" wrapText="0"/>
    </xf>
    <xf borderId="0" fillId="0" fontId="2" numFmtId="9" xfId="0" applyAlignment="1" applyFont="1" applyNumberFormat="1">
      <alignment shrinkToFit="0" wrapText="0"/>
    </xf>
    <xf borderId="0" fillId="0" fontId="2" numFmtId="0" xfId="0" applyAlignment="1" applyFont="1">
      <alignment readingOrder="0" shrinkToFit="0" wrapText="0"/>
    </xf>
    <xf borderId="0" fillId="17" fontId="2" numFmtId="0" xfId="0" applyAlignment="1" applyFont="1">
      <alignment readingOrder="0" shrinkToFit="0" wrapText="0"/>
    </xf>
    <xf borderId="0" fillId="0" fontId="2" numFmtId="1" xfId="0" applyAlignment="1" applyFont="1" applyNumberFormat="1">
      <alignment horizontal="left" readingOrder="0" shrinkToFit="0" wrapText="0"/>
    </xf>
    <xf borderId="0" fillId="0" fontId="2" numFmtId="169" xfId="0" applyAlignment="1" applyFont="1" applyNumberFormat="1">
      <alignment readingOrder="0" shrinkToFit="0" wrapText="0"/>
    </xf>
    <xf borderId="0" fillId="17" fontId="2" numFmtId="0" xfId="0" applyAlignment="1" applyFont="1">
      <alignment readingOrder="0" shrinkToFit="0" wrapText="0"/>
    </xf>
    <xf borderId="0" fillId="0" fontId="2" numFmtId="1" xfId="0" applyAlignment="1" applyFont="1" applyNumberFormat="1">
      <alignment shrinkToFit="0" wrapText="0"/>
    </xf>
    <xf borderId="0" fillId="17" fontId="2" numFmtId="0" xfId="0" applyAlignment="1" applyFont="1">
      <alignment shrinkToFit="0" wrapText="0"/>
    </xf>
    <xf borderId="0" fillId="0" fontId="2" numFmtId="1" xfId="0" applyAlignment="1" applyFont="1" applyNumberFormat="1">
      <alignment readingOrder="0" shrinkToFit="0" wrapText="0"/>
    </xf>
    <xf borderId="0" fillId="0" fontId="2" numFmtId="0" xfId="0" applyAlignment="1" applyFont="1">
      <alignment readingOrder="0" vertical="center"/>
    </xf>
    <xf borderId="0" fillId="24" fontId="2" numFmtId="0" xfId="0" applyAlignment="1" applyFill="1" applyFont="1">
      <alignment readingOrder="0" shrinkToFit="0" wrapText="0"/>
    </xf>
    <xf borderId="1" fillId="0" fontId="18" numFmtId="0" xfId="0" applyAlignment="1" applyBorder="1" applyFont="1">
      <alignment readingOrder="0" vertical="center"/>
    </xf>
    <xf borderId="1" fillId="0" fontId="2" numFmtId="0" xfId="0" applyAlignment="1" applyBorder="1" applyFont="1">
      <alignment horizontal="left" shrinkToFit="0" vertical="center" wrapText="0"/>
    </xf>
    <xf borderId="1" fillId="0" fontId="18" numFmtId="0" xfId="0" applyAlignment="1" applyBorder="1" applyFont="1">
      <alignment horizontal="left" readingOrder="0" shrinkToFit="0" vertical="center" wrapText="0"/>
    </xf>
    <xf borderId="0" fillId="0" fontId="20" numFmtId="0" xfId="0" applyAlignment="1" applyFont="1">
      <alignment readingOrder="0" shrinkToFit="0" wrapText="0"/>
    </xf>
    <xf borderId="0" fillId="0" fontId="2" numFmtId="0" xfId="0" applyAlignment="1" applyFont="1">
      <alignment horizontal="center" vertical="center"/>
    </xf>
    <xf borderId="0" fillId="0" fontId="2" numFmtId="0" xfId="0" applyAlignment="1" applyFont="1">
      <alignment shrinkToFit="0" vertical="center" wrapText="0"/>
    </xf>
    <xf borderId="1" fillId="0" fontId="18" numFmtId="49" xfId="0" applyAlignment="1" applyBorder="1" applyFont="1" applyNumberFormat="1">
      <alignment horizontal="left" readingOrder="0" vertical="center"/>
    </xf>
    <xf borderId="1" fillId="0" fontId="18" numFmtId="0" xfId="0" applyAlignment="1" applyBorder="1" applyFont="1">
      <alignment horizontal="left" readingOrder="0" shrinkToFit="0" vertical="center" wrapText="1"/>
    </xf>
    <xf borderId="1" fillId="19" fontId="2" numFmtId="0" xfId="0" applyAlignment="1" applyBorder="1" applyFont="1">
      <alignment vertical="center"/>
    </xf>
    <xf borderId="1" fillId="0" fontId="2" numFmtId="0" xfId="0" applyAlignment="1" applyBorder="1" applyFont="1">
      <alignment vertical="center"/>
    </xf>
    <xf borderId="1" fillId="0" fontId="20" numFmtId="0" xfId="0" applyAlignment="1" applyBorder="1" applyFont="1">
      <alignment shrinkToFit="0" wrapText="0"/>
    </xf>
    <xf borderId="1" fillId="14" fontId="20" numFmtId="174" xfId="0" applyAlignment="1" applyBorder="1" applyFont="1" applyNumberFormat="1">
      <alignment horizontal="center" shrinkToFit="0" wrapText="0"/>
    </xf>
    <xf borderId="0" fillId="25" fontId="2" numFmtId="0" xfId="0" applyAlignment="1" applyFill="1" applyFont="1">
      <alignment readingOrder="0" vertical="center"/>
    </xf>
    <xf borderId="0" fillId="25" fontId="2" numFmtId="0" xfId="0" applyAlignment="1" applyFont="1">
      <alignment horizontal="center" readingOrder="0" vertical="center"/>
    </xf>
    <xf borderId="0" fillId="26" fontId="18" numFmtId="0" xfId="0" applyAlignment="1" applyFill="1" applyFont="1">
      <alignment horizontal="left" readingOrder="0" vertical="center"/>
    </xf>
    <xf borderId="0" fillId="26" fontId="2" numFmtId="0" xfId="0" applyAlignment="1" applyFont="1">
      <alignment shrinkToFit="0" vertical="center" wrapText="0"/>
    </xf>
    <xf borderId="0" fillId="26" fontId="2" numFmtId="0" xfId="0" applyAlignment="1" applyFont="1">
      <alignment readingOrder="0" shrinkToFit="0" vertical="center" wrapText="0"/>
    </xf>
    <xf borderId="0" fillId="0" fontId="2" numFmtId="0" xfId="0" applyAlignment="1" applyFont="1">
      <alignment readingOrder="0" shrinkToFit="0" vertical="center" wrapText="0"/>
    </xf>
    <xf borderId="1" fillId="14" fontId="20" numFmtId="1" xfId="0" applyAlignment="1" applyBorder="1" applyFont="1" applyNumberFormat="1">
      <alignment horizontal="right" readingOrder="0" vertical="center"/>
    </xf>
    <xf borderId="1" fillId="26" fontId="20" numFmtId="0" xfId="0" applyAlignment="1" applyBorder="1" applyFont="1">
      <alignment horizontal="right" readingOrder="0" vertical="center"/>
    </xf>
    <xf borderId="1" fillId="0" fontId="20" numFmtId="0" xfId="0" applyAlignment="1" applyBorder="1" applyFont="1">
      <alignment horizontal="left" readingOrder="0" shrinkToFit="0" vertical="center" wrapText="0"/>
    </xf>
    <xf borderId="1" fillId="0" fontId="18" numFmtId="49" xfId="0" applyAlignment="1" applyBorder="1" applyFont="1" applyNumberFormat="1">
      <alignment horizontal="center" readingOrder="0" vertical="center"/>
    </xf>
    <xf borderId="1" fillId="0" fontId="18" numFmtId="0" xfId="0" applyAlignment="1" applyBorder="1" applyFont="1">
      <alignment horizontal="center" readingOrder="0" vertical="center"/>
    </xf>
    <xf borderId="1" fillId="0" fontId="20" numFmtId="0" xfId="0" applyAlignment="1" applyBorder="1" applyFont="1">
      <alignment vertical="bottom"/>
    </xf>
    <xf borderId="1" fillId="14" fontId="20" numFmtId="174" xfId="0" applyAlignment="1" applyBorder="1" applyFont="1" applyNumberFormat="1">
      <alignment horizontal="center" vertical="bottom"/>
    </xf>
    <xf borderId="0" fillId="19" fontId="2" numFmtId="0" xfId="0" applyAlignment="1" applyFont="1">
      <alignment shrinkToFit="0" vertical="center" wrapText="0"/>
    </xf>
    <xf borderId="0" fillId="19" fontId="2" numFmtId="168" xfId="0" applyAlignment="1" applyFont="1" applyNumberFormat="1">
      <alignment shrinkToFit="0" vertical="center" wrapText="0"/>
    </xf>
    <xf borderId="1" fillId="27" fontId="18" numFmtId="0" xfId="0" applyAlignment="1" applyBorder="1" applyFill="1" applyFont="1">
      <alignment horizontal="center" readingOrder="0" vertical="center"/>
    </xf>
    <xf borderId="1" fillId="14" fontId="18" numFmtId="0" xfId="0" applyAlignment="1" applyBorder="1" applyFont="1">
      <alignment horizontal="center" readingOrder="0" vertical="center"/>
    </xf>
    <xf borderId="1" fillId="0" fontId="18" numFmtId="3" xfId="0" applyAlignment="1" applyBorder="1" applyFont="1" applyNumberFormat="1">
      <alignment horizontal="center" readingOrder="0" shrinkToFit="0" vertical="center" wrapText="1"/>
    </xf>
    <xf borderId="2" fillId="0" fontId="20" numFmtId="0" xfId="0" applyAlignment="1" applyBorder="1" applyFont="1">
      <alignment shrinkToFit="0" vertical="bottom" wrapText="0"/>
    </xf>
    <xf borderId="1" fillId="14" fontId="20" numFmtId="177" xfId="0" applyAlignment="1" applyBorder="1" applyFont="1" applyNumberFormat="1">
      <alignment horizontal="right" vertical="center"/>
    </xf>
    <xf borderId="1" fillId="26" fontId="2" numFmtId="10" xfId="0" applyBorder="1" applyFont="1" applyNumberFormat="1"/>
    <xf borderId="1" fillId="0" fontId="20" numFmtId="0" xfId="0" applyAlignment="1" applyBorder="1" applyFont="1">
      <alignment horizontal="left" readingOrder="0" vertical="center"/>
    </xf>
    <xf borderId="1" fillId="0" fontId="18" numFmtId="3" xfId="0" applyAlignment="1" applyBorder="1" applyFont="1" applyNumberFormat="1">
      <alignment horizontal="center" readingOrder="0" vertical="center"/>
    </xf>
    <xf borderId="2" fillId="0" fontId="20" numFmtId="169" xfId="0" applyAlignment="1" applyBorder="1" applyFont="1" applyNumberFormat="1">
      <alignment horizontal="center" shrinkToFit="0" vertical="bottom" wrapText="0"/>
    </xf>
    <xf borderId="1" fillId="14" fontId="20" numFmtId="3" xfId="0" applyAlignment="1" applyBorder="1" applyFont="1" applyNumberFormat="1">
      <alignment horizontal="right" vertical="center"/>
    </xf>
    <xf borderId="1" fillId="26" fontId="2" numFmtId="3" xfId="0" applyBorder="1" applyFont="1" applyNumberFormat="1"/>
    <xf borderId="2" fillId="0" fontId="20" numFmtId="0" xfId="0" applyAlignment="1" applyBorder="1" applyFont="1">
      <alignment readingOrder="0" shrinkToFit="0" wrapText="0"/>
    </xf>
    <xf borderId="2" fillId="0" fontId="20" numFmtId="0" xfId="0" applyAlignment="1" applyBorder="1" applyFont="1">
      <alignment shrinkToFit="0" wrapText="0"/>
    </xf>
    <xf borderId="1" fillId="14" fontId="20" numFmtId="10" xfId="0" applyAlignment="1" applyBorder="1" applyFont="1" applyNumberFormat="1">
      <alignment horizontal="right" vertical="center"/>
    </xf>
    <xf borderId="1" fillId="19" fontId="20" numFmtId="0" xfId="0" applyAlignment="1" applyBorder="1" applyFont="1">
      <alignment shrinkToFit="0" wrapText="0"/>
    </xf>
    <xf borderId="1" fillId="0" fontId="20" numFmtId="174" xfId="0" applyAlignment="1" applyBorder="1" applyFont="1" applyNumberFormat="1">
      <alignment horizontal="center" shrinkToFit="0" wrapText="0"/>
    </xf>
    <xf borderId="0" fillId="26" fontId="2" numFmtId="0" xfId="0" applyAlignment="1" applyFont="1">
      <alignment vertical="center"/>
    </xf>
    <xf borderId="0" fillId="0" fontId="2" numFmtId="169" xfId="0" applyAlignment="1" applyFont="1" applyNumberFormat="1">
      <alignment shrinkToFit="0" vertical="center" wrapText="0"/>
    </xf>
    <xf borderId="1" fillId="14" fontId="20" numFmtId="1" xfId="0" applyAlignment="1" applyBorder="1" applyFont="1" applyNumberFormat="1">
      <alignment horizontal="right" vertical="center"/>
    </xf>
    <xf borderId="1" fillId="26" fontId="2" numFmtId="0" xfId="0" applyBorder="1" applyFont="1"/>
    <xf borderId="0" fillId="0" fontId="2" numFmtId="0" xfId="0" applyAlignment="1" applyFont="1">
      <alignment horizontal="right"/>
    </xf>
    <xf borderId="1" fillId="0" fontId="34" numFmtId="3" xfId="0" applyAlignment="1" applyBorder="1" applyFont="1" applyNumberFormat="1">
      <alignment horizontal="center" readingOrder="0" vertical="center"/>
    </xf>
    <xf borderId="0" fillId="26" fontId="2" numFmtId="10" xfId="0" applyAlignment="1" applyFont="1" applyNumberFormat="1">
      <alignment vertical="center"/>
    </xf>
    <xf borderId="2" fillId="0" fontId="20" numFmtId="0" xfId="0" applyAlignment="1" applyBorder="1" applyFont="1">
      <alignment horizontal="center" vertical="center"/>
    </xf>
    <xf borderId="0" fillId="0" fontId="2" numFmtId="9" xfId="0" applyAlignment="1" applyFont="1" applyNumberFormat="1">
      <alignment shrinkToFit="0" vertical="center" wrapText="0"/>
    </xf>
    <xf borderId="7" fillId="0" fontId="20" numFmtId="0" xfId="0" applyAlignment="1" applyBorder="1" applyFont="1">
      <alignment horizontal="center" readingOrder="0" vertical="center"/>
    </xf>
    <xf borderId="0" fillId="0" fontId="2" numFmtId="1" xfId="0" applyAlignment="1" applyFont="1" applyNumberFormat="1">
      <alignment shrinkToFit="0" vertical="center" wrapText="0"/>
    </xf>
    <xf borderId="1" fillId="0" fontId="20" numFmtId="0" xfId="0" applyAlignment="1" applyBorder="1" applyFont="1">
      <alignment vertical="center"/>
    </xf>
    <xf borderId="1" fillId="19" fontId="20" numFmtId="0" xfId="0" applyAlignment="1" applyBorder="1" applyFont="1">
      <alignment horizontal="left" vertical="center"/>
    </xf>
    <xf borderId="1" fillId="0" fontId="20" numFmtId="0" xfId="0" applyAlignment="1" applyBorder="1" applyFont="1">
      <alignment horizontal="left" vertical="center"/>
    </xf>
    <xf borderId="1" fillId="0" fontId="20" numFmtId="0" xfId="0" applyAlignment="1" applyBorder="1" applyFont="1">
      <alignment horizontal="left" vertical="center"/>
    </xf>
    <xf borderId="1" fillId="11" fontId="18" numFmtId="0" xfId="0" applyAlignment="1" applyBorder="1" applyFont="1">
      <alignment horizontal="center" readingOrder="0" vertical="center"/>
    </xf>
    <xf borderId="0" fillId="0" fontId="2" numFmtId="10" xfId="0" applyAlignment="1" applyFont="1" applyNumberFormat="1">
      <alignment vertical="center"/>
    </xf>
    <xf borderId="1" fillId="0" fontId="20" numFmtId="0" xfId="0" applyAlignment="1" applyBorder="1" applyFont="1">
      <alignment horizontal="right" vertical="center"/>
    </xf>
    <xf borderId="1" fillId="27" fontId="18" numFmtId="0" xfId="0" applyAlignment="1" applyBorder="1" applyFont="1">
      <alignment horizontal="center" readingOrder="0" vertical="center"/>
    </xf>
    <xf borderId="1" fillId="0" fontId="35" numFmtId="3" xfId="0" applyAlignment="1" applyBorder="1" applyFont="1" applyNumberFormat="1">
      <alignment horizontal="center" readingOrder="0" vertical="center"/>
    </xf>
    <xf borderId="0" fillId="0" fontId="20" numFmtId="0" xfId="0" applyAlignment="1" applyFont="1">
      <alignment vertical="center"/>
    </xf>
    <xf borderId="1" fillId="0" fontId="18" numFmtId="0" xfId="0" applyAlignment="1" applyBorder="1" applyFont="1">
      <alignment readingOrder="0" vertical="center"/>
    </xf>
    <xf borderId="2" fillId="0" fontId="20" numFmtId="0" xfId="0" applyAlignment="1" applyBorder="1" applyFont="1">
      <alignment horizontal="center" readingOrder="0" vertical="center"/>
    </xf>
    <xf borderId="1" fillId="0" fontId="36" numFmtId="3" xfId="0" applyAlignment="1" applyBorder="1" applyFont="1" applyNumberFormat="1">
      <alignment horizontal="center" readingOrder="0" shrinkToFit="0" vertical="center" wrapText="1"/>
    </xf>
    <xf borderId="1" fillId="27" fontId="37" numFmtId="0" xfId="0" applyAlignment="1" applyBorder="1" applyFont="1">
      <alignment horizontal="center" readingOrder="0" vertical="center"/>
    </xf>
    <xf borderId="1" fillId="6" fontId="20" numFmtId="0" xfId="0" applyAlignment="1" applyBorder="1" applyFont="1">
      <alignment horizontal="left" vertical="center"/>
    </xf>
    <xf borderId="1" fillId="6" fontId="20" numFmtId="0" xfId="0" applyAlignment="1" applyBorder="1" applyFont="1">
      <alignment horizontal="left" vertical="center"/>
    </xf>
    <xf borderId="1" fillId="28" fontId="20" numFmtId="0" xfId="0" applyAlignment="1" applyBorder="1" applyFill="1" applyFont="1">
      <alignment horizontal="left" vertical="center"/>
    </xf>
    <xf borderId="1" fillId="0" fontId="18" numFmtId="0" xfId="0" applyAlignment="1" applyBorder="1" applyFont="1">
      <alignment vertical="center"/>
    </xf>
    <xf borderId="1" fillId="0" fontId="18" numFmtId="0" xfId="0" applyAlignment="1" applyBorder="1" applyFont="1">
      <alignment horizontal="center" vertical="center"/>
    </xf>
    <xf borderId="1" fillId="0" fontId="18" numFmtId="3" xfId="0" applyAlignment="1" applyBorder="1" applyFont="1" applyNumberFormat="1">
      <alignment horizontal="center" vertical="center"/>
    </xf>
    <xf borderId="0" fillId="25" fontId="2" numFmtId="0" xfId="0" applyAlignment="1" applyFont="1">
      <alignment vertical="center"/>
    </xf>
    <xf borderId="0" fillId="25" fontId="2" numFmtId="0" xfId="0" applyAlignment="1" applyFont="1">
      <alignment horizontal="center" vertical="center"/>
    </xf>
    <xf borderId="1" fillId="0" fontId="18" numFmtId="0" xfId="0" applyAlignment="1" applyBorder="1" applyFont="1">
      <alignment vertical="center"/>
    </xf>
    <xf borderId="1" fillId="0" fontId="18" numFmtId="3" xfId="0" applyAlignment="1" applyBorder="1" applyFont="1" applyNumberFormat="1">
      <alignment vertical="center"/>
    </xf>
    <xf borderId="0" fillId="0" fontId="20" numFmtId="0" xfId="0" applyAlignment="1" applyFont="1">
      <alignment vertical="center"/>
    </xf>
    <xf borderId="1" fillId="0" fontId="20" numFmtId="0" xfId="0" applyAlignment="1" applyBorder="1" applyFont="1">
      <alignment shrinkToFit="0" vertical="center" wrapText="0"/>
    </xf>
    <xf borderId="1" fillId="26" fontId="20" numFmtId="165" xfId="0" applyAlignment="1" applyBorder="1" applyFont="1" applyNumberFormat="1">
      <alignment horizontal="right" vertical="center"/>
    </xf>
    <xf borderId="1" fillId="14" fontId="20" numFmtId="10" xfId="0" applyAlignment="1" applyBorder="1" applyFont="1" applyNumberFormat="1">
      <alignment horizontal="center" vertical="center"/>
    </xf>
    <xf borderId="1" fillId="14" fontId="20" numFmtId="10" xfId="0" applyAlignment="1" applyBorder="1" applyFont="1" applyNumberFormat="1">
      <alignment vertical="center"/>
    </xf>
    <xf borderId="0" fillId="0" fontId="18" numFmtId="0" xfId="0" applyAlignment="1" applyFont="1">
      <alignment horizontal="left" vertical="center"/>
    </xf>
    <xf borderId="1" fillId="0" fontId="18" numFmtId="0" xfId="0" applyAlignment="1" applyBorder="1" applyFont="1">
      <alignment horizontal="left" vertical="center"/>
    </xf>
    <xf borderId="1" fillId="0" fontId="18" numFmtId="0" xfId="0" applyAlignment="1" applyBorder="1" applyFont="1">
      <alignment horizontal="left" vertical="center"/>
    </xf>
    <xf borderId="1" fillId="0" fontId="18" numFmtId="3" xfId="0" applyAlignment="1" applyBorder="1" applyFont="1" applyNumberFormat="1">
      <alignment horizontal="left" vertical="center"/>
    </xf>
    <xf borderId="0" fillId="0" fontId="18" numFmtId="0" xfId="0" applyAlignment="1" applyFont="1">
      <alignment horizontal="left" readingOrder="0" vertical="center"/>
    </xf>
    <xf borderId="0" fillId="0" fontId="38" numFmtId="0" xfId="0" applyAlignment="1" applyFont="1">
      <alignment readingOrder="0" vertical="center"/>
    </xf>
    <xf borderId="0" fillId="11" fontId="18" numFmtId="0" xfId="0" applyAlignment="1" applyFont="1">
      <alignment readingOrder="0" vertical="center"/>
    </xf>
    <xf borderId="0" fillId="11" fontId="18" numFmtId="0" xfId="0" applyAlignment="1" applyFont="1">
      <alignment vertical="center"/>
    </xf>
    <xf borderId="0" fillId="0" fontId="18" numFmtId="0" xfId="0" applyAlignment="1" applyFont="1">
      <alignment readingOrder="0" vertical="center"/>
    </xf>
    <xf borderId="0" fillId="29" fontId="18" numFmtId="0" xfId="0" applyAlignment="1" applyFill="1" applyFont="1">
      <alignment readingOrder="0" vertical="center"/>
    </xf>
    <xf borderId="0" fillId="29" fontId="18" numFmtId="0" xfId="0" applyAlignment="1" applyFont="1">
      <alignment vertical="center"/>
    </xf>
    <xf borderId="0" fillId="14" fontId="18" numFmtId="0" xfId="0" applyAlignment="1" applyFont="1">
      <alignment horizontal="left" readingOrder="0" vertical="center"/>
    </xf>
    <xf borderId="0" fillId="14" fontId="18" numFmtId="0" xfId="0" applyAlignment="1" applyFont="1">
      <alignment vertical="center"/>
    </xf>
    <xf borderId="0" fillId="0" fontId="18" numFmtId="9" xfId="0" applyAlignment="1" applyFont="1" applyNumberFormat="1">
      <alignment readingOrder="0" vertical="center"/>
    </xf>
    <xf borderId="0" fillId="0" fontId="18" numFmtId="3" xfId="0" applyAlignment="1" applyFont="1" applyNumberFormat="1">
      <alignment readingOrder="0" vertical="center"/>
    </xf>
    <xf borderId="0" fillId="0" fontId="39" numFmtId="0" xfId="0" applyAlignment="1" applyFont="1">
      <alignment vertical="center"/>
    </xf>
    <xf borderId="17" fillId="0" fontId="33" numFmtId="0" xfId="0" applyAlignment="1" applyBorder="1" applyFont="1">
      <alignment readingOrder="0" shrinkToFit="0" vertical="center" wrapText="0"/>
    </xf>
  </cellXfs>
  <cellStyles count="1">
    <cellStyle xfId="0" name="Normal" builtinId="0"/>
  </cellStyles>
  <dxfs count="5">
    <dxf>
      <font/>
      <fill>
        <patternFill patternType="solid">
          <fgColor rgb="FFFF0000"/>
          <bgColor rgb="FFFF0000"/>
        </patternFill>
      </fill>
      <border/>
    </dxf>
    <dxf>
      <font/>
      <fill>
        <patternFill patternType="solid">
          <fgColor rgb="FFFFFF00"/>
          <bgColor rgb="FFFFFF00"/>
        </patternFill>
      </fill>
      <border/>
    </dxf>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s>
  <tableStyles count="1">
    <tableStyle count="2" pivot="0" name="All entries-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379999999999998"/>
          <c:y val="0.06393"/>
          <c:w val="0.56423"/>
          <c:h val="0.7990900000000001"/>
        </c:manualLayout>
      </c:layout>
      <c:scatterChart>
        <c:scatterStyle val="lineMarker"/>
        <c:ser>
          <c:idx val="0"/>
          <c:order val="0"/>
          <c:tx>
            <c:strRef>
              <c:f>'Editor Comments'!$D$94</c:f>
            </c:strRef>
          </c:tx>
          <c:spPr>
            <a:ln w="47625">
              <a:noFill/>
            </a:ln>
          </c:spPr>
          <c:marker>
            <c:symbol val="circle"/>
            <c:size val="7"/>
            <c:spPr>
              <a:solidFill>
                <a:srgbClr val="3366CC"/>
              </a:solidFill>
              <a:ln cmpd="sng">
                <a:solidFill>
                  <a:srgbClr val="3366CC"/>
                </a:solidFill>
              </a:ln>
            </c:spPr>
          </c:marker>
          <c:xVal>
            <c:numRef>
              <c:f>'Editor Comments'!$C$95:$C$97</c:f>
            </c:numRef>
          </c:xVal>
          <c:yVal>
            <c:numRef>
              <c:f>'Editor Comments'!$D$95:$D$97</c:f>
            </c:numRef>
          </c:yVal>
        </c:ser>
        <c:ser>
          <c:idx val="1"/>
          <c:order val="1"/>
          <c:tx>
            <c:strRef>
              <c:f>'Editor Comments'!$E$94</c:f>
            </c:strRef>
          </c:tx>
          <c:spPr>
            <a:ln w="47625">
              <a:noFill/>
            </a:ln>
          </c:spPr>
          <c:marker>
            <c:symbol val="circle"/>
            <c:size val="7"/>
            <c:spPr>
              <a:solidFill>
                <a:srgbClr val="DC3912"/>
              </a:solidFill>
              <a:ln cmpd="sng">
                <a:solidFill>
                  <a:srgbClr val="DC3912"/>
                </a:solidFill>
              </a:ln>
            </c:spPr>
          </c:marker>
          <c:xVal>
            <c:numRef>
              <c:f>'Editor Comments'!$C$95:$C$97</c:f>
            </c:numRef>
          </c:xVal>
          <c:yVal>
            <c:numRef>
              <c:f>'Editor Comments'!$E$95:$E$97</c:f>
            </c:numRef>
          </c:yVal>
        </c:ser>
        <c:dLbls>
          <c:showLegendKey val="0"/>
          <c:showVal val="0"/>
          <c:showCatName val="0"/>
          <c:showSerName val="0"/>
          <c:showPercent val="0"/>
          <c:showBubbleSize val="0"/>
        </c:dLbls>
        <c:axId val="1545402260"/>
        <c:axId val="1667622399"/>
      </c:scatterChart>
      <c:valAx>
        <c:axId val="15454022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667622399"/>
      </c:valAx>
      <c:valAx>
        <c:axId val="1667622399"/>
        <c:scaling>
          <c:orientation val="minMax"/>
          <c:min val="0.97"/>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545402260"/>
      </c:valAx>
    </c:plotArea>
    <c:legend>
      <c:legendPos val="r"/>
      <c:overlay val="0"/>
      <c:txPr>
        <a:bodyPr/>
        <a:lstStyle/>
        <a:p>
          <a:pPr lvl="0">
            <a:defRPr b="0">
              <a:solidFill>
                <a:srgbClr val="000000"/>
              </a:solidFill>
              <a:latin typeface="Roboto"/>
            </a:defRPr>
          </a:pPr>
        </a:p>
      </c:txPr>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57"/>
          <c:y val="0.08"/>
          <c:w val="0.718"/>
          <c:h val="0.652"/>
        </c:manualLayout>
      </c:layout>
      <c:scatterChart>
        <c:scatterStyle val="lineMarker"/>
        <c:varyColors val="0"/>
        <c:ser>
          <c:idx val="0"/>
          <c:order val="0"/>
          <c:tx>
            <c:strRef>
              <c:f>'Editor Comments'!$B$109</c:f>
            </c:strRef>
          </c:tx>
          <c:spPr>
            <a:ln w="47625">
              <a:noFill/>
            </a:ln>
          </c:spPr>
          <c:marker>
            <c:symbol val="circle"/>
            <c:size val="7"/>
            <c:spPr>
              <a:solidFill>
                <a:srgbClr val="3366CC"/>
              </a:solidFill>
              <a:ln cmpd="sng">
                <a:solidFill>
                  <a:srgbClr val="3366CC"/>
                </a:solidFill>
              </a:ln>
            </c:spPr>
          </c:marker>
          <c:trendline>
            <c:name/>
            <c:spPr>
              <a:ln w="19050">
                <a:solidFill>
                  <a:srgbClr val="FF0000"/>
                </a:solidFill>
              </a:ln>
            </c:spPr>
            <c:trendlineType val="exp"/>
            <c:dispRSqr val="0"/>
            <c:dispEq val="1"/>
          </c:trendline>
          <c:xVal>
            <c:numRef>
              <c:f>'Editor Comments'!$A$110:$A$113</c:f>
            </c:numRef>
          </c:xVal>
          <c:yVal>
            <c:numRef>
              <c:f>'Editor Comments'!$B$110:$B$113</c:f>
            </c:numRef>
          </c:yVal>
        </c:ser>
        <c:dLbls>
          <c:showLegendKey val="0"/>
          <c:showVal val="0"/>
          <c:showCatName val="0"/>
          <c:showSerName val="0"/>
          <c:showPercent val="0"/>
          <c:showBubbleSize val="0"/>
        </c:dLbls>
        <c:axId val="339120145"/>
        <c:axId val="1400986159"/>
      </c:scatterChart>
      <c:valAx>
        <c:axId val="3391201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400986159"/>
      </c:valAx>
      <c:valAx>
        <c:axId val="14009861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339120145"/>
      </c:valAx>
    </c:plotArea>
    <c:legend>
      <c:legendPos val="b"/>
      <c:overlay val="0"/>
      <c:txPr>
        <a:bodyPr/>
        <a:lstStyle/>
        <a:p>
          <a:pPr lvl="0">
            <a:defRPr b="0">
              <a:solidFill>
                <a:srgbClr val="000000"/>
              </a:solidFill>
              <a:latin typeface="Roboto"/>
            </a:defRPr>
          </a:pPr>
        </a:p>
      </c:txPr>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57"/>
          <c:y val="0.08"/>
          <c:w val="0.718"/>
          <c:h val="0.652"/>
        </c:manualLayout>
      </c:layout>
      <c:scatterChart>
        <c:scatterStyle val="lineMarker"/>
        <c:varyColors val="0"/>
        <c:ser>
          <c:idx val="0"/>
          <c:order val="0"/>
          <c:tx>
            <c:strRef>
              <c:f>'Editor Comments'!$B$122</c:f>
            </c:strRef>
          </c:tx>
          <c:spPr>
            <a:ln w="47625">
              <a:noFill/>
            </a:ln>
          </c:spPr>
          <c:marker>
            <c:symbol val="circle"/>
            <c:size val="7"/>
            <c:spPr>
              <a:solidFill>
                <a:srgbClr val="3366CC"/>
              </a:solidFill>
              <a:ln cmpd="sng">
                <a:solidFill>
                  <a:srgbClr val="3366CC"/>
                </a:solidFill>
              </a:ln>
            </c:spPr>
          </c:marker>
          <c:trendline>
            <c:name/>
            <c:spPr>
              <a:ln w="19050">
                <a:solidFill>
                  <a:srgbClr val="FF0000"/>
                </a:solidFill>
              </a:ln>
            </c:spPr>
            <c:trendlineType val="exp"/>
            <c:dispRSqr val="0"/>
            <c:dispEq val="1"/>
          </c:trendline>
          <c:xVal>
            <c:numRef>
              <c:f>'Editor Comments'!$A$123:$A$126</c:f>
            </c:numRef>
          </c:xVal>
          <c:yVal>
            <c:numRef>
              <c:f>'Editor Comments'!$B$123:$B$126</c:f>
            </c:numRef>
          </c:yVal>
        </c:ser>
        <c:dLbls>
          <c:showLegendKey val="0"/>
          <c:showVal val="0"/>
          <c:showCatName val="0"/>
          <c:showSerName val="0"/>
          <c:showPercent val="0"/>
          <c:showBubbleSize val="0"/>
        </c:dLbls>
        <c:axId val="1338957667"/>
        <c:axId val="935077726"/>
      </c:scatterChart>
      <c:valAx>
        <c:axId val="13389576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935077726"/>
      </c:valAx>
      <c:valAx>
        <c:axId val="9350777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338957667"/>
      </c:valAx>
    </c:plotArea>
    <c:legend>
      <c:legendPos val="b"/>
      <c:overlay val="0"/>
      <c:txPr>
        <a:bodyPr/>
        <a:lstStyle/>
        <a:p>
          <a:pPr lvl="0">
            <a:defRPr b="0">
              <a:solidFill>
                <a:srgbClr val="000000"/>
              </a:solidFill>
              <a:latin typeface="Roboto"/>
            </a:defRPr>
          </a:pPr>
        </a:p>
      </c:txPr>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'Temperature effect'!$R$1</c:f>
            </c:strRef>
          </c:tx>
          <c:spPr>
            <a:solidFill>
              <a:srgbClr val="000000"/>
            </a:solidFill>
          </c:spPr>
          <c:dLbls>
            <c:txPr>
              <a:bodyPr/>
              <a:lstStyle/>
              <a:p>
                <a:pPr lvl="0">
                  <a:defRPr/>
                </a:pPr>
              </a:p>
            </c:txPr>
            <c:showLegendKey val="0"/>
            <c:showVal val="1"/>
            <c:showCatName val="0"/>
            <c:showSerName val="0"/>
            <c:showPercent val="0"/>
            <c:showBubbleSize val="0"/>
          </c:dLbls>
          <c:val>
            <c:numRef>
              <c:f>'Temperature effect'!$R$2:$R$13</c:f>
            </c:numRef>
          </c:val>
        </c:ser>
        <c:ser>
          <c:idx val="1"/>
          <c:order val="1"/>
          <c:tx>
            <c:strRef>
              <c:f>'Temperature effect'!$P$1</c:f>
            </c:strRef>
          </c:tx>
          <c:spPr>
            <a:solidFill>
              <a:srgbClr val="6D9EEB"/>
            </a:solidFill>
          </c:spPr>
          <c:dLbls>
            <c:txPr>
              <a:bodyPr/>
              <a:lstStyle/>
              <a:p>
                <a:pPr lvl="0">
                  <a:defRPr b="1">
                    <a:solidFill>
                      <a:srgbClr val="000000"/>
                    </a:solidFill>
                  </a:defRPr>
                </a:pPr>
              </a:p>
            </c:txPr>
            <c:showLegendKey val="0"/>
            <c:showVal val="1"/>
            <c:showCatName val="0"/>
            <c:showSerName val="0"/>
            <c:showPercent val="0"/>
            <c:showBubbleSize val="0"/>
          </c:dLbls>
          <c:val>
            <c:numRef>
              <c:f>'Temperature effect'!$P$2:$P$13</c:f>
            </c:numRef>
          </c:val>
        </c:ser>
        <c:ser>
          <c:idx val="2"/>
          <c:order val="2"/>
          <c:tx>
            <c:strRef>
              <c:f>'Temperature effect'!$Q$1</c:f>
            </c:strRef>
          </c:tx>
          <c:spPr>
            <a:solidFill>
              <a:srgbClr val="FF0000"/>
            </a:solidFill>
          </c:spPr>
          <c:dLbls>
            <c:txPr>
              <a:bodyPr/>
              <a:lstStyle/>
              <a:p>
                <a:pPr lvl="0">
                  <a:defRPr/>
                </a:pPr>
              </a:p>
            </c:txPr>
            <c:showLegendKey val="0"/>
            <c:showVal val="1"/>
            <c:showCatName val="0"/>
            <c:showSerName val="0"/>
            <c:showPercent val="0"/>
            <c:showBubbleSize val="0"/>
          </c:dLbls>
          <c:val>
            <c:numRef>
              <c:f>'Temperature effect'!$Q$2:$Q$13</c:f>
            </c:numRef>
          </c:val>
        </c:ser>
        <c:overlap val="100"/>
        <c:axId val="413905943"/>
        <c:axId val="1770217928"/>
      </c:barChart>
      <c:catAx>
        <c:axId val="413905943"/>
        <c:scaling>
          <c:orientation val="minMax"/>
        </c:scaling>
        <c:delete val="0"/>
        <c:axPos val="b"/>
        <c:title>
          <c:tx>
            <c:rich>
              <a:bodyPr/>
              <a:lstStyle/>
              <a:p>
                <a:pPr lvl="0">
                  <a:defRPr b="0">
                    <a:solidFill>
                      <a:srgbClr val="000000"/>
                    </a:solidFill>
                    <a:latin typeface="Roboto"/>
                  </a:defRPr>
                </a:pPr>
                <a:r>
                  <a:t/>
                </a:r>
              </a:p>
            </c:rich>
          </c:tx>
          <c:overlay val="0"/>
        </c:title>
        <c:txPr>
          <a:bodyPr/>
          <a:lstStyle/>
          <a:p>
            <a:pPr lvl="0">
              <a:defRPr b="0">
                <a:solidFill>
                  <a:srgbClr val="000000"/>
                </a:solidFill>
                <a:latin typeface="Roboto"/>
              </a:defRPr>
            </a:pPr>
          </a:p>
        </c:txPr>
        <c:crossAx val="1770217928"/>
      </c:catAx>
      <c:valAx>
        <c:axId val="17702179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413905943"/>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'Temperature effect'!$G$2</c:f>
            </c:strRef>
          </c:tx>
          <c:spPr>
            <a:ln w="47625">
              <a:noFill/>
            </a:ln>
          </c:spPr>
          <c:marker>
            <c:symbol val="circle"/>
            <c:size val="4"/>
            <c:spPr>
              <a:solidFill>
                <a:srgbClr val="3366CC"/>
              </a:solidFill>
              <a:ln cmpd="sng">
                <a:solidFill>
                  <a:srgbClr val="3366CC"/>
                </a:solidFill>
              </a:ln>
            </c:spPr>
          </c:marker>
          <c:trendline>
            <c:name/>
            <c:spPr>
              <a:ln w="19050">
                <a:solidFill>
                  <a:srgbClr val="FF0000"/>
                </a:solidFill>
              </a:ln>
            </c:spPr>
            <c:trendlineType val="linear"/>
            <c:dispRSqr val="0"/>
            <c:dispEq val="0"/>
          </c:trendline>
          <c:xVal>
            <c:numRef>
              <c:f>'Temperature effect'!$D$3:$D$1527</c:f>
            </c:numRef>
          </c:xVal>
          <c:yVal>
            <c:numRef>
              <c:f>'Temperature effect'!$G$3:$G$1527</c:f>
            </c:numRef>
          </c:yVal>
        </c:ser>
        <c:dLbls>
          <c:showLegendKey val="0"/>
          <c:showVal val="0"/>
          <c:showCatName val="0"/>
          <c:showSerName val="0"/>
          <c:showPercent val="0"/>
          <c:showBubbleSize val="0"/>
        </c:dLbls>
        <c:axId val="1390742088"/>
        <c:axId val="1962492805"/>
      </c:scatterChart>
      <c:valAx>
        <c:axId val="13907420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Date of range reading
(double click empty cell)</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962492805"/>
      </c:valAx>
      <c:valAx>
        <c:axId val="1962492805"/>
        <c:scaling>
          <c:orientation val="minMax"/>
          <c:max val="0.1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390742088"/>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'Temperature effect'!$O$1</c:f>
            </c:strRef>
          </c:tx>
          <c:spPr>
            <a:solidFill>
              <a:srgbClr val="000000"/>
            </a:solidFill>
          </c:spPr>
          <c:dLbls>
            <c:txPr>
              <a:bodyPr/>
              <a:lstStyle/>
              <a:p>
                <a:pPr lvl="0">
                  <a:defRPr/>
                </a:pPr>
              </a:p>
            </c:txPr>
            <c:showLegendKey val="0"/>
            <c:showVal val="1"/>
            <c:showCatName val="0"/>
            <c:showSerName val="0"/>
            <c:showPercent val="0"/>
            <c:showBubbleSize val="0"/>
          </c:dLbls>
          <c:val>
            <c:numRef>
              <c:f>'Temperature effect'!$O$2:$O$13</c:f>
            </c:numRef>
          </c:val>
        </c:ser>
        <c:ser>
          <c:idx val="1"/>
          <c:order val="1"/>
          <c:tx>
            <c:strRef>
              <c:f>'Temperature effect'!$M$1</c:f>
            </c:strRef>
          </c:tx>
          <c:spPr>
            <a:solidFill>
              <a:srgbClr val="6D9EEB"/>
            </a:solidFill>
          </c:spPr>
          <c:dLbls>
            <c:txPr>
              <a:bodyPr/>
              <a:lstStyle/>
              <a:p>
                <a:pPr lvl="0">
                  <a:defRPr b="1">
                    <a:solidFill>
                      <a:srgbClr val="000000"/>
                    </a:solidFill>
                  </a:defRPr>
                </a:pPr>
              </a:p>
            </c:txPr>
            <c:showLegendKey val="0"/>
            <c:showVal val="1"/>
            <c:showCatName val="0"/>
            <c:showSerName val="0"/>
            <c:showPercent val="0"/>
            <c:showBubbleSize val="0"/>
          </c:dLbls>
          <c:val>
            <c:numRef>
              <c:f>'Temperature effect'!$M$2:$M$13</c:f>
            </c:numRef>
          </c:val>
        </c:ser>
        <c:ser>
          <c:idx val="2"/>
          <c:order val="2"/>
          <c:tx>
            <c:strRef>
              <c:f>'Temperature effect'!$N$1</c:f>
            </c:strRef>
          </c:tx>
          <c:spPr>
            <a:solidFill>
              <a:srgbClr val="FF0000"/>
            </a:solidFill>
          </c:spPr>
          <c:dLbls>
            <c:txPr>
              <a:bodyPr/>
              <a:lstStyle/>
              <a:p>
                <a:pPr lvl="0">
                  <a:defRPr/>
                </a:pPr>
              </a:p>
            </c:txPr>
            <c:showLegendKey val="0"/>
            <c:showVal val="1"/>
            <c:showCatName val="0"/>
            <c:showSerName val="0"/>
            <c:showPercent val="0"/>
            <c:showBubbleSize val="0"/>
          </c:dLbls>
          <c:val>
            <c:numRef>
              <c:f>'Temperature effect'!$N$2:$N$13</c:f>
            </c:numRef>
          </c:val>
        </c:ser>
        <c:overlap val="100"/>
        <c:axId val="556857451"/>
        <c:axId val="301547759"/>
      </c:barChart>
      <c:catAx>
        <c:axId val="556857451"/>
        <c:scaling>
          <c:orientation val="minMax"/>
        </c:scaling>
        <c:delete val="0"/>
        <c:axPos val="b"/>
        <c:title>
          <c:tx>
            <c:rich>
              <a:bodyPr/>
              <a:lstStyle/>
              <a:p>
                <a:pPr lvl="0">
                  <a:defRPr b="0">
                    <a:solidFill>
                      <a:srgbClr val="000000"/>
                    </a:solidFill>
                    <a:latin typeface="Roboto"/>
                  </a:defRPr>
                </a:pPr>
                <a:r>
                  <a:t/>
                </a:r>
              </a:p>
            </c:rich>
          </c:tx>
          <c:overlay val="0"/>
        </c:title>
        <c:txPr>
          <a:bodyPr/>
          <a:lstStyle/>
          <a:p>
            <a:pPr lvl="0">
              <a:defRPr b="0">
                <a:solidFill>
                  <a:srgbClr val="000000"/>
                </a:solidFill>
                <a:latin typeface="Roboto"/>
              </a:defRPr>
            </a:pPr>
          </a:p>
        </c:txPr>
        <c:crossAx val="301547759"/>
      </c:catAx>
      <c:valAx>
        <c:axId val="3015477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556857451"/>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Roboto"/>
              </a:defRPr>
            </a:pPr>
            <a:r>
              <a:t>Tesla Model S/X/3 Mileage vs Remaining Battery Capacity</a:t>
            </a:r>
          </a:p>
        </c:rich>
      </c:tx>
      <c:overlay val="0"/>
    </c:title>
    <c:plotArea>
      <c:layout>
        <c:manualLayout>
          <c:xMode val="edge"/>
          <c:yMode val="edge"/>
          <c:x val="0.08601587613067208"/>
          <c:y val="0.10080106809078776"/>
          <c:w val="0.7560638128877925"/>
          <c:h val="0.8082247198748285"/>
        </c:manualLayout>
      </c:layout>
      <c:scatterChart>
        <c:scatterStyle val="lineMarker"/>
        <c:ser>
          <c:idx val="0"/>
          <c:order val="0"/>
          <c:tx>
            <c:strRef>
              <c:f>'All entries'!$T$1</c:f>
            </c:strRef>
          </c:tx>
          <c:spPr>
            <a:ln w="47625">
              <a:noFill/>
            </a:ln>
          </c:spPr>
          <c:marker>
            <c:symbol val="circle"/>
            <c:size val="4"/>
            <c:spPr>
              <a:solidFill>
                <a:srgbClr val="3366CC"/>
              </a:solidFill>
              <a:ln cmpd="sng">
                <a:solidFill>
                  <a:srgbClr val="3366CC"/>
                </a:solidFill>
              </a:ln>
            </c:spPr>
          </c:marker>
          <c:xVal>
            <c:numRef>
              <c:f>'All entries'!$W$2:$W$1600</c:f>
            </c:numRef>
          </c:xVal>
          <c:yVal>
            <c:numRef>
              <c:f>'All entries'!$T$2:$T$1600</c:f>
            </c:numRef>
          </c:yVal>
        </c:ser>
        <c:ser>
          <c:idx val="1"/>
          <c:order val="1"/>
          <c:tx>
            <c:strRef>
              <c:f>'All entries'!$Z$1</c:f>
            </c:strRef>
          </c:tx>
          <c:spPr>
            <a:ln w="47625">
              <a:noFill/>
            </a:ln>
          </c:spPr>
          <c:marker>
            <c:symbol val="circle"/>
            <c:size val="2"/>
            <c:spPr>
              <a:solidFill>
                <a:srgbClr val="FF153B"/>
              </a:solidFill>
              <a:ln cmpd="sng">
                <a:solidFill>
                  <a:srgbClr val="FF153B"/>
                </a:solidFill>
              </a:ln>
            </c:spPr>
          </c:marker>
          <c:xVal>
            <c:numRef>
              <c:f>'All entries'!$W$2:$W$1600</c:f>
            </c:numRef>
          </c:xVal>
          <c:yVal>
            <c:numRef>
              <c:f>'All entries'!$Z$2:$Z$1600</c:f>
            </c:numRef>
          </c:yVal>
        </c:ser>
        <c:ser>
          <c:idx val="2"/>
          <c:order val="2"/>
          <c:tx>
            <c:strRef>
              <c:f>'All entries'!$Y$1</c:f>
            </c:strRef>
          </c:tx>
          <c:spPr>
            <a:ln w="47625">
              <a:noFill/>
            </a:ln>
          </c:spPr>
          <c:marker>
            <c:symbol val="circle"/>
            <c:size val="8"/>
            <c:spPr>
              <a:solidFill>
                <a:srgbClr val="FF9D0B"/>
              </a:solidFill>
              <a:ln cmpd="sng">
                <a:solidFill>
                  <a:srgbClr val="FF9D0B"/>
                </a:solidFill>
              </a:ln>
            </c:spPr>
          </c:marker>
          <c:xVal>
            <c:numRef>
              <c:f>'All entries'!$W$2:$W$1600</c:f>
            </c:numRef>
          </c:xVal>
          <c:yVal>
            <c:numRef>
              <c:f>'All entries'!$Y$2:$Y$1600</c:f>
            </c:numRef>
          </c:yVal>
        </c:ser>
        <c:dLbls>
          <c:showLegendKey val="0"/>
          <c:showVal val="0"/>
          <c:showCatName val="0"/>
          <c:showSerName val="0"/>
          <c:showPercent val="0"/>
          <c:showBubbleSize val="0"/>
        </c:dLbls>
        <c:axId val="1804349011"/>
        <c:axId val="2043024541"/>
      </c:scatterChart>
      <c:valAx>
        <c:axId val="1804349011"/>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t>Mileage</a:t>
                </a:r>
              </a:p>
            </c:rich>
          </c:tx>
          <c:overlay val="0"/>
        </c:title>
        <c:numFmt formatCode="General" sourceLinked="1"/>
        <c:tickLblPos val="nextTo"/>
        <c:spPr>
          <a:ln w="47625">
            <a:noFill/>
          </a:ln>
        </c:spPr>
        <c:txPr>
          <a:bodyPr/>
          <a:lstStyle/>
          <a:p>
            <a:pPr lvl="0">
              <a:defRPr b="0" sz="1200">
                <a:solidFill>
                  <a:srgbClr val="222222"/>
                </a:solidFill>
                <a:latin typeface="Roboto"/>
              </a:defRPr>
            </a:pPr>
          </a:p>
        </c:txPr>
        <c:crossAx val="2043024541"/>
      </c:valAx>
      <c:valAx>
        <c:axId val="2043024541"/>
        <c:scaling>
          <c:orientation val="minMax"/>
          <c:max val="1.03"/>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t>Remaining Battery Capacity</a:t>
                </a:r>
              </a:p>
            </c:rich>
          </c:tx>
          <c:overlay val="0"/>
        </c:title>
        <c:numFmt formatCode="General" sourceLinked="1"/>
        <c:tickLblPos val="nextTo"/>
        <c:spPr>
          <a:ln w="47625">
            <a:noFill/>
          </a:ln>
        </c:spPr>
        <c:txPr>
          <a:bodyPr/>
          <a:lstStyle/>
          <a:p>
            <a:pPr lvl="0">
              <a:defRPr b="0" sz="1200">
                <a:solidFill>
                  <a:srgbClr val="222222"/>
                </a:solidFill>
                <a:latin typeface="Roboto"/>
              </a:defRPr>
            </a:pPr>
          </a:p>
        </c:txPr>
        <c:crossAx val="1804349011"/>
      </c:valAx>
      <c:spPr>
        <a:solidFill>
          <a:srgbClr val="FFFFFF"/>
        </a:solidFill>
      </c:spPr>
    </c:plotArea>
    <c:legend>
      <c:legendPos val="r"/>
      <c:overlay val="0"/>
      <c:txPr>
        <a:bodyPr/>
        <a:lstStyle/>
        <a:p>
          <a:pPr lvl="0">
            <a:defRPr b="0" sz="1200">
              <a:solidFill>
                <a:srgbClr val="222222"/>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Roboto"/>
              </a:defRPr>
            </a:pPr>
            <a:r>
              <a:t>Tesla Model S/X/3 Mileage vs Remaining Battery Capacity (Same chart as above but at full scale for better perspective)</a:t>
            </a:r>
          </a:p>
        </c:rich>
      </c:tx>
      <c:overlay val="0"/>
    </c:title>
    <c:plotArea>
      <c:layout>
        <c:manualLayout>
          <c:xMode val="edge"/>
          <c:yMode val="edge"/>
          <c:x val="0.08601587613067208"/>
          <c:y val="0.10080106809078776"/>
          <c:w val="0.7560638128877925"/>
          <c:h val="0.8082247198748285"/>
        </c:manualLayout>
      </c:layout>
      <c:scatterChart>
        <c:scatterStyle val="lineMarker"/>
        <c:ser>
          <c:idx val="0"/>
          <c:order val="0"/>
          <c:tx>
            <c:strRef>
              <c:f>'All entries'!$T$1</c:f>
            </c:strRef>
          </c:tx>
          <c:spPr>
            <a:ln w="47625">
              <a:noFill/>
            </a:ln>
          </c:spPr>
          <c:marker>
            <c:symbol val="circle"/>
            <c:size val="4"/>
            <c:spPr>
              <a:solidFill>
                <a:srgbClr val="3366CC"/>
              </a:solidFill>
              <a:ln cmpd="sng">
                <a:solidFill>
                  <a:srgbClr val="3366CC"/>
                </a:solidFill>
              </a:ln>
            </c:spPr>
          </c:marker>
          <c:xVal>
            <c:numRef>
              <c:f>'All entries'!$W$2:$W$1600</c:f>
            </c:numRef>
          </c:xVal>
          <c:yVal>
            <c:numRef>
              <c:f>'All entries'!$T$2:$T$1600</c:f>
            </c:numRef>
          </c:yVal>
        </c:ser>
        <c:ser>
          <c:idx val="1"/>
          <c:order val="1"/>
          <c:tx>
            <c:strRef>
              <c:f>'All entries'!$Z$1</c:f>
            </c:strRef>
          </c:tx>
          <c:spPr>
            <a:ln w="47625">
              <a:noFill/>
            </a:ln>
          </c:spPr>
          <c:marker>
            <c:symbol val="circle"/>
            <c:size val="2"/>
            <c:spPr>
              <a:solidFill>
                <a:srgbClr val="FF153B"/>
              </a:solidFill>
              <a:ln cmpd="sng">
                <a:solidFill>
                  <a:srgbClr val="FF153B"/>
                </a:solidFill>
              </a:ln>
            </c:spPr>
          </c:marker>
          <c:xVal>
            <c:numRef>
              <c:f>'All entries'!$W$2:$W$1600</c:f>
            </c:numRef>
          </c:xVal>
          <c:yVal>
            <c:numRef>
              <c:f>'All entries'!$Z$2:$Z$1600</c:f>
            </c:numRef>
          </c:yVal>
        </c:ser>
        <c:ser>
          <c:idx val="2"/>
          <c:order val="2"/>
          <c:tx>
            <c:strRef>
              <c:f>'All entries'!$Y$1</c:f>
            </c:strRef>
          </c:tx>
          <c:spPr>
            <a:ln w="47625">
              <a:noFill/>
            </a:ln>
          </c:spPr>
          <c:marker>
            <c:symbol val="circle"/>
            <c:size val="8"/>
            <c:spPr>
              <a:solidFill>
                <a:srgbClr val="FF9D0B"/>
              </a:solidFill>
              <a:ln cmpd="sng">
                <a:solidFill>
                  <a:srgbClr val="FF9D0B"/>
                </a:solidFill>
              </a:ln>
            </c:spPr>
          </c:marker>
          <c:xVal>
            <c:numRef>
              <c:f>'All entries'!$W$2:$W$1600</c:f>
            </c:numRef>
          </c:xVal>
          <c:yVal>
            <c:numRef>
              <c:f>'All entries'!$Y$2:$Y$1600</c:f>
            </c:numRef>
          </c:yVal>
        </c:ser>
        <c:dLbls>
          <c:showLegendKey val="0"/>
          <c:showVal val="0"/>
          <c:showCatName val="0"/>
          <c:showSerName val="0"/>
          <c:showPercent val="0"/>
          <c:showBubbleSize val="0"/>
        </c:dLbls>
        <c:axId val="2070500882"/>
        <c:axId val="1353488888"/>
      </c:scatterChart>
      <c:valAx>
        <c:axId val="2070500882"/>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t>Mileage</a:t>
                </a:r>
              </a:p>
            </c:rich>
          </c:tx>
          <c:overlay val="0"/>
        </c:title>
        <c:numFmt formatCode="General" sourceLinked="1"/>
        <c:tickLblPos val="nextTo"/>
        <c:spPr>
          <a:ln w="47625">
            <a:noFill/>
          </a:ln>
        </c:spPr>
        <c:txPr>
          <a:bodyPr/>
          <a:lstStyle/>
          <a:p>
            <a:pPr lvl="0">
              <a:defRPr b="0" sz="1200">
                <a:solidFill>
                  <a:srgbClr val="222222"/>
                </a:solidFill>
                <a:latin typeface="Roboto"/>
              </a:defRPr>
            </a:pPr>
          </a:p>
        </c:txPr>
        <c:crossAx val="1353488888"/>
      </c:valAx>
      <c:valAx>
        <c:axId val="1353488888"/>
        <c:scaling>
          <c:orientation val="minMax"/>
          <c:max val="1.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t>Remaining Battery Capacity</a:t>
                </a:r>
              </a:p>
            </c:rich>
          </c:tx>
          <c:overlay val="0"/>
        </c:title>
        <c:numFmt formatCode="General" sourceLinked="1"/>
        <c:tickLblPos val="nextTo"/>
        <c:spPr>
          <a:ln w="47625">
            <a:noFill/>
          </a:ln>
        </c:spPr>
        <c:txPr>
          <a:bodyPr/>
          <a:lstStyle/>
          <a:p>
            <a:pPr lvl="0">
              <a:defRPr b="0" sz="1200">
                <a:solidFill>
                  <a:srgbClr val="222222"/>
                </a:solidFill>
                <a:latin typeface="Roboto"/>
              </a:defRPr>
            </a:pPr>
          </a:p>
        </c:txPr>
        <c:crossAx val="2070500882"/>
      </c:valAx>
      <c:spPr>
        <a:solidFill>
          <a:srgbClr val="FFFFFF"/>
        </a:solidFill>
      </c:spPr>
    </c:plotArea>
    <c:legend>
      <c:legendPos val="r"/>
      <c:overlay val="0"/>
      <c:txPr>
        <a:bodyPr/>
        <a:lstStyle/>
        <a:p>
          <a:pPr lvl="0">
            <a:defRPr b="0" sz="1200">
              <a:solidFill>
                <a:srgbClr val="222222"/>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590550</xdr:colOff>
      <xdr:row>96</xdr:row>
      <xdr:rowOff>0</xdr:rowOff>
    </xdr:from>
    <xdr:ext cx="3781425" cy="2085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361950</xdr:colOff>
      <xdr:row>107</xdr:row>
      <xdr:rowOff>428625</xdr:rowOff>
    </xdr:from>
    <xdr:ext cx="3590925" cy="25431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323850</xdr:colOff>
      <xdr:row>121</xdr:row>
      <xdr:rowOff>428625</xdr:rowOff>
    </xdr:from>
    <xdr:ext cx="3590925" cy="2543175"/>
    <xdr:graphicFrame>
      <xdr:nvGraphicFramePr>
        <xdr:cNvPr id="4" name="Chart 4"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xdr:colOff>
      <xdr:row>28</xdr:row>
      <xdr:rowOff>95250</xdr:rowOff>
    </xdr:from>
    <xdr:ext cx="6781800" cy="41719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714375</xdr:colOff>
      <xdr:row>23</xdr:row>
      <xdr:rowOff>161925</xdr:rowOff>
    </xdr:from>
    <xdr:ext cx="9105900" cy="56292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9525</xdr:colOff>
      <xdr:row>7</xdr:row>
      <xdr:rowOff>38100</xdr:rowOff>
    </xdr:from>
    <xdr:ext cx="6781800" cy="41719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95250</xdr:rowOff>
    </xdr:from>
    <xdr:ext cx="9953625" cy="62865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35</xdr:row>
      <xdr:rowOff>66675</xdr:rowOff>
    </xdr:from>
    <xdr:ext cx="9953625" cy="628650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W1600" displayName="Table_1" id="1">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All entrie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hejournal.com/articles/2014/12/11/google-apps-applying-conditional-formatting-across-sheets.aspx" TargetMode="External"/><Relationship Id="rId2" Type="http://schemas.openxmlformats.org/officeDocument/2006/relationships/hyperlink" Target="http://spreadsheetpro.net/how-to-make-a-dynamic-reference-to-a-worksheet-in-excel-and-google-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eslamotorsclub.com/tmc/threads/maxrange.3597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forms/d/e/1FAIpQLSfrteuONm9qylEh0lgLTu6FzP2qR8-3mHTt6e53849ombZ03w/viewform" TargetMode="External"/><Relationship Id="rId2" Type="http://schemas.openxmlformats.org/officeDocument/2006/relationships/hyperlink" Target="http://twitter.com/TroyTeslike" TargetMode="External"/><Relationship Id="rId3" Type="http://schemas.openxmlformats.org/officeDocument/2006/relationships/hyperlink" Target="http://reddit.com/user/Teslike"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zuid5.nl" TargetMode="External"/><Relationship Id="rId3" Type="http://schemas.openxmlformats.org/officeDocument/2006/relationships/hyperlink" Target="http://zuid5.nl" TargetMode="External"/><Relationship Id="rId4" Type="http://schemas.openxmlformats.org/officeDocument/2006/relationships/hyperlink" Target="http://zuid5.nl" TargetMode="External"/><Relationship Id="rId9" Type="http://schemas.openxmlformats.org/officeDocument/2006/relationships/table" Target="../tables/table1.xml"/><Relationship Id="rId5" Type="http://schemas.openxmlformats.org/officeDocument/2006/relationships/hyperlink" Target="http://zuid5.nl" TargetMode="External"/><Relationship Id="rId6" Type="http://schemas.openxmlformats.org/officeDocument/2006/relationships/drawing" Target="../drawings/drawing6.xml"/><Relationship Id="rId7"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57"/>
    <col customWidth="1" min="2" max="2" width="13.29"/>
    <col customWidth="1" min="3" max="3" width="4.0"/>
    <col customWidth="1" min="4" max="4" width="13.29"/>
    <col customWidth="1" min="5" max="5" width="4.0"/>
    <col customWidth="1" min="6" max="6" width="11.14"/>
    <col customWidth="1" min="7" max="7" width="4.0"/>
    <col customWidth="1" min="8" max="8" width="12.57"/>
    <col customWidth="1" min="9" max="9" width="4.0"/>
    <col customWidth="1" min="10" max="11" width="14.57"/>
    <col customWidth="1" min="12" max="16" width="5.71"/>
    <col customWidth="1" min="17" max="17" width="39.29"/>
    <col customWidth="1" min="18" max="19" width="14.14"/>
    <col customWidth="1" min="29" max="30" width="15.14"/>
  </cols>
  <sheetData>
    <row r="1" ht="25.5" customHeight="1">
      <c r="A1" s="1"/>
      <c r="B1" s="2" t="s">
        <v>0</v>
      </c>
      <c r="C1" s="3"/>
      <c r="D1" s="3"/>
      <c r="E1" s="3"/>
      <c r="F1" s="2" t="s">
        <v>1</v>
      </c>
      <c r="G1" s="3"/>
      <c r="H1" s="3"/>
      <c r="I1" s="3"/>
      <c r="J1" s="4" t="s">
        <v>2</v>
      </c>
      <c r="K1" s="5"/>
      <c r="L1" s="4" t="s">
        <v>3</v>
      </c>
      <c r="M1" s="3"/>
      <c r="N1" s="3"/>
      <c r="O1" s="5"/>
      <c r="Q1" s="6" t="s">
        <v>4</v>
      </c>
      <c r="R1" s="5"/>
      <c r="AC1" s="7" t="str">
        <f>A1&amp;"|"&amp;B1&amp;"|"&amp;C1&amp;"|"&amp;D1&amp;"|"&amp;E1&amp;"|"&amp;F1&amp;"|"&amp;G1&amp;"|"&amp;H1&amp;"|"&amp;I1&amp;"|"&amp;J1&amp;"|"&amp;K1&amp;"|"&amp;L1&amp;"|"&amp;Q1&amp;"|"&amp;R1&amp;"|"</f>
        <v>|EPA Rated Range
(based on EPA 5-cycle test)||||Typical Range||||Old EPA rated range if different than current one||Design studio screenshots|Range units Tesla Model S&amp;X displays||</v>
      </c>
      <c r="AD1" s="8" t="s">
        <v>5</v>
      </c>
      <c r="AE1" s="9" t="str">
        <f t="shared" ref="AE1:AE3" si="1">IF(AC1=AD1,,"data changed")</f>
        <v/>
      </c>
      <c r="AF1" s="10" t="s">
        <v>6</v>
      </c>
      <c r="AG1" s="11" t="str">
        <f>IFERROR(__xludf.DUMMYFUNCTION("IFERROR(TRANSPOSE(SPLIT(INDEX(AC2:AF60,MATCH(""Yes"",AF2:AF60,0),1),""|"",True)))"),"")</f>
        <v/>
      </c>
      <c r="AH1" s="11" t="str">
        <f>IFERROR(__xludf.DUMMYFUNCTION("IFERROR(TRANSPOSE(SPLIT(INDEX(AC2:AF60,MATCH(""Yes"",AF2:AF60,0),2),""|"",True)))"),"")</f>
        <v/>
      </c>
    </row>
    <row r="2" ht="16.5" customHeight="1">
      <c r="A2" s="12"/>
      <c r="B2" s="13" t="s">
        <v>7</v>
      </c>
      <c r="C2" s="13"/>
      <c r="D2" s="14" t="s">
        <v>8</v>
      </c>
      <c r="E2" s="14"/>
      <c r="F2" s="15" t="s">
        <v>7</v>
      </c>
      <c r="G2" s="16"/>
      <c r="H2" s="17" t="s">
        <v>8</v>
      </c>
      <c r="I2" s="17"/>
      <c r="J2" s="13" t="s">
        <v>7</v>
      </c>
      <c r="K2" s="14" t="s">
        <v>8</v>
      </c>
      <c r="L2" s="18"/>
      <c r="M2" s="19"/>
      <c r="N2" s="19"/>
      <c r="O2" s="19"/>
      <c r="Q2" s="20" t="s">
        <v>9</v>
      </c>
      <c r="R2" s="20" t="s">
        <v>10</v>
      </c>
      <c r="AC2" s="7" t="str">
        <f t="shared" ref="AC2:AC60" si="2">A2&amp;"|"&amp;B2&amp;"|"&amp;C2&amp;"|"&amp;D2&amp;"|"&amp;E2&amp;"|"&amp;F2&amp;"|"&amp;G2&amp;"|"&amp;H2&amp;"|"&amp;I2&amp;"|"&amp;J2&amp;"|"&amp;K2&amp;"|"&amp;L2&amp;"|"&amp;M2&amp;"|"&amp;N2&amp;"|"</f>
        <v>|Miles||Kilometres||Miles||Kilometres||Miles|Kilometres||||</v>
      </c>
      <c r="AD2" s="7" t="s">
        <v>11</v>
      </c>
      <c r="AE2" s="9" t="str">
        <f t="shared" si="1"/>
        <v/>
      </c>
      <c r="AF2" s="21"/>
      <c r="AG2" s="11"/>
      <c r="AH2" s="11"/>
    </row>
    <row r="3" ht="16.5" customHeight="1">
      <c r="A3" s="22" t="s">
        <v>12</v>
      </c>
      <c r="B3" s="23">
        <f>HYPERLINK("http://i.imgur.com/XDlwDbT.gif",210)</f>
        <v>210</v>
      </c>
      <c r="C3" s="24" t="str">
        <f t="shared" ref="C3:C25" si="3">if(isnumber(B3),"1*","")</f>
        <v>1*</v>
      </c>
      <c r="D3" s="25">
        <f>HYPERLINK("http://i.imgur.com/vtxCdya.gif",338)</f>
        <v>338</v>
      </c>
      <c r="E3" s="26" t="str">
        <f t="shared" ref="E3:E25" si="4">if(isnumber(D3),"1*","")</f>
        <v>1*</v>
      </c>
      <c r="F3" s="27"/>
      <c r="G3" s="15"/>
      <c r="H3" s="28"/>
      <c r="I3" s="29" t="str">
        <f t="shared" ref="I3:I25" si="5">if(isnumber(H3),"2*","")</f>
        <v/>
      </c>
      <c r="J3" s="30">
        <f>HYPERLINK("http://www.fueleconomy.gov/feg/Find.do?action=sbs&amp;id=34776",208)</f>
        <v>208</v>
      </c>
      <c r="K3" s="31">
        <f>HYPERLINK("http://i.imgur.com/LjbNfjt.gif",335)</f>
        <v>335</v>
      </c>
      <c r="L3" s="32" t="str">
        <f>HYPERLINK("http://i.imgur.com/XDlwDbT.gif","7/16r")</f>
        <v>7/16r</v>
      </c>
      <c r="M3" s="32" t="str">
        <f>HYPERLINK("https://i.imgur.com/70BpUDW.jpg","4")</f>
        <v>4</v>
      </c>
      <c r="N3" s="19"/>
      <c r="O3" s="19"/>
      <c r="Q3" s="33" t="s">
        <v>13</v>
      </c>
      <c r="R3" s="34" t="s">
        <v>14</v>
      </c>
      <c r="AC3" s="7" t="str">
        <f t="shared" si="2"/>
        <v>Model S 60|210|1*|338|1*|||||208|335|7/16r|4||</v>
      </c>
      <c r="AD3" s="7" t="s">
        <v>15</v>
      </c>
      <c r="AE3" s="9" t="str">
        <f t="shared" si="1"/>
        <v>data changed</v>
      </c>
      <c r="AF3" s="21"/>
      <c r="AG3" s="11"/>
      <c r="AH3" s="11"/>
    </row>
    <row r="4" ht="16.5" customHeight="1">
      <c r="A4" s="22" t="s">
        <v>16</v>
      </c>
      <c r="B4" s="23">
        <f>HYPERLINK("http://i.imgur.com/hV5MnFS.gif",218)</f>
        <v>218</v>
      </c>
      <c r="C4" s="24" t="str">
        <f t="shared" si="3"/>
        <v>1*</v>
      </c>
      <c r="D4" s="25">
        <f>HYPERLINK("http://i.imgur.com/yZj2BoW.gif",351)</f>
        <v>351</v>
      </c>
      <c r="E4" s="26" t="str">
        <f t="shared" si="4"/>
        <v>1*</v>
      </c>
      <c r="F4" s="27"/>
      <c r="G4" s="15"/>
      <c r="H4" s="28"/>
      <c r="I4" s="29" t="str">
        <f t="shared" si="5"/>
        <v/>
      </c>
      <c r="J4" s="35"/>
      <c r="K4" s="36"/>
      <c r="L4" s="32">
        <f>HYPERLINK("http://i.imgur.com/nxkleq5.jpg",1)</f>
        <v>1</v>
      </c>
      <c r="M4" s="32" t="str">
        <f>HYPERLINK("http://i.imgur.com/hV5MnFS.gif","7/16d")</f>
        <v>7/16d</v>
      </c>
      <c r="N4" s="19"/>
      <c r="O4" s="19"/>
      <c r="Q4" s="34" t="s">
        <v>17</v>
      </c>
      <c r="R4" s="33" t="s">
        <v>18</v>
      </c>
      <c r="AC4" s="7" t="str">
        <f t="shared" si="2"/>
        <v>Model S 60D|218|1*|351|1*|||||||1|7/16d||</v>
      </c>
      <c r="AD4" s="7" t="s">
        <v>19</v>
      </c>
      <c r="AE4" s="9"/>
      <c r="AF4" s="21"/>
      <c r="AG4" s="11"/>
      <c r="AH4" s="11"/>
    </row>
    <row r="5" ht="16.5" customHeight="1">
      <c r="A5" s="22" t="s">
        <v>20</v>
      </c>
      <c r="B5" s="23">
        <f>HYPERLINK("http://www.fueleconomy.gov/feg/Find.do?action=sbs&amp;id=37233",234)</f>
        <v>234</v>
      </c>
      <c r="C5" s="24" t="str">
        <f t="shared" si="3"/>
        <v>1*</v>
      </c>
      <c r="D5" s="37">
        <v>370.0</v>
      </c>
      <c r="E5" s="26" t="str">
        <f t="shared" si="4"/>
        <v>1*</v>
      </c>
      <c r="F5" s="27"/>
      <c r="G5" s="15"/>
      <c r="H5" s="28"/>
      <c r="I5" s="29" t="str">
        <f t="shared" si="5"/>
        <v/>
      </c>
      <c r="J5" s="38"/>
      <c r="K5" s="38"/>
      <c r="L5" s="18"/>
      <c r="M5" s="19"/>
      <c r="N5" s="19"/>
      <c r="O5" s="19"/>
      <c r="Q5" s="39"/>
      <c r="R5" s="39"/>
      <c r="AC5" s="7" t="str">
        <f t="shared" si="2"/>
        <v>Model S 70|234|1*|370|1*||||||||||</v>
      </c>
      <c r="AD5" s="7" t="s">
        <v>21</v>
      </c>
      <c r="AE5" s="9" t="str">
        <f t="shared" ref="AE5:AE25" si="6">IF(AC5=AD5,,"data changed")</f>
        <v>data changed</v>
      </c>
      <c r="AF5" s="21"/>
      <c r="AG5" s="11"/>
      <c r="AH5" s="11"/>
    </row>
    <row r="6" ht="16.5" customHeight="1">
      <c r="A6" s="22" t="s">
        <v>22</v>
      </c>
      <c r="B6" s="23">
        <f>HYPERLINK("http://i.imgur.com/n7kJAE1.gif",240)</f>
        <v>240</v>
      </c>
      <c r="C6" s="24" t="str">
        <f t="shared" si="3"/>
        <v>1*</v>
      </c>
      <c r="D6" s="25">
        <f>HYPERLINK("http://i.imgur.com/RLCXUQi.gif",385)</f>
        <v>385</v>
      </c>
      <c r="E6" s="26" t="str">
        <f t="shared" si="4"/>
        <v>1*</v>
      </c>
      <c r="F6" s="27"/>
      <c r="G6" s="15"/>
      <c r="H6" s="28"/>
      <c r="I6" s="29" t="str">
        <f t="shared" si="5"/>
        <v/>
      </c>
      <c r="J6" s="38"/>
      <c r="K6" s="38"/>
      <c r="L6" s="32">
        <f>HYPERLINK("http://i.imgur.com/OEpPQpQ.jpg",2)</f>
        <v>2</v>
      </c>
      <c r="M6" s="32" t="str">
        <f>HYPERLINK("http://i.imgur.com/x94onzU.jpg","3")</f>
        <v>3</v>
      </c>
      <c r="N6" s="40" t="str">
        <f>HYPERLINK("http://i.imgur.com/n7kJAE1.gif","2/16")</f>
        <v>2/16</v>
      </c>
      <c r="O6" s="19"/>
      <c r="Q6" s="41" t="s">
        <v>23</v>
      </c>
      <c r="R6" s="42"/>
      <c r="AC6" s="7" t="str">
        <f t="shared" si="2"/>
        <v>Model S 70D|240|1*|385|1*|||||||2|3|2/16|</v>
      </c>
      <c r="AD6" s="7" t="s">
        <v>24</v>
      </c>
      <c r="AE6" s="9" t="str">
        <f t="shared" si="6"/>
        <v>data changed</v>
      </c>
      <c r="AF6" s="21"/>
      <c r="AG6" s="11"/>
      <c r="AH6" s="11"/>
    </row>
    <row r="7" ht="16.5" customHeight="1">
      <c r="A7" s="22" t="s">
        <v>25</v>
      </c>
      <c r="B7" s="23">
        <f>HYPERLINK("http://i.imgur.com/XDlwDbT.gif",249)</f>
        <v>249</v>
      </c>
      <c r="C7" s="24" t="str">
        <f t="shared" si="3"/>
        <v>1*</v>
      </c>
      <c r="D7" s="25">
        <f>HYPERLINK("http://i.imgur.com/vtxCdya.gif",400)</f>
        <v>400</v>
      </c>
      <c r="E7" s="26" t="str">
        <f t="shared" si="4"/>
        <v>1*</v>
      </c>
      <c r="F7" s="27"/>
      <c r="G7" s="15"/>
      <c r="H7" s="28"/>
      <c r="I7" s="29" t="str">
        <f t="shared" si="5"/>
        <v/>
      </c>
      <c r="J7" s="38"/>
      <c r="K7" s="38"/>
      <c r="L7" s="32" t="str">
        <f>HYPERLINK("http://i.imgur.com/XDlwDbT.gif","7/16r")</f>
        <v>7/16r</v>
      </c>
      <c r="M7" s="19"/>
      <c r="N7" s="19"/>
      <c r="O7" s="19"/>
      <c r="Q7" s="43" t="s">
        <v>26</v>
      </c>
      <c r="R7" s="44"/>
      <c r="AC7" s="7" t="str">
        <f t="shared" si="2"/>
        <v>Model S 75|249|1*|400|1*|||||||7/16r|||</v>
      </c>
      <c r="AD7" s="7" t="s">
        <v>27</v>
      </c>
      <c r="AE7" s="9" t="str">
        <f t="shared" si="6"/>
        <v>data changed</v>
      </c>
      <c r="AF7" s="21"/>
      <c r="AG7" s="11"/>
      <c r="AH7" s="11"/>
    </row>
    <row r="8" ht="16.5" customHeight="1">
      <c r="A8" s="22" t="s">
        <v>28</v>
      </c>
      <c r="B8" s="23">
        <f>HYPERLINK("http://imgur.com/hV5MnFS",259)</f>
        <v>259</v>
      </c>
      <c r="C8" s="24" t="str">
        <f t="shared" si="3"/>
        <v>1*</v>
      </c>
      <c r="D8" s="25">
        <f>HYPERLINK("http://i.imgur.com/yZj2BoW.gif",416)</f>
        <v>416</v>
      </c>
      <c r="E8" s="26" t="str">
        <f t="shared" si="4"/>
        <v>1*</v>
      </c>
      <c r="F8" s="27"/>
      <c r="G8" s="15"/>
      <c r="H8" s="28"/>
      <c r="I8" s="29" t="str">
        <f t="shared" si="5"/>
        <v/>
      </c>
      <c r="J8" s="38"/>
      <c r="K8" s="38"/>
      <c r="L8" s="32" t="str">
        <f>HYPERLINK("http://i.imgur.com/hV5MnFS.gif","7/16d")</f>
        <v>7/16d</v>
      </c>
      <c r="M8" s="18"/>
      <c r="N8" s="18"/>
      <c r="O8" s="19"/>
      <c r="AC8" s="7" t="str">
        <f t="shared" si="2"/>
        <v>Model S 75D|259|1*|416|1*|||||||7/16d|||</v>
      </c>
      <c r="AD8" s="7" t="s">
        <v>29</v>
      </c>
      <c r="AE8" s="9" t="str">
        <f t="shared" si="6"/>
        <v>data changed</v>
      </c>
      <c r="AF8" s="21"/>
      <c r="AG8" s="11"/>
      <c r="AH8" s="11"/>
    </row>
    <row r="9" ht="16.5" customHeight="1">
      <c r="A9" s="22" t="s">
        <v>30</v>
      </c>
      <c r="B9" s="23">
        <f t="shared" ref="B9:B11" si="7">HYPERLINK("http://www.fueleconomy.gov/feg/Find.do?action=sbs&amp;id=37234",265)</f>
        <v>265</v>
      </c>
      <c r="C9" s="24" t="str">
        <f t="shared" si="3"/>
        <v>1*</v>
      </c>
      <c r="D9" s="25">
        <f t="shared" ref="D9:D11" si="8">HYPERLINK("http://i.imgur.com/LjbNfjt.gif",425)</f>
        <v>425</v>
      </c>
      <c r="E9" s="26" t="str">
        <f t="shared" si="4"/>
        <v>1*</v>
      </c>
      <c r="F9" s="27"/>
      <c r="G9" s="15"/>
      <c r="H9" s="28"/>
      <c r="I9" s="29" t="str">
        <f t="shared" si="5"/>
        <v/>
      </c>
      <c r="J9" s="38"/>
      <c r="K9" s="38"/>
      <c r="L9" s="32">
        <f>HYPERLINK("http://i.imgur.com/OEpPQpQ.jpg",2)</f>
        <v>2</v>
      </c>
      <c r="M9" s="32" t="str">
        <f>HYPERLINK("https://i.imgur.com/70BpUDW.jpg","4")</f>
        <v>4</v>
      </c>
      <c r="N9" s="18"/>
      <c r="O9" s="19"/>
      <c r="AC9" s="7" t="str">
        <f t="shared" si="2"/>
        <v>Model S 85|265|1*|425|1*|||||||2|4||</v>
      </c>
      <c r="AD9" s="7" t="s">
        <v>31</v>
      </c>
      <c r="AE9" s="9" t="str">
        <f t="shared" si="6"/>
        <v>data changed</v>
      </c>
      <c r="AF9" s="21"/>
      <c r="AG9" s="11"/>
      <c r="AH9" s="11"/>
    </row>
    <row r="10" ht="16.5" customHeight="1">
      <c r="A10" s="22" t="s">
        <v>32</v>
      </c>
      <c r="B10" s="23">
        <f t="shared" si="7"/>
        <v>265</v>
      </c>
      <c r="C10" s="24" t="str">
        <f t="shared" si="3"/>
        <v>1*</v>
      </c>
      <c r="D10" s="25">
        <f t="shared" si="8"/>
        <v>425</v>
      </c>
      <c r="E10" s="26" t="str">
        <f t="shared" si="4"/>
        <v>1*</v>
      </c>
      <c r="F10" s="27"/>
      <c r="G10" s="15"/>
      <c r="H10" s="28"/>
      <c r="I10" s="29" t="str">
        <f t="shared" si="5"/>
        <v/>
      </c>
      <c r="J10" s="38"/>
      <c r="K10" s="38"/>
      <c r="L10" s="32" t="str">
        <f>HYPERLINK("https://i.imgur.com/70BpUDW.jpg","4")</f>
        <v>4</v>
      </c>
      <c r="M10" s="18"/>
      <c r="N10" s="18"/>
      <c r="O10" s="19"/>
      <c r="AC10" s="7" t="str">
        <f t="shared" si="2"/>
        <v>Model S P85|265|1*|425|1*|||||||4|||</v>
      </c>
      <c r="AD10" s="7" t="s">
        <v>33</v>
      </c>
      <c r="AE10" s="9" t="str">
        <f t="shared" si="6"/>
        <v>data changed</v>
      </c>
      <c r="AF10" s="21"/>
      <c r="AG10" s="45"/>
      <c r="AH10" s="45"/>
    </row>
    <row r="11" ht="16.5" customHeight="1">
      <c r="A11" s="22" t="s">
        <v>34</v>
      </c>
      <c r="B11" s="23">
        <f t="shared" si="7"/>
        <v>265</v>
      </c>
      <c r="C11" s="24" t="str">
        <f t="shared" si="3"/>
        <v>1*</v>
      </c>
      <c r="D11" s="25">
        <f t="shared" si="8"/>
        <v>425</v>
      </c>
      <c r="E11" s="26" t="str">
        <f t="shared" si="4"/>
        <v>1*</v>
      </c>
      <c r="F11" s="27"/>
      <c r="G11" s="15"/>
      <c r="H11" s="28"/>
      <c r="I11" s="29" t="str">
        <f t="shared" si="5"/>
        <v/>
      </c>
      <c r="J11" s="38"/>
      <c r="K11" s="38"/>
      <c r="L11" s="19"/>
      <c r="M11" s="19"/>
      <c r="N11" s="19"/>
      <c r="O11" s="19"/>
      <c r="AC11" s="7" t="str">
        <f t="shared" si="2"/>
        <v>Model S P85+|265|1*|425|1*||||||||||</v>
      </c>
      <c r="AD11" s="7" t="s">
        <v>35</v>
      </c>
      <c r="AE11" s="9" t="str">
        <f t="shared" si="6"/>
        <v>data changed</v>
      </c>
      <c r="AF11" s="21"/>
      <c r="AG11" s="11"/>
      <c r="AH11" s="11"/>
    </row>
    <row r="12" ht="16.5" customHeight="1">
      <c r="A12" s="22" t="s">
        <v>36</v>
      </c>
      <c r="B12" s="23">
        <f>HYPERLINK("http://www.fueleconomy.gov/feg/Find.do?action=sbs&amp;id=37239",270)</f>
        <v>270</v>
      </c>
      <c r="C12" s="24" t="str">
        <f t="shared" si="3"/>
        <v>1*</v>
      </c>
      <c r="D12" s="25">
        <f>HYPERLINK("http://i.imgur.com/LjbNfjt.gif",435)</f>
        <v>435</v>
      </c>
      <c r="E12" s="26" t="str">
        <f t="shared" si="4"/>
        <v>1*</v>
      </c>
      <c r="F12" s="27"/>
      <c r="G12" s="15"/>
      <c r="H12" s="28"/>
      <c r="I12" s="29" t="str">
        <f t="shared" si="5"/>
        <v/>
      </c>
      <c r="J12" s="38"/>
      <c r="K12" s="38"/>
      <c r="L12" s="32">
        <f t="shared" ref="L12:L13" si="9">HYPERLINK("http://i.imgur.com/nxkleq5.jpg",1)</f>
        <v>1</v>
      </c>
      <c r="M12" s="32">
        <f t="shared" ref="M12:M13" si="10">HYPERLINK("http://i.imgur.com/OEpPQpQ.jpg",2)</f>
        <v>2</v>
      </c>
      <c r="N12" s="32" t="str">
        <f t="shared" ref="N12:N13" si="11">HYPERLINK("http://i.imgur.com/x94onzU.jpg","3")</f>
        <v>3</v>
      </c>
      <c r="O12" s="19"/>
      <c r="AC12" s="7" t="str">
        <f t="shared" si="2"/>
        <v>Model S 85D|270|1*|435|1*|||||||1|2|3|</v>
      </c>
      <c r="AD12" s="7" t="s">
        <v>37</v>
      </c>
      <c r="AE12" s="9" t="str">
        <f t="shared" si="6"/>
        <v>data changed</v>
      </c>
      <c r="AF12" s="21"/>
      <c r="AG12" s="11"/>
      <c r="AH12" s="11"/>
    </row>
    <row r="13" ht="16.5" customHeight="1">
      <c r="A13" s="22" t="s">
        <v>38</v>
      </c>
      <c r="B13" s="23">
        <f>HYPERLINK("http://www.fueleconomy.gov/feg/Find.do?action=sbs&amp;id=37241",253)</f>
        <v>253</v>
      </c>
      <c r="C13" s="24" t="str">
        <f t="shared" si="3"/>
        <v>1*</v>
      </c>
      <c r="D13" s="25">
        <f>HYPERLINK("http://i.imgur.com/LjbNfjt.gif",405)</f>
        <v>405</v>
      </c>
      <c r="E13" s="26" t="str">
        <f t="shared" si="4"/>
        <v>1*</v>
      </c>
      <c r="F13" s="27"/>
      <c r="G13" s="15"/>
      <c r="H13" s="28"/>
      <c r="I13" s="29" t="str">
        <f t="shared" si="5"/>
        <v/>
      </c>
      <c r="J13" s="38"/>
      <c r="K13" s="38"/>
      <c r="L13" s="32">
        <f t="shared" si="9"/>
        <v>1</v>
      </c>
      <c r="M13" s="32">
        <f t="shared" si="10"/>
        <v>2</v>
      </c>
      <c r="N13" s="32" t="str">
        <f t="shared" si="11"/>
        <v>3</v>
      </c>
      <c r="O13" s="32" t="str">
        <f>HYPERLINK("https://i.imgur.com/LzFissD.jpg","10")</f>
        <v>10</v>
      </c>
      <c r="AC13" s="7" t="str">
        <f t="shared" si="2"/>
        <v>Model S P85D|253|1*|405|1*|||||||1|2|3|</v>
      </c>
      <c r="AD13" s="7" t="s">
        <v>39</v>
      </c>
      <c r="AE13" s="9" t="str">
        <f t="shared" si="6"/>
        <v>data changed</v>
      </c>
      <c r="AF13" s="21"/>
      <c r="AG13" s="11"/>
      <c r="AH13" s="11"/>
    </row>
    <row r="14" ht="16.5" customHeight="1">
      <c r="A14" s="22" t="s">
        <v>40</v>
      </c>
      <c r="B14" s="46" t="s">
        <v>41</v>
      </c>
      <c r="C14" s="24" t="str">
        <f t="shared" si="3"/>
        <v/>
      </c>
      <c r="D14" s="37" t="s">
        <v>41</v>
      </c>
      <c r="E14" s="26" t="str">
        <f t="shared" si="4"/>
        <v/>
      </c>
      <c r="F14" s="27"/>
      <c r="G14" s="15"/>
      <c r="H14" s="28"/>
      <c r="I14" s="29" t="str">
        <f t="shared" si="5"/>
        <v/>
      </c>
      <c r="J14" s="38"/>
      <c r="K14" s="38"/>
      <c r="L14" s="18"/>
      <c r="M14" s="18"/>
      <c r="N14" s="18"/>
      <c r="O14" s="19"/>
      <c r="AC14" s="7" t="str">
        <f t="shared" si="2"/>
        <v>Model S 90|unknown||unknown|||||||||||</v>
      </c>
      <c r="AD14" s="7" t="s">
        <v>42</v>
      </c>
      <c r="AE14" s="9" t="str">
        <f t="shared" si="6"/>
        <v>data changed</v>
      </c>
      <c r="AF14" s="21"/>
      <c r="AG14" s="11"/>
      <c r="AH14" s="11"/>
    </row>
    <row r="15" ht="16.5" customHeight="1">
      <c r="A15" s="22" t="s">
        <v>43</v>
      </c>
      <c r="B15" s="23">
        <f>HYPERLINK("http://i.imgur.com/XDlwDbT.gif",294)</f>
        <v>294</v>
      </c>
      <c r="C15" s="24" t="str">
        <f t="shared" si="3"/>
        <v>1*</v>
      </c>
      <c r="D15" s="25">
        <f>HYPERLINK("http://i.imgur.com/vtxCdya.gif",473)</f>
        <v>473</v>
      </c>
      <c r="E15" s="26" t="str">
        <f t="shared" si="4"/>
        <v>1*</v>
      </c>
      <c r="F15" s="27"/>
      <c r="G15" s="15"/>
      <c r="H15" s="28"/>
      <c r="I15" s="29" t="str">
        <f t="shared" si="5"/>
        <v/>
      </c>
      <c r="J15" s="30">
        <f>HYPERLINK("http://i.imgur.com/n7kJAE1.gif",288)</f>
        <v>288</v>
      </c>
      <c r="K15" s="31">
        <f>HYPERLINK("http://i.imgur.com/RLCXUQi.gif",460)</f>
        <v>460</v>
      </c>
      <c r="L15" s="32" t="str">
        <f>HYPERLINK("http://i.imgur.com/XDlwDbT.gif","7/16r")</f>
        <v>7/16r</v>
      </c>
      <c r="M15" s="32" t="str">
        <f>HYPERLINK("http://i.imgur.com/hV5MnFS.gif","7/16d")</f>
        <v>7/16d</v>
      </c>
      <c r="N15" s="40" t="str">
        <f>HYPERLINK("http://i.imgur.com/n7kJAE1.gif","2/16")</f>
        <v>2/16</v>
      </c>
      <c r="O15" s="19"/>
      <c r="AC15" s="7" t="str">
        <f t="shared" si="2"/>
        <v>Model S 90D|294|1*|473|1*|||||288|460|7/16r|7/16d|2/16|</v>
      </c>
      <c r="AD15" s="7" t="s">
        <v>44</v>
      </c>
      <c r="AE15" s="9" t="str">
        <f t="shared" si="6"/>
        <v>data changed</v>
      </c>
      <c r="AF15" s="21"/>
      <c r="AG15" s="11"/>
      <c r="AH15" s="11"/>
    </row>
    <row r="16" ht="16.5" customHeight="1">
      <c r="A16" s="22" t="s">
        <v>45</v>
      </c>
      <c r="B16" s="23">
        <f>HYPERLINK("http://www.fueleconomy.gov/feg/Find.do?action=sbs&amp;id=38640",335)</f>
        <v>335</v>
      </c>
      <c r="C16" s="24" t="str">
        <f t="shared" si="3"/>
        <v>1*</v>
      </c>
      <c r="D16" s="25">
        <f>HYPERLINK("https://i.imgur.com/F6ntLBF.gif",539)</f>
        <v>539</v>
      </c>
      <c r="E16" s="26" t="str">
        <f t="shared" si="4"/>
        <v>1*</v>
      </c>
      <c r="F16" s="27"/>
      <c r="G16" s="15"/>
      <c r="H16" s="28"/>
      <c r="I16" s="29" t="str">
        <f t="shared" si="5"/>
        <v/>
      </c>
      <c r="J16" s="35"/>
      <c r="K16" s="36"/>
      <c r="L16" s="18"/>
      <c r="M16" s="18"/>
      <c r="N16" s="18"/>
      <c r="O16" s="19"/>
      <c r="AC16" s="7" t="str">
        <f t="shared" si="2"/>
        <v>Model S 100D|335|1*|539|1*||||||||||</v>
      </c>
      <c r="AD16" s="7" t="s">
        <v>46</v>
      </c>
      <c r="AE16" s="9" t="str">
        <f t="shared" si="6"/>
        <v>data changed</v>
      </c>
      <c r="AF16" s="21"/>
      <c r="AG16" s="11"/>
      <c r="AH16" s="11"/>
    </row>
    <row r="17" ht="16.5" customHeight="1">
      <c r="A17" s="22" t="s">
        <v>47</v>
      </c>
      <c r="B17" s="23">
        <f>HYPERLINK("http://i.imgur.com/n7kJAE1.gif",270)</f>
        <v>270</v>
      </c>
      <c r="C17" s="24" t="str">
        <f t="shared" si="3"/>
        <v>1*</v>
      </c>
      <c r="D17" s="25">
        <f>HYPERLINK("http://i.imgur.com/vtxCdya.gif",434)</f>
        <v>434</v>
      </c>
      <c r="E17" s="26" t="str">
        <f t="shared" si="4"/>
        <v>1*</v>
      </c>
      <c r="F17" s="27"/>
      <c r="G17" s="15"/>
      <c r="H17" s="28"/>
      <c r="I17" s="29" t="str">
        <f t="shared" si="5"/>
        <v/>
      </c>
      <c r="J17" s="38"/>
      <c r="K17" s="31">
        <f>HYPERLINK("http://i.imgur.com/RLCXUQi.gif",435)</f>
        <v>435</v>
      </c>
      <c r="L17" s="32" t="str">
        <f>HYPERLINK("http://i.imgur.com/XDlwDbT.gif","7/16r")</f>
        <v>7/16r</v>
      </c>
      <c r="M17" s="32" t="str">
        <f>HYPERLINK("http://i.imgur.com/hV5MnFS.gif","7/16d")</f>
        <v>7/16d</v>
      </c>
      <c r="N17" s="40" t="str">
        <f>HYPERLINK("http://i.imgur.com/n7kJAE1.gif","2/16")</f>
        <v>2/16</v>
      </c>
      <c r="O17" s="19"/>
      <c r="AC17" s="7" t="str">
        <f t="shared" si="2"/>
        <v>Model S P90D|270|1*|434|1*||||||435|7/16r|7/16d|2/16|</v>
      </c>
      <c r="AD17" s="7" t="s">
        <v>48</v>
      </c>
      <c r="AE17" s="9" t="str">
        <f t="shared" si="6"/>
        <v>data changed</v>
      </c>
      <c r="AF17" s="21"/>
      <c r="AG17" s="11"/>
      <c r="AH17" s="11"/>
    </row>
    <row r="18" ht="16.5" customHeight="1">
      <c r="A18" s="22" t="s">
        <v>49</v>
      </c>
      <c r="B18" s="47">
        <f>HYPERLINK("http://www.fueleconomy.gov/feg/Find.do?action=sbs&amp;id=38525",315)</f>
        <v>315</v>
      </c>
      <c r="C18" s="24" t="str">
        <f t="shared" si="3"/>
        <v>1*</v>
      </c>
      <c r="D18" s="25">
        <f>HYPERLINK("https://i.imgur.com/F6ntLBF.gif",507)</f>
        <v>507</v>
      </c>
      <c r="E18" s="26" t="str">
        <f t="shared" si="4"/>
        <v>1*</v>
      </c>
      <c r="F18" s="27"/>
      <c r="G18" s="15"/>
      <c r="H18" s="28"/>
      <c r="I18" s="29" t="str">
        <f t="shared" si="5"/>
        <v/>
      </c>
      <c r="J18" s="38"/>
      <c r="K18" s="38"/>
      <c r="L18" s="18"/>
      <c r="M18" s="18"/>
      <c r="N18" s="18"/>
      <c r="O18" s="19"/>
      <c r="AC18" s="7" t="str">
        <f t="shared" si="2"/>
        <v>Model S P100D|315|1*|507|1*||||||||||</v>
      </c>
      <c r="AD18" s="7" t="s">
        <v>50</v>
      </c>
      <c r="AE18" s="9" t="str">
        <f t="shared" si="6"/>
        <v>data changed</v>
      </c>
      <c r="AF18" s="21"/>
      <c r="AG18" s="11"/>
      <c r="AH18" s="11"/>
    </row>
    <row r="19" ht="16.5" customHeight="1">
      <c r="A19" s="22" t="s">
        <v>51</v>
      </c>
      <c r="B19" s="47">
        <f>HYPERLINK("http://i.imgur.com/dbFSdUF.gif",200)</f>
        <v>200</v>
      </c>
      <c r="C19" s="24" t="str">
        <f t="shared" si="3"/>
        <v>1*</v>
      </c>
      <c r="D19" s="25">
        <f>HYPERLINK("http://i.imgur.com/ObcSRNF.gif",321)</f>
        <v>321</v>
      </c>
      <c r="E19" s="26" t="str">
        <f t="shared" si="4"/>
        <v>1*</v>
      </c>
      <c r="F19" s="27"/>
      <c r="G19" s="15"/>
      <c r="H19" s="28"/>
      <c r="I19" s="29" t="str">
        <f t="shared" si="5"/>
        <v/>
      </c>
      <c r="J19" s="38"/>
      <c r="K19" s="38"/>
      <c r="L19" s="32" t="str">
        <f>HYPERLINK("http://i.imgur.com/dbFSdUF.gif","7/17")</f>
        <v>7/17</v>
      </c>
      <c r="M19" s="18"/>
      <c r="N19" s="18"/>
      <c r="O19" s="19"/>
      <c r="AC19" s="7" t="str">
        <f t="shared" si="2"/>
        <v>Model X 60D|200|1*|321|1*|||||||7/17|||</v>
      </c>
      <c r="AD19" s="7" t="s">
        <v>52</v>
      </c>
      <c r="AE19" s="9" t="str">
        <f t="shared" si="6"/>
        <v>data changed</v>
      </c>
      <c r="AF19" s="21"/>
      <c r="AG19" s="11"/>
      <c r="AH19" s="11"/>
    </row>
    <row r="20" ht="16.5" customHeight="1">
      <c r="A20" s="22" t="s">
        <v>53</v>
      </c>
      <c r="B20" s="47">
        <f>HYPERLINK("http://i.imgur.com/qGNiwi7.gif",220)</f>
        <v>220</v>
      </c>
      <c r="C20" s="24" t="str">
        <f t="shared" si="3"/>
        <v>1*</v>
      </c>
      <c r="D20" s="37" t="s">
        <v>41</v>
      </c>
      <c r="E20" s="26" t="str">
        <f t="shared" si="4"/>
        <v/>
      </c>
      <c r="F20" s="27"/>
      <c r="G20" s="15"/>
      <c r="H20" s="28"/>
      <c r="I20" s="29" t="str">
        <f t="shared" si="5"/>
        <v/>
      </c>
      <c r="J20" s="38"/>
      <c r="K20" s="38"/>
      <c r="L20" s="32" t="str">
        <f>HYPERLINK("http://i.imgur.com/qGNiwi7.gif","8")</f>
        <v>8</v>
      </c>
      <c r="M20" s="18"/>
      <c r="N20" s="18"/>
      <c r="O20" s="19"/>
      <c r="AC20" s="7" t="str">
        <f t="shared" si="2"/>
        <v>Model X 70D|220|1*|unknown||||||||8|||</v>
      </c>
      <c r="AD20" s="7" t="s">
        <v>54</v>
      </c>
      <c r="AE20" s="9" t="str">
        <f t="shared" si="6"/>
        <v>data changed</v>
      </c>
      <c r="AF20" s="21"/>
      <c r="AG20" s="11"/>
      <c r="AH20" s="11"/>
    </row>
    <row r="21" ht="16.5" customHeight="1">
      <c r="A21" s="22" t="s">
        <v>55</v>
      </c>
      <c r="B21" s="47">
        <f>HYPERLINK("http://i.imgur.com/dbFSdUF.gif",237)</f>
        <v>237</v>
      </c>
      <c r="C21" s="24" t="str">
        <f t="shared" si="3"/>
        <v>1*</v>
      </c>
      <c r="D21" s="25">
        <f>HYPERLINK("http://i.imgur.com/ObcSRNF.gif",381)</f>
        <v>381</v>
      </c>
      <c r="E21" s="26" t="str">
        <f t="shared" si="4"/>
        <v>1*</v>
      </c>
      <c r="F21" s="27"/>
      <c r="G21" s="15"/>
      <c r="H21" s="28"/>
      <c r="I21" s="29" t="str">
        <f t="shared" si="5"/>
        <v/>
      </c>
      <c r="J21" s="38"/>
      <c r="K21" s="38"/>
      <c r="L21" s="32" t="str">
        <f t="shared" ref="L21:L22" si="12">HYPERLINK("http://i.imgur.com/dbFSdUF.gif","7/17")</f>
        <v>7/17</v>
      </c>
      <c r="M21" s="32" t="str">
        <f>HYPERLINK("https://i.imgur.com/YbWENbF.gif","10/17")</f>
        <v>10/17</v>
      </c>
      <c r="N21" s="18"/>
      <c r="O21" s="19"/>
      <c r="AC21" s="7" t="str">
        <f t="shared" si="2"/>
        <v>Model X 75D|237|1*|381|1*|||||||7/17|10/17||</v>
      </c>
      <c r="AD21" s="7" t="s">
        <v>56</v>
      </c>
      <c r="AE21" s="9" t="str">
        <f t="shared" si="6"/>
        <v>data changed</v>
      </c>
      <c r="AF21" s="21"/>
      <c r="AG21" s="11"/>
      <c r="AH21" s="11"/>
    </row>
    <row r="22" ht="16.5" customHeight="1">
      <c r="A22" s="22" t="s">
        <v>57</v>
      </c>
      <c r="B22" s="23">
        <f>HYPERLINK("http://www.fueleconomy.gov/feg/Find.do?action=sbs&amp;id=36979",257)</f>
        <v>257</v>
      </c>
      <c r="C22" s="24" t="str">
        <f t="shared" si="3"/>
        <v>1*</v>
      </c>
      <c r="D22" s="25">
        <f>HYPERLINK("http://i.imgur.com/ObcSRNF.gif",413)</f>
        <v>413</v>
      </c>
      <c r="E22" s="26" t="str">
        <f t="shared" si="4"/>
        <v>1*</v>
      </c>
      <c r="F22" s="27"/>
      <c r="G22" s="15"/>
      <c r="H22" s="28"/>
      <c r="I22" s="29" t="str">
        <f t="shared" si="5"/>
        <v/>
      </c>
      <c r="J22" s="38"/>
      <c r="K22" s="38"/>
      <c r="L22" s="32" t="str">
        <f t="shared" si="12"/>
        <v>7/17</v>
      </c>
      <c r="M22" s="32" t="str">
        <f>HYPERLINK("http://i.imgur.com/qGNiwi7.gif","8")</f>
        <v>8</v>
      </c>
      <c r="N22" s="18"/>
      <c r="O22" s="19"/>
      <c r="Q22" s="50"/>
      <c r="AC22" s="7" t="str">
        <f t="shared" si="2"/>
        <v>Model X 90D|257|1*|413|1*|||||||7/17|8||</v>
      </c>
      <c r="AD22" s="7" t="s">
        <v>61</v>
      </c>
      <c r="AE22" s="9" t="str">
        <f t="shared" si="6"/>
        <v>data changed</v>
      </c>
      <c r="AF22" s="21"/>
      <c r="AG22" s="11"/>
      <c r="AH22" s="11"/>
    </row>
    <row r="23" ht="16.5" customHeight="1">
      <c r="A23" s="22" t="s">
        <v>62</v>
      </c>
      <c r="B23" s="23">
        <f>HYPERLINK("https://i.imgur.com/YbWENbF.gif",295)</f>
        <v>295</v>
      </c>
      <c r="C23" s="24" t="str">
        <f t="shared" si="3"/>
        <v>1*</v>
      </c>
      <c r="D23" s="25">
        <f>HYPERLINK("https://i.imgur.com/Ovc8beS.gif",475)</f>
        <v>475</v>
      </c>
      <c r="E23" s="26" t="str">
        <f t="shared" si="4"/>
        <v>1*</v>
      </c>
      <c r="F23" s="27"/>
      <c r="G23" s="15"/>
      <c r="H23" s="28"/>
      <c r="I23" s="29" t="str">
        <f t="shared" si="5"/>
        <v/>
      </c>
      <c r="J23" s="38"/>
      <c r="K23" s="38"/>
      <c r="L23" s="32" t="str">
        <f>HYPERLINK("https://i.imgur.com/YbWENbF.gif","10/17")</f>
        <v>10/17</v>
      </c>
      <c r="M23" s="18"/>
      <c r="N23" s="18"/>
      <c r="O23" s="19"/>
      <c r="Q23" s="50"/>
      <c r="AC23" s="7" t="str">
        <f t="shared" si="2"/>
        <v>Model X 100D|295|1*|475|1*|||||||10/17|||</v>
      </c>
      <c r="AD23" s="7" t="s">
        <v>65</v>
      </c>
      <c r="AE23" s="9" t="str">
        <f t="shared" si="6"/>
        <v>data changed</v>
      </c>
      <c r="AF23" s="21"/>
      <c r="AG23" s="11"/>
      <c r="AH23" s="11"/>
    </row>
    <row r="24" ht="16.5" customHeight="1">
      <c r="A24" s="22" t="s">
        <v>67</v>
      </c>
      <c r="B24" s="23">
        <f>HYPERLINK("http://www.fueleconomy.gov/feg/Find.do?action=sbs&amp;id=36980",250)</f>
        <v>250</v>
      </c>
      <c r="C24" s="24" t="str">
        <f t="shared" si="3"/>
        <v>1*</v>
      </c>
      <c r="D24" s="25">
        <f>HYPERLINK("http://i.imgur.com/ObcSRNF.gif",402)</f>
        <v>402</v>
      </c>
      <c r="E24" s="26" t="str">
        <f t="shared" si="4"/>
        <v>1*</v>
      </c>
      <c r="F24" s="27"/>
      <c r="G24" s="15"/>
      <c r="H24" s="28"/>
      <c r="I24" s="29" t="str">
        <f t="shared" si="5"/>
        <v/>
      </c>
      <c r="J24" s="38"/>
      <c r="K24" s="38"/>
      <c r="L24" s="32" t="str">
        <f>HYPERLINK("http://i.imgur.com/dbFSdUF.gif","7/17")</f>
        <v>7/17</v>
      </c>
      <c r="M24" s="32" t="str">
        <f>HYPERLINK("http://i.imgur.com/qGNiwi7.gif","8")</f>
        <v>8</v>
      </c>
      <c r="N24" s="18"/>
      <c r="O24" s="19"/>
      <c r="Q24" s="58"/>
      <c r="AC24" s="7" t="str">
        <f t="shared" si="2"/>
        <v>Model X P90D|250|1*|402|1*|||||||7/17|8||</v>
      </c>
      <c r="AD24" s="7" t="s">
        <v>68</v>
      </c>
      <c r="AE24" s="9" t="str">
        <f t="shared" si="6"/>
        <v>data changed</v>
      </c>
      <c r="AF24" s="21"/>
      <c r="AG24" s="11"/>
      <c r="AH24" s="11"/>
    </row>
    <row r="25" ht="16.5" customHeight="1">
      <c r="A25" s="22" t="s">
        <v>69</v>
      </c>
      <c r="B25" s="23">
        <f>HYPERLINK("http://www.fueleconomy.gov/feg/Find.do?action=sbs&amp;id=38530",289)</f>
        <v>289</v>
      </c>
      <c r="C25" s="24" t="str">
        <f t="shared" si="3"/>
        <v>1*</v>
      </c>
      <c r="D25" s="25">
        <f>HYPERLINK("https://i.imgur.com/Ovc8beS.gif",465)</f>
        <v>465</v>
      </c>
      <c r="E25" s="26" t="str">
        <f t="shared" si="4"/>
        <v>1*</v>
      </c>
      <c r="F25" s="27"/>
      <c r="G25" s="15"/>
      <c r="H25" s="28"/>
      <c r="I25" s="29" t="str">
        <f t="shared" si="5"/>
        <v/>
      </c>
      <c r="J25" s="38"/>
      <c r="K25" s="38"/>
      <c r="L25" s="32" t="str">
        <f>HYPERLINK("https://i.imgur.com/YbWENbF.gif","10/17")</f>
        <v>10/17</v>
      </c>
      <c r="M25" s="18"/>
      <c r="N25" s="18"/>
      <c r="O25" s="19"/>
      <c r="Q25" s="58"/>
      <c r="AC25" s="7" t="str">
        <f t="shared" si="2"/>
        <v>Model X P100D|289|1*|465|1*|||||||10/17|||</v>
      </c>
      <c r="AD25" s="7" t="s">
        <v>72</v>
      </c>
      <c r="AE25" s="9" t="str">
        <f t="shared" si="6"/>
        <v>data changed</v>
      </c>
      <c r="AF25" s="21"/>
      <c r="AG25" s="11"/>
      <c r="AH25" s="11"/>
    </row>
    <row r="26" ht="16.5" customHeight="1">
      <c r="A26" s="59" t="s">
        <v>73</v>
      </c>
      <c r="B26" s="60"/>
      <c r="C26" s="61"/>
      <c r="D26" s="62"/>
      <c r="E26" s="61"/>
      <c r="F26" s="63"/>
      <c r="G26" s="61"/>
      <c r="H26" s="64"/>
      <c r="I26" s="61"/>
      <c r="J26" s="38"/>
      <c r="K26" s="38"/>
      <c r="L26" s="19"/>
      <c r="M26" s="19"/>
      <c r="N26" s="19"/>
      <c r="O26" s="19"/>
      <c r="Q26" s="58"/>
      <c r="AC26" s="7" t="str">
        <f t="shared" si="2"/>
        <v>Region||||||||||||||</v>
      </c>
      <c r="AD26" s="7" t="s">
        <v>74</v>
      </c>
      <c r="AE26" s="9"/>
      <c r="AF26" s="21"/>
      <c r="AG26" s="11"/>
      <c r="AH26" s="11"/>
    </row>
    <row r="27" ht="16.5" customHeight="1">
      <c r="A27" s="65"/>
      <c r="B27" s="66"/>
      <c r="C27" s="69"/>
      <c r="D27" s="66"/>
      <c r="E27" s="69"/>
      <c r="F27" s="66"/>
      <c r="G27" s="69"/>
      <c r="H27" s="66"/>
      <c r="I27" s="69"/>
      <c r="J27" s="38"/>
      <c r="K27" s="38"/>
      <c r="L27" s="18"/>
      <c r="M27" s="18"/>
      <c r="N27" s="18"/>
      <c r="O27" s="19"/>
      <c r="Q27" s="58"/>
      <c r="AC27" s="7" t="str">
        <f t="shared" si="2"/>
        <v>||||||||||||||</v>
      </c>
      <c r="AD27" s="7" t="s">
        <v>76</v>
      </c>
      <c r="AE27" s="9"/>
      <c r="AF27" s="21"/>
      <c r="AG27" s="11"/>
      <c r="AH27" s="11"/>
    </row>
    <row r="28" ht="16.5" customHeight="1">
      <c r="A28" s="56"/>
      <c r="B28" s="71"/>
      <c r="C28" s="73"/>
      <c r="D28" s="71"/>
      <c r="E28" s="73"/>
      <c r="F28" s="71"/>
      <c r="G28" s="73"/>
      <c r="H28" s="71"/>
      <c r="I28" s="73"/>
      <c r="J28" s="38"/>
      <c r="K28" s="38"/>
      <c r="L28" s="19"/>
      <c r="M28" s="19"/>
      <c r="N28" s="19"/>
      <c r="O28" s="19"/>
      <c r="Q28" s="58"/>
      <c r="AC28" s="7" t="str">
        <f t="shared" si="2"/>
        <v>||||||||||||||</v>
      </c>
      <c r="AD28" s="7" t="s">
        <v>76</v>
      </c>
      <c r="AE28" s="9"/>
      <c r="AF28" s="21"/>
      <c r="AG28" s="11"/>
      <c r="AH28" s="11"/>
    </row>
    <row r="29" ht="16.5" customHeight="1">
      <c r="B29" s="76" t="s">
        <v>80</v>
      </c>
      <c r="F29" s="76" t="s">
        <v>81</v>
      </c>
      <c r="K29" s="51"/>
      <c r="L29" s="51"/>
      <c r="N29" s="78"/>
      <c r="O29" s="78"/>
      <c r="P29" s="58"/>
      <c r="Q29" s="58"/>
      <c r="R29" s="78"/>
      <c r="S29" s="78"/>
      <c r="AC29" s="7" t="str">
        <f t="shared" si="2"/>
        <v>|(1*) Click on the number to open data source.||||(2*) Based on survey question, "What was 100% typical range when car was new?".|||||||||</v>
      </c>
      <c r="AD29" s="7" t="s">
        <v>83</v>
      </c>
      <c r="AE29" s="9"/>
      <c r="AF29" s="21"/>
      <c r="AG29" s="11"/>
      <c r="AH29" s="11"/>
    </row>
    <row r="30" ht="16.5" customHeight="1">
      <c r="K30" s="51"/>
      <c r="L30" s="51"/>
      <c r="N30" s="78"/>
      <c r="O30" s="78"/>
      <c r="P30" s="58"/>
      <c r="Q30" s="58"/>
      <c r="R30" s="78"/>
      <c r="S30" s="78"/>
      <c r="AC30" s="7" t="str">
        <f t="shared" si="2"/>
        <v>||||||||||||||</v>
      </c>
      <c r="AD30" s="7" t="s">
        <v>76</v>
      </c>
      <c r="AE30" s="9"/>
      <c r="AF30" s="21"/>
      <c r="AG30" s="11"/>
      <c r="AH30" s="11"/>
    </row>
    <row r="31" ht="16.5" customHeight="1">
      <c r="K31" s="51"/>
      <c r="L31" s="51"/>
      <c r="N31" s="78"/>
      <c r="O31" s="78"/>
      <c r="P31" s="58"/>
      <c r="Q31" s="58"/>
      <c r="R31" s="78"/>
      <c r="S31" s="78"/>
      <c r="AC31" s="7" t="str">
        <f t="shared" si="2"/>
        <v>||||||||||||||</v>
      </c>
      <c r="AD31" s="7" t="s">
        <v>76</v>
      </c>
      <c r="AE31" s="9"/>
      <c r="AF31" s="21"/>
      <c r="AG31" s="11"/>
      <c r="AH31" s="11"/>
    </row>
    <row r="32" ht="16.5" customHeight="1">
      <c r="K32" s="51"/>
      <c r="L32" s="51"/>
      <c r="N32" s="78"/>
      <c r="O32" s="78"/>
      <c r="P32" s="58"/>
      <c r="Q32" s="58"/>
      <c r="R32" s="78"/>
      <c r="S32" s="78"/>
      <c r="AC32" s="7" t="str">
        <f t="shared" si="2"/>
        <v>||||||||||||||</v>
      </c>
      <c r="AD32" s="7" t="s">
        <v>76</v>
      </c>
      <c r="AE32" s="9"/>
      <c r="AF32" s="21"/>
      <c r="AG32" s="11"/>
      <c r="AH32" s="11"/>
    </row>
    <row r="33" ht="16.5" customHeight="1">
      <c r="K33" s="51"/>
      <c r="L33" s="51"/>
      <c r="N33" s="78"/>
      <c r="O33" s="78"/>
      <c r="P33" s="58"/>
      <c r="Q33" s="58"/>
      <c r="R33" s="78"/>
      <c r="S33" s="78"/>
      <c r="AC33" s="7" t="str">
        <f t="shared" si="2"/>
        <v>||||||||||||||</v>
      </c>
      <c r="AD33" s="7" t="s">
        <v>76</v>
      </c>
      <c r="AE33" s="9" t="str">
        <f t="shared" ref="AE33:AE60" si="13">IF(AC33=AD33,,"data changed")</f>
        <v/>
      </c>
      <c r="AF33" s="21"/>
      <c r="AG33" s="11"/>
      <c r="AH33" s="11"/>
    </row>
    <row r="34">
      <c r="A34" s="81" t="s">
        <v>58</v>
      </c>
      <c r="B34" s="81" t="s">
        <v>59</v>
      </c>
      <c r="C34" s="83" t="s">
        <v>91</v>
      </c>
      <c r="D34" s="3"/>
      <c r="E34" s="3"/>
      <c r="F34" s="3"/>
      <c r="G34" s="3"/>
      <c r="H34" s="3"/>
      <c r="I34" s="3"/>
      <c r="J34" s="3"/>
      <c r="K34" s="3"/>
      <c r="L34" s="5"/>
      <c r="N34" s="78"/>
      <c r="O34" s="78"/>
      <c r="P34" s="78"/>
      <c r="Q34" s="58"/>
      <c r="R34" s="78"/>
      <c r="S34" s="78"/>
      <c r="AC34" s="7" t="str">
        <f t="shared" si="2"/>
        <v>Date
(double click empty cell)|Username|Comments about range numbers in the table above||||||||||||</v>
      </c>
      <c r="AD34" s="7" t="s">
        <v>92</v>
      </c>
      <c r="AE34" s="9" t="str">
        <f t="shared" si="13"/>
        <v/>
      </c>
      <c r="AF34" s="21"/>
      <c r="AG34" s="11"/>
      <c r="AH34" s="11"/>
    </row>
    <row r="35">
      <c r="A35" s="84"/>
      <c r="B35" s="75" t="s">
        <v>93</v>
      </c>
      <c r="C35" s="85" t="s">
        <v>94</v>
      </c>
      <c r="D35" s="3"/>
      <c r="E35" s="3"/>
      <c r="F35" s="3"/>
      <c r="G35" s="3"/>
      <c r="H35" s="3"/>
      <c r="I35" s="3"/>
      <c r="J35" s="3"/>
      <c r="K35" s="3"/>
      <c r="L35" s="5"/>
      <c r="N35" s="78"/>
      <c r="O35" s="78"/>
      <c r="P35" s="78"/>
      <c r="Q35" s="58"/>
      <c r="R35" s="78"/>
      <c r="S35" s="78"/>
      <c r="AC35" s="7" t="str">
        <f t="shared" si="2"/>
        <v>|Merijn|Table might be extended with Wh/km and Wh/mile||||||||||||</v>
      </c>
      <c r="AD35" s="7" t="s">
        <v>95</v>
      </c>
      <c r="AE35" s="9" t="str">
        <f t="shared" si="13"/>
        <v/>
      </c>
      <c r="AF35" s="21"/>
      <c r="AG35" s="11"/>
      <c r="AH35" s="11"/>
    </row>
    <row r="36">
      <c r="A36" s="89">
        <v>42118.0</v>
      </c>
      <c r="B36" s="75" t="s">
        <v>63</v>
      </c>
      <c r="C36" s="72" t="s">
        <v>97</v>
      </c>
      <c r="D36" s="3"/>
      <c r="E36" s="3"/>
      <c r="F36" s="3"/>
      <c r="G36" s="3"/>
      <c r="H36" s="3"/>
      <c r="I36" s="3"/>
      <c r="J36" s="3"/>
      <c r="K36" s="3"/>
      <c r="L36" s="5"/>
      <c r="N36" s="78"/>
      <c r="O36" s="78"/>
      <c r="P36" s="78"/>
      <c r="Q36" s="58"/>
      <c r="R36" s="78"/>
      <c r="S36" s="78"/>
      <c r="AC36" s="7" t="str">
        <f t="shared" si="2"/>
        <v>42118|Matteo|You can see current EPA and NEDC ratings on Tesla order page (design studio). Change country at the bottom of the page.||||||||||||</v>
      </c>
      <c r="AD36" s="7" t="s">
        <v>98</v>
      </c>
      <c r="AE36" s="9" t="str">
        <f t="shared" si="13"/>
        <v/>
      </c>
      <c r="AF36" s="21"/>
      <c r="AG36" s="11"/>
      <c r="AH36" s="11"/>
    </row>
    <row r="37" ht="109.5" customHeight="1">
      <c r="A37" s="89">
        <v>42118.0</v>
      </c>
      <c r="B37" s="75" t="s">
        <v>63</v>
      </c>
      <c r="C37" s="72" t="s">
        <v>100</v>
      </c>
      <c r="D37" s="3"/>
      <c r="E37" s="3"/>
      <c r="F37" s="3"/>
      <c r="G37" s="3"/>
      <c r="H37" s="3"/>
      <c r="I37" s="3"/>
      <c r="J37" s="3"/>
      <c r="K37" s="3"/>
      <c r="L37" s="5"/>
      <c r="N37" s="52"/>
      <c r="P37" s="52"/>
      <c r="Q37" s="58"/>
      <c r="R37" s="78"/>
      <c r="S37" s="78"/>
      <c r="AC37" s="7" t="str">
        <f t="shared" si="2"/>
        <v>42118|Matteo|For Europe NEDC Rated Range in miles, I made first 3 changes based on current order page. It shows 300 and 310.
1. S85 from 312 to 310
2. S85D from 312 to 310
3. SP85D from 298 to 300
4. I changed S60 from 242 to 240, based on google search
It looks like 312 was used until recently. Even a Tesla blog post says 312 but the UK order page now shows 310. http://www.teslamotors.com/en_GB/blog/right-hand-drive-model-s-arrives-uk||||||||||||</v>
      </c>
      <c r="AD37" s="7" t="s">
        <v>103</v>
      </c>
      <c r="AE37" s="9" t="str">
        <f t="shared" si="13"/>
        <v/>
      </c>
      <c r="AF37" s="21"/>
      <c r="AG37" s="11"/>
      <c r="AH37" s="11"/>
    </row>
    <row r="38">
      <c r="A38" s="89">
        <v>42118.0</v>
      </c>
      <c r="B38" s="75" t="s">
        <v>63</v>
      </c>
      <c r="C38" s="72" t="s">
        <v>104</v>
      </c>
      <c r="D38" s="3"/>
      <c r="E38" s="3"/>
      <c r="F38" s="3"/>
      <c r="G38" s="3"/>
      <c r="H38" s="3"/>
      <c r="I38" s="3"/>
      <c r="J38" s="3"/>
      <c r="K38" s="3"/>
      <c r="L38" s="5"/>
      <c r="N38" s="52"/>
      <c r="P38" s="52"/>
      <c r="Q38" s="58"/>
      <c r="R38" s="78"/>
      <c r="S38" s="78"/>
      <c r="AC38" s="7" t="str">
        <f t="shared" si="2"/>
        <v>42118|Matteo|Tesla uses NEDC rated range in Europe, Australia, China, Hong Kong and Japan. For that region, I changed column names from "EU NEDC rated range" to just "NEDC rated range".||||||||||||</v>
      </c>
      <c r="AD38" s="7" t="s">
        <v>106</v>
      </c>
      <c r="AE38" s="9" t="str">
        <f t="shared" si="13"/>
        <v/>
      </c>
      <c r="AF38" s="21"/>
      <c r="AG38" s="11"/>
      <c r="AH38" s="11"/>
    </row>
    <row r="39">
      <c r="A39" s="89">
        <v>42122.0</v>
      </c>
      <c r="B39" s="75" t="s">
        <v>108</v>
      </c>
      <c r="C39" s="72" t="s">
        <v>109</v>
      </c>
      <c r="D39" s="3"/>
      <c r="E39" s="3"/>
      <c r="F39" s="3"/>
      <c r="G39" s="3"/>
      <c r="H39" s="3"/>
      <c r="I39" s="3"/>
      <c r="J39" s="3"/>
      <c r="K39" s="3"/>
      <c r="L39" s="5"/>
      <c r="N39" s="52"/>
      <c r="P39" s="52"/>
      <c r="Q39" s="58"/>
      <c r="R39" s="78"/>
      <c r="S39" s="78"/>
      <c r="AC39" s="7" t="str">
        <f t="shared" si="2"/>
        <v>42122|jpet|I have added 406 km as the typical range in km for the P85D based on my experience. Note that the rated range I get is 510 km, not the 480 km I see in the sheet. Maybe this should be updated as well.||||||||||||</v>
      </c>
      <c r="AD39" s="7" t="s">
        <v>115</v>
      </c>
      <c r="AE39" s="9" t="str">
        <f t="shared" si="13"/>
        <v/>
      </c>
      <c r="AF39" s="21"/>
      <c r="AG39" s="11"/>
      <c r="AH39" s="11"/>
    </row>
    <row r="40">
      <c r="A40" s="89">
        <v>42129.0</v>
      </c>
      <c r="B40" s="75" t="s">
        <v>63</v>
      </c>
      <c r="C40" s="72" t="s">
        <v>116</v>
      </c>
      <c r="D40" s="3"/>
      <c r="E40" s="3"/>
      <c r="F40" s="3"/>
      <c r="G40" s="3"/>
      <c r="H40" s="3"/>
      <c r="I40" s="3"/>
      <c r="J40" s="3"/>
      <c r="K40" s="3"/>
      <c r="L40" s="5"/>
      <c r="N40" s="52"/>
      <c r="P40" s="52"/>
      <c r="Q40" s="58"/>
      <c r="R40" s="78"/>
      <c r="S40" s="78"/>
      <c r="AC40" s="7" t="str">
        <f t="shared" si="2"/>
        <v>42129|Matteo|jpet, you are right. I have updated P85D NEDC rating from 480 to 510. Tesla website shows 480 but we have two people reporting that the car shows 510 or almost 510. I should add that NEDC ratings are not used in the chart. Only typical range is used in calculations. ||||||||||||</v>
      </c>
      <c r="AD40" s="7" t="s">
        <v>118</v>
      </c>
      <c r="AE40" s="9" t="str">
        <f t="shared" si="13"/>
        <v/>
      </c>
      <c r="AF40" s="21"/>
      <c r="AG40" s="11"/>
      <c r="AH40" s="11"/>
    </row>
    <row r="41">
      <c r="A41" s="89">
        <v>42148.0</v>
      </c>
      <c r="B41" s="75" t="s">
        <v>63</v>
      </c>
      <c r="C41" s="85" t="s">
        <v>120</v>
      </c>
      <c r="D41" s="3"/>
      <c r="E41" s="3"/>
      <c r="F41" s="3"/>
      <c r="G41" s="3"/>
      <c r="H41" s="3"/>
      <c r="I41" s="3"/>
      <c r="J41" s="3"/>
      <c r="K41" s="3"/>
      <c r="L41" s="5"/>
      <c r="N41" s="52"/>
      <c r="P41" s="52"/>
      <c r="Q41" s="58"/>
      <c r="R41" s="78"/>
      <c r="S41" s="78"/>
      <c r="AC41" s="7" t="str">
        <f t="shared" si="2"/>
        <v>42148|Matteo|I changed 85D and P85D maximum typical range from 406 to 407 km. Tesla doesn't publish these but there are now more entries to give a better idea. There is one 410, one 409 and a few at 406. Merijn, when you make changes here, remember to also change the numbers on the sheet called "admin stuff". The other sheets read data from there for the formulas. This way all country sheets update at once.||||||||||||</v>
      </c>
      <c r="AD41" s="7" t="s">
        <v>122</v>
      </c>
      <c r="AE41" s="9" t="str">
        <f t="shared" si="13"/>
        <v/>
      </c>
      <c r="AF41" s="21"/>
      <c r="AG41" s="11"/>
      <c r="AH41" s="11"/>
    </row>
    <row r="42">
      <c r="A42" s="89">
        <v>42175.0</v>
      </c>
      <c r="B42" s="75" t="s">
        <v>63</v>
      </c>
      <c r="C42" s="85" t="s">
        <v>124</v>
      </c>
      <c r="D42" s="3"/>
      <c r="E42" s="3"/>
      <c r="F42" s="3"/>
      <c r="G42" s="3"/>
      <c r="H42" s="3"/>
      <c r="I42" s="3"/>
      <c r="J42" s="3"/>
      <c r="K42" s="3"/>
      <c r="L42" s="5"/>
      <c r="N42" s="52"/>
      <c r="P42" s="52"/>
      <c r="Q42" s="58"/>
      <c r="R42" s="78"/>
      <c r="S42" s="78"/>
      <c r="AC42" s="7" t="str">
        <f t="shared" si="2"/>
        <v>42175|Matteo|After a user complained that an S85 showed 271 mi when new instead 265, I added two new columns to collect data. Two people entered 270 and 271 with range mode off when S85 was new, even though the official number is 265 which is what we use. We need data from more than two people before changing this but when there is more data, it makes sense to use use the number the car shows.||||||||||||</v>
      </c>
      <c r="AD42" s="7" t="s">
        <v>126</v>
      </c>
      <c r="AE42" s="9" t="str">
        <f t="shared" si="13"/>
        <v/>
      </c>
      <c r="AF42" s="21"/>
      <c r="AG42" s="11"/>
      <c r="AH42" s="11"/>
    </row>
    <row r="43">
      <c r="A43" s="89">
        <v>42202.0</v>
      </c>
      <c r="B43" s="75" t="s">
        <v>127</v>
      </c>
      <c r="C43" s="85" t="s">
        <v>128</v>
      </c>
      <c r="D43" s="3"/>
      <c r="E43" s="3"/>
      <c r="F43" s="3"/>
      <c r="G43" s="3"/>
      <c r="H43" s="3"/>
      <c r="I43" s="3"/>
      <c r="J43" s="3"/>
      <c r="K43" s="3"/>
      <c r="L43" s="5"/>
      <c r="N43" s="52"/>
      <c r="P43" s="52"/>
      <c r="Q43" s="58"/>
      <c r="R43" s="78"/>
      <c r="S43" s="78"/>
      <c r="AC43" s="7" t="str">
        <f t="shared" si="2"/>
        <v>42202|Guten|P85D from 508km to 480km for NEDC Range in Asia.  Source: http://i.imgur.com/8MfbyK6.png?1||||||||||||</v>
      </c>
      <c r="AD43" s="7" t="s">
        <v>131</v>
      </c>
      <c r="AE43" s="9" t="str">
        <f t="shared" si="13"/>
        <v/>
      </c>
      <c r="AF43" s="21"/>
      <c r="AG43" s="11"/>
      <c r="AH43" s="11"/>
    </row>
    <row r="44">
      <c r="A44" s="89">
        <v>42569.0</v>
      </c>
      <c r="B44" s="75" t="s">
        <v>63</v>
      </c>
      <c r="C44" s="85" t="s">
        <v>132</v>
      </c>
      <c r="D44" s="3"/>
      <c r="E44" s="3"/>
      <c r="F44" s="3"/>
      <c r="G44" s="3"/>
      <c r="H44" s="3"/>
      <c r="I44" s="3"/>
      <c r="J44" s="3"/>
      <c r="K44" s="3"/>
      <c r="L44" s="5"/>
      <c r="N44" s="52"/>
      <c r="P44" s="52"/>
      <c r="Q44" s="58"/>
      <c r="R44" s="78"/>
      <c r="S44" s="78"/>
      <c r="AC44" s="7" t="str">
        <f t="shared" si="2"/>
        <v>42569|Matteo|I added S75, S75D and X75D. Also I updated the range numbers for S90D. It used to show 288mi EPA. Now it is 294mi.
Data source for old S90D 288mi EPA http://i.imgur.com/n7kJAE1.gif
Data source for new S90D 294mi EPA http://i.imgur.com/XDlwDbT.gif||||||||||||</v>
      </c>
      <c r="AD44" s="7" t="s">
        <v>134</v>
      </c>
      <c r="AE44" s="9" t="str">
        <f t="shared" si="13"/>
        <v/>
      </c>
      <c r="AF44" s="21"/>
      <c r="AG44" s="11"/>
      <c r="AH44" s="11"/>
    </row>
    <row r="45">
      <c r="A45" s="89">
        <v>42597.0</v>
      </c>
      <c r="B45" s="75" t="s">
        <v>63</v>
      </c>
      <c r="C45" s="85" t="s">
        <v>135</v>
      </c>
      <c r="D45" s="3"/>
      <c r="E45" s="3"/>
      <c r="F45" s="3"/>
      <c r="G45" s="3"/>
      <c r="H45" s="3"/>
      <c r="I45" s="3"/>
      <c r="J45" s="3"/>
      <c r="K45" s="3"/>
      <c r="L45" s="5"/>
      <c r="N45" s="52"/>
      <c r="P45" s="52"/>
      <c r="Q45" s="58"/>
      <c r="R45" s="78"/>
      <c r="S45" s="78"/>
      <c r="AC45" s="7" t="str">
        <f t="shared" si="2"/>
        <v>42597|Matteo|The numbers above for typical range are based on the answer to the survey question "What was 100% typical range when car was new?"||||||||||||</v>
      </c>
      <c r="AD45" s="7" t="s">
        <v>137</v>
      </c>
      <c r="AE45" s="9" t="str">
        <f t="shared" si="13"/>
        <v/>
      </c>
      <c r="AF45" s="21"/>
      <c r="AG45" s="11"/>
      <c r="AH45" s="11"/>
    </row>
    <row r="46">
      <c r="A46" s="89"/>
      <c r="B46" s="75"/>
      <c r="C46" s="85"/>
      <c r="D46" s="3"/>
      <c r="E46" s="3"/>
      <c r="F46" s="3"/>
      <c r="G46" s="3"/>
      <c r="H46" s="3"/>
      <c r="I46" s="3"/>
      <c r="J46" s="3"/>
      <c r="K46" s="3"/>
      <c r="L46" s="5"/>
      <c r="N46" s="52"/>
      <c r="P46" s="52"/>
      <c r="Q46" s="58"/>
      <c r="R46" s="78"/>
      <c r="S46" s="78"/>
      <c r="AC46" s="7" t="str">
        <f t="shared" si="2"/>
        <v>||||||||||||||</v>
      </c>
      <c r="AD46" s="7" t="s">
        <v>76</v>
      </c>
      <c r="AE46" s="9" t="str">
        <f t="shared" si="13"/>
        <v/>
      </c>
      <c r="AF46" s="21"/>
      <c r="AG46" s="11"/>
      <c r="AH46" s="11"/>
    </row>
    <row r="47">
      <c r="A47" s="89"/>
      <c r="B47" s="75"/>
      <c r="C47" s="85"/>
      <c r="D47" s="3"/>
      <c r="E47" s="3"/>
      <c r="F47" s="3"/>
      <c r="G47" s="3"/>
      <c r="H47" s="3"/>
      <c r="I47" s="3"/>
      <c r="J47" s="3"/>
      <c r="K47" s="3"/>
      <c r="L47" s="5"/>
      <c r="N47" s="52"/>
      <c r="P47" s="52"/>
      <c r="Q47" s="58"/>
      <c r="R47" s="78"/>
      <c r="S47" s="78"/>
      <c r="AC47" s="7" t="str">
        <f t="shared" si="2"/>
        <v>||||||||||||||</v>
      </c>
      <c r="AD47" s="7" t="s">
        <v>76</v>
      </c>
      <c r="AE47" s="9" t="str">
        <f t="shared" si="13"/>
        <v/>
      </c>
      <c r="AF47" s="21"/>
      <c r="AG47" s="11"/>
      <c r="AH47" s="11"/>
    </row>
    <row r="48">
      <c r="A48" s="89"/>
      <c r="B48" s="75"/>
      <c r="C48" s="85"/>
      <c r="D48" s="3"/>
      <c r="E48" s="3"/>
      <c r="F48" s="3"/>
      <c r="G48" s="3"/>
      <c r="H48" s="3"/>
      <c r="I48" s="3"/>
      <c r="J48" s="3"/>
      <c r="K48" s="3"/>
      <c r="L48" s="5"/>
      <c r="N48" s="52"/>
      <c r="P48" s="52"/>
      <c r="Q48" s="58"/>
      <c r="R48" s="78"/>
      <c r="S48" s="78"/>
      <c r="AC48" s="7" t="str">
        <f t="shared" si="2"/>
        <v>||||||||||||||</v>
      </c>
      <c r="AD48" s="7" t="s">
        <v>76</v>
      </c>
      <c r="AE48" s="9" t="str">
        <f t="shared" si="13"/>
        <v/>
      </c>
      <c r="AF48" s="21"/>
      <c r="AG48" s="11"/>
      <c r="AH48" s="11"/>
    </row>
    <row r="49">
      <c r="A49" s="89"/>
      <c r="B49" s="75"/>
      <c r="C49" s="85"/>
      <c r="D49" s="3"/>
      <c r="E49" s="3"/>
      <c r="F49" s="3"/>
      <c r="G49" s="3"/>
      <c r="H49" s="3"/>
      <c r="I49" s="3"/>
      <c r="J49" s="3"/>
      <c r="K49" s="3"/>
      <c r="L49" s="5"/>
      <c r="N49" s="52"/>
      <c r="P49" s="52"/>
      <c r="Q49" s="58"/>
      <c r="R49" s="78"/>
      <c r="S49" s="78"/>
      <c r="AC49" s="7" t="str">
        <f t="shared" si="2"/>
        <v>||||||||||||||</v>
      </c>
      <c r="AD49" s="7" t="s">
        <v>76</v>
      </c>
      <c r="AE49" s="9" t="str">
        <f t="shared" si="13"/>
        <v/>
      </c>
      <c r="AF49" s="21"/>
      <c r="AG49" s="11"/>
      <c r="AH49" s="11"/>
    </row>
    <row r="50">
      <c r="A50" s="89"/>
      <c r="B50" s="75"/>
      <c r="C50" s="85"/>
      <c r="D50" s="3"/>
      <c r="E50" s="3"/>
      <c r="F50" s="3"/>
      <c r="G50" s="3"/>
      <c r="H50" s="3"/>
      <c r="I50" s="3"/>
      <c r="J50" s="3"/>
      <c r="K50" s="3"/>
      <c r="L50" s="5"/>
      <c r="N50" s="52"/>
      <c r="P50" s="52"/>
      <c r="Q50" s="58"/>
      <c r="R50" s="78"/>
      <c r="S50" s="78"/>
      <c r="AC50" s="7" t="str">
        <f t="shared" si="2"/>
        <v>||||||||||||||</v>
      </c>
      <c r="AD50" s="7" t="s">
        <v>76</v>
      </c>
      <c r="AE50" s="9" t="str">
        <f t="shared" si="13"/>
        <v/>
      </c>
      <c r="AF50" s="21"/>
      <c r="AG50" s="11"/>
      <c r="AH50" s="11"/>
    </row>
    <row r="51">
      <c r="A51" s="89"/>
      <c r="B51" s="75"/>
      <c r="C51" s="85"/>
      <c r="D51" s="3"/>
      <c r="E51" s="3"/>
      <c r="F51" s="3"/>
      <c r="G51" s="3"/>
      <c r="H51" s="3"/>
      <c r="I51" s="3"/>
      <c r="J51" s="3"/>
      <c r="K51" s="3"/>
      <c r="L51" s="5"/>
      <c r="N51" s="52"/>
      <c r="P51" s="52"/>
      <c r="Q51" s="58"/>
      <c r="R51" s="78"/>
      <c r="S51" s="78"/>
      <c r="AC51" s="7" t="str">
        <f t="shared" si="2"/>
        <v>||||||||||||||</v>
      </c>
      <c r="AD51" s="7" t="s">
        <v>76</v>
      </c>
      <c r="AE51" s="9" t="str">
        <f t="shared" si="13"/>
        <v/>
      </c>
      <c r="AF51" s="21"/>
      <c r="AG51" s="11"/>
      <c r="AH51" s="11"/>
    </row>
    <row r="52">
      <c r="A52" s="89"/>
      <c r="B52" s="75"/>
      <c r="C52" s="85"/>
      <c r="D52" s="3"/>
      <c r="E52" s="3"/>
      <c r="F52" s="3"/>
      <c r="G52" s="3"/>
      <c r="H52" s="3"/>
      <c r="I52" s="3"/>
      <c r="J52" s="3"/>
      <c r="K52" s="3"/>
      <c r="L52" s="5"/>
      <c r="N52" s="52"/>
      <c r="P52" s="52"/>
      <c r="Q52" s="58"/>
      <c r="R52" s="78"/>
      <c r="S52" s="78"/>
      <c r="AC52" s="7" t="str">
        <f t="shared" si="2"/>
        <v>||||||||||||||</v>
      </c>
      <c r="AD52" s="7" t="s">
        <v>76</v>
      </c>
      <c r="AE52" s="9" t="str">
        <f t="shared" si="13"/>
        <v/>
      </c>
      <c r="AF52" s="21"/>
      <c r="AG52" s="11"/>
      <c r="AH52" s="11"/>
    </row>
    <row r="53">
      <c r="A53" s="78"/>
      <c r="O53" s="78"/>
      <c r="P53" s="50"/>
      <c r="Q53" s="58"/>
      <c r="R53" s="78"/>
      <c r="S53" s="78"/>
      <c r="AC53" s="7" t="str">
        <f t="shared" si="2"/>
        <v>||||||||||||||</v>
      </c>
      <c r="AD53" s="7" t="s">
        <v>76</v>
      </c>
      <c r="AE53" s="9" t="str">
        <f t="shared" si="13"/>
        <v/>
      </c>
      <c r="AF53" s="21"/>
      <c r="AG53" s="11"/>
      <c r="AH53" s="11"/>
    </row>
    <row r="54">
      <c r="A54" s="78"/>
      <c r="O54" s="78"/>
      <c r="P54" s="50"/>
      <c r="Q54" s="58"/>
      <c r="R54" s="78"/>
      <c r="S54" s="78"/>
      <c r="AC54" s="7" t="str">
        <f t="shared" si="2"/>
        <v>||||||||||||||</v>
      </c>
      <c r="AD54" s="7" t="s">
        <v>76</v>
      </c>
      <c r="AE54" s="9" t="str">
        <f t="shared" si="13"/>
        <v/>
      </c>
      <c r="AF54" s="21"/>
      <c r="AG54" s="11"/>
      <c r="AH54" s="11"/>
    </row>
    <row r="55">
      <c r="A55" s="78"/>
      <c r="O55" s="78"/>
      <c r="P55" s="50"/>
      <c r="Q55" s="58"/>
      <c r="R55" s="78"/>
      <c r="S55" s="78"/>
      <c r="AC55" s="7" t="str">
        <f t="shared" si="2"/>
        <v>||||||||||||||</v>
      </c>
      <c r="AD55" s="7" t="s">
        <v>76</v>
      </c>
      <c r="AE55" s="9" t="str">
        <f t="shared" si="13"/>
        <v/>
      </c>
      <c r="AF55" s="21"/>
      <c r="AG55" s="11"/>
      <c r="AH55" s="11"/>
    </row>
    <row r="56">
      <c r="A56" s="78"/>
      <c r="O56" s="78"/>
      <c r="P56" s="50"/>
      <c r="Q56" s="58"/>
      <c r="R56" s="78"/>
      <c r="S56" s="78"/>
      <c r="AC56" s="7" t="str">
        <f t="shared" si="2"/>
        <v>||||||||||||||</v>
      </c>
      <c r="AD56" s="7" t="s">
        <v>76</v>
      </c>
      <c r="AE56" s="9" t="str">
        <f t="shared" si="13"/>
        <v/>
      </c>
      <c r="AF56" s="21"/>
      <c r="AG56" s="11"/>
      <c r="AH56" s="11"/>
    </row>
    <row r="57">
      <c r="A57" s="78"/>
      <c r="O57" s="78"/>
      <c r="P57" s="50"/>
      <c r="Q57" s="58"/>
      <c r="R57" s="78"/>
      <c r="S57" s="78"/>
      <c r="AC57" s="7" t="str">
        <f t="shared" si="2"/>
        <v>||||||||||||||</v>
      </c>
      <c r="AD57" s="7" t="s">
        <v>76</v>
      </c>
      <c r="AE57" s="9" t="str">
        <f t="shared" si="13"/>
        <v/>
      </c>
      <c r="AF57" s="21"/>
      <c r="AG57" s="11"/>
      <c r="AH57" s="11"/>
    </row>
    <row r="58">
      <c r="A58" s="78"/>
      <c r="O58" s="78"/>
      <c r="P58" s="50"/>
      <c r="Q58" s="58"/>
      <c r="R58" s="78"/>
      <c r="S58" s="78"/>
      <c r="AC58" s="7" t="str">
        <f t="shared" si="2"/>
        <v>||||||||||||||</v>
      </c>
      <c r="AD58" s="7" t="s">
        <v>76</v>
      </c>
      <c r="AE58" s="9" t="str">
        <f t="shared" si="13"/>
        <v/>
      </c>
      <c r="AF58" s="21"/>
      <c r="AG58" s="11"/>
      <c r="AH58" s="11"/>
    </row>
    <row r="59">
      <c r="A59" s="78"/>
      <c r="O59" s="78"/>
      <c r="P59" s="50"/>
      <c r="Q59" s="58"/>
      <c r="R59" s="78"/>
      <c r="S59" s="78"/>
      <c r="AC59" s="7" t="str">
        <f t="shared" si="2"/>
        <v>||||||||||||||</v>
      </c>
      <c r="AD59" s="7" t="s">
        <v>76</v>
      </c>
      <c r="AE59" s="9" t="str">
        <f t="shared" si="13"/>
        <v/>
      </c>
      <c r="AF59" s="21"/>
      <c r="AG59" s="11"/>
      <c r="AH59" s="11"/>
    </row>
    <row r="60">
      <c r="A60" s="78"/>
      <c r="O60" s="78"/>
      <c r="P60" s="50"/>
      <c r="Q60" s="58"/>
      <c r="R60" s="78"/>
      <c r="S60" s="78"/>
      <c r="AC60" s="7" t="str">
        <f t="shared" si="2"/>
        <v>||||||||||||||</v>
      </c>
      <c r="AD60" s="7" t="s">
        <v>76</v>
      </c>
      <c r="AE60" s="9" t="str">
        <f t="shared" si="13"/>
        <v/>
      </c>
      <c r="AF60" s="21"/>
      <c r="AG60" s="11"/>
      <c r="AH60" s="11"/>
    </row>
  </sheetData>
  <mergeCells count="31">
    <mergeCell ref="B1:E1"/>
    <mergeCell ref="F1:I1"/>
    <mergeCell ref="J1:K1"/>
    <mergeCell ref="L1:O1"/>
    <mergeCell ref="Q1:R1"/>
    <mergeCell ref="A26:A28"/>
    <mergeCell ref="B26:C28"/>
    <mergeCell ref="H26:I28"/>
    <mergeCell ref="D26:E28"/>
    <mergeCell ref="F26:G28"/>
    <mergeCell ref="B29:E31"/>
    <mergeCell ref="F29:I31"/>
    <mergeCell ref="C34:L34"/>
    <mergeCell ref="C35:L35"/>
    <mergeCell ref="C36:L36"/>
    <mergeCell ref="C37:L37"/>
    <mergeCell ref="C38:L38"/>
    <mergeCell ref="C39:L39"/>
    <mergeCell ref="C40:L40"/>
    <mergeCell ref="C41:L41"/>
    <mergeCell ref="C42:L42"/>
    <mergeCell ref="C43:L43"/>
    <mergeCell ref="C51:L51"/>
    <mergeCell ref="C52:L52"/>
    <mergeCell ref="C44:L44"/>
    <mergeCell ref="C45:L45"/>
    <mergeCell ref="C46:L46"/>
    <mergeCell ref="C47:L47"/>
    <mergeCell ref="C48:L48"/>
    <mergeCell ref="C49:L49"/>
    <mergeCell ref="C50:L50"/>
  </mergeCells>
  <conditionalFormatting sqref="AE1:AE60">
    <cfRule type="notContainsBlanks" dxfId="0" priority="1">
      <formula>LEN(TRIM(AE1))&gt;0</formula>
    </cfRule>
  </conditionalFormatting>
  <conditionalFormatting sqref="AG2:AG60">
    <cfRule type="expression" dxfId="0" priority="2">
      <formula>AG2&lt;&gt;AH2</formula>
    </cfRule>
  </conditionalFormatting>
  <dataValidations>
    <dataValidation type="custom" allowBlank="1" showInputMessage="1" prompt="Double click cell to enter a date" sqref="A35:A52">
      <formula1>OR(NOT(ISERROR(DATEVALUE(A35))), AND(ISNUMBER(A35), LEFT(CELL("format", A35))="D"))</formula1>
    </dataValidation>
    <dataValidation type="list" allowBlank="1" showErrorMessage="1" sqref="AF2:AF60">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13" width="13.14"/>
  </cols>
  <sheetData>
    <row r="1">
      <c r="A1" s="48" t="s">
        <v>58</v>
      </c>
      <c r="B1" s="48" t="s">
        <v>59</v>
      </c>
      <c r="C1" s="49" t="s">
        <v>60</v>
      </c>
      <c r="D1" s="3"/>
      <c r="E1" s="3"/>
      <c r="F1" s="3"/>
      <c r="G1" s="3"/>
      <c r="H1" s="3"/>
      <c r="I1" s="3"/>
      <c r="J1" s="5"/>
      <c r="K1" s="51"/>
      <c r="L1" s="52"/>
      <c r="M1" s="52"/>
    </row>
    <row r="2">
      <c r="A2" s="53">
        <v>42158.0</v>
      </c>
      <c r="B2" s="54" t="s">
        <v>63</v>
      </c>
      <c r="C2" s="55" t="s">
        <v>64</v>
      </c>
      <c r="D2" s="3"/>
      <c r="E2" s="3"/>
      <c r="F2" s="3"/>
      <c r="G2" s="3"/>
      <c r="H2" s="3"/>
      <c r="I2" s="3"/>
      <c r="J2" s="5"/>
      <c r="K2" s="51"/>
      <c r="L2" s="52"/>
      <c r="M2" s="52"/>
    </row>
    <row r="3">
      <c r="A3" s="56"/>
      <c r="B3" s="56"/>
      <c r="C3" s="57" t="s">
        <v>66</v>
      </c>
      <c r="D3" s="3"/>
      <c r="E3" s="3"/>
      <c r="F3" s="3"/>
      <c r="G3" s="3"/>
      <c r="H3" s="3"/>
      <c r="I3" s="3"/>
      <c r="J3" s="5"/>
      <c r="K3" s="51"/>
      <c r="L3" s="52"/>
      <c r="M3" s="52"/>
    </row>
    <row r="4">
      <c r="A4" s="53">
        <v>42158.0</v>
      </c>
      <c r="B4" s="54" t="s">
        <v>63</v>
      </c>
      <c r="C4" s="55" t="s">
        <v>70</v>
      </c>
      <c r="D4" s="3"/>
      <c r="E4" s="3"/>
      <c r="F4" s="3"/>
      <c r="G4" s="3"/>
      <c r="H4" s="3"/>
      <c r="I4" s="3"/>
      <c r="J4" s="5"/>
      <c r="K4" s="51"/>
      <c r="L4" s="52"/>
      <c r="M4" s="52"/>
    </row>
    <row r="5">
      <c r="A5" s="56"/>
      <c r="B5" s="56"/>
      <c r="C5" s="57" t="s">
        <v>71</v>
      </c>
      <c r="D5" s="3"/>
      <c r="E5" s="3"/>
      <c r="F5" s="3"/>
      <c r="G5" s="3"/>
      <c r="H5" s="3"/>
      <c r="I5" s="3"/>
      <c r="J5" s="5"/>
      <c r="K5" s="51"/>
      <c r="L5" s="52"/>
      <c r="M5" s="52"/>
    </row>
    <row r="6">
      <c r="A6" s="53"/>
      <c r="B6" s="54"/>
      <c r="C6" s="55"/>
      <c r="D6" s="3"/>
      <c r="E6" s="3"/>
      <c r="F6" s="3"/>
      <c r="G6" s="3"/>
      <c r="H6" s="3"/>
      <c r="I6" s="3"/>
      <c r="J6" s="5"/>
      <c r="K6" s="51"/>
      <c r="L6" s="52"/>
      <c r="M6" s="52"/>
    </row>
    <row r="7">
      <c r="A7" s="56"/>
      <c r="B7" s="56"/>
      <c r="C7" s="55"/>
      <c r="D7" s="3"/>
      <c r="E7" s="3"/>
      <c r="F7" s="3"/>
      <c r="G7" s="3"/>
      <c r="H7" s="3"/>
      <c r="I7" s="3"/>
      <c r="J7" s="5"/>
      <c r="K7" s="51"/>
      <c r="L7" s="52"/>
      <c r="M7" s="52"/>
    </row>
    <row r="8">
      <c r="A8" s="53"/>
      <c r="B8" s="54"/>
      <c r="C8" s="55"/>
      <c r="D8" s="3"/>
      <c r="E8" s="3"/>
      <c r="F8" s="3"/>
      <c r="G8" s="3"/>
      <c r="H8" s="3"/>
      <c r="I8" s="3"/>
      <c r="J8" s="5"/>
      <c r="K8" s="51"/>
      <c r="L8" s="52"/>
      <c r="M8" s="52"/>
    </row>
    <row r="9">
      <c r="A9" s="56"/>
      <c r="B9" s="56"/>
      <c r="C9" s="55"/>
      <c r="D9" s="3"/>
      <c r="E9" s="3"/>
      <c r="F9" s="3"/>
      <c r="G9" s="3"/>
      <c r="H9" s="3"/>
      <c r="I9" s="3"/>
      <c r="J9" s="5"/>
      <c r="K9" s="51"/>
      <c r="L9" s="52"/>
      <c r="M9" s="52"/>
    </row>
    <row r="10">
      <c r="A10" s="53"/>
      <c r="B10" s="54"/>
      <c r="C10" s="55"/>
      <c r="D10" s="3"/>
      <c r="E10" s="3"/>
      <c r="F10" s="3"/>
      <c r="G10" s="3"/>
      <c r="H10" s="3"/>
      <c r="I10" s="3"/>
      <c r="J10" s="5"/>
      <c r="K10" s="51"/>
      <c r="L10" s="52"/>
      <c r="M10" s="52"/>
    </row>
    <row r="11">
      <c r="A11" s="56"/>
      <c r="B11" s="56"/>
      <c r="C11" s="55"/>
      <c r="D11" s="3"/>
      <c r="E11" s="3"/>
      <c r="F11" s="3"/>
      <c r="G11" s="3"/>
      <c r="H11" s="3"/>
      <c r="I11" s="3"/>
      <c r="J11" s="5"/>
      <c r="K11" s="51"/>
      <c r="L11" s="52"/>
      <c r="M11" s="52"/>
    </row>
    <row r="12">
      <c r="A12" s="67"/>
      <c r="B12" s="67"/>
      <c r="C12" s="68"/>
      <c r="D12" s="68"/>
      <c r="E12" s="68"/>
      <c r="F12" s="68"/>
      <c r="G12" s="68"/>
      <c r="H12" s="68"/>
      <c r="I12" s="68"/>
      <c r="J12" s="68"/>
      <c r="K12" s="51"/>
      <c r="L12" s="52"/>
      <c r="M12" s="52"/>
    </row>
    <row r="13">
      <c r="A13" s="67"/>
      <c r="B13" s="67"/>
      <c r="C13" s="68"/>
      <c r="D13" s="68"/>
      <c r="E13" s="68"/>
      <c r="F13" s="68"/>
      <c r="G13" s="68"/>
      <c r="H13" s="68"/>
      <c r="I13" s="68"/>
      <c r="J13" s="68"/>
      <c r="K13" s="51"/>
      <c r="L13" s="52"/>
      <c r="M13" s="52"/>
    </row>
    <row r="14">
      <c r="A14" s="67"/>
      <c r="B14" s="67"/>
      <c r="C14" s="68"/>
      <c r="D14" s="51"/>
      <c r="E14" s="51"/>
      <c r="F14" s="51"/>
      <c r="G14" s="51"/>
      <c r="H14" s="51"/>
      <c r="I14" s="51"/>
      <c r="J14" s="51"/>
      <c r="K14" s="51"/>
      <c r="L14" s="52"/>
      <c r="M14" s="52"/>
    </row>
    <row r="15">
      <c r="A15" s="48" t="s">
        <v>58</v>
      </c>
      <c r="B15" s="48" t="s">
        <v>59</v>
      </c>
      <c r="C15" s="49" t="s">
        <v>75</v>
      </c>
      <c r="D15" s="3"/>
      <c r="E15" s="3"/>
      <c r="F15" s="3"/>
      <c r="G15" s="3"/>
      <c r="H15" s="3"/>
      <c r="I15" s="3"/>
      <c r="J15" s="5"/>
      <c r="K15" s="51"/>
      <c r="L15" s="52"/>
      <c r="M15" s="52"/>
    </row>
    <row r="16">
      <c r="A16" s="70"/>
      <c r="B16" s="70" t="s">
        <v>77</v>
      </c>
      <c r="C16" s="72" t="s">
        <v>78</v>
      </c>
      <c r="D16" s="3"/>
      <c r="E16" s="3"/>
      <c r="F16" s="3"/>
      <c r="G16" s="3"/>
      <c r="H16" s="3"/>
      <c r="I16" s="3"/>
      <c r="J16" s="5"/>
      <c r="K16" s="52"/>
      <c r="L16" s="52"/>
      <c r="M16" s="52"/>
    </row>
    <row r="17">
      <c r="A17" s="74">
        <v>42117.0</v>
      </c>
      <c r="B17" s="75" t="s">
        <v>63</v>
      </c>
      <c r="C17" s="77" t="s">
        <v>79</v>
      </c>
      <c r="D17" s="3"/>
      <c r="E17" s="3"/>
      <c r="F17" s="3"/>
      <c r="G17" s="3"/>
      <c r="H17" s="3"/>
      <c r="I17" s="3"/>
      <c r="J17" s="5"/>
      <c r="K17" s="79"/>
    </row>
    <row r="18">
      <c r="A18" s="74">
        <v>42117.0</v>
      </c>
      <c r="B18" s="75" t="s">
        <v>63</v>
      </c>
      <c r="C18" s="77" t="s">
        <v>82</v>
      </c>
      <c r="D18" s="3"/>
      <c r="E18" s="3"/>
      <c r="F18" s="3"/>
      <c r="G18" s="3"/>
      <c r="H18" s="3"/>
      <c r="I18" s="3"/>
      <c r="J18" s="5"/>
      <c r="K18" s="79"/>
    </row>
    <row r="19">
      <c r="A19" s="74">
        <v>42118.0</v>
      </c>
      <c r="B19" s="75" t="s">
        <v>63</v>
      </c>
      <c r="C19" s="77" t="s">
        <v>84</v>
      </c>
      <c r="D19" s="3"/>
      <c r="E19" s="3"/>
      <c r="F19" s="3"/>
      <c r="G19" s="3"/>
      <c r="H19" s="3"/>
      <c r="I19" s="3"/>
      <c r="J19" s="5"/>
      <c r="K19" s="79"/>
    </row>
    <row r="20">
      <c r="A20" s="74">
        <v>42118.0</v>
      </c>
      <c r="B20" s="75" t="s">
        <v>63</v>
      </c>
      <c r="C20" s="77" t="s">
        <v>85</v>
      </c>
      <c r="D20" s="3"/>
      <c r="E20" s="3"/>
      <c r="F20" s="3"/>
      <c r="G20" s="3"/>
      <c r="H20" s="3"/>
      <c r="I20" s="3"/>
      <c r="J20" s="5"/>
      <c r="K20" s="79"/>
    </row>
    <row r="21">
      <c r="A21" s="74">
        <v>42122.0</v>
      </c>
      <c r="B21" s="75" t="s">
        <v>63</v>
      </c>
      <c r="C21" s="77" t="s">
        <v>86</v>
      </c>
      <c r="D21" s="3"/>
      <c r="E21" s="3"/>
      <c r="F21" s="3"/>
      <c r="G21" s="3"/>
      <c r="H21" s="3"/>
      <c r="I21" s="3"/>
      <c r="J21" s="5"/>
      <c r="K21" s="79"/>
    </row>
    <row r="22">
      <c r="A22" s="74">
        <v>42129.0</v>
      </c>
      <c r="B22" s="75" t="s">
        <v>63</v>
      </c>
      <c r="C22" s="77" t="s">
        <v>87</v>
      </c>
      <c r="D22" s="3"/>
      <c r="E22" s="3"/>
      <c r="F22" s="3"/>
      <c r="G22" s="3"/>
      <c r="H22" s="3"/>
      <c r="I22" s="3"/>
      <c r="J22" s="5"/>
      <c r="K22" s="79"/>
    </row>
    <row r="23">
      <c r="A23" s="74">
        <v>42136.0</v>
      </c>
      <c r="B23" s="75" t="s">
        <v>63</v>
      </c>
      <c r="C23" s="77" t="s">
        <v>88</v>
      </c>
      <c r="D23" s="3"/>
      <c r="E23" s="3"/>
      <c r="F23" s="3"/>
      <c r="G23" s="3"/>
      <c r="H23" s="3"/>
      <c r="I23" s="3"/>
      <c r="J23" s="5"/>
      <c r="K23" s="79"/>
    </row>
    <row r="24" ht="52.5" customHeight="1">
      <c r="A24" s="74">
        <v>42149.0</v>
      </c>
      <c r="B24" s="75" t="s">
        <v>63</v>
      </c>
      <c r="C24" s="80" t="s">
        <v>89</v>
      </c>
      <c r="D24" s="3"/>
      <c r="E24" s="3"/>
      <c r="F24" s="3"/>
      <c r="G24" s="3"/>
      <c r="H24" s="3"/>
      <c r="I24" s="3"/>
      <c r="J24" s="5"/>
      <c r="K24" s="79"/>
    </row>
    <row r="25" ht="52.5" customHeight="1">
      <c r="A25" s="74">
        <v>42157.0</v>
      </c>
      <c r="B25" s="75" t="s">
        <v>63</v>
      </c>
      <c r="C25" s="82" t="s">
        <v>90</v>
      </c>
      <c r="D25" s="3"/>
      <c r="E25" s="3"/>
      <c r="F25" s="3"/>
      <c r="G25" s="3"/>
      <c r="H25" s="3"/>
      <c r="I25" s="3"/>
      <c r="J25" s="5"/>
      <c r="K25" s="79"/>
    </row>
    <row r="26" ht="23.25" customHeight="1">
      <c r="A26" s="74"/>
      <c r="B26" s="75"/>
      <c r="C26" s="82"/>
      <c r="D26" s="3"/>
      <c r="E26" s="3"/>
      <c r="F26" s="3"/>
      <c r="G26" s="3"/>
      <c r="H26" s="3"/>
      <c r="I26" s="3"/>
      <c r="J26" s="5"/>
      <c r="K26" s="79"/>
    </row>
    <row r="27" ht="23.25" customHeight="1">
      <c r="A27" s="74"/>
      <c r="B27" s="75"/>
      <c r="C27" s="82"/>
      <c r="D27" s="3"/>
      <c r="E27" s="3"/>
      <c r="F27" s="3"/>
      <c r="G27" s="3"/>
      <c r="H27" s="3"/>
      <c r="I27" s="3"/>
      <c r="J27" s="5"/>
      <c r="K27" s="79"/>
    </row>
    <row r="28" ht="23.25" customHeight="1">
      <c r="A28" s="74"/>
      <c r="B28" s="75"/>
      <c r="C28" s="82"/>
      <c r="D28" s="3"/>
      <c r="E28" s="3"/>
      <c r="F28" s="3"/>
      <c r="G28" s="3"/>
      <c r="H28" s="3"/>
      <c r="I28" s="3"/>
      <c r="J28" s="5"/>
      <c r="K28" s="79"/>
    </row>
    <row r="29" ht="23.25" customHeight="1">
      <c r="A29" s="74"/>
      <c r="B29" s="75"/>
      <c r="C29" s="82"/>
      <c r="D29" s="3"/>
      <c r="E29" s="3"/>
      <c r="F29" s="3"/>
      <c r="G29" s="3"/>
      <c r="H29" s="3"/>
      <c r="I29" s="3"/>
      <c r="J29" s="5"/>
      <c r="K29" s="79"/>
    </row>
    <row r="30" ht="23.25" customHeight="1">
      <c r="A30" s="74"/>
      <c r="B30" s="75"/>
      <c r="C30" s="82"/>
      <c r="D30" s="3"/>
      <c r="E30" s="3"/>
      <c r="F30" s="3"/>
      <c r="G30" s="3"/>
      <c r="H30" s="3"/>
      <c r="I30" s="3"/>
      <c r="J30" s="5"/>
      <c r="K30" s="79"/>
    </row>
    <row r="31" ht="23.25" customHeight="1">
      <c r="A31" s="86"/>
      <c r="B31" s="87"/>
      <c r="C31" s="79"/>
      <c r="D31" s="79"/>
      <c r="E31" s="79"/>
      <c r="F31" s="79"/>
      <c r="G31" s="79"/>
      <c r="H31" s="79"/>
      <c r="I31" s="79"/>
      <c r="J31" s="79"/>
      <c r="K31" s="79"/>
    </row>
    <row r="32" ht="23.25" customHeight="1">
      <c r="A32" s="86"/>
      <c r="B32" s="87"/>
      <c r="C32" s="79"/>
      <c r="D32" s="79"/>
      <c r="E32" s="79"/>
      <c r="F32" s="79"/>
      <c r="G32" s="79"/>
      <c r="H32" s="79"/>
      <c r="I32" s="79"/>
      <c r="J32" s="79"/>
      <c r="K32" s="79"/>
    </row>
    <row r="33">
      <c r="A33" s="88" t="s">
        <v>58</v>
      </c>
      <c r="B33" s="88" t="s">
        <v>59</v>
      </c>
      <c r="C33" s="90" t="s">
        <v>96</v>
      </c>
      <c r="D33" s="91"/>
      <c r="E33" s="91"/>
      <c r="F33" s="91"/>
      <c r="G33" s="91"/>
      <c r="H33" s="91"/>
      <c r="I33" s="91"/>
      <c r="J33" s="91"/>
      <c r="K33" s="79"/>
    </row>
    <row r="34">
      <c r="A34" s="86">
        <v>42119.0</v>
      </c>
      <c r="B34" s="87" t="s">
        <v>63</v>
      </c>
      <c r="C34" s="79" t="s">
        <v>99</v>
      </c>
      <c r="K34" s="79"/>
    </row>
    <row r="35">
      <c r="A35" s="86">
        <v>42118.0</v>
      </c>
      <c r="B35" s="87" t="s">
        <v>63</v>
      </c>
      <c r="C35" s="79" t="s">
        <v>101</v>
      </c>
      <c r="K35" s="79"/>
    </row>
    <row r="36" ht="33.75" customHeight="1">
      <c r="A36" s="86">
        <v>42122.0</v>
      </c>
      <c r="B36" s="87" t="s">
        <v>63</v>
      </c>
      <c r="C36" s="92" t="s">
        <v>102</v>
      </c>
      <c r="K36" s="92"/>
    </row>
    <row r="37">
      <c r="B37" s="93"/>
      <c r="C37" s="94" t="s">
        <v>105</v>
      </c>
      <c r="D37" s="95" t="s">
        <v>107</v>
      </c>
      <c r="E37" s="95" t="s">
        <v>110</v>
      </c>
      <c r="F37" s="95" t="s">
        <v>111</v>
      </c>
      <c r="G37" s="95" t="s">
        <v>112</v>
      </c>
      <c r="H37" s="95" t="s">
        <v>113</v>
      </c>
      <c r="J37" s="96"/>
      <c r="K37" s="96"/>
      <c r="L37" s="96"/>
      <c r="M37" s="96"/>
    </row>
    <row r="38">
      <c r="B38" s="93"/>
      <c r="C38" s="97" t="s">
        <v>114</v>
      </c>
      <c r="D38" s="97" t="s">
        <v>114</v>
      </c>
      <c r="E38" s="97" t="s">
        <v>114</v>
      </c>
      <c r="F38" s="98" t="s">
        <v>117</v>
      </c>
      <c r="G38" s="98" t="s">
        <v>117</v>
      </c>
      <c r="H38" s="98" t="s">
        <v>117</v>
      </c>
      <c r="J38" s="96"/>
      <c r="K38" s="96"/>
      <c r="L38" s="96"/>
      <c r="M38" s="96"/>
    </row>
    <row r="39" ht="72.0" customHeight="1">
      <c r="B39" s="93"/>
      <c r="C39" s="99" t="s">
        <v>119</v>
      </c>
      <c r="D39" s="100" t="s">
        <v>121</v>
      </c>
      <c r="E39" s="100" t="s">
        <v>121</v>
      </c>
      <c r="F39" s="101" t="s">
        <v>123</v>
      </c>
      <c r="G39" s="99" t="s">
        <v>125</v>
      </c>
      <c r="H39" s="101" t="s">
        <v>123</v>
      </c>
      <c r="J39" s="96"/>
      <c r="K39" s="96"/>
      <c r="L39" s="96"/>
      <c r="M39" s="96"/>
    </row>
    <row r="40">
      <c r="A40" s="93"/>
      <c r="B40" s="93"/>
      <c r="C40" s="102"/>
      <c r="D40" s="93"/>
      <c r="E40" s="93"/>
      <c r="F40" s="93"/>
      <c r="G40" s="93"/>
      <c r="H40" s="93"/>
      <c r="J40" s="96"/>
      <c r="K40" s="96"/>
      <c r="L40" s="96"/>
      <c r="M40" s="96"/>
    </row>
    <row r="41">
      <c r="A41" s="86">
        <v>42120.0</v>
      </c>
      <c r="B41" s="87" t="s">
        <v>63</v>
      </c>
      <c r="C41" s="103" t="s">
        <v>129</v>
      </c>
      <c r="J41" s="96"/>
      <c r="K41" s="96"/>
    </row>
    <row r="42">
      <c r="C42" s="104" t="s">
        <v>130</v>
      </c>
      <c r="D42" s="5"/>
      <c r="E42" s="105" t="s">
        <v>133</v>
      </c>
      <c r="F42" s="5"/>
      <c r="G42" s="106" t="s">
        <v>136</v>
      </c>
      <c r="J42" s="96"/>
      <c r="K42" s="96"/>
    </row>
    <row r="43">
      <c r="C43" s="107" t="s">
        <v>138</v>
      </c>
      <c r="D43" s="107" t="s">
        <v>139</v>
      </c>
      <c r="E43" s="108" t="s">
        <v>138</v>
      </c>
      <c r="F43" s="108" t="s">
        <v>139</v>
      </c>
      <c r="G43" s="56"/>
      <c r="J43" s="96"/>
      <c r="K43" s="96"/>
    </row>
    <row r="44">
      <c r="C44" s="109" t="s">
        <v>140</v>
      </c>
      <c r="D44" s="109">
        <v>365.0</v>
      </c>
      <c r="E44" s="109" t="s">
        <v>140</v>
      </c>
      <c r="F44" s="109">
        <v>365.0</v>
      </c>
      <c r="G44" s="110" t="s">
        <v>141</v>
      </c>
      <c r="J44" s="96"/>
      <c r="K44" s="96"/>
    </row>
    <row r="45">
      <c r="C45" s="109"/>
      <c r="D45" s="111" t="s">
        <v>142</v>
      </c>
      <c r="E45" s="109" t="s">
        <v>143</v>
      </c>
      <c r="F45" s="109">
        <v>104.0</v>
      </c>
      <c r="G45" s="110" t="s">
        <v>144</v>
      </c>
    </row>
    <row r="46">
      <c r="C46" s="109" t="s">
        <v>145</v>
      </c>
      <c r="D46" s="109">
        <v>52.0</v>
      </c>
      <c r="E46" s="109" t="s">
        <v>145</v>
      </c>
      <c r="F46" s="109">
        <v>52.0</v>
      </c>
      <c r="G46" s="110" t="s">
        <v>146</v>
      </c>
    </row>
    <row r="47">
      <c r="C47" s="112"/>
      <c r="D47" s="111" t="s">
        <v>142</v>
      </c>
      <c r="E47" s="109" t="s">
        <v>147</v>
      </c>
      <c r="F47" s="109">
        <v>24.0</v>
      </c>
      <c r="G47" s="110" t="s">
        <v>148</v>
      </c>
    </row>
    <row r="48">
      <c r="C48" s="109" t="s">
        <v>149</v>
      </c>
      <c r="D48" s="109">
        <v>12.0</v>
      </c>
      <c r="E48" s="109" t="s">
        <v>149</v>
      </c>
      <c r="F48" s="109">
        <v>12.0</v>
      </c>
      <c r="G48" s="110" t="s">
        <v>150</v>
      </c>
    </row>
    <row r="49">
      <c r="C49" s="109" t="s">
        <v>151</v>
      </c>
      <c r="D49" s="109">
        <v>6.0</v>
      </c>
      <c r="E49" s="109" t="s">
        <v>152</v>
      </c>
      <c r="F49" s="109">
        <v>6.0</v>
      </c>
      <c r="G49" s="113" t="s">
        <v>153</v>
      </c>
    </row>
    <row r="50">
      <c r="C50" s="112"/>
      <c r="D50" s="111" t="s">
        <v>142</v>
      </c>
      <c r="E50" s="109" t="s">
        <v>154</v>
      </c>
      <c r="F50" s="109">
        <v>2.0</v>
      </c>
      <c r="G50" s="113" t="s">
        <v>155</v>
      </c>
    </row>
    <row r="51">
      <c r="C51" s="109" t="s">
        <v>156</v>
      </c>
      <c r="D51" s="109">
        <v>0.0</v>
      </c>
      <c r="E51" s="109" t="s">
        <v>156</v>
      </c>
      <c r="F51" s="109">
        <v>0.0</v>
      </c>
      <c r="G51" s="110">
        <v>0.0</v>
      </c>
    </row>
    <row r="52">
      <c r="A52" s="86">
        <v>42122.0</v>
      </c>
      <c r="B52" s="87" t="s">
        <v>63</v>
      </c>
      <c r="C52" s="79" t="s">
        <v>157</v>
      </c>
      <c r="K52" s="79"/>
    </row>
    <row r="53">
      <c r="A53" s="86">
        <v>42122.0</v>
      </c>
      <c r="B53" s="87" t="s">
        <v>63</v>
      </c>
      <c r="C53" s="103" t="s">
        <v>158</v>
      </c>
    </row>
    <row r="54">
      <c r="A54" s="86">
        <v>42122.0</v>
      </c>
      <c r="B54" s="87" t="s">
        <v>63</v>
      </c>
      <c r="C54" s="79" t="s">
        <v>159</v>
      </c>
      <c r="K54" s="79"/>
    </row>
    <row r="55">
      <c r="A55" s="86">
        <v>42124.0</v>
      </c>
      <c r="B55" s="87" t="s">
        <v>63</v>
      </c>
      <c r="C55" s="79" t="s">
        <v>160</v>
      </c>
    </row>
    <row r="56">
      <c r="A56" s="86">
        <v>42124.0</v>
      </c>
      <c r="B56" s="87" t="s">
        <v>63</v>
      </c>
      <c r="C56" s="79" t="s">
        <v>161</v>
      </c>
    </row>
    <row r="57">
      <c r="A57" s="86">
        <v>42124.0</v>
      </c>
      <c r="B57" s="87" t="s">
        <v>63</v>
      </c>
      <c r="C57" s="79" t="s">
        <v>162</v>
      </c>
      <c r="D57" s="79"/>
      <c r="E57" s="79"/>
      <c r="F57" s="79" t="s">
        <v>163</v>
      </c>
      <c r="G57" s="79"/>
      <c r="H57" s="79"/>
      <c r="I57" s="79"/>
      <c r="J57" s="79"/>
    </row>
    <row r="58">
      <c r="C58" s="94" t="s">
        <v>164</v>
      </c>
      <c r="D58" s="94" t="s">
        <v>165</v>
      </c>
      <c r="E58" s="79"/>
      <c r="F58" s="94" t="s">
        <v>164</v>
      </c>
      <c r="G58" s="94" t="s">
        <v>165</v>
      </c>
      <c r="H58" s="79"/>
      <c r="I58" s="79"/>
      <c r="J58" s="79"/>
    </row>
    <row r="59">
      <c r="C59" s="114" t="s">
        <v>166</v>
      </c>
      <c r="D59" s="114" t="s">
        <v>166</v>
      </c>
      <c r="E59" s="79"/>
      <c r="F59" s="97" t="s">
        <v>114</v>
      </c>
      <c r="G59" s="98" t="s">
        <v>117</v>
      </c>
      <c r="H59" s="79"/>
      <c r="I59" s="79"/>
      <c r="J59" s="79"/>
    </row>
    <row r="60">
      <c r="C60" s="79"/>
      <c r="D60" s="79"/>
      <c r="E60" s="79"/>
      <c r="F60" s="79"/>
      <c r="G60" s="79"/>
      <c r="H60" s="79"/>
      <c r="I60" s="79"/>
      <c r="J60" s="79"/>
    </row>
    <row r="61">
      <c r="C61" s="79" t="s">
        <v>167</v>
      </c>
    </row>
    <row r="62">
      <c r="A62" s="86">
        <v>42124.0</v>
      </c>
      <c r="B62" s="87" t="s">
        <v>63</v>
      </c>
      <c r="C62" s="79" t="s">
        <v>168</v>
      </c>
    </row>
    <row r="63">
      <c r="C63" s="95" t="s">
        <v>169</v>
      </c>
      <c r="D63" s="79"/>
      <c r="E63" s="79"/>
      <c r="F63" s="79"/>
      <c r="G63" s="79"/>
      <c r="H63" s="79"/>
      <c r="I63" s="79"/>
      <c r="J63" s="79"/>
    </row>
    <row r="64">
      <c r="C64" s="115" t="s">
        <v>117</v>
      </c>
      <c r="D64" s="79"/>
      <c r="E64" s="79"/>
      <c r="F64" s="79"/>
      <c r="G64" s="79"/>
      <c r="H64" s="79"/>
      <c r="I64" s="79"/>
      <c r="J64" s="79"/>
    </row>
    <row r="65">
      <c r="C65" s="116">
        <v>0.7</v>
      </c>
      <c r="D65" s="79"/>
      <c r="E65" s="79"/>
      <c r="F65" s="79"/>
      <c r="G65" s="79"/>
      <c r="H65" s="79"/>
      <c r="I65" s="79"/>
      <c r="J65" s="79"/>
    </row>
    <row r="66">
      <c r="C66" s="116">
        <v>0.9</v>
      </c>
      <c r="D66" s="79"/>
      <c r="E66" s="79"/>
      <c r="F66" s="79"/>
      <c r="G66" s="79"/>
      <c r="H66" s="79"/>
      <c r="I66" s="79"/>
      <c r="J66" s="79"/>
    </row>
    <row r="67">
      <c r="C67" s="116">
        <v>0.9</v>
      </c>
      <c r="D67" s="79"/>
      <c r="E67" s="79"/>
      <c r="F67" s="79"/>
      <c r="G67" s="79"/>
      <c r="H67" s="79"/>
      <c r="I67" s="79"/>
      <c r="J67" s="79"/>
    </row>
    <row r="68">
      <c r="C68" s="116"/>
      <c r="D68" s="79"/>
      <c r="E68" s="79"/>
      <c r="F68" s="79"/>
      <c r="G68" s="79"/>
      <c r="H68" s="79"/>
      <c r="I68" s="79"/>
      <c r="J68" s="79"/>
    </row>
    <row r="69">
      <c r="A69" s="86">
        <v>42124.0</v>
      </c>
      <c r="B69" s="87" t="s">
        <v>63</v>
      </c>
      <c r="C69" s="79" t="s">
        <v>170</v>
      </c>
    </row>
    <row r="70">
      <c r="A70" s="86">
        <v>42128.0</v>
      </c>
      <c r="B70" s="87" t="s">
        <v>63</v>
      </c>
      <c r="C70" s="79" t="s">
        <v>171</v>
      </c>
    </row>
    <row r="71">
      <c r="A71" s="86">
        <v>42128.0</v>
      </c>
      <c r="B71" s="87" t="s">
        <v>63</v>
      </c>
      <c r="C71" s="79" t="s">
        <v>172</v>
      </c>
    </row>
    <row r="72">
      <c r="A72" s="86">
        <v>42128.0</v>
      </c>
      <c r="B72" s="87" t="s">
        <v>63</v>
      </c>
      <c r="C72" s="79" t="s">
        <v>173</v>
      </c>
    </row>
    <row r="73">
      <c r="A73" s="86">
        <v>42129.0</v>
      </c>
      <c r="B73" s="87" t="s">
        <v>63</v>
      </c>
      <c r="C73" s="79" t="s">
        <v>174</v>
      </c>
    </row>
    <row r="74">
      <c r="A74" s="86">
        <v>42131.0</v>
      </c>
      <c r="B74" s="87" t="s">
        <v>63</v>
      </c>
      <c r="C74" s="79" t="s">
        <v>175</v>
      </c>
    </row>
    <row r="75">
      <c r="A75" s="86">
        <v>42133.0</v>
      </c>
      <c r="B75" s="87" t="s">
        <v>63</v>
      </c>
      <c r="C75" s="79" t="s">
        <v>176</v>
      </c>
    </row>
    <row r="76">
      <c r="A76" s="86">
        <v>42133.0</v>
      </c>
      <c r="B76" s="87" t="s">
        <v>63</v>
      </c>
      <c r="C76" s="79" t="s">
        <v>177</v>
      </c>
    </row>
    <row r="77">
      <c r="A77" s="86">
        <v>42136.0</v>
      </c>
      <c r="B77" s="87" t="s">
        <v>63</v>
      </c>
      <c r="C77" s="79" t="s">
        <v>178</v>
      </c>
    </row>
    <row r="78">
      <c r="A78" s="86">
        <v>42142.0</v>
      </c>
      <c r="B78" s="87" t="s">
        <v>63</v>
      </c>
      <c r="C78" s="79" t="s">
        <v>179</v>
      </c>
    </row>
    <row r="79">
      <c r="A79" s="86">
        <v>42143.0</v>
      </c>
      <c r="B79" s="87" t="s">
        <v>63</v>
      </c>
      <c r="C79" s="79" t="s">
        <v>180</v>
      </c>
    </row>
    <row r="80">
      <c r="A80" s="86">
        <v>42156.0</v>
      </c>
      <c r="B80" s="87" t="s">
        <v>63</v>
      </c>
      <c r="C80" s="79" t="s">
        <v>181</v>
      </c>
    </row>
    <row r="81">
      <c r="A81" s="93"/>
      <c r="B81" s="93"/>
      <c r="C81" s="102"/>
    </row>
    <row r="82">
      <c r="A82" s="93"/>
      <c r="B82" s="93"/>
      <c r="C82" s="102"/>
    </row>
    <row r="83">
      <c r="A83" s="93"/>
      <c r="B83" s="93"/>
      <c r="C83" s="102"/>
    </row>
    <row r="84">
      <c r="A84" s="93"/>
      <c r="B84" s="93"/>
      <c r="C84" s="102"/>
    </row>
    <row r="85">
      <c r="A85" s="93"/>
      <c r="B85" s="93"/>
      <c r="C85" s="102"/>
    </row>
    <row r="86">
      <c r="A86" s="93"/>
      <c r="B86" s="93"/>
      <c r="C86" s="102"/>
    </row>
    <row r="87">
      <c r="A87" s="93"/>
      <c r="B87" s="93"/>
      <c r="C87" s="102"/>
    </row>
    <row r="88">
      <c r="A88" s="93"/>
      <c r="B88" s="93"/>
      <c r="C88" s="102"/>
    </row>
    <row r="89">
      <c r="A89" s="93"/>
      <c r="B89" s="93"/>
      <c r="C89" s="102"/>
    </row>
    <row r="90">
      <c r="A90" s="93"/>
      <c r="B90" s="93"/>
      <c r="C90" s="102"/>
    </row>
    <row r="91" ht="40.5" customHeight="1">
      <c r="A91" s="117" t="s">
        <v>182</v>
      </c>
      <c r="B91" s="118"/>
      <c r="C91" s="119"/>
      <c r="D91" s="120"/>
      <c r="E91" s="120"/>
      <c r="F91" s="120"/>
      <c r="G91" s="120"/>
      <c r="H91" s="120"/>
      <c r="I91" s="120"/>
      <c r="J91" s="120"/>
      <c r="K91" s="120"/>
      <c r="L91" s="120"/>
    </row>
    <row r="92">
      <c r="A92" s="93"/>
      <c r="B92" s="93"/>
      <c r="C92" s="102"/>
    </row>
    <row r="93">
      <c r="A93" s="93"/>
      <c r="B93" s="93"/>
      <c r="C93" s="102"/>
      <c r="E93" s="121"/>
      <c r="G93" s="121" t="s">
        <v>183</v>
      </c>
    </row>
    <row r="94">
      <c r="A94" s="93"/>
      <c r="B94" s="75" t="s">
        <v>184</v>
      </c>
      <c r="C94" s="70" t="s">
        <v>185</v>
      </c>
      <c r="D94" s="75" t="s">
        <v>186</v>
      </c>
      <c r="E94" s="122" t="str">
        <f>$G$94</f>
        <v>John</v>
      </c>
      <c r="G94" s="123" t="s">
        <v>187</v>
      </c>
    </row>
    <row r="95">
      <c r="A95" s="93"/>
      <c r="B95" s="75" t="s">
        <v>187</v>
      </c>
      <c r="C95" s="70">
        <v>5000.0</v>
      </c>
      <c r="D95" s="124">
        <v>0.995</v>
      </c>
      <c r="E95" s="125">
        <f t="shared" ref="E95:E97" si="1">if($G$94=B95,D95,-1)</f>
        <v>0.995</v>
      </c>
    </row>
    <row r="96">
      <c r="A96" s="93"/>
      <c r="B96" s="75" t="s">
        <v>188</v>
      </c>
      <c r="C96" s="70">
        <v>7500.0</v>
      </c>
      <c r="D96" s="124">
        <v>0.992</v>
      </c>
      <c r="E96" s="125">
        <f t="shared" si="1"/>
        <v>-1</v>
      </c>
    </row>
    <row r="97">
      <c r="A97" s="93"/>
      <c r="B97" s="75" t="s">
        <v>189</v>
      </c>
      <c r="C97" s="70">
        <v>13500.0</v>
      </c>
      <c r="D97" s="124">
        <v>0.988</v>
      </c>
      <c r="E97" s="125">
        <f t="shared" si="1"/>
        <v>-1</v>
      </c>
    </row>
    <row r="98">
      <c r="A98" s="93"/>
      <c r="B98" s="126" t="s">
        <v>190</v>
      </c>
    </row>
    <row r="99">
      <c r="A99" s="93"/>
      <c r="B99" s="93"/>
      <c r="C99" s="102"/>
    </row>
    <row r="100">
      <c r="A100" s="93"/>
      <c r="B100" s="93"/>
      <c r="C100" s="102"/>
    </row>
    <row r="101">
      <c r="A101" s="93"/>
      <c r="B101" s="93"/>
      <c r="C101" s="102"/>
    </row>
    <row r="102">
      <c r="A102" s="93"/>
      <c r="B102" s="93"/>
      <c r="C102" s="102"/>
    </row>
    <row r="103">
      <c r="A103" s="93"/>
      <c r="B103" s="93"/>
      <c r="C103" s="102"/>
    </row>
    <row r="104">
      <c r="A104" s="93"/>
      <c r="B104" s="93"/>
      <c r="C104" s="102"/>
    </row>
    <row r="105">
      <c r="A105" s="93"/>
      <c r="B105" s="93"/>
      <c r="C105" s="102"/>
    </row>
    <row r="106">
      <c r="A106" s="93"/>
      <c r="B106" s="93"/>
      <c r="C106" s="102"/>
    </row>
    <row r="107">
      <c r="A107" s="118"/>
      <c r="B107" s="118"/>
      <c r="C107" s="119"/>
      <c r="D107" s="120"/>
      <c r="E107" s="120"/>
      <c r="F107" s="120"/>
      <c r="G107" s="120"/>
      <c r="H107" s="120"/>
      <c r="I107" s="120"/>
      <c r="J107" s="120"/>
      <c r="K107" s="120"/>
      <c r="L107" s="120"/>
    </row>
    <row r="108">
      <c r="A108" s="87"/>
      <c r="B108" s="93"/>
      <c r="D108" s="127"/>
    </row>
    <row r="109">
      <c r="A109" s="84" t="s">
        <v>191</v>
      </c>
      <c r="B109" s="84" t="s">
        <v>192</v>
      </c>
      <c r="C109" s="127"/>
      <c r="F109" s="128" t="s">
        <v>193</v>
      </c>
      <c r="G109" s="5"/>
    </row>
    <row r="110">
      <c r="A110" s="84">
        <v>1.0</v>
      </c>
      <c r="B110" s="84">
        <v>7.0</v>
      </c>
      <c r="C110" s="102"/>
      <c r="F110" s="84" t="s">
        <v>191</v>
      </c>
      <c r="G110" s="130" t="s">
        <v>192</v>
      </c>
    </row>
    <row r="111">
      <c r="A111" s="84">
        <v>2.0</v>
      </c>
      <c r="B111" s="132">
        <v>24.0</v>
      </c>
      <c r="F111" s="84">
        <v>1.0</v>
      </c>
      <c r="G111" s="135">
        <f t="shared" ref="G111:G118" si="2">$A$118*F111^3+$B$118*F111^2+$C$118*F111+$D$118</f>
        <v>7</v>
      </c>
    </row>
    <row r="112">
      <c r="A112" s="84">
        <v>3.0</v>
      </c>
      <c r="B112" s="132">
        <v>71.0</v>
      </c>
      <c r="F112" s="84">
        <v>2.0</v>
      </c>
      <c r="G112" s="135">
        <f t="shared" si="2"/>
        <v>24</v>
      </c>
    </row>
    <row r="113">
      <c r="A113" s="84">
        <v>4.0</v>
      </c>
      <c r="B113" s="132">
        <v>160.0</v>
      </c>
      <c r="F113" s="84">
        <v>3.0</v>
      </c>
      <c r="G113" s="135">
        <f t="shared" si="2"/>
        <v>71</v>
      </c>
    </row>
    <row r="114">
      <c r="A114" s="93"/>
      <c r="B114" s="102"/>
      <c r="F114" s="84">
        <v>4.0</v>
      </c>
      <c r="G114" s="135">
        <f t="shared" si="2"/>
        <v>160</v>
      </c>
    </row>
    <row r="115">
      <c r="A115" s="93"/>
      <c r="B115" s="102"/>
      <c r="F115" s="84">
        <v>5.0</v>
      </c>
      <c r="G115" s="135">
        <f t="shared" si="2"/>
        <v>303</v>
      </c>
    </row>
    <row r="116">
      <c r="A116" s="137" t="s">
        <v>198</v>
      </c>
      <c r="B116" s="102"/>
      <c r="F116" s="84">
        <v>6.0</v>
      </c>
      <c r="G116" s="135">
        <f t="shared" si="2"/>
        <v>512</v>
      </c>
    </row>
    <row r="117">
      <c r="A117" s="121" t="s">
        <v>199</v>
      </c>
      <c r="B117" s="102"/>
      <c r="F117" s="84">
        <v>7.0</v>
      </c>
      <c r="G117" s="135">
        <f t="shared" si="2"/>
        <v>799</v>
      </c>
    </row>
    <row r="118">
      <c r="A118" s="145">
        <f t="array" ref="A118:D118">LINEST(B110:B113,A110:A113^{1,2,3})</f>
        <v>2</v>
      </c>
      <c r="B118" s="146">
        <v>3.0000000000000653</v>
      </c>
      <c r="C118" s="148">
        <v>-6.0000000000001465</v>
      </c>
      <c r="D118" s="148">
        <v>8.000000000000089</v>
      </c>
      <c r="F118" s="84">
        <v>8.0</v>
      </c>
      <c r="G118" s="135">
        <f t="shared" si="2"/>
        <v>1176</v>
      </c>
    </row>
    <row r="119">
      <c r="A119" s="93"/>
      <c r="B119" s="93"/>
      <c r="C119" s="102"/>
    </row>
    <row r="120">
      <c r="A120" s="118"/>
      <c r="B120" s="118"/>
      <c r="C120" s="119"/>
      <c r="D120" s="120"/>
      <c r="E120" s="120"/>
      <c r="F120" s="120"/>
      <c r="G120" s="120"/>
      <c r="H120" s="120"/>
      <c r="I120" s="120"/>
      <c r="J120" s="120"/>
      <c r="K120" s="120"/>
      <c r="L120" s="120"/>
    </row>
    <row r="121">
      <c r="A121" s="87"/>
      <c r="B121" s="93"/>
      <c r="D121" s="127"/>
    </row>
    <row r="122">
      <c r="A122" s="84" t="s">
        <v>191</v>
      </c>
      <c r="B122" s="84" t="s">
        <v>192</v>
      </c>
      <c r="C122" s="127"/>
      <c r="F122" s="128" t="s">
        <v>201</v>
      </c>
      <c r="G122" s="5"/>
    </row>
    <row r="123">
      <c r="A123" s="84">
        <v>1.0</v>
      </c>
      <c r="B123" s="84">
        <v>7.0</v>
      </c>
      <c r="C123" s="102"/>
      <c r="F123" s="84" t="s">
        <v>191</v>
      </c>
      <c r="G123" s="130" t="s">
        <v>192</v>
      </c>
    </row>
    <row r="124">
      <c r="A124" s="84">
        <v>2.0</v>
      </c>
      <c r="B124" s="132">
        <v>24.0</v>
      </c>
      <c r="F124" s="84">
        <v>1.0</v>
      </c>
      <c r="G124" s="135">
        <f t="shared" ref="G124:G131" si="3"> $A$131*F124^2+ $B$131*F124+ $C$131</f>
        <v>7.6</v>
      </c>
    </row>
    <row r="125">
      <c r="A125" s="84">
        <v>3.0</v>
      </c>
      <c r="B125" s="132">
        <v>71.0</v>
      </c>
      <c r="F125" s="84">
        <v>2.0</v>
      </c>
      <c r="G125" s="135">
        <f t="shared" si="3"/>
        <v>22.2</v>
      </c>
    </row>
    <row r="126">
      <c r="A126" s="84">
        <v>4.0</v>
      </c>
      <c r="B126" s="132">
        <v>160.0</v>
      </c>
      <c r="F126" s="84">
        <v>3.0</v>
      </c>
      <c r="G126" s="135">
        <f t="shared" si="3"/>
        <v>72.8</v>
      </c>
    </row>
    <row r="127">
      <c r="A127" s="93"/>
      <c r="B127" s="102"/>
      <c r="F127" s="84">
        <v>4.0</v>
      </c>
      <c r="G127" s="135">
        <f t="shared" si="3"/>
        <v>159.4</v>
      </c>
    </row>
    <row r="128">
      <c r="A128" s="93"/>
      <c r="B128" s="102"/>
      <c r="F128" s="84">
        <v>5.0</v>
      </c>
      <c r="G128" s="135">
        <f t="shared" si="3"/>
        <v>282</v>
      </c>
    </row>
    <row r="129">
      <c r="A129" s="137" t="s">
        <v>198</v>
      </c>
      <c r="B129" s="102"/>
      <c r="F129" s="84">
        <v>6.0</v>
      </c>
      <c r="G129" s="135">
        <f t="shared" si="3"/>
        <v>440.6</v>
      </c>
    </row>
    <row r="130">
      <c r="A130" s="121" t="s">
        <v>203</v>
      </c>
      <c r="B130" s="102"/>
      <c r="F130" s="84">
        <v>7.0</v>
      </c>
      <c r="G130" s="135">
        <f t="shared" si="3"/>
        <v>635.2</v>
      </c>
    </row>
    <row r="131">
      <c r="A131" s="145">
        <f t="array" ref="A131:C131">LINEST(B123:B126,A123:A126^{1,2})</f>
        <v>18</v>
      </c>
      <c r="B131" s="146">
        <v>-39.40000000000006</v>
      </c>
      <c r="C131" s="148">
        <v>29.000000000000043</v>
      </c>
      <c r="F131" s="84">
        <v>8.0</v>
      </c>
      <c r="G131" s="135">
        <f t="shared" si="3"/>
        <v>865.8</v>
      </c>
    </row>
    <row r="132">
      <c r="A132" s="93"/>
      <c r="B132" s="102"/>
    </row>
    <row r="134">
      <c r="A134" s="118"/>
      <c r="B134" s="118"/>
      <c r="C134" s="119"/>
      <c r="D134" s="120"/>
      <c r="E134" s="120"/>
      <c r="F134" s="120"/>
      <c r="G134" s="120"/>
      <c r="H134" s="120"/>
      <c r="I134" s="120"/>
      <c r="J134" s="120"/>
      <c r="K134" s="120"/>
      <c r="L134" s="120"/>
    </row>
    <row r="135">
      <c r="A135" s="87" t="s">
        <v>204</v>
      </c>
      <c r="B135" s="93"/>
      <c r="C135" s="102"/>
    </row>
    <row r="136">
      <c r="A136" s="153" t="s">
        <v>205</v>
      </c>
      <c r="B136" s="3"/>
      <c r="C136" s="3"/>
      <c r="D136" s="5"/>
      <c r="F136" s="154" t="s">
        <v>207</v>
      </c>
      <c r="G136" s="5"/>
      <c r="I136" s="155"/>
      <c r="J136" s="155"/>
      <c r="K136" s="78"/>
      <c r="L136" s="78"/>
    </row>
    <row r="137">
      <c r="A137" s="156" t="s">
        <v>208</v>
      </c>
      <c r="B137" s="157" t="s">
        <v>209</v>
      </c>
      <c r="C137" s="157" t="s">
        <v>210</v>
      </c>
      <c r="D137" s="157" t="s">
        <v>211</v>
      </c>
      <c r="E137" s="155"/>
      <c r="F137" s="156" t="s">
        <v>208</v>
      </c>
      <c r="G137" s="157" t="s">
        <v>211</v>
      </c>
      <c r="H137" s="155"/>
      <c r="I137" s="155"/>
      <c r="J137" s="155"/>
      <c r="K137" s="78"/>
      <c r="L137" s="78"/>
    </row>
    <row r="138">
      <c r="A138" s="158" t="s">
        <v>187</v>
      </c>
      <c r="B138" s="160" t="s">
        <v>212</v>
      </c>
      <c r="C138" s="160" t="s">
        <v>213</v>
      </c>
      <c r="D138" s="160">
        <v>21.0</v>
      </c>
      <c r="E138" s="155"/>
      <c r="F138" s="164" t="str">
        <f t="array" ref="F138:G146">{A138:A141,D138:D141;A145:A149,D145:D149}</f>
        <v>John</v>
      </c>
      <c r="G138" s="164">
        <v>21.0</v>
      </c>
      <c r="H138" s="155"/>
      <c r="I138" s="155"/>
      <c r="J138" s="155"/>
      <c r="K138" s="78"/>
      <c r="L138" s="78"/>
    </row>
    <row r="139">
      <c r="A139" s="158" t="s">
        <v>188</v>
      </c>
      <c r="B139" s="160" t="s">
        <v>222</v>
      </c>
      <c r="C139" s="160" t="s">
        <v>224</v>
      </c>
      <c r="D139" s="160">
        <v>19.0</v>
      </c>
      <c r="E139" s="155"/>
      <c r="F139" s="164" t="s">
        <v>188</v>
      </c>
      <c r="G139" s="164">
        <v>19.0</v>
      </c>
      <c r="H139" s="155"/>
      <c r="I139" s="155"/>
      <c r="J139" s="155"/>
      <c r="K139" s="78"/>
      <c r="L139" s="78"/>
    </row>
    <row r="140">
      <c r="A140" s="158" t="s">
        <v>225</v>
      </c>
      <c r="B140" s="160" t="s">
        <v>226</v>
      </c>
      <c r="C140" s="160" t="s">
        <v>227</v>
      </c>
      <c r="D140" s="158"/>
      <c r="E140" s="155"/>
      <c r="F140" s="164" t="s">
        <v>225</v>
      </c>
      <c r="G140" s="164"/>
      <c r="H140" s="155"/>
      <c r="I140" s="155"/>
      <c r="J140" s="155"/>
      <c r="K140" s="78"/>
      <c r="L140" s="78"/>
    </row>
    <row r="141">
      <c r="A141" s="158" t="s">
        <v>228</v>
      </c>
      <c r="B141" s="160" t="s">
        <v>229</v>
      </c>
      <c r="C141" s="160" t="s">
        <v>231</v>
      </c>
      <c r="D141" s="160">
        <v>18.0</v>
      </c>
      <c r="E141" s="155"/>
      <c r="F141" s="164" t="s">
        <v>228</v>
      </c>
      <c r="G141" s="164">
        <v>18.0</v>
      </c>
      <c r="H141" s="155"/>
      <c r="I141" s="155"/>
      <c r="J141" s="155"/>
      <c r="K141" s="78"/>
      <c r="L141" s="78"/>
    </row>
    <row r="142">
      <c r="A142" s="155"/>
      <c r="B142" s="155"/>
      <c r="C142" s="78"/>
      <c r="D142" s="155"/>
      <c r="E142" s="155"/>
      <c r="F142" s="164" t="s">
        <v>234</v>
      </c>
      <c r="G142" s="164">
        <v>17.0</v>
      </c>
      <c r="H142" s="155"/>
      <c r="I142" s="155"/>
      <c r="J142" s="155"/>
      <c r="K142" s="78"/>
      <c r="L142" s="78"/>
    </row>
    <row r="143">
      <c r="A143" s="153" t="s">
        <v>236</v>
      </c>
      <c r="B143" s="3"/>
      <c r="C143" s="3"/>
      <c r="D143" s="5"/>
      <c r="E143" s="155"/>
      <c r="F143" s="164" t="s">
        <v>238</v>
      </c>
      <c r="G143" s="164">
        <v>21.0</v>
      </c>
      <c r="H143" s="155"/>
      <c r="I143" s="155"/>
      <c r="J143" s="155"/>
      <c r="K143" s="78"/>
      <c r="L143" s="78"/>
    </row>
    <row r="144">
      <c r="A144" s="165" t="s">
        <v>208</v>
      </c>
      <c r="B144" s="166" t="s">
        <v>209</v>
      </c>
      <c r="C144" s="166" t="s">
        <v>210</v>
      </c>
      <c r="D144" s="166" t="s">
        <v>211</v>
      </c>
      <c r="E144" s="155"/>
      <c r="F144" s="164" t="s">
        <v>244</v>
      </c>
      <c r="G144" s="164">
        <v>24.0</v>
      </c>
      <c r="H144" s="155"/>
      <c r="I144" s="155"/>
      <c r="J144" s="155"/>
      <c r="K144" s="78"/>
      <c r="L144" s="78"/>
    </row>
    <row r="145">
      <c r="A145" s="167" t="s">
        <v>234</v>
      </c>
      <c r="B145" s="168" t="s">
        <v>229</v>
      </c>
      <c r="C145" s="168" t="s">
        <v>231</v>
      </c>
      <c r="D145" s="168">
        <v>17.0</v>
      </c>
      <c r="E145" s="155"/>
      <c r="F145" s="164" t="s">
        <v>187</v>
      </c>
      <c r="G145" s="164"/>
      <c r="H145" s="155"/>
      <c r="I145" s="155"/>
      <c r="J145" s="155"/>
      <c r="K145" s="78"/>
      <c r="L145" s="78"/>
    </row>
    <row r="146">
      <c r="A146" s="167" t="s">
        <v>238</v>
      </c>
      <c r="B146" s="168" t="s">
        <v>222</v>
      </c>
      <c r="C146" s="168" t="s">
        <v>227</v>
      </c>
      <c r="D146" s="168">
        <v>21.0</v>
      </c>
      <c r="E146" s="155"/>
      <c r="F146" s="164" t="s">
        <v>250</v>
      </c>
      <c r="G146" s="164">
        <v>23.0</v>
      </c>
      <c r="H146" s="155"/>
      <c r="I146" s="155"/>
      <c r="J146" s="155"/>
      <c r="K146" s="78"/>
      <c r="L146" s="78"/>
    </row>
    <row r="147">
      <c r="A147" s="167" t="s">
        <v>244</v>
      </c>
      <c r="B147" s="168" t="s">
        <v>251</v>
      </c>
      <c r="C147" s="168" t="s">
        <v>213</v>
      </c>
      <c r="D147" s="168">
        <v>24.0</v>
      </c>
      <c r="E147" s="155"/>
      <c r="F147" s="164"/>
      <c r="G147" s="164"/>
      <c r="H147" s="155"/>
      <c r="I147" s="155"/>
      <c r="J147" s="155"/>
      <c r="K147" s="78"/>
      <c r="L147" s="78"/>
    </row>
    <row r="148">
      <c r="A148" s="167" t="s">
        <v>187</v>
      </c>
      <c r="B148" s="168" t="s">
        <v>212</v>
      </c>
      <c r="C148" s="168" t="s">
        <v>231</v>
      </c>
      <c r="D148" s="169"/>
      <c r="E148" s="155"/>
      <c r="F148" s="164"/>
      <c r="G148" s="164"/>
      <c r="H148" s="155"/>
      <c r="I148" s="155"/>
      <c r="J148" s="155"/>
      <c r="K148" s="78"/>
      <c r="L148" s="78"/>
    </row>
    <row r="149">
      <c r="A149" s="167" t="s">
        <v>250</v>
      </c>
      <c r="B149" s="168" t="s">
        <v>222</v>
      </c>
      <c r="C149" s="168" t="s">
        <v>213</v>
      </c>
      <c r="D149" s="168">
        <v>23.0</v>
      </c>
      <c r="E149" s="155"/>
      <c r="F149" s="164"/>
      <c r="G149" s="164"/>
      <c r="H149" s="155"/>
      <c r="I149" s="155"/>
      <c r="J149" s="155"/>
      <c r="K149" s="78"/>
      <c r="L149" s="78"/>
    </row>
    <row r="150">
      <c r="A150" s="155"/>
      <c r="B150" s="78"/>
      <c r="C150" s="78"/>
      <c r="D150" s="78"/>
      <c r="E150" s="155"/>
      <c r="F150" s="155"/>
      <c r="G150" s="155"/>
      <c r="H150" s="155"/>
      <c r="I150" s="155"/>
      <c r="J150" s="78"/>
      <c r="K150" s="78"/>
      <c r="L150" s="78"/>
    </row>
    <row r="151">
      <c r="A151" s="155"/>
      <c r="B151" s="78"/>
      <c r="C151" s="78"/>
      <c r="D151" s="78"/>
      <c r="E151" s="155"/>
      <c r="F151" s="155"/>
      <c r="G151" s="155"/>
      <c r="H151" s="155"/>
      <c r="I151" s="155"/>
      <c r="J151" s="78"/>
      <c r="K151" s="78"/>
      <c r="L151" s="78"/>
    </row>
    <row r="152">
      <c r="A152" s="93"/>
      <c r="B152" s="93"/>
      <c r="C152" s="102"/>
      <c r="I152" s="78"/>
      <c r="J152" s="78"/>
      <c r="K152" s="78"/>
      <c r="L152" s="78"/>
    </row>
    <row r="153">
      <c r="A153" s="118"/>
      <c r="B153" s="118"/>
      <c r="C153" s="119"/>
      <c r="D153" s="120"/>
      <c r="E153" s="120"/>
      <c r="F153" s="120"/>
      <c r="G153" s="120"/>
      <c r="H153" s="120"/>
      <c r="I153" s="120"/>
      <c r="J153" s="120"/>
      <c r="K153" s="120"/>
      <c r="L153" s="120"/>
    </row>
    <row r="154">
      <c r="A154" s="170" t="s">
        <v>259</v>
      </c>
      <c r="D154" s="171"/>
      <c r="G154" s="172">
        <v>3.0</v>
      </c>
    </row>
    <row r="155">
      <c r="C155" s="173" t="s">
        <v>263</v>
      </c>
      <c r="D155" s="175" t="s">
        <v>265</v>
      </c>
      <c r="E155" s="176">
        <f>sum(G154:G158)</f>
        <v>35</v>
      </c>
      <c r="G155" s="172">
        <v>5.0</v>
      </c>
    </row>
    <row r="156">
      <c r="G156" s="84">
        <v>7.0</v>
      </c>
    </row>
    <row r="157">
      <c r="C157" s="123" t="s">
        <v>272</v>
      </c>
      <c r="D157" s="177" t="s">
        <v>273</v>
      </c>
      <c r="E157" s="148">
        <f>sum(indirect("G153:G"&amp;E158))</f>
        <v>35</v>
      </c>
      <c r="G157" s="84">
        <v>9.0</v>
      </c>
    </row>
    <row r="158">
      <c r="C158" s="179"/>
      <c r="D158" s="110" t="s">
        <v>280</v>
      </c>
      <c r="E158" s="84">
        <v>159.0</v>
      </c>
      <c r="G158" s="84">
        <v>11.0</v>
      </c>
    </row>
    <row r="159">
      <c r="A159" s="118"/>
      <c r="B159" s="118"/>
      <c r="C159" s="119"/>
      <c r="D159" s="120"/>
      <c r="E159" s="120"/>
      <c r="F159" s="120"/>
      <c r="G159" s="120"/>
      <c r="H159" s="120"/>
      <c r="I159" s="120"/>
      <c r="J159" s="120"/>
      <c r="K159" s="120"/>
      <c r="L159" s="120"/>
    </row>
    <row r="160">
      <c r="A160" s="93"/>
      <c r="B160" s="180"/>
    </row>
    <row r="161">
      <c r="A161" s="181">
        <v>5.0</v>
      </c>
      <c r="B161" s="182"/>
      <c r="C161" s="183" t="s">
        <v>288</v>
      </c>
      <c r="D161" s="183">
        <f>sum(A161:A164)</f>
        <v>34</v>
      </c>
    </row>
    <row r="162">
      <c r="A162" s="184">
        <v>9.0</v>
      </c>
      <c r="B162" s="185"/>
      <c r="C162" s="186"/>
      <c r="D162" s="188"/>
    </row>
    <row r="163">
      <c r="A163" s="184">
        <v>9.0</v>
      </c>
      <c r="B163" s="182"/>
      <c r="C163" s="190" t="s">
        <v>294</v>
      </c>
      <c r="D163" s="191"/>
    </row>
    <row r="164">
      <c r="A164" s="184">
        <v>11.0</v>
      </c>
      <c r="B164" s="182"/>
      <c r="C164" s="193" t="s">
        <v>296</v>
      </c>
      <c r="D164" s="195">
        <f>sum(indirect(C163))</f>
        <v>34</v>
      </c>
    </row>
    <row r="165">
      <c r="A165" s="93"/>
      <c r="B165" s="93"/>
      <c r="C165" s="102"/>
    </row>
    <row r="166">
      <c r="A166" s="118"/>
      <c r="B166" s="118"/>
      <c r="C166" s="119"/>
      <c r="D166" s="120"/>
      <c r="E166" s="120"/>
      <c r="F166" s="120"/>
      <c r="G166" s="120"/>
      <c r="H166" s="120"/>
      <c r="I166" s="120"/>
      <c r="J166" s="120"/>
      <c r="K166" s="120"/>
      <c r="L166" s="120"/>
    </row>
    <row r="167">
      <c r="A167" s="93"/>
      <c r="B167" s="93"/>
      <c r="C167" s="102"/>
    </row>
    <row r="168">
      <c r="A168" s="93"/>
      <c r="B168" s="196" t="s">
        <v>299</v>
      </c>
      <c r="C168" s="196" t="s">
        <v>300</v>
      </c>
      <c r="D168" s="198"/>
      <c r="E168" s="199" t="s">
        <v>301</v>
      </c>
      <c r="F168" s="198"/>
    </row>
    <row r="169">
      <c r="A169" s="93"/>
      <c r="B169" s="196">
        <v>4.0</v>
      </c>
      <c r="C169" s="196">
        <v>15.0</v>
      </c>
      <c r="D169" s="198"/>
    </row>
    <row r="170">
      <c r="A170" s="93"/>
      <c r="B170" s="200">
        <v>3.0</v>
      </c>
      <c r="C170" s="200">
        <v>14.0</v>
      </c>
      <c r="D170" s="198"/>
      <c r="E170" s="201" t="s">
        <v>306</v>
      </c>
      <c r="F170" s="202"/>
    </row>
    <row r="171">
      <c r="A171" s="93"/>
      <c r="B171" s="196">
        <v>1.0</v>
      </c>
      <c r="C171" s="196">
        <v>13.0</v>
      </c>
      <c r="D171" s="198"/>
      <c r="E171" s="201" t="s">
        <v>309</v>
      </c>
      <c r="F171" s="203">
        <f>sum(C170,C173,C178)</f>
        <v>55</v>
      </c>
    </row>
    <row r="172">
      <c r="A172" s="93"/>
      <c r="B172" s="196">
        <v>5.0</v>
      </c>
      <c r="C172" s="196">
        <v>14.0</v>
      </c>
      <c r="D172" s="198"/>
      <c r="E172" s="204" t="s">
        <v>314</v>
      </c>
      <c r="F172" s="203">
        <f>AVERAGE(C170,C173,C178)</f>
        <v>18.33333333</v>
      </c>
    </row>
    <row r="173">
      <c r="A173" s="93"/>
      <c r="B173" s="200">
        <v>3.0</v>
      </c>
      <c r="C173" s="200">
        <v>15.0</v>
      </c>
      <c r="D173" s="198"/>
      <c r="E173" s="198"/>
      <c r="F173" s="198"/>
    </row>
    <row r="174">
      <c r="A174" s="93"/>
      <c r="B174" s="196">
        <v>1.0</v>
      </c>
      <c r="C174" s="196">
        <v>26.0</v>
      </c>
      <c r="D174" s="198"/>
      <c r="E174" s="205" t="s">
        <v>317</v>
      </c>
      <c r="F174" s="206">
        <v>3.0</v>
      </c>
    </row>
    <row r="175">
      <c r="A175" s="93"/>
      <c r="B175" s="196">
        <v>2.0</v>
      </c>
      <c r="C175" s="196">
        <v>37.0</v>
      </c>
      <c r="D175" s="198"/>
    </row>
    <row r="176">
      <c r="A176" s="93"/>
      <c r="B176" s="196">
        <v>4.0</v>
      </c>
      <c r="C176" s="196">
        <v>21.0</v>
      </c>
      <c r="D176" s="198"/>
    </row>
    <row r="177">
      <c r="A177" s="93"/>
      <c r="B177" s="196">
        <v>5.0</v>
      </c>
      <c r="C177" s="196">
        <v>15.0</v>
      </c>
      <c r="D177" s="198"/>
      <c r="E177" s="207" t="s">
        <v>309</v>
      </c>
      <c r="F177" s="208">
        <f>SUMIF(B169:B178,F174,C169:C178)</f>
        <v>55</v>
      </c>
    </row>
    <row r="178">
      <c r="A178" s="93"/>
      <c r="B178" s="200">
        <v>3.0</v>
      </c>
      <c r="C178" s="200">
        <v>26.0</v>
      </c>
      <c r="D178" s="198"/>
      <c r="E178" s="210" t="s">
        <v>314</v>
      </c>
      <c r="F178" s="208">
        <f>AVERAGEIF(B169:B178,F174,C169:C178)</f>
        <v>18.33333333</v>
      </c>
    </row>
    <row r="179">
      <c r="A179" s="93"/>
      <c r="B179" s="93"/>
      <c r="C179" s="102"/>
    </row>
    <row r="180">
      <c r="A180" s="118"/>
      <c r="B180" s="118"/>
      <c r="C180" s="119"/>
      <c r="D180" s="120"/>
      <c r="E180" s="120"/>
      <c r="F180" s="120"/>
      <c r="G180" s="120"/>
      <c r="H180" s="120"/>
      <c r="I180" s="120"/>
      <c r="J180" s="120"/>
      <c r="K180" s="120"/>
      <c r="L180" s="120"/>
    </row>
    <row r="181">
      <c r="A181" s="178" t="s">
        <v>328</v>
      </c>
      <c r="B181" s="211" t="str">
        <f t="shared" ref="B181:B182" si="4">TIMESTAMP(A181)</f>
        <v>#NAME?</v>
      </c>
      <c r="C181" s="212">
        <f t="shared" ref="C181:C182" si="5">NOW()
</f>
        <v>43888.53225</v>
      </c>
      <c r="D181" s="213" t="str">
        <f t="shared" ref="D181:D182" si="6">C181-B181</f>
        <v>#NAME?</v>
      </c>
    </row>
    <row r="182">
      <c r="A182" s="178" t="s">
        <v>331</v>
      </c>
      <c r="B182" s="211" t="str">
        <f t="shared" si="4"/>
        <v>#NAME?</v>
      </c>
      <c r="C182" s="212">
        <f t="shared" si="5"/>
        <v>43888.53225</v>
      </c>
      <c r="D182" s="213" t="str">
        <f t="shared" si="6"/>
        <v>#NAME?</v>
      </c>
    </row>
    <row r="183">
      <c r="A183" s="93"/>
      <c r="B183" s="93"/>
      <c r="C183" s="102"/>
    </row>
    <row r="184">
      <c r="A184" s="118"/>
      <c r="B184" s="118"/>
      <c r="C184" s="119"/>
      <c r="D184" s="120"/>
      <c r="E184" s="120"/>
      <c r="F184" s="120"/>
      <c r="G184" s="120"/>
      <c r="H184" s="120"/>
      <c r="I184" s="120"/>
      <c r="J184" s="120"/>
      <c r="K184" s="120"/>
      <c r="L184" s="120"/>
    </row>
    <row r="185">
      <c r="A185" s="214" t="s">
        <v>334</v>
      </c>
      <c r="B185" s="215"/>
      <c r="C185" s="215"/>
    </row>
    <row r="186">
      <c r="A186" s="216">
        <v>0.52</v>
      </c>
      <c r="B186" s="217">
        <v>0.48</v>
      </c>
      <c r="C186" s="218" t="str">
        <f>IFERROR(__xludf.DUMMYFUNCTION("SPARKLINE( A186:B186,{""charttype"",""bar"";""max"",1;""color1"",""#17e657"";""color2"",""#FF0000""})"),"")</f>
        <v/>
      </c>
    </row>
    <row r="187">
      <c r="A187" s="216">
        <v>0.1</v>
      </c>
      <c r="B187" s="217">
        <v>0.9</v>
      </c>
      <c r="C187" s="218" t="str">
        <f>IFERROR(__xludf.DUMMYFUNCTION("SPARKLINE( A187:B187,{""charttype"",""bar"";""max"",1;""color1"",""#17e657"";""color2"",""#FF0000""})"),"")</f>
        <v/>
      </c>
    </row>
    <row r="188">
      <c r="A188" s="216">
        <v>0.0</v>
      </c>
      <c r="B188" s="217">
        <v>1.0</v>
      </c>
      <c r="C188" s="218" t="str">
        <f>IFERROR(__xludf.DUMMYFUNCTION("SPARKLINE( A188:B188,{""charttype"",""bar"";""max"",1;""color1"",""#17e657"";""color2"",""#FF0000""})"),"")</f>
        <v/>
      </c>
    </row>
    <row r="189">
      <c r="A189" s="118"/>
      <c r="B189" s="118"/>
      <c r="C189" s="119"/>
      <c r="D189" s="120"/>
      <c r="E189" s="120"/>
      <c r="F189" s="120"/>
      <c r="G189" s="120"/>
      <c r="H189" s="120"/>
      <c r="I189" s="120"/>
      <c r="J189" s="120"/>
      <c r="K189" s="120"/>
      <c r="L189" s="120"/>
    </row>
    <row r="190">
      <c r="A190" s="93"/>
      <c r="B190" s="93"/>
      <c r="C190" s="102"/>
    </row>
    <row r="191">
      <c r="A191" s="93"/>
      <c r="B191" s="93"/>
      <c r="C191" s="102"/>
    </row>
    <row r="192">
      <c r="A192" s="93"/>
      <c r="B192" s="93"/>
      <c r="C192" s="102"/>
    </row>
    <row r="193">
      <c r="A193" s="93"/>
      <c r="B193" s="93"/>
      <c r="C193" s="102"/>
    </row>
    <row r="194">
      <c r="A194" s="93"/>
      <c r="B194" s="93"/>
      <c r="C194" s="102"/>
    </row>
    <row r="195">
      <c r="A195" s="93"/>
      <c r="B195" s="93"/>
      <c r="C195" s="102"/>
    </row>
    <row r="196">
      <c r="A196" s="93"/>
      <c r="B196" s="93"/>
      <c r="C196" s="102"/>
    </row>
    <row r="197">
      <c r="A197" s="93"/>
      <c r="B197" s="93"/>
      <c r="C197" s="102"/>
    </row>
    <row r="198">
      <c r="A198" s="93"/>
      <c r="B198" s="93"/>
      <c r="C198" s="102"/>
    </row>
    <row r="199">
      <c r="A199" s="93"/>
      <c r="B199" s="93"/>
      <c r="C199" s="102"/>
    </row>
    <row r="200">
      <c r="A200" s="93"/>
      <c r="B200" s="93"/>
      <c r="C200" s="102"/>
    </row>
  </sheetData>
  <mergeCells count="80">
    <mergeCell ref="C56:J56"/>
    <mergeCell ref="C61:J61"/>
    <mergeCell ref="C42:D42"/>
    <mergeCell ref="E42:F42"/>
    <mergeCell ref="G42:G43"/>
    <mergeCell ref="C52:J52"/>
    <mergeCell ref="C53:J53"/>
    <mergeCell ref="C54:J54"/>
    <mergeCell ref="C55:J55"/>
    <mergeCell ref="B57:B61"/>
    <mergeCell ref="B62:B68"/>
    <mergeCell ref="C62:J62"/>
    <mergeCell ref="C69:J69"/>
    <mergeCell ref="C70:J70"/>
    <mergeCell ref="C71:J71"/>
    <mergeCell ref="C72:J72"/>
    <mergeCell ref="C73:J73"/>
    <mergeCell ref="C74:J74"/>
    <mergeCell ref="C75:J75"/>
    <mergeCell ref="C76:J76"/>
    <mergeCell ref="C77:J77"/>
    <mergeCell ref="C78:J78"/>
    <mergeCell ref="C79:J79"/>
    <mergeCell ref="A136:D136"/>
    <mergeCell ref="A143:D143"/>
    <mergeCell ref="A154:B158"/>
    <mergeCell ref="E174:E175"/>
    <mergeCell ref="F174:F175"/>
    <mergeCell ref="C80:J80"/>
    <mergeCell ref="B98:E98"/>
    <mergeCell ref="B108:C108"/>
    <mergeCell ref="F109:G109"/>
    <mergeCell ref="B121:C121"/>
    <mergeCell ref="F122:G122"/>
    <mergeCell ref="F136:G136"/>
    <mergeCell ref="C1:J1"/>
    <mergeCell ref="A2:A3"/>
    <mergeCell ref="B2:B3"/>
    <mergeCell ref="C2:J2"/>
    <mergeCell ref="C3:J3"/>
    <mergeCell ref="A4:A5"/>
    <mergeCell ref="B4:B5"/>
    <mergeCell ref="C4:J4"/>
    <mergeCell ref="C5:J5"/>
    <mergeCell ref="C6:J6"/>
    <mergeCell ref="C7:J7"/>
    <mergeCell ref="C8:J8"/>
    <mergeCell ref="C9:J9"/>
    <mergeCell ref="C10:J10"/>
    <mergeCell ref="C11:J11"/>
    <mergeCell ref="C15:J15"/>
    <mergeCell ref="C16:J16"/>
    <mergeCell ref="C17:J17"/>
    <mergeCell ref="C18:J18"/>
    <mergeCell ref="C19:J19"/>
    <mergeCell ref="C20:J20"/>
    <mergeCell ref="C21:J21"/>
    <mergeCell ref="C22:J22"/>
    <mergeCell ref="C23:J23"/>
    <mergeCell ref="C24:J24"/>
    <mergeCell ref="C25:J25"/>
    <mergeCell ref="C26:J26"/>
    <mergeCell ref="C27:J27"/>
    <mergeCell ref="C28:J28"/>
    <mergeCell ref="C29:J29"/>
    <mergeCell ref="C30:J30"/>
    <mergeCell ref="C34:J34"/>
    <mergeCell ref="C35:J35"/>
    <mergeCell ref="C36:J36"/>
    <mergeCell ref="C41:F41"/>
    <mergeCell ref="A41:A51"/>
    <mergeCell ref="A57:A61"/>
    <mergeCell ref="A62:A68"/>
    <mergeCell ref="A6:A7"/>
    <mergeCell ref="B6:B7"/>
    <mergeCell ref="A8:A9"/>
    <mergeCell ref="B8:B9"/>
    <mergeCell ref="A10:A11"/>
    <mergeCell ref="B10:B11"/>
    <mergeCell ref="B41:B51"/>
  </mergeCells>
  <dataValidations>
    <dataValidation type="custom" allowBlank="1" showInputMessage="1" prompt="Double click cell to enter a date" sqref="A2 A4 A6 A8 A10 A16:A32 A34:A36 A40:A41 A52:A57 A62 A69:A90 B108 B121">
      <formula1>OR(NOT(ISERROR(DATEVALUE(A2))), AND(ISNUMBER(A2), LEFT(CELL("format", A2))="D"))</formula1>
    </dataValidation>
    <dataValidation type="list" allowBlank="1" showErrorMessage="1" sqref="C65:C68">
      <formula1>"50%,60%,70%,80%,90%,100%"</formula1>
    </dataValidation>
    <dataValidation type="list" allowBlank="1" showErrorMessage="1" sqref="G94">
      <formula1>'Editor Comments'!$B$95:$B$97</formula1>
    </dataValidation>
  </dataValidations>
  <hyperlinks>
    <hyperlink r:id="rId1" ref="C3"/>
    <hyperlink r:id="rId2" ref="C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4" width="25.0"/>
    <col customWidth="1" min="5" max="7" width="20.14"/>
    <col customWidth="1" min="13" max="13" width="13.71"/>
  </cols>
  <sheetData>
    <row r="1">
      <c r="A1" s="275" t="s">
        <v>690</v>
      </c>
      <c r="B1" s="276" t="s">
        <v>691</v>
      </c>
      <c r="C1" s="277" t="s">
        <v>692</v>
      </c>
      <c r="D1" s="278" t="s">
        <v>693</v>
      </c>
      <c r="E1" s="279" t="s">
        <v>694</v>
      </c>
      <c r="F1" s="279" t="s">
        <v>694</v>
      </c>
      <c r="G1" s="279" t="s">
        <v>695</v>
      </c>
      <c r="I1" s="280" t="s">
        <v>693</v>
      </c>
      <c r="J1" s="281" t="s">
        <v>696</v>
      </c>
      <c r="L1" s="282" t="s">
        <v>693</v>
      </c>
      <c r="M1" s="283" t="s">
        <v>697</v>
      </c>
      <c r="N1" s="283" t="s">
        <v>698</v>
      </c>
      <c r="O1" s="284" t="s">
        <v>699</v>
      </c>
      <c r="P1" s="285" t="s">
        <v>697</v>
      </c>
      <c r="Q1" s="285" t="s">
        <v>698</v>
      </c>
      <c r="R1" s="286" t="s">
        <v>699</v>
      </c>
    </row>
    <row r="2">
      <c r="A2" t="s">
        <v>700</v>
      </c>
      <c r="B2" s="287">
        <v>42736.0</v>
      </c>
      <c r="C2" s="288">
        <f t="shared" ref="C2:C1146" si="1">B2-date(year(B2),1,1)+1</f>
        <v>1</v>
      </c>
      <c r="D2" s="289">
        <f t="shared" ref="D2:D1146" si="2">C2/366*12</f>
        <v>0.03278688525</v>
      </c>
      <c r="E2" s="290">
        <f t="shared" ref="E2:E1146" si="3">ROUNDUP(D2)</f>
        <v>1</v>
      </c>
      <c r="F2" s="290" t="str">
        <f t="array" ref="F2:F1527">if(E2:E1527="","",vlookup(E2:E1527,L31:M42,2,0))</f>
        <v>January</v>
      </c>
      <c r="G2" s="291">
        <v>0.008908418404448892</v>
      </c>
      <c r="H2" s="292">
        <f t="array" ref="H2:H1527">if(G2:G1527="","",if(G2:G1527&lt;-1%,-1,if(G2:G1527&gt;1%,1,0)))</f>
        <v>0</v>
      </c>
      <c r="I2" s="293">
        <v>0.0</v>
      </c>
      <c r="J2" s="294">
        <v>-0.004848471940829907</v>
      </c>
      <c r="L2" s="121">
        <v>1.0</v>
      </c>
      <c r="M2">
        <f t="shared" ref="M2:M13" si="4">sumifs(H3:H1527,E3:E1527,"="&amp;L2,H3:H1527,-1)</f>
        <v>-17</v>
      </c>
      <c r="N2">
        <f t="shared" ref="N2:N13" si="5">sumifs(H3:H1527,E3:E1527,"="&amp;L2,H3:H1527,1)</f>
        <v>11</v>
      </c>
      <c r="O2" s="121">
        <f t="shared" ref="O2:O13" si="6">M2+N2</f>
        <v>-6</v>
      </c>
      <c r="P2" s="295">
        <f t="shared" ref="P2:P13" si="7">M2/(ABS(M2)+N2)</f>
        <v>-0.6071428571</v>
      </c>
      <c r="Q2" s="295">
        <f t="shared" ref="Q2:Q13" si="8">N2/(ABS(M2)+N2)</f>
        <v>0.3928571429</v>
      </c>
      <c r="R2" s="295">
        <f t="shared" ref="R2:R13" si="9">O2/(ABS(M2)+N2)</f>
        <v>-0.2142857143</v>
      </c>
    </row>
    <row r="3">
      <c r="A3" t="s">
        <v>701</v>
      </c>
      <c r="B3" s="287">
        <v>42736.0</v>
      </c>
      <c r="C3" s="288">
        <f t="shared" si="1"/>
        <v>1</v>
      </c>
      <c r="D3" s="289">
        <f t="shared" si="2"/>
        <v>0.03278688525</v>
      </c>
      <c r="E3" s="290">
        <f t="shared" si="3"/>
        <v>1</v>
      </c>
      <c r="F3" s="290" t="s">
        <v>702</v>
      </c>
      <c r="G3" s="291">
        <v>0.00420423889995869</v>
      </c>
      <c r="H3" s="296">
        <v>0.0</v>
      </c>
      <c r="I3" s="293">
        <v>0.1</v>
      </c>
      <c r="J3" s="294">
        <v>-0.0010730699842151025</v>
      </c>
      <c r="L3" s="121">
        <v>2.0</v>
      </c>
      <c r="M3">
        <f t="shared" si="4"/>
        <v>-28</v>
      </c>
      <c r="N3">
        <f t="shared" si="5"/>
        <v>16</v>
      </c>
      <c r="O3" s="121">
        <f t="shared" si="6"/>
        <v>-12</v>
      </c>
      <c r="P3" s="295">
        <f t="shared" si="7"/>
        <v>-0.6363636364</v>
      </c>
      <c r="Q3" s="295">
        <f t="shared" si="8"/>
        <v>0.3636363636</v>
      </c>
      <c r="R3" s="295">
        <f t="shared" si="9"/>
        <v>-0.2727272727</v>
      </c>
    </row>
    <row r="4">
      <c r="A4" t="s">
        <v>318</v>
      </c>
      <c r="B4" s="287">
        <v>42370.0</v>
      </c>
      <c r="C4" s="288">
        <f t="shared" si="1"/>
        <v>1</v>
      </c>
      <c r="D4" s="289">
        <f t="shared" si="2"/>
        <v>0.03278688525</v>
      </c>
      <c r="E4" s="290">
        <f t="shared" si="3"/>
        <v>1</v>
      </c>
      <c r="F4" s="290" t="s">
        <v>702</v>
      </c>
      <c r="G4" s="291">
        <v>-0.01707122037938036</v>
      </c>
      <c r="H4" s="296">
        <v>-1.0</v>
      </c>
      <c r="I4" s="293">
        <v>0.2</v>
      </c>
      <c r="J4" s="294">
        <v>-6.47671869475941E-4</v>
      </c>
      <c r="L4" s="121">
        <v>3.0</v>
      </c>
      <c r="M4">
        <f t="shared" si="4"/>
        <v>-20</v>
      </c>
      <c r="N4">
        <f t="shared" si="5"/>
        <v>23</v>
      </c>
      <c r="O4" s="121">
        <f t="shared" si="6"/>
        <v>3</v>
      </c>
      <c r="P4" s="295">
        <f t="shared" si="7"/>
        <v>-0.4651162791</v>
      </c>
      <c r="Q4" s="295">
        <f t="shared" si="8"/>
        <v>0.5348837209</v>
      </c>
      <c r="R4" s="295">
        <f t="shared" si="9"/>
        <v>0.06976744186</v>
      </c>
      <c r="U4" s="283" t="s">
        <v>703</v>
      </c>
      <c r="V4" s="283" t="s">
        <v>704</v>
      </c>
    </row>
    <row r="5">
      <c r="A5" t="s">
        <v>705</v>
      </c>
      <c r="B5" s="287">
        <v>42005.0</v>
      </c>
      <c r="C5" s="288">
        <f t="shared" si="1"/>
        <v>1</v>
      </c>
      <c r="D5" s="289">
        <f t="shared" si="2"/>
        <v>0.03278688525</v>
      </c>
      <c r="E5" s="290">
        <f t="shared" si="3"/>
        <v>1</v>
      </c>
      <c r="F5" s="290" t="s">
        <v>702</v>
      </c>
      <c r="G5" s="291">
        <v>-0.015435324688346852</v>
      </c>
      <c r="H5" s="296">
        <v>-1.0</v>
      </c>
      <c r="I5" s="293">
        <v>0.3</v>
      </c>
      <c r="J5" s="294">
        <v>-0.004750857619073586</v>
      </c>
      <c r="L5" s="121">
        <v>4.0</v>
      </c>
      <c r="M5">
        <f t="shared" si="4"/>
        <v>-19</v>
      </c>
      <c r="N5">
        <f t="shared" si="5"/>
        <v>29</v>
      </c>
      <c r="O5" s="121">
        <f t="shared" si="6"/>
        <v>10</v>
      </c>
      <c r="P5" s="295">
        <f t="shared" si="7"/>
        <v>-0.3958333333</v>
      </c>
      <c r="Q5" s="295">
        <f t="shared" si="8"/>
        <v>0.6041666667</v>
      </c>
      <c r="R5" s="295">
        <f t="shared" si="9"/>
        <v>0.2083333333</v>
      </c>
      <c r="U5" s="121">
        <v>-10.0</v>
      </c>
      <c r="V5">
        <f t="shared" ref="V5:V15" si="10">convert(U5,"C","F")</f>
        <v>14</v>
      </c>
    </row>
    <row r="6">
      <c r="A6" t="s">
        <v>232</v>
      </c>
      <c r="B6" s="287">
        <v>42737.0</v>
      </c>
      <c r="C6" s="288">
        <f t="shared" si="1"/>
        <v>2</v>
      </c>
      <c r="D6" s="289">
        <f t="shared" si="2"/>
        <v>0.06557377049</v>
      </c>
      <c r="E6" s="290">
        <f t="shared" si="3"/>
        <v>1</v>
      </c>
      <c r="F6" s="290" t="s">
        <v>702</v>
      </c>
      <c r="G6" s="291">
        <v>0.006178299275154897</v>
      </c>
      <c r="H6" s="296">
        <v>0.0</v>
      </c>
      <c r="I6" s="293">
        <v>0.4</v>
      </c>
      <c r="J6" s="294">
        <v>-0.015589485945261716</v>
      </c>
      <c r="L6" s="121">
        <v>5.0</v>
      </c>
      <c r="M6">
        <f t="shared" si="4"/>
        <v>-12</v>
      </c>
      <c r="N6">
        <f t="shared" si="5"/>
        <v>33</v>
      </c>
      <c r="O6" s="121">
        <f t="shared" si="6"/>
        <v>21</v>
      </c>
      <c r="P6" s="295">
        <f t="shared" si="7"/>
        <v>-0.2666666667</v>
      </c>
      <c r="Q6" s="295">
        <f t="shared" si="8"/>
        <v>0.7333333333</v>
      </c>
      <c r="R6" s="295">
        <f t="shared" si="9"/>
        <v>0.4666666667</v>
      </c>
      <c r="U6" s="121">
        <v>-5.0</v>
      </c>
      <c r="V6">
        <f t="shared" si="10"/>
        <v>23</v>
      </c>
    </row>
    <row r="7">
      <c r="A7" t="s">
        <v>706</v>
      </c>
      <c r="B7" s="287">
        <v>42371.0</v>
      </c>
      <c r="C7" s="288">
        <f t="shared" si="1"/>
        <v>2</v>
      </c>
      <c r="D7" s="289">
        <f t="shared" si="2"/>
        <v>0.06557377049</v>
      </c>
      <c r="E7" s="290">
        <f t="shared" si="3"/>
        <v>1</v>
      </c>
      <c r="F7" s="290" t="s">
        <v>702</v>
      </c>
      <c r="G7" s="291">
        <v>-0.027427225131898214</v>
      </c>
      <c r="H7" s="296">
        <v>-1.0</v>
      </c>
      <c r="I7" s="293">
        <v>0.5</v>
      </c>
      <c r="J7" s="294">
        <v>-0.002511817201385276</v>
      </c>
      <c r="L7" s="121">
        <v>6.0</v>
      </c>
      <c r="M7">
        <f t="shared" si="4"/>
        <v>-21</v>
      </c>
      <c r="N7">
        <f t="shared" si="5"/>
        <v>32</v>
      </c>
      <c r="O7" s="121">
        <f t="shared" si="6"/>
        <v>11</v>
      </c>
      <c r="P7" s="295">
        <f t="shared" si="7"/>
        <v>-0.3962264151</v>
      </c>
      <c r="Q7" s="295">
        <f t="shared" si="8"/>
        <v>0.6037735849</v>
      </c>
      <c r="R7" s="295">
        <f t="shared" si="9"/>
        <v>0.2075471698</v>
      </c>
      <c r="U7" s="121">
        <v>0.0</v>
      </c>
      <c r="V7">
        <f t="shared" si="10"/>
        <v>32</v>
      </c>
    </row>
    <row r="8">
      <c r="A8" t="s">
        <v>707</v>
      </c>
      <c r="B8" s="287">
        <v>42372.0</v>
      </c>
      <c r="C8" s="288">
        <f t="shared" si="1"/>
        <v>3</v>
      </c>
      <c r="D8" s="289">
        <f t="shared" si="2"/>
        <v>0.09836065574</v>
      </c>
      <c r="E8" s="290">
        <f t="shared" si="3"/>
        <v>1</v>
      </c>
      <c r="F8" s="290" t="s">
        <v>702</v>
      </c>
      <c r="G8" s="291">
        <v>0.01602354745212642</v>
      </c>
      <c r="H8" s="296">
        <v>1.0</v>
      </c>
      <c r="I8" s="293">
        <v>0.6</v>
      </c>
      <c r="J8" s="294">
        <v>-3.1230202330312373E-6</v>
      </c>
      <c r="L8" s="121">
        <v>7.0</v>
      </c>
      <c r="M8">
        <f t="shared" si="4"/>
        <v>-14</v>
      </c>
      <c r="N8">
        <f t="shared" si="5"/>
        <v>25</v>
      </c>
      <c r="O8" s="121">
        <f t="shared" si="6"/>
        <v>11</v>
      </c>
      <c r="P8" s="295">
        <f t="shared" si="7"/>
        <v>-0.358974359</v>
      </c>
      <c r="Q8" s="295">
        <f t="shared" si="8"/>
        <v>0.641025641</v>
      </c>
      <c r="R8" s="295">
        <f t="shared" si="9"/>
        <v>0.2820512821</v>
      </c>
      <c r="U8" s="121">
        <v>5.0</v>
      </c>
      <c r="V8">
        <f t="shared" si="10"/>
        <v>41</v>
      </c>
    </row>
    <row r="9">
      <c r="A9" t="s">
        <v>708</v>
      </c>
      <c r="B9" s="287">
        <v>42007.0</v>
      </c>
      <c r="C9" s="288">
        <f t="shared" si="1"/>
        <v>3</v>
      </c>
      <c r="D9" s="289">
        <f t="shared" si="2"/>
        <v>0.09836065574</v>
      </c>
      <c r="E9" s="290">
        <f t="shared" si="3"/>
        <v>1</v>
      </c>
      <c r="F9" s="290" t="s">
        <v>702</v>
      </c>
      <c r="G9" s="291">
        <v>-0.014673699756108105</v>
      </c>
      <c r="H9" s="296">
        <v>-1.0</v>
      </c>
      <c r="I9" s="293">
        <v>0.7</v>
      </c>
      <c r="J9" s="294">
        <v>-8.929531523368553E-5</v>
      </c>
      <c r="L9" s="121">
        <v>8.0</v>
      </c>
      <c r="M9">
        <f t="shared" si="4"/>
        <v>-27</v>
      </c>
      <c r="N9">
        <f t="shared" si="5"/>
        <v>47</v>
      </c>
      <c r="O9" s="121">
        <f t="shared" si="6"/>
        <v>20</v>
      </c>
      <c r="P9" s="295">
        <f t="shared" si="7"/>
        <v>-0.3648648649</v>
      </c>
      <c r="Q9" s="295">
        <f t="shared" si="8"/>
        <v>0.6351351351</v>
      </c>
      <c r="R9" s="295">
        <f t="shared" si="9"/>
        <v>0.2702702703</v>
      </c>
      <c r="U9" s="121">
        <v>10.0</v>
      </c>
      <c r="V9">
        <f t="shared" si="10"/>
        <v>50</v>
      </c>
    </row>
    <row r="10">
      <c r="A10" t="s">
        <v>709</v>
      </c>
      <c r="B10" s="287">
        <v>42373.0</v>
      </c>
      <c r="C10" s="288">
        <f t="shared" si="1"/>
        <v>4</v>
      </c>
      <c r="D10" s="289">
        <f t="shared" si="2"/>
        <v>0.131147541</v>
      </c>
      <c r="E10" s="290">
        <f t="shared" si="3"/>
        <v>1</v>
      </c>
      <c r="F10" s="290" t="s">
        <v>702</v>
      </c>
      <c r="G10" s="291">
        <v>0.01453372823964949</v>
      </c>
      <c r="H10" s="296">
        <v>1.0</v>
      </c>
      <c r="I10" s="293">
        <v>0.8</v>
      </c>
      <c r="J10" s="294">
        <v>-0.004896950338040511</v>
      </c>
      <c r="L10" s="121">
        <v>9.0</v>
      </c>
      <c r="M10">
        <f t="shared" si="4"/>
        <v>-31</v>
      </c>
      <c r="N10">
        <f t="shared" si="5"/>
        <v>47</v>
      </c>
      <c r="O10" s="121">
        <f t="shared" si="6"/>
        <v>16</v>
      </c>
      <c r="P10" s="295">
        <f t="shared" si="7"/>
        <v>-0.3974358974</v>
      </c>
      <c r="Q10" s="295">
        <f t="shared" si="8"/>
        <v>0.6025641026</v>
      </c>
      <c r="R10" s="295">
        <f t="shared" si="9"/>
        <v>0.2051282051</v>
      </c>
      <c r="U10" s="121">
        <v>15.0</v>
      </c>
      <c r="V10">
        <f t="shared" si="10"/>
        <v>59</v>
      </c>
    </row>
    <row r="11">
      <c r="A11" t="s">
        <v>710</v>
      </c>
      <c r="B11" s="287">
        <v>42374.0</v>
      </c>
      <c r="C11" s="288">
        <f t="shared" si="1"/>
        <v>5</v>
      </c>
      <c r="D11" s="289">
        <f t="shared" si="2"/>
        <v>0.1639344262</v>
      </c>
      <c r="E11" s="290">
        <f t="shared" si="3"/>
        <v>1</v>
      </c>
      <c r="F11" s="290" t="s">
        <v>702</v>
      </c>
      <c r="G11" s="291">
        <v>0.01021126865746902</v>
      </c>
      <c r="H11" s="296">
        <v>1.0</v>
      </c>
      <c r="I11" s="293">
        <v>0.9</v>
      </c>
      <c r="J11" s="294">
        <v>0.00845131984920855</v>
      </c>
      <c r="L11" s="121">
        <v>10.0</v>
      </c>
      <c r="M11">
        <f t="shared" si="4"/>
        <v>-31</v>
      </c>
      <c r="N11">
        <f t="shared" si="5"/>
        <v>45</v>
      </c>
      <c r="O11" s="121">
        <f t="shared" si="6"/>
        <v>14</v>
      </c>
      <c r="P11" s="295">
        <f t="shared" si="7"/>
        <v>-0.4078947368</v>
      </c>
      <c r="Q11" s="295">
        <f t="shared" si="8"/>
        <v>0.5921052632</v>
      </c>
      <c r="R11" s="295">
        <f t="shared" si="9"/>
        <v>0.1842105263</v>
      </c>
      <c r="U11" s="121">
        <v>20.0</v>
      </c>
      <c r="V11">
        <f t="shared" si="10"/>
        <v>68</v>
      </c>
    </row>
    <row r="12">
      <c r="A12" t="s">
        <v>573</v>
      </c>
      <c r="B12" s="287">
        <v>42374.0</v>
      </c>
      <c r="C12" s="288">
        <f t="shared" si="1"/>
        <v>5</v>
      </c>
      <c r="D12" s="289">
        <f t="shared" si="2"/>
        <v>0.1639344262</v>
      </c>
      <c r="E12" s="290">
        <f t="shared" si="3"/>
        <v>1</v>
      </c>
      <c r="F12" s="290" t="s">
        <v>702</v>
      </c>
      <c r="G12" s="291">
        <v>-0.014479028873884858</v>
      </c>
      <c r="H12" s="296">
        <v>-1.0</v>
      </c>
      <c r="I12" s="293">
        <v>1.0</v>
      </c>
      <c r="J12" s="294">
        <v>0.00485182081406077</v>
      </c>
      <c r="L12" s="121">
        <v>11.0</v>
      </c>
      <c r="M12">
        <f t="shared" si="4"/>
        <v>-29</v>
      </c>
      <c r="N12">
        <f t="shared" si="5"/>
        <v>23</v>
      </c>
      <c r="O12" s="121">
        <f t="shared" si="6"/>
        <v>-6</v>
      </c>
      <c r="P12" s="295">
        <f t="shared" si="7"/>
        <v>-0.5576923077</v>
      </c>
      <c r="Q12" s="295">
        <f t="shared" si="8"/>
        <v>0.4423076923</v>
      </c>
      <c r="R12" s="295">
        <f t="shared" si="9"/>
        <v>-0.1153846154</v>
      </c>
      <c r="U12" s="121">
        <v>25.0</v>
      </c>
      <c r="V12">
        <f t="shared" si="10"/>
        <v>77</v>
      </c>
    </row>
    <row r="13">
      <c r="A13" t="s">
        <v>711</v>
      </c>
      <c r="B13" s="287">
        <v>42741.0</v>
      </c>
      <c r="C13" s="288">
        <f t="shared" si="1"/>
        <v>6</v>
      </c>
      <c r="D13" s="289">
        <f t="shared" si="2"/>
        <v>0.1967213115</v>
      </c>
      <c r="E13" s="290">
        <f t="shared" si="3"/>
        <v>1</v>
      </c>
      <c r="F13" s="290" t="s">
        <v>702</v>
      </c>
      <c r="G13" s="291">
        <v>0.004138011117555185</v>
      </c>
      <c r="H13" s="296">
        <v>0.0</v>
      </c>
      <c r="I13" s="293">
        <v>1.1</v>
      </c>
      <c r="J13" s="294">
        <v>-0.0028373424822024334</v>
      </c>
      <c r="L13" s="121">
        <v>12.0</v>
      </c>
      <c r="M13">
        <f t="shared" si="4"/>
        <v>-33</v>
      </c>
      <c r="N13">
        <f t="shared" si="5"/>
        <v>24</v>
      </c>
      <c r="O13" s="121">
        <f t="shared" si="6"/>
        <v>-9</v>
      </c>
      <c r="P13" s="295">
        <f t="shared" si="7"/>
        <v>-0.5789473684</v>
      </c>
      <c r="Q13" s="295">
        <f t="shared" si="8"/>
        <v>0.4210526316</v>
      </c>
      <c r="R13" s="295">
        <f t="shared" si="9"/>
        <v>-0.1578947368</v>
      </c>
      <c r="U13" s="121">
        <v>30.0</v>
      </c>
      <c r="V13">
        <f t="shared" si="10"/>
        <v>86</v>
      </c>
    </row>
    <row r="14">
      <c r="A14" t="s">
        <v>712</v>
      </c>
      <c r="B14" s="287">
        <v>42010.0</v>
      </c>
      <c r="C14" s="288">
        <f t="shared" si="1"/>
        <v>6</v>
      </c>
      <c r="D14" s="289">
        <f t="shared" si="2"/>
        <v>0.1967213115</v>
      </c>
      <c r="E14" s="290">
        <f t="shared" si="3"/>
        <v>1</v>
      </c>
      <c r="F14" s="290" t="s">
        <v>702</v>
      </c>
      <c r="G14" s="291">
        <v>0.008740800701268925</v>
      </c>
      <c r="H14" s="296">
        <v>0.0</v>
      </c>
      <c r="I14" s="293">
        <v>1.2</v>
      </c>
      <c r="J14" s="294">
        <v>-0.008729185902691942</v>
      </c>
      <c r="U14" s="121">
        <v>35.0</v>
      </c>
      <c r="V14">
        <f t="shared" si="10"/>
        <v>95</v>
      </c>
    </row>
    <row r="15">
      <c r="A15" t="s">
        <v>713</v>
      </c>
      <c r="B15" s="287">
        <v>42376.0</v>
      </c>
      <c r="C15" s="288">
        <f t="shared" si="1"/>
        <v>7</v>
      </c>
      <c r="D15" s="289">
        <f t="shared" si="2"/>
        <v>0.2295081967</v>
      </c>
      <c r="E15" s="290">
        <f t="shared" si="3"/>
        <v>1</v>
      </c>
      <c r="F15" s="290" t="s">
        <v>702</v>
      </c>
      <c r="G15" s="291">
        <v>-0.011849410949787975</v>
      </c>
      <c r="H15" s="296">
        <v>-1.0</v>
      </c>
      <c r="I15" s="293">
        <v>1.3</v>
      </c>
      <c r="J15" s="294">
        <v>0.010643926828455358</v>
      </c>
      <c r="L15" s="170"/>
      <c r="M15" s="170"/>
      <c r="U15" s="121">
        <v>40.0</v>
      </c>
      <c r="V15">
        <f t="shared" si="10"/>
        <v>104</v>
      </c>
    </row>
    <row r="16">
      <c r="A16" t="s">
        <v>711</v>
      </c>
      <c r="B16" s="287">
        <v>42377.0</v>
      </c>
      <c r="C16" s="288">
        <f t="shared" si="1"/>
        <v>8</v>
      </c>
      <c r="D16" s="289">
        <f t="shared" si="2"/>
        <v>0.262295082</v>
      </c>
      <c r="E16" s="290">
        <f t="shared" si="3"/>
        <v>1</v>
      </c>
      <c r="F16" s="290" t="s">
        <v>702</v>
      </c>
      <c r="G16" s="291">
        <v>-0.022509700574006475</v>
      </c>
      <c r="H16" s="296">
        <v>-1.0</v>
      </c>
      <c r="I16" s="293">
        <v>1.4</v>
      </c>
      <c r="J16" s="294">
        <v>0.014777330570816339</v>
      </c>
      <c r="L16" s="170"/>
      <c r="M16" s="170"/>
    </row>
    <row r="17">
      <c r="A17" t="s">
        <v>714</v>
      </c>
      <c r="B17" s="287">
        <v>42377.0</v>
      </c>
      <c r="C17" s="288">
        <f t="shared" si="1"/>
        <v>8</v>
      </c>
      <c r="D17" s="289">
        <f t="shared" si="2"/>
        <v>0.262295082</v>
      </c>
      <c r="E17" s="290">
        <f t="shared" si="3"/>
        <v>1</v>
      </c>
      <c r="F17" s="290" t="s">
        <v>702</v>
      </c>
      <c r="G17" s="291">
        <v>-0.0013835243170469136</v>
      </c>
      <c r="H17" s="296">
        <v>0.0</v>
      </c>
      <c r="I17" s="293">
        <v>1.5</v>
      </c>
      <c r="J17" s="294">
        <v>-0.008025762892459246</v>
      </c>
      <c r="L17" s="170"/>
      <c r="M17" s="170"/>
    </row>
    <row r="18">
      <c r="A18" t="s">
        <v>715</v>
      </c>
      <c r="B18" s="287">
        <v>42744.0</v>
      </c>
      <c r="C18" s="288">
        <f t="shared" si="1"/>
        <v>9</v>
      </c>
      <c r="D18" s="289">
        <f t="shared" si="2"/>
        <v>0.2950819672</v>
      </c>
      <c r="E18" s="290">
        <f t="shared" si="3"/>
        <v>1</v>
      </c>
      <c r="F18" s="290" t="s">
        <v>702</v>
      </c>
      <c r="G18" s="291">
        <v>0.00895443629071535</v>
      </c>
      <c r="H18" s="296">
        <v>0.0</v>
      </c>
      <c r="I18" s="293">
        <v>1.6</v>
      </c>
      <c r="J18" s="294">
        <v>-0.019087472494655283</v>
      </c>
      <c r="L18" s="170"/>
      <c r="M18" s="170"/>
    </row>
    <row r="19">
      <c r="A19" t="s">
        <v>716</v>
      </c>
      <c r="B19" s="287">
        <v>42745.0</v>
      </c>
      <c r="C19" s="288">
        <f t="shared" si="1"/>
        <v>10</v>
      </c>
      <c r="D19" s="289">
        <f t="shared" si="2"/>
        <v>0.3278688525</v>
      </c>
      <c r="E19" s="290">
        <f t="shared" si="3"/>
        <v>1</v>
      </c>
      <c r="F19" s="290" t="s">
        <v>702</v>
      </c>
      <c r="G19" s="291">
        <v>-0.018395049233028926</v>
      </c>
      <c r="H19" s="296">
        <v>-1.0</v>
      </c>
      <c r="I19" s="293">
        <v>1.7</v>
      </c>
      <c r="J19" s="294">
        <v>-0.008673914787660664</v>
      </c>
      <c r="L19" s="170"/>
      <c r="M19" s="170"/>
    </row>
    <row r="20">
      <c r="A20" t="s">
        <v>717</v>
      </c>
      <c r="B20" s="287">
        <v>42379.0</v>
      </c>
      <c r="C20" s="288">
        <f t="shared" si="1"/>
        <v>10</v>
      </c>
      <c r="D20" s="289">
        <f t="shared" si="2"/>
        <v>0.3278688525</v>
      </c>
      <c r="E20" s="290">
        <f t="shared" si="3"/>
        <v>1</v>
      </c>
      <c r="F20" s="290" t="s">
        <v>702</v>
      </c>
      <c r="G20" s="291">
        <v>0.007756676764636983</v>
      </c>
      <c r="H20" s="296">
        <v>0.0</v>
      </c>
      <c r="I20" s="293">
        <v>1.8</v>
      </c>
      <c r="J20" s="294">
        <v>0.0034071691867375944</v>
      </c>
    </row>
    <row r="21">
      <c r="A21" t="s">
        <v>718</v>
      </c>
      <c r="B21" s="287">
        <v>42379.0</v>
      </c>
      <c r="C21" s="288">
        <f t="shared" si="1"/>
        <v>10</v>
      </c>
      <c r="D21" s="289">
        <f t="shared" si="2"/>
        <v>0.3278688525</v>
      </c>
      <c r="E21" s="290">
        <f t="shared" si="3"/>
        <v>1</v>
      </c>
      <c r="F21" s="290" t="s">
        <v>702</v>
      </c>
      <c r="G21" s="291">
        <v>-0.0029279846457115344</v>
      </c>
      <c r="H21" s="296">
        <v>0.0</v>
      </c>
      <c r="I21" s="293">
        <v>1.9</v>
      </c>
      <c r="J21" s="294">
        <v>-0.016554297895061763</v>
      </c>
    </row>
    <row r="22">
      <c r="A22" t="s">
        <v>719</v>
      </c>
      <c r="B22" s="287">
        <v>42381.0</v>
      </c>
      <c r="C22" s="288">
        <f t="shared" si="1"/>
        <v>12</v>
      </c>
      <c r="D22" s="289">
        <f t="shared" si="2"/>
        <v>0.393442623</v>
      </c>
      <c r="E22" s="290">
        <f t="shared" si="3"/>
        <v>1</v>
      </c>
      <c r="F22" s="290" t="s">
        <v>702</v>
      </c>
      <c r="G22" s="291">
        <v>-0.010730421845065674</v>
      </c>
      <c r="H22" s="296">
        <v>-1.0</v>
      </c>
      <c r="I22" s="293">
        <v>2.0</v>
      </c>
      <c r="J22" s="294">
        <v>0.01065851211063592</v>
      </c>
    </row>
    <row r="23">
      <c r="A23" t="s">
        <v>720</v>
      </c>
      <c r="B23" s="287">
        <v>42382.0</v>
      </c>
      <c r="C23" s="288">
        <f t="shared" si="1"/>
        <v>13</v>
      </c>
      <c r="D23" s="289">
        <f t="shared" si="2"/>
        <v>0.4262295082</v>
      </c>
      <c r="E23" s="290">
        <f t="shared" si="3"/>
        <v>1</v>
      </c>
      <c r="F23" s="290" t="s">
        <v>702</v>
      </c>
      <c r="G23" s="291">
        <v>-0.02044855004545776</v>
      </c>
      <c r="H23" s="296">
        <v>-1.0</v>
      </c>
      <c r="I23" s="293">
        <v>2.1</v>
      </c>
      <c r="J23" s="294">
        <v>-0.006296802868570779</v>
      </c>
    </row>
    <row r="24">
      <c r="A24" t="s">
        <v>721</v>
      </c>
      <c r="B24" s="287">
        <v>42749.0</v>
      </c>
      <c r="C24" s="288">
        <f t="shared" si="1"/>
        <v>14</v>
      </c>
      <c r="D24" s="289">
        <f t="shared" si="2"/>
        <v>0.4590163934</v>
      </c>
      <c r="E24" s="290">
        <f t="shared" si="3"/>
        <v>1</v>
      </c>
      <c r="F24" s="290" t="s">
        <v>702</v>
      </c>
      <c r="G24" s="291">
        <v>0.009469960843395908</v>
      </c>
      <c r="H24" s="296">
        <v>0.0</v>
      </c>
      <c r="I24" s="293">
        <v>2.2</v>
      </c>
      <c r="J24" s="294">
        <v>-0.0046081147327752415</v>
      </c>
    </row>
    <row r="25">
      <c r="A25" t="s">
        <v>722</v>
      </c>
      <c r="B25" s="287">
        <v>42383.0</v>
      </c>
      <c r="C25" s="288">
        <f t="shared" si="1"/>
        <v>14</v>
      </c>
      <c r="D25" s="289">
        <f t="shared" si="2"/>
        <v>0.4590163934</v>
      </c>
      <c r="E25" s="290">
        <f t="shared" si="3"/>
        <v>1</v>
      </c>
      <c r="F25" s="290" t="s">
        <v>702</v>
      </c>
      <c r="G25" s="291">
        <v>-0.03309570230722114</v>
      </c>
      <c r="H25" s="296">
        <v>-1.0</v>
      </c>
      <c r="I25" s="293">
        <v>2.3</v>
      </c>
      <c r="J25" s="294">
        <v>-0.008390094184442764</v>
      </c>
    </row>
    <row r="26">
      <c r="A26" t="s">
        <v>723</v>
      </c>
      <c r="B26" s="287">
        <v>42383.0</v>
      </c>
      <c r="C26" s="288">
        <f t="shared" si="1"/>
        <v>14</v>
      </c>
      <c r="D26" s="289">
        <f t="shared" si="2"/>
        <v>0.4590163934</v>
      </c>
      <c r="E26" s="290">
        <f t="shared" si="3"/>
        <v>1</v>
      </c>
      <c r="F26" s="290" t="s">
        <v>702</v>
      </c>
      <c r="G26" s="291">
        <v>0.013759336566395053</v>
      </c>
      <c r="H26" s="296">
        <v>1.0</v>
      </c>
      <c r="I26" s="293">
        <v>2.4</v>
      </c>
      <c r="J26" s="294">
        <v>0.016919648786013874</v>
      </c>
    </row>
    <row r="27">
      <c r="A27" t="s">
        <v>724</v>
      </c>
      <c r="B27" s="287">
        <v>42019.0</v>
      </c>
      <c r="C27" s="288">
        <f t="shared" si="1"/>
        <v>15</v>
      </c>
      <c r="D27" s="289">
        <f t="shared" si="2"/>
        <v>0.4918032787</v>
      </c>
      <c r="E27" s="290">
        <f t="shared" si="3"/>
        <v>1</v>
      </c>
      <c r="F27" s="290" t="s">
        <v>702</v>
      </c>
      <c r="G27" s="291">
        <v>0.0066809615500906805</v>
      </c>
      <c r="H27" s="296">
        <v>0.0</v>
      </c>
      <c r="I27" s="293">
        <v>2.5</v>
      </c>
      <c r="J27" s="294">
        <v>-0.0015505456049355842</v>
      </c>
    </row>
    <row r="28">
      <c r="A28" t="s">
        <v>725</v>
      </c>
      <c r="B28" s="287">
        <v>42019.0</v>
      </c>
      <c r="C28" s="288">
        <f t="shared" si="1"/>
        <v>15</v>
      </c>
      <c r="D28" s="289">
        <f t="shared" si="2"/>
        <v>0.4918032787</v>
      </c>
      <c r="E28" s="290">
        <f t="shared" si="3"/>
        <v>1</v>
      </c>
      <c r="F28" s="290" t="s">
        <v>702</v>
      </c>
      <c r="G28" s="291">
        <v>0.0019204906041150327</v>
      </c>
      <c r="H28" s="296">
        <v>0.0</v>
      </c>
      <c r="I28" s="293">
        <v>2.6</v>
      </c>
      <c r="J28" s="294">
        <v>-0.003202259651197907</v>
      </c>
    </row>
    <row r="29">
      <c r="A29" t="s">
        <v>726</v>
      </c>
      <c r="B29" s="287">
        <v>42019.0</v>
      </c>
      <c r="C29" s="288">
        <f t="shared" si="1"/>
        <v>15</v>
      </c>
      <c r="D29" s="289">
        <f t="shared" si="2"/>
        <v>0.4918032787</v>
      </c>
      <c r="E29" s="290">
        <f t="shared" si="3"/>
        <v>1</v>
      </c>
      <c r="F29" s="290" t="s">
        <v>702</v>
      </c>
      <c r="G29" s="291">
        <v>0.0024152016705356605</v>
      </c>
      <c r="H29" s="296">
        <v>0.0</v>
      </c>
      <c r="I29" s="293">
        <v>2.7</v>
      </c>
      <c r="J29" s="294">
        <v>-0.006783126181157395</v>
      </c>
    </row>
    <row r="30">
      <c r="A30" t="s">
        <v>727</v>
      </c>
      <c r="B30" s="287">
        <v>42019.0</v>
      </c>
      <c r="C30" s="288">
        <f t="shared" si="1"/>
        <v>15</v>
      </c>
      <c r="D30" s="289">
        <f t="shared" si="2"/>
        <v>0.4918032787</v>
      </c>
      <c r="E30" s="290">
        <f t="shared" si="3"/>
        <v>1</v>
      </c>
      <c r="F30" s="290" t="s">
        <v>702</v>
      </c>
      <c r="G30" s="291">
        <v>3.0017122642067573E-4</v>
      </c>
      <c r="H30" s="296">
        <v>0.0</v>
      </c>
      <c r="I30" s="293">
        <v>2.8</v>
      </c>
      <c r="J30" s="294">
        <v>0.004997723021162353</v>
      </c>
    </row>
    <row r="31">
      <c r="A31" t="s">
        <v>728</v>
      </c>
      <c r="B31" s="287">
        <v>42019.0</v>
      </c>
      <c r="C31" s="288">
        <f t="shared" si="1"/>
        <v>15</v>
      </c>
      <c r="D31" s="289">
        <f t="shared" si="2"/>
        <v>0.4918032787</v>
      </c>
      <c r="E31" s="290">
        <f t="shared" si="3"/>
        <v>1</v>
      </c>
      <c r="F31" s="290" t="s">
        <v>702</v>
      </c>
      <c r="G31" s="291">
        <v>-0.002092820769940662</v>
      </c>
      <c r="H31" s="296">
        <v>0.0</v>
      </c>
      <c r="I31" s="293">
        <v>2.9</v>
      </c>
      <c r="J31" s="294">
        <v>-0.005631254526590698</v>
      </c>
      <c r="L31" s="121">
        <v>1.0</v>
      </c>
      <c r="M31" s="121" t="s">
        <v>702</v>
      </c>
    </row>
    <row r="32">
      <c r="A32" t="s">
        <v>713</v>
      </c>
      <c r="B32" s="287">
        <v>42019.0</v>
      </c>
      <c r="C32" s="288">
        <f t="shared" si="1"/>
        <v>15</v>
      </c>
      <c r="D32" s="289">
        <f t="shared" si="2"/>
        <v>0.4918032787</v>
      </c>
      <c r="E32" s="290">
        <f t="shared" si="3"/>
        <v>1</v>
      </c>
      <c r="F32" s="290" t="s">
        <v>702</v>
      </c>
      <c r="G32" s="291">
        <v>0.012130312891226236</v>
      </c>
      <c r="H32" s="296">
        <v>1.0</v>
      </c>
      <c r="I32" s="293">
        <v>3.0</v>
      </c>
      <c r="J32" s="294">
        <v>0.002911294997062841</v>
      </c>
      <c r="L32" s="121">
        <v>2.0</v>
      </c>
      <c r="M32" s="121" t="s">
        <v>729</v>
      </c>
    </row>
    <row r="33">
      <c r="A33" t="s">
        <v>719</v>
      </c>
      <c r="B33" s="287">
        <v>42019.0</v>
      </c>
      <c r="C33" s="288">
        <f t="shared" si="1"/>
        <v>15</v>
      </c>
      <c r="D33" s="289">
        <f t="shared" si="2"/>
        <v>0.4918032787</v>
      </c>
      <c r="E33" s="290">
        <f t="shared" si="3"/>
        <v>1</v>
      </c>
      <c r="F33" s="290" t="s">
        <v>702</v>
      </c>
      <c r="G33" s="291">
        <v>-0.006028635557835282</v>
      </c>
      <c r="H33" s="296">
        <v>0.0</v>
      </c>
      <c r="I33" s="293">
        <v>3.1</v>
      </c>
      <c r="J33" s="294">
        <v>-0.008830330275224308</v>
      </c>
      <c r="L33" s="121">
        <v>3.0</v>
      </c>
      <c r="M33" s="121" t="s">
        <v>730</v>
      </c>
    </row>
    <row r="34">
      <c r="A34" t="s">
        <v>731</v>
      </c>
      <c r="B34" s="287">
        <v>42019.0</v>
      </c>
      <c r="C34" s="288">
        <f t="shared" si="1"/>
        <v>15</v>
      </c>
      <c r="D34" s="289">
        <f t="shared" si="2"/>
        <v>0.4918032787</v>
      </c>
      <c r="E34" s="290">
        <f t="shared" si="3"/>
        <v>1</v>
      </c>
      <c r="F34" s="290" t="s">
        <v>702</v>
      </c>
      <c r="G34" s="291">
        <v>-0.006467756634166322</v>
      </c>
      <c r="H34" s="296">
        <v>0.0</v>
      </c>
      <c r="I34" s="293">
        <v>3.2</v>
      </c>
      <c r="J34" s="294">
        <v>0.0019207887491584394</v>
      </c>
      <c r="L34" s="121">
        <v>4.0</v>
      </c>
      <c r="M34" s="121" t="s">
        <v>732</v>
      </c>
    </row>
    <row r="35">
      <c r="A35" t="s">
        <v>214</v>
      </c>
      <c r="B35" s="287">
        <v>42751.0</v>
      </c>
      <c r="C35" s="288">
        <f t="shared" si="1"/>
        <v>16</v>
      </c>
      <c r="D35" s="289">
        <f t="shared" si="2"/>
        <v>0.5245901639</v>
      </c>
      <c r="E35" s="290">
        <f t="shared" si="3"/>
        <v>1</v>
      </c>
      <c r="F35" s="290" t="s">
        <v>702</v>
      </c>
      <c r="G35" s="291">
        <v>1.85487368706716E-4</v>
      </c>
      <c r="H35" s="296">
        <v>0.0</v>
      </c>
      <c r="I35" s="293">
        <v>3.3</v>
      </c>
      <c r="J35" s="294">
        <v>-0.004835479699093402</v>
      </c>
      <c r="L35" s="121">
        <v>5.0</v>
      </c>
      <c r="M35" s="121" t="s">
        <v>733</v>
      </c>
    </row>
    <row r="36">
      <c r="A36" t="s">
        <v>734</v>
      </c>
      <c r="B36" s="287">
        <v>42751.0</v>
      </c>
      <c r="C36" s="288">
        <f t="shared" si="1"/>
        <v>16</v>
      </c>
      <c r="D36" s="289">
        <f t="shared" si="2"/>
        <v>0.5245901639</v>
      </c>
      <c r="E36" s="290">
        <f t="shared" si="3"/>
        <v>1</v>
      </c>
      <c r="F36" s="290" t="s">
        <v>702</v>
      </c>
      <c r="G36" s="291">
        <v>-0.006399615529724012</v>
      </c>
      <c r="H36" s="296">
        <v>0.0</v>
      </c>
      <c r="I36" s="293">
        <v>3.4</v>
      </c>
      <c r="J36" s="294">
        <v>0.005423341496827536</v>
      </c>
      <c r="L36" s="121">
        <v>6.0</v>
      </c>
      <c r="M36" s="121" t="s">
        <v>735</v>
      </c>
    </row>
    <row r="37">
      <c r="A37" t="s">
        <v>427</v>
      </c>
      <c r="B37" s="287">
        <v>42020.0</v>
      </c>
      <c r="C37" s="288">
        <f t="shared" si="1"/>
        <v>16</v>
      </c>
      <c r="D37" s="289">
        <f t="shared" si="2"/>
        <v>0.5245901639</v>
      </c>
      <c r="E37" s="290">
        <f t="shared" si="3"/>
        <v>1</v>
      </c>
      <c r="F37" s="290" t="s">
        <v>702</v>
      </c>
      <c r="G37" s="291">
        <v>-0.007900371891537694</v>
      </c>
      <c r="H37" s="296">
        <v>0.0</v>
      </c>
      <c r="I37" s="293">
        <v>3.5</v>
      </c>
      <c r="J37" s="294">
        <v>3.0444954030965643E-4</v>
      </c>
      <c r="L37" s="121">
        <v>7.0</v>
      </c>
      <c r="M37" s="121" t="s">
        <v>238</v>
      </c>
    </row>
    <row r="38">
      <c r="A38" t="s">
        <v>727</v>
      </c>
      <c r="B38" s="287">
        <v>42020.0</v>
      </c>
      <c r="C38" s="288">
        <f t="shared" si="1"/>
        <v>16</v>
      </c>
      <c r="D38" s="289">
        <f t="shared" si="2"/>
        <v>0.5245901639</v>
      </c>
      <c r="E38" s="290">
        <f t="shared" si="3"/>
        <v>1</v>
      </c>
      <c r="F38" s="290" t="s">
        <v>702</v>
      </c>
      <c r="G38" s="291">
        <v>3.201567083558343E-4</v>
      </c>
      <c r="H38" s="296">
        <v>0.0</v>
      </c>
      <c r="I38" s="293">
        <v>3.6</v>
      </c>
      <c r="J38" s="294">
        <v>-2.4632679541858327E-4</v>
      </c>
      <c r="L38" s="121">
        <v>8.0</v>
      </c>
      <c r="M38" s="121" t="s">
        <v>736</v>
      </c>
    </row>
    <row r="39">
      <c r="A39" t="s">
        <v>737</v>
      </c>
      <c r="B39" s="287">
        <v>42020.0</v>
      </c>
      <c r="C39" s="288">
        <f t="shared" si="1"/>
        <v>16</v>
      </c>
      <c r="D39" s="289">
        <f t="shared" si="2"/>
        <v>0.5245901639</v>
      </c>
      <c r="E39" s="290">
        <f t="shared" si="3"/>
        <v>1</v>
      </c>
      <c r="F39" s="290" t="s">
        <v>702</v>
      </c>
      <c r="G39" s="291">
        <v>-0.0253862519609811</v>
      </c>
      <c r="H39" s="296">
        <v>-1.0</v>
      </c>
      <c r="I39" s="293">
        <v>3.7</v>
      </c>
      <c r="J39" s="294">
        <v>-0.0027886343258622425</v>
      </c>
      <c r="L39" s="121">
        <v>9.0</v>
      </c>
      <c r="M39" s="121" t="s">
        <v>738</v>
      </c>
    </row>
    <row r="40">
      <c r="A40" t="s">
        <v>427</v>
      </c>
      <c r="B40" s="287">
        <v>42752.0</v>
      </c>
      <c r="C40" s="288">
        <f t="shared" si="1"/>
        <v>17</v>
      </c>
      <c r="D40" s="289">
        <f t="shared" si="2"/>
        <v>0.5573770492</v>
      </c>
      <c r="E40" s="290">
        <f t="shared" si="3"/>
        <v>1</v>
      </c>
      <c r="F40" s="290" t="s">
        <v>702</v>
      </c>
      <c r="G40" s="291">
        <v>-0.02054101670431774</v>
      </c>
      <c r="H40" s="296">
        <v>-1.0</v>
      </c>
      <c r="I40" s="293">
        <v>3.8</v>
      </c>
      <c r="J40" s="294">
        <v>0.0066853068562669204</v>
      </c>
      <c r="L40" s="121">
        <v>10.0</v>
      </c>
      <c r="M40" s="121" t="s">
        <v>739</v>
      </c>
    </row>
    <row r="41">
      <c r="A41" t="s">
        <v>740</v>
      </c>
      <c r="B41" s="287">
        <v>42021.0</v>
      </c>
      <c r="C41" s="288">
        <f t="shared" si="1"/>
        <v>17</v>
      </c>
      <c r="D41" s="289">
        <f t="shared" si="2"/>
        <v>0.5573770492</v>
      </c>
      <c r="E41" s="290">
        <f t="shared" si="3"/>
        <v>1</v>
      </c>
      <c r="F41" s="290" t="s">
        <v>702</v>
      </c>
      <c r="G41" s="291">
        <v>0.0016128531953307768</v>
      </c>
      <c r="H41" s="296">
        <v>0.0</v>
      </c>
      <c r="I41" s="293">
        <v>3.9</v>
      </c>
      <c r="J41" s="294">
        <v>-0.001415257235185969</v>
      </c>
      <c r="L41" s="121">
        <v>11.0</v>
      </c>
      <c r="M41" s="121" t="s">
        <v>741</v>
      </c>
    </row>
    <row r="42">
      <c r="A42" t="s">
        <v>742</v>
      </c>
      <c r="B42" s="287">
        <v>42021.0</v>
      </c>
      <c r="C42" s="288">
        <f t="shared" si="1"/>
        <v>17</v>
      </c>
      <c r="D42" s="289">
        <f t="shared" si="2"/>
        <v>0.5573770492</v>
      </c>
      <c r="E42" s="290">
        <f t="shared" si="3"/>
        <v>1</v>
      </c>
      <c r="F42" s="290" t="s">
        <v>702</v>
      </c>
      <c r="G42" s="291">
        <v>0.014017164415202066</v>
      </c>
      <c r="H42" s="296">
        <v>1.0</v>
      </c>
      <c r="I42" s="293">
        <v>4.0</v>
      </c>
      <c r="J42" s="294">
        <v>0.007426375173559112</v>
      </c>
      <c r="L42" s="121">
        <v>12.0</v>
      </c>
      <c r="M42" s="121" t="s">
        <v>743</v>
      </c>
    </row>
    <row r="43">
      <c r="A43" t="s">
        <v>709</v>
      </c>
      <c r="B43" s="287">
        <v>42022.0</v>
      </c>
      <c r="C43" s="288">
        <f t="shared" si="1"/>
        <v>18</v>
      </c>
      <c r="D43" s="289">
        <f t="shared" si="2"/>
        <v>0.5901639344</v>
      </c>
      <c r="E43" s="290">
        <f t="shared" si="3"/>
        <v>1</v>
      </c>
      <c r="F43" s="290" t="s">
        <v>702</v>
      </c>
      <c r="G43" s="291">
        <v>0.005162457986066404</v>
      </c>
      <c r="H43" s="296">
        <v>0.0</v>
      </c>
      <c r="I43" s="293">
        <v>4.1</v>
      </c>
      <c r="J43" s="294">
        <v>0.006864997730735301</v>
      </c>
    </row>
    <row r="44">
      <c r="A44" t="s">
        <v>744</v>
      </c>
      <c r="B44" s="287">
        <v>42022.0</v>
      </c>
      <c r="C44" s="288">
        <f t="shared" si="1"/>
        <v>18</v>
      </c>
      <c r="D44" s="289">
        <f t="shared" si="2"/>
        <v>0.5901639344</v>
      </c>
      <c r="E44" s="290">
        <f t="shared" si="3"/>
        <v>1</v>
      </c>
      <c r="F44" s="290" t="s">
        <v>702</v>
      </c>
      <c r="G44" s="291">
        <v>0.005842836733478407</v>
      </c>
      <c r="H44" s="296">
        <v>0.0</v>
      </c>
      <c r="I44" s="293">
        <v>4.2</v>
      </c>
      <c r="J44" s="294">
        <v>-0.0025176536085063372</v>
      </c>
    </row>
    <row r="45">
      <c r="A45" t="s">
        <v>745</v>
      </c>
      <c r="B45" s="287">
        <v>42754.0</v>
      </c>
      <c r="C45" s="288">
        <f t="shared" si="1"/>
        <v>19</v>
      </c>
      <c r="D45" s="289">
        <f t="shared" si="2"/>
        <v>0.6229508197</v>
      </c>
      <c r="E45" s="290">
        <f t="shared" si="3"/>
        <v>1</v>
      </c>
      <c r="F45" s="290" t="s">
        <v>702</v>
      </c>
      <c r="G45" s="291">
        <v>-0.004100241354614509</v>
      </c>
      <c r="H45" s="296">
        <v>0.0</v>
      </c>
      <c r="I45" s="293">
        <v>4.3</v>
      </c>
      <c r="J45" s="294">
        <v>0.007435351555670572</v>
      </c>
    </row>
    <row r="46">
      <c r="A46" t="s">
        <v>746</v>
      </c>
      <c r="B46" s="287">
        <v>42023.0</v>
      </c>
      <c r="C46" s="288">
        <f t="shared" si="1"/>
        <v>19</v>
      </c>
      <c r="D46" s="289">
        <f t="shared" si="2"/>
        <v>0.6229508197</v>
      </c>
      <c r="E46" s="290">
        <f t="shared" si="3"/>
        <v>1</v>
      </c>
      <c r="F46" s="290" t="s">
        <v>702</v>
      </c>
      <c r="G46" s="291">
        <v>0.0051308952923988516</v>
      </c>
      <c r="H46" s="296">
        <v>0.0</v>
      </c>
      <c r="I46" s="293">
        <v>4.4</v>
      </c>
      <c r="J46" s="294">
        <v>-0.0014440114394279834</v>
      </c>
    </row>
    <row r="47">
      <c r="A47" t="s">
        <v>747</v>
      </c>
      <c r="B47" s="287">
        <v>42023.0</v>
      </c>
      <c r="C47" s="288">
        <f t="shared" si="1"/>
        <v>19</v>
      </c>
      <c r="D47" s="289">
        <f t="shared" si="2"/>
        <v>0.6229508197</v>
      </c>
      <c r="E47" s="290">
        <f t="shared" si="3"/>
        <v>1</v>
      </c>
      <c r="F47" s="290" t="s">
        <v>702</v>
      </c>
      <c r="G47" s="291">
        <v>-0.007149933725408508</v>
      </c>
      <c r="H47" s="296">
        <v>0.0</v>
      </c>
      <c r="I47" s="293">
        <v>4.5</v>
      </c>
      <c r="J47" s="294">
        <v>0.004588084694455275</v>
      </c>
    </row>
    <row r="48">
      <c r="A48" t="s">
        <v>427</v>
      </c>
      <c r="B48" s="287">
        <v>42389.0</v>
      </c>
      <c r="C48" s="288">
        <f t="shared" si="1"/>
        <v>20</v>
      </c>
      <c r="D48" s="289">
        <f t="shared" si="2"/>
        <v>0.6557377049</v>
      </c>
      <c r="E48" s="290">
        <f t="shared" si="3"/>
        <v>1</v>
      </c>
      <c r="F48" s="290" t="s">
        <v>702</v>
      </c>
      <c r="G48" s="291">
        <v>-0.033110703348474546</v>
      </c>
      <c r="H48" s="296">
        <v>-1.0</v>
      </c>
      <c r="I48" s="293">
        <v>4.6</v>
      </c>
      <c r="J48" s="294">
        <v>0.0069860652180872345</v>
      </c>
    </row>
    <row r="49">
      <c r="A49" t="s">
        <v>748</v>
      </c>
      <c r="B49" s="287">
        <v>42024.0</v>
      </c>
      <c r="C49" s="288">
        <f t="shared" si="1"/>
        <v>20</v>
      </c>
      <c r="D49" s="289">
        <f t="shared" si="2"/>
        <v>0.6557377049</v>
      </c>
      <c r="E49" s="290">
        <f t="shared" si="3"/>
        <v>1</v>
      </c>
      <c r="F49" s="290" t="s">
        <v>702</v>
      </c>
      <c r="G49" s="291">
        <v>0.004364511992775877</v>
      </c>
      <c r="H49" s="296">
        <v>0.0</v>
      </c>
      <c r="I49" s="293">
        <v>4.7</v>
      </c>
      <c r="J49" s="294">
        <v>-6.669220566219674E-5</v>
      </c>
    </row>
    <row r="50">
      <c r="A50" t="s">
        <v>749</v>
      </c>
      <c r="B50" s="287">
        <v>42024.0</v>
      </c>
      <c r="C50" s="288">
        <f t="shared" si="1"/>
        <v>20</v>
      </c>
      <c r="D50" s="289">
        <f t="shared" si="2"/>
        <v>0.6557377049</v>
      </c>
      <c r="E50" s="290">
        <f t="shared" si="3"/>
        <v>1</v>
      </c>
      <c r="F50" s="290" t="s">
        <v>702</v>
      </c>
      <c r="G50" s="291">
        <v>0.00439276024529911</v>
      </c>
      <c r="H50" s="296">
        <v>0.0</v>
      </c>
      <c r="I50" s="293">
        <v>4.8</v>
      </c>
      <c r="J50" s="294">
        <v>0.006976460759250913</v>
      </c>
    </row>
    <row r="51">
      <c r="A51" t="s">
        <v>700</v>
      </c>
      <c r="B51" s="287">
        <v>42756.0</v>
      </c>
      <c r="C51" s="288">
        <f t="shared" si="1"/>
        <v>21</v>
      </c>
      <c r="D51" s="289">
        <f t="shared" si="2"/>
        <v>0.6885245902</v>
      </c>
      <c r="E51" s="290">
        <f t="shared" si="3"/>
        <v>1</v>
      </c>
      <c r="F51" s="290" t="s">
        <v>702</v>
      </c>
      <c r="G51" s="291">
        <v>0.012009875797310055</v>
      </c>
      <c r="H51" s="296">
        <v>1.0</v>
      </c>
      <c r="I51" s="293">
        <v>4.9</v>
      </c>
      <c r="J51" s="294">
        <v>-0.006389573379920928</v>
      </c>
    </row>
    <row r="52">
      <c r="A52" t="s">
        <v>750</v>
      </c>
      <c r="B52" s="287">
        <v>42025.0</v>
      </c>
      <c r="C52" s="288">
        <f t="shared" si="1"/>
        <v>21</v>
      </c>
      <c r="D52" s="289">
        <f t="shared" si="2"/>
        <v>0.6885245902</v>
      </c>
      <c r="E52" s="290">
        <f t="shared" si="3"/>
        <v>1</v>
      </c>
      <c r="F52" s="290" t="s">
        <v>702</v>
      </c>
      <c r="G52" s="291">
        <v>-0.0011704213913387163</v>
      </c>
      <c r="H52" s="296">
        <v>0.0</v>
      </c>
      <c r="I52" s="293">
        <v>5.0</v>
      </c>
      <c r="J52" s="294">
        <v>0.0016223430886161008</v>
      </c>
    </row>
    <row r="53">
      <c r="A53" t="s">
        <v>742</v>
      </c>
      <c r="B53" s="287">
        <v>42026.0</v>
      </c>
      <c r="C53" s="288">
        <f t="shared" si="1"/>
        <v>22</v>
      </c>
      <c r="D53" s="289">
        <f t="shared" si="2"/>
        <v>0.7213114754</v>
      </c>
      <c r="E53" s="290">
        <f t="shared" si="3"/>
        <v>1</v>
      </c>
      <c r="F53" s="290" t="s">
        <v>702</v>
      </c>
      <c r="G53" s="291">
        <v>0.012961742826627765</v>
      </c>
      <c r="H53" s="296">
        <v>1.0</v>
      </c>
      <c r="I53" s="293">
        <v>5.1</v>
      </c>
      <c r="J53" s="294">
        <v>-0.00606678784014375</v>
      </c>
    </row>
    <row r="54">
      <c r="A54" t="s">
        <v>751</v>
      </c>
      <c r="B54" s="287">
        <v>42026.0</v>
      </c>
      <c r="C54" s="288">
        <f t="shared" si="1"/>
        <v>22</v>
      </c>
      <c r="D54" s="289">
        <f t="shared" si="2"/>
        <v>0.7213114754</v>
      </c>
      <c r="E54" s="290">
        <f t="shared" si="3"/>
        <v>1</v>
      </c>
      <c r="F54" s="290" t="s">
        <v>702</v>
      </c>
      <c r="G54" s="291">
        <v>-7.283332883534221E-5</v>
      </c>
      <c r="H54" s="296">
        <v>0.0</v>
      </c>
      <c r="I54" s="293">
        <v>5.2</v>
      </c>
      <c r="J54" s="294">
        <v>-0.011247049187805877</v>
      </c>
    </row>
    <row r="55">
      <c r="A55" t="s">
        <v>709</v>
      </c>
      <c r="B55" s="287">
        <v>42393.0</v>
      </c>
      <c r="C55" s="288">
        <f t="shared" si="1"/>
        <v>24</v>
      </c>
      <c r="D55" s="289">
        <f t="shared" si="2"/>
        <v>0.7868852459</v>
      </c>
      <c r="E55" s="290">
        <f t="shared" si="3"/>
        <v>1</v>
      </c>
      <c r="F55" s="290" t="s">
        <v>702</v>
      </c>
      <c r="G55" s="291">
        <v>0.017690924788672957</v>
      </c>
      <c r="H55" s="296">
        <v>1.0</v>
      </c>
      <c r="I55" s="293">
        <v>5.3</v>
      </c>
      <c r="J55" s="294">
        <v>0.009890532712804115</v>
      </c>
    </row>
    <row r="56">
      <c r="A56" t="s">
        <v>752</v>
      </c>
      <c r="B56" s="287">
        <v>42393.0</v>
      </c>
      <c r="C56" s="288">
        <f t="shared" si="1"/>
        <v>24</v>
      </c>
      <c r="D56" s="289">
        <f t="shared" si="2"/>
        <v>0.7868852459</v>
      </c>
      <c r="E56" s="290">
        <f t="shared" si="3"/>
        <v>1</v>
      </c>
      <c r="F56" s="290" t="s">
        <v>702</v>
      </c>
      <c r="G56" s="291">
        <v>0.004523905175750742</v>
      </c>
      <c r="H56" s="296">
        <v>0.0</v>
      </c>
      <c r="I56" s="293">
        <v>5.4</v>
      </c>
      <c r="J56" s="294">
        <v>-0.007205921544870823</v>
      </c>
    </row>
    <row r="57">
      <c r="A57" t="s">
        <v>753</v>
      </c>
      <c r="B57" s="287">
        <v>42393.0</v>
      </c>
      <c r="C57" s="288">
        <f t="shared" si="1"/>
        <v>24</v>
      </c>
      <c r="D57" s="289">
        <f t="shared" si="2"/>
        <v>0.7868852459</v>
      </c>
      <c r="E57" s="290">
        <f t="shared" si="3"/>
        <v>1</v>
      </c>
      <c r="F57" s="290" t="s">
        <v>702</v>
      </c>
      <c r="G57" s="291">
        <v>-0.0034306867139919373</v>
      </c>
      <c r="H57" s="296">
        <v>0.0</v>
      </c>
      <c r="I57" s="293">
        <v>5.5</v>
      </c>
      <c r="J57" s="294">
        <v>0.009647910011459945</v>
      </c>
    </row>
    <row r="58">
      <c r="A58" t="s">
        <v>754</v>
      </c>
      <c r="B58" s="287">
        <v>42028.0</v>
      </c>
      <c r="C58" s="288">
        <f t="shared" si="1"/>
        <v>24</v>
      </c>
      <c r="D58" s="289">
        <f t="shared" si="2"/>
        <v>0.7868852459</v>
      </c>
      <c r="E58" s="290">
        <f t="shared" si="3"/>
        <v>1</v>
      </c>
      <c r="F58" s="290" t="s">
        <v>702</v>
      </c>
      <c r="G58" s="291">
        <v>0.007057466892140374</v>
      </c>
      <c r="H58" s="296">
        <v>0.0</v>
      </c>
      <c r="I58" s="293">
        <v>5.6</v>
      </c>
      <c r="J58" s="294">
        <v>0.010238224419041621</v>
      </c>
    </row>
    <row r="59">
      <c r="A59" t="s">
        <v>755</v>
      </c>
      <c r="B59" s="287">
        <v>42394.0</v>
      </c>
      <c r="C59" s="288">
        <f t="shared" si="1"/>
        <v>25</v>
      </c>
      <c r="D59" s="289">
        <f t="shared" si="2"/>
        <v>0.8196721311</v>
      </c>
      <c r="E59" s="290">
        <f t="shared" si="3"/>
        <v>1</v>
      </c>
      <c r="F59" s="290" t="s">
        <v>702</v>
      </c>
      <c r="G59" s="291">
        <v>-0.04521232304555989</v>
      </c>
      <c r="H59" s="296">
        <v>-1.0</v>
      </c>
      <c r="I59" s="293">
        <v>5.7</v>
      </c>
      <c r="J59" s="294">
        <v>0.010276267962011738</v>
      </c>
    </row>
    <row r="60">
      <c r="A60" t="s">
        <v>756</v>
      </c>
      <c r="B60" s="287">
        <v>42029.0</v>
      </c>
      <c r="C60" s="288">
        <f t="shared" si="1"/>
        <v>25</v>
      </c>
      <c r="D60" s="289">
        <f t="shared" si="2"/>
        <v>0.8196721311</v>
      </c>
      <c r="E60" s="290">
        <f t="shared" si="3"/>
        <v>1</v>
      </c>
      <c r="F60" s="290" t="s">
        <v>702</v>
      </c>
      <c r="G60" s="291">
        <v>-0.01177042139133877</v>
      </c>
      <c r="H60" s="296">
        <v>-1.0</v>
      </c>
      <c r="I60" s="293">
        <v>5.8</v>
      </c>
      <c r="J60" s="294">
        <v>-0.006016526506990361</v>
      </c>
    </row>
    <row r="61">
      <c r="A61" t="s">
        <v>731</v>
      </c>
      <c r="B61" s="287">
        <v>42029.0</v>
      </c>
      <c r="C61" s="288">
        <f t="shared" si="1"/>
        <v>25</v>
      </c>
      <c r="D61" s="289">
        <f t="shared" si="2"/>
        <v>0.8196721311</v>
      </c>
      <c r="E61" s="290">
        <f t="shared" si="3"/>
        <v>1</v>
      </c>
      <c r="F61" s="290" t="s">
        <v>702</v>
      </c>
      <c r="G61" s="291">
        <v>-0.0031375180719570572</v>
      </c>
      <c r="H61" s="296">
        <v>0.0</v>
      </c>
      <c r="I61" s="293">
        <v>5.9</v>
      </c>
      <c r="J61" s="294">
        <v>4.979202647045053E-4</v>
      </c>
    </row>
    <row r="62">
      <c r="A62" t="s">
        <v>723</v>
      </c>
      <c r="B62" s="287">
        <v>42761.0</v>
      </c>
      <c r="C62" s="288">
        <f t="shared" si="1"/>
        <v>26</v>
      </c>
      <c r="D62" s="289">
        <f t="shared" si="2"/>
        <v>0.8524590164</v>
      </c>
      <c r="E62" s="290">
        <f t="shared" si="3"/>
        <v>1</v>
      </c>
      <c r="F62" s="290" t="s">
        <v>702</v>
      </c>
      <c r="G62" s="291">
        <v>0.02945611989171315</v>
      </c>
      <c r="H62" s="296">
        <v>1.0</v>
      </c>
      <c r="I62" s="293">
        <v>6.0</v>
      </c>
      <c r="J62" s="294">
        <v>0.005017859540655112</v>
      </c>
    </row>
    <row r="63">
      <c r="A63" t="s">
        <v>757</v>
      </c>
      <c r="B63" s="287">
        <v>42031.0</v>
      </c>
      <c r="C63" s="288">
        <f t="shared" si="1"/>
        <v>27</v>
      </c>
      <c r="D63" s="289">
        <f t="shared" si="2"/>
        <v>0.8852459016</v>
      </c>
      <c r="E63" s="290">
        <f t="shared" si="3"/>
        <v>1</v>
      </c>
      <c r="F63" s="290" t="s">
        <v>702</v>
      </c>
      <c r="G63" s="291">
        <v>-0.007516102981927952</v>
      </c>
      <c r="H63" s="296">
        <v>0.0</v>
      </c>
      <c r="I63" s="293">
        <v>6.1</v>
      </c>
      <c r="J63" s="294">
        <v>-0.0038787799917912036</v>
      </c>
    </row>
    <row r="64">
      <c r="A64" t="s">
        <v>758</v>
      </c>
      <c r="B64" s="287">
        <v>42397.0</v>
      </c>
      <c r="C64" s="288">
        <f t="shared" si="1"/>
        <v>28</v>
      </c>
      <c r="D64" s="289">
        <f t="shared" si="2"/>
        <v>0.9180327869</v>
      </c>
      <c r="E64" s="290">
        <f t="shared" si="3"/>
        <v>1</v>
      </c>
      <c r="F64" s="290" t="s">
        <v>702</v>
      </c>
      <c r="G64" s="291">
        <v>0.0034139426378404503</v>
      </c>
      <c r="H64" s="296">
        <v>0.0</v>
      </c>
      <c r="I64" s="293">
        <v>6.2</v>
      </c>
      <c r="J64" s="294">
        <v>-0.005159132872028238</v>
      </c>
    </row>
    <row r="65">
      <c r="A65" t="s">
        <v>214</v>
      </c>
      <c r="B65" s="287">
        <v>42398.0</v>
      </c>
      <c r="C65" s="288">
        <f t="shared" si="1"/>
        <v>29</v>
      </c>
      <c r="D65" s="289">
        <f t="shared" si="2"/>
        <v>0.9508196721</v>
      </c>
      <c r="E65" s="290">
        <f t="shared" si="3"/>
        <v>1</v>
      </c>
      <c r="F65" s="290" t="s">
        <v>702</v>
      </c>
      <c r="G65" s="291">
        <v>-0.01124722246308918</v>
      </c>
      <c r="H65" s="296">
        <v>-1.0</v>
      </c>
      <c r="I65" s="293">
        <v>6.3</v>
      </c>
      <c r="J65" s="294">
        <v>0.007121715944741387</v>
      </c>
    </row>
    <row r="66">
      <c r="A66" t="s">
        <v>759</v>
      </c>
      <c r="B66" s="287">
        <v>42398.0</v>
      </c>
      <c r="C66" s="288">
        <f t="shared" si="1"/>
        <v>29</v>
      </c>
      <c r="D66" s="289">
        <f t="shared" si="2"/>
        <v>0.9508196721</v>
      </c>
      <c r="E66" s="290">
        <f t="shared" si="3"/>
        <v>1</v>
      </c>
      <c r="F66" s="290" t="s">
        <v>702</v>
      </c>
      <c r="G66" s="291">
        <v>-0.004360763844046378</v>
      </c>
      <c r="H66" s="296">
        <v>0.0</v>
      </c>
      <c r="I66" s="293">
        <v>6.4</v>
      </c>
      <c r="J66" s="294">
        <v>0.0077513264484360455</v>
      </c>
    </row>
    <row r="67">
      <c r="A67" t="s">
        <v>760</v>
      </c>
      <c r="B67" s="287">
        <v>42033.0</v>
      </c>
      <c r="C67" s="288">
        <f t="shared" si="1"/>
        <v>29</v>
      </c>
      <c r="D67" s="289">
        <f t="shared" si="2"/>
        <v>0.9508196721</v>
      </c>
      <c r="E67" s="290">
        <f t="shared" si="3"/>
        <v>1</v>
      </c>
      <c r="F67" s="290" t="s">
        <v>702</v>
      </c>
      <c r="G67" s="291">
        <v>0.012191129183119931</v>
      </c>
      <c r="H67" s="296">
        <v>1.0</v>
      </c>
      <c r="I67" s="293">
        <v>6.5</v>
      </c>
      <c r="J67" s="294">
        <v>0.0026920397860395514</v>
      </c>
    </row>
    <row r="68">
      <c r="A68" t="s">
        <v>761</v>
      </c>
      <c r="B68" s="287">
        <v>42766.0</v>
      </c>
      <c r="C68" s="288">
        <f t="shared" si="1"/>
        <v>31</v>
      </c>
      <c r="D68" s="289">
        <f t="shared" si="2"/>
        <v>1.016393443</v>
      </c>
      <c r="E68" s="290">
        <f t="shared" si="3"/>
        <v>2</v>
      </c>
      <c r="F68" s="290" t="s">
        <v>729</v>
      </c>
      <c r="G68" s="291">
        <v>-3.9373079425009117E-4</v>
      </c>
      <c r="H68" s="296">
        <v>0.0</v>
      </c>
      <c r="I68" s="293">
        <v>6.6</v>
      </c>
      <c r="J68" s="294">
        <v>0.007809280611306128</v>
      </c>
    </row>
    <row r="69">
      <c r="A69" t="s">
        <v>762</v>
      </c>
      <c r="B69" s="287">
        <v>42766.0</v>
      </c>
      <c r="C69" s="288">
        <f t="shared" si="1"/>
        <v>31</v>
      </c>
      <c r="D69" s="289">
        <f t="shared" si="2"/>
        <v>1.016393443</v>
      </c>
      <c r="E69" s="290">
        <f t="shared" si="3"/>
        <v>2</v>
      </c>
      <c r="F69" s="290" t="s">
        <v>729</v>
      </c>
      <c r="G69" s="291">
        <v>0.0177913707726568</v>
      </c>
      <c r="H69" s="296">
        <v>1.0</v>
      </c>
      <c r="I69" s="293">
        <v>6.7</v>
      </c>
      <c r="J69" s="294">
        <v>0.008415614861219167</v>
      </c>
    </row>
    <row r="70">
      <c r="A70" t="s">
        <v>763</v>
      </c>
      <c r="B70" s="287">
        <v>42400.0</v>
      </c>
      <c r="C70" s="288">
        <f t="shared" si="1"/>
        <v>31</v>
      </c>
      <c r="D70" s="289">
        <f t="shared" si="2"/>
        <v>1.016393443</v>
      </c>
      <c r="E70" s="290">
        <f t="shared" si="3"/>
        <v>2</v>
      </c>
      <c r="F70" s="290" t="s">
        <v>729</v>
      </c>
      <c r="G70" s="291">
        <v>-0.02222818463849685</v>
      </c>
      <c r="H70" s="296">
        <v>-1.0</v>
      </c>
      <c r="I70" s="293">
        <v>6.8</v>
      </c>
      <c r="J70" s="294">
        <v>0.012652772045902622</v>
      </c>
    </row>
    <row r="71">
      <c r="A71" t="s">
        <v>715</v>
      </c>
      <c r="B71" s="287">
        <v>42035.0</v>
      </c>
      <c r="C71" s="288">
        <f t="shared" si="1"/>
        <v>31</v>
      </c>
      <c r="D71" s="289">
        <f t="shared" si="2"/>
        <v>1.016393443</v>
      </c>
      <c r="E71" s="290">
        <f t="shared" si="3"/>
        <v>2</v>
      </c>
      <c r="F71" s="290" t="s">
        <v>729</v>
      </c>
      <c r="G71" s="291">
        <v>0.034741714829512715</v>
      </c>
      <c r="H71" s="296">
        <v>1.0</v>
      </c>
      <c r="I71" s="293">
        <v>6.9</v>
      </c>
      <c r="J71" s="294">
        <v>0.008332105967538528</v>
      </c>
    </row>
    <row r="72">
      <c r="A72" t="s">
        <v>709</v>
      </c>
      <c r="B72" s="287">
        <v>42035.0</v>
      </c>
      <c r="C72" s="288">
        <f t="shared" si="1"/>
        <v>31</v>
      </c>
      <c r="D72" s="289">
        <f t="shared" si="2"/>
        <v>1.016393443</v>
      </c>
      <c r="E72" s="290">
        <f t="shared" si="3"/>
        <v>2</v>
      </c>
      <c r="F72" s="290" t="s">
        <v>729</v>
      </c>
      <c r="G72" s="291">
        <v>0.012320253467079212</v>
      </c>
      <c r="H72" s="296">
        <v>1.0</v>
      </c>
      <c r="I72" s="293">
        <v>7.0</v>
      </c>
      <c r="J72" s="294">
        <v>-0.004574168234570001</v>
      </c>
    </row>
    <row r="73">
      <c r="A73" t="s">
        <v>764</v>
      </c>
      <c r="B73" s="287">
        <v>42767.0</v>
      </c>
      <c r="C73" s="288">
        <f t="shared" si="1"/>
        <v>32</v>
      </c>
      <c r="D73" s="289">
        <f t="shared" si="2"/>
        <v>1.049180328</v>
      </c>
      <c r="E73" s="290">
        <f t="shared" si="3"/>
        <v>2</v>
      </c>
      <c r="F73" s="290" t="s">
        <v>729</v>
      </c>
      <c r="G73" s="291">
        <v>0.00258108997356854</v>
      </c>
      <c r="H73" s="296">
        <v>0.0</v>
      </c>
      <c r="I73" s="293">
        <v>7.1</v>
      </c>
      <c r="J73" s="294">
        <v>0.008259869318013228</v>
      </c>
    </row>
    <row r="74">
      <c r="A74" t="s">
        <v>765</v>
      </c>
      <c r="B74" s="287">
        <v>42767.0</v>
      </c>
      <c r="C74" s="288">
        <f t="shared" si="1"/>
        <v>32</v>
      </c>
      <c r="D74" s="289">
        <f t="shared" si="2"/>
        <v>1.049180328</v>
      </c>
      <c r="E74" s="290">
        <f t="shared" si="3"/>
        <v>2</v>
      </c>
      <c r="F74" s="290" t="s">
        <v>729</v>
      </c>
      <c r="G74" s="291">
        <v>-0.023361739792324365</v>
      </c>
      <c r="H74" s="296">
        <v>-1.0</v>
      </c>
      <c r="I74" s="293">
        <v>7.2</v>
      </c>
      <c r="J74" s="294">
        <v>-0.003403950405043585</v>
      </c>
    </row>
    <row r="75">
      <c r="A75" t="s">
        <v>766</v>
      </c>
      <c r="B75" s="287">
        <v>42402.0</v>
      </c>
      <c r="C75" s="288">
        <f t="shared" si="1"/>
        <v>33</v>
      </c>
      <c r="D75" s="289">
        <f t="shared" si="2"/>
        <v>1.081967213</v>
      </c>
      <c r="E75" s="290">
        <f t="shared" si="3"/>
        <v>2</v>
      </c>
      <c r="F75" s="290" t="s">
        <v>729</v>
      </c>
      <c r="G75" s="291">
        <v>-0.004486376375293699</v>
      </c>
      <c r="H75" s="296">
        <v>0.0</v>
      </c>
      <c r="I75" s="293">
        <v>7.3</v>
      </c>
      <c r="J75" s="294">
        <v>0.005427749919895405</v>
      </c>
    </row>
    <row r="76">
      <c r="A76" t="s">
        <v>767</v>
      </c>
      <c r="B76" s="287">
        <v>42037.0</v>
      </c>
      <c r="C76" s="288">
        <f t="shared" si="1"/>
        <v>33</v>
      </c>
      <c r="D76" s="289">
        <f t="shared" si="2"/>
        <v>1.081967213</v>
      </c>
      <c r="E76" s="290">
        <f t="shared" si="3"/>
        <v>2</v>
      </c>
      <c r="F76" s="290" t="s">
        <v>729</v>
      </c>
      <c r="G76" s="291">
        <v>0.005018327000368972</v>
      </c>
      <c r="H76" s="296">
        <v>0.0</v>
      </c>
      <c r="I76" s="293">
        <v>7.4</v>
      </c>
      <c r="J76" s="294">
        <v>-0.002018628282708379</v>
      </c>
    </row>
    <row r="77">
      <c r="A77" t="s">
        <v>768</v>
      </c>
      <c r="B77" s="287">
        <v>42037.0</v>
      </c>
      <c r="C77" s="288">
        <f t="shared" si="1"/>
        <v>33</v>
      </c>
      <c r="D77" s="289">
        <f t="shared" si="2"/>
        <v>1.081967213</v>
      </c>
      <c r="E77" s="290">
        <f t="shared" si="3"/>
        <v>2</v>
      </c>
      <c r="F77" s="290" t="s">
        <v>729</v>
      </c>
      <c r="G77" s="291">
        <v>0.018633317698853902</v>
      </c>
      <c r="H77" s="296">
        <v>1.0</v>
      </c>
      <c r="I77" s="293">
        <v>7.5</v>
      </c>
      <c r="J77" s="294">
        <v>-0.011424335048454509</v>
      </c>
    </row>
    <row r="78">
      <c r="A78" t="s">
        <v>711</v>
      </c>
      <c r="B78" s="287">
        <v>42769.0</v>
      </c>
      <c r="C78" s="288">
        <f t="shared" si="1"/>
        <v>34</v>
      </c>
      <c r="D78" s="289">
        <f t="shared" si="2"/>
        <v>1.114754098</v>
      </c>
      <c r="E78" s="290">
        <f t="shared" si="3"/>
        <v>2</v>
      </c>
      <c r="F78" s="290" t="s">
        <v>729</v>
      </c>
      <c r="G78" s="291">
        <v>-0.0020432658586841956</v>
      </c>
      <c r="H78" s="296">
        <v>0.0</v>
      </c>
      <c r="I78" s="293">
        <v>7.6</v>
      </c>
      <c r="J78" s="294">
        <v>0.004580577312976175</v>
      </c>
    </row>
    <row r="79">
      <c r="A79" t="s">
        <v>277</v>
      </c>
      <c r="B79" s="287">
        <v>42403.0</v>
      </c>
      <c r="C79" s="288">
        <f t="shared" si="1"/>
        <v>34</v>
      </c>
      <c r="D79" s="289">
        <f t="shared" si="2"/>
        <v>1.114754098</v>
      </c>
      <c r="E79" s="290">
        <f t="shared" si="3"/>
        <v>2</v>
      </c>
      <c r="F79" s="290" t="s">
        <v>729</v>
      </c>
      <c r="G79" s="291">
        <v>-0.016202750021906187</v>
      </c>
      <c r="H79" s="296">
        <v>-1.0</v>
      </c>
      <c r="I79" s="293">
        <v>7.7</v>
      </c>
      <c r="J79" s="294">
        <v>0.001434336417295114</v>
      </c>
    </row>
    <row r="80">
      <c r="A80" t="s">
        <v>769</v>
      </c>
      <c r="B80" s="287">
        <v>42404.0</v>
      </c>
      <c r="C80" s="288">
        <f t="shared" si="1"/>
        <v>35</v>
      </c>
      <c r="D80" s="289">
        <f t="shared" si="2"/>
        <v>1.147540984</v>
      </c>
      <c r="E80" s="290">
        <f t="shared" si="3"/>
        <v>2</v>
      </c>
      <c r="F80" s="290" t="s">
        <v>729</v>
      </c>
      <c r="G80" s="291">
        <v>0.007293009910448123</v>
      </c>
      <c r="H80" s="296">
        <v>0.0</v>
      </c>
      <c r="I80" s="293">
        <v>7.8</v>
      </c>
      <c r="J80" s="294">
        <v>0.004034199929929039</v>
      </c>
    </row>
    <row r="81">
      <c r="A81" t="s">
        <v>770</v>
      </c>
      <c r="B81" s="287">
        <v>42039.0</v>
      </c>
      <c r="C81" s="288">
        <f t="shared" si="1"/>
        <v>35</v>
      </c>
      <c r="D81" s="289">
        <f t="shared" si="2"/>
        <v>1.147540984</v>
      </c>
      <c r="E81" s="290">
        <f t="shared" si="3"/>
        <v>2</v>
      </c>
      <c r="F81" s="290" t="s">
        <v>729</v>
      </c>
      <c r="G81" s="291">
        <v>-0.012026206795551109</v>
      </c>
      <c r="H81" s="296">
        <v>-1.0</v>
      </c>
      <c r="I81" s="293">
        <v>7.9</v>
      </c>
      <c r="J81" s="294">
        <v>0.008309771235110272</v>
      </c>
    </row>
    <row r="82">
      <c r="A82" t="s">
        <v>771</v>
      </c>
      <c r="B82" s="287">
        <v>42771.0</v>
      </c>
      <c r="C82" s="288">
        <f t="shared" si="1"/>
        <v>36</v>
      </c>
      <c r="D82" s="289">
        <f t="shared" si="2"/>
        <v>1.180327869</v>
      </c>
      <c r="E82" s="290">
        <f t="shared" si="3"/>
        <v>2</v>
      </c>
      <c r="F82" s="290" t="s">
        <v>729</v>
      </c>
      <c r="G82" s="291">
        <v>-0.019682959663360866</v>
      </c>
      <c r="H82" s="296">
        <v>-1.0</v>
      </c>
      <c r="I82" s="293">
        <v>8.0</v>
      </c>
      <c r="J82" s="294">
        <v>-0.0036220862749151454</v>
      </c>
    </row>
    <row r="83">
      <c r="A83" t="s">
        <v>756</v>
      </c>
      <c r="B83" s="287">
        <v>42771.0</v>
      </c>
      <c r="C83" s="288">
        <f t="shared" si="1"/>
        <v>36</v>
      </c>
      <c r="D83" s="289">
        <f t="shared" si="2"/>
        <v>1.180327869</v>
      </c>
      <c r="E83" s="290">
        <f t="shared" si="3"/>
        <v>2</v>
      </c>
      <c r="F83" s="290" t="s">
        <v>729</v>
      </c>
      <c r="G83" s="291">
        <v>0.004080070292369786</v>
      </c>
      <c r="H83" s="296">
        <v>0.0</v>
      </c>
      <c r="I83" s="293">
        <v>8.1</v>
      </c>
      <c r="J83" s="294">
        <v>-8.153683531882142E-4</v>
      </c>
    </row>
    <row r="84">
      <c r="A84" t="s">
        <v>772</v>
      </c>
      <c r="B84" s="287">
        <v>42405.0</v>
      </c>
      <c r="C84" s="288">
        <f t="shared" si="1"/>
        <v>36</v>
      </c>
      <c r="D84" s="289">
        <f t="shared" si="2"/>
        <v>1.180327869</v>
      </c>
      <c r="E84" s="290">
        <f t="shared" si="3"/>
        <v>2</v>
      </c>
      <c r="F84" s="290" t="s">
        <v>729</v>
      </c>
      <c r="G84" s="291">
        <v>-0.01208637637529375</v>
      </c>
      <c r="H84" s="296">
        <v>-1.0</v>
      </c>
      <c r="I84" s="293">
        <v>8.2</v>
      </c>
      <c r="J84" s="294">
        <v>0.011369038664574782</v>
      </c>
    </row>
    <row r="85">
      <c r="A85" t="s">
        <v>711</v>
      </c>
      <c r="B85" s="287">
        <v>42405.0</v>
      </c>
      <c r="C85" s="288">
        <f t="shared" si="1"/>
        <v>36</v>
      </c>
      <c r="D85" s="289">
        <f t="shared" si="2"/>
        <v>1.180327869</v>
      </c>
      <c r="E85" s="290">
        <f t="shared" si="3"/>
        <v>2</v>
      </c>
      <c r="F85" s="290" t="s">
        <v>729</v>
      </c>
      <c r="G85" s="291">
        <v>-0.017420384755055918</v>
      </c>
      <c r="H85" s="296">
        <v>-1.0</v>
      </c>
      <c r="I85" s="293">
        <v>8.3</v>
      </c>
      <c r="J85" s="294">
        <v>0.0033624782305967335</v>
      </c>
    </row>
    <row r="86">
      <c r="A86" t="s">
        <v>773</v>
      </c>
      <c r="B86" s="287">
        <v>42405.0</v>
      </c>
      <c r="C86" s="288">
        <f t="shared" si="1"/>
        <v>36</v>
      </c>
      <c r="D86" s="289">
        <f t="shared" si="2"/>
        <v>1.180327869</v>
      </c>
      <c r="E86" s="290">
        <f t="shared" si="3"/>
        <v>2</v>
      </c>
      <c r="F86" s="290" t="s">
        <v>729</v>
      </c>
      <c r="G86" s="291">
        <v>5.129690554217525E-4</v>
      </c>
      <c r="H86" s="296">
        <v>0.0</v>
      </c>
      <c r="I86" s="293">
        <v>8.4</v>
      </c>
      <c r="J86" s="294">
        <v>0.003243725215724001</v>
      </c>
    </row>
    <row r="87">
      <c r="A87" t="s">
        <v>774</v>
      </c>
      <c r="B87" s="287">
        <v>42040.0</v>
      </c>
      <c r="C87" s="288">
        <f t="shared" si="1"/>
        <v>36</v>
      </c>
      <c r="D87" s="289">
        <f t="shared" si="2"/>
        <v>1.180327869</v>
      </c>
      <c r="E87" s="290">
        <f t="shared" si="3"/>
        <v>2</v>
      </c>
      <c r="F87" s="290" t="s">
        <v>729</v>
      </c>
      <c r="G87" s="291">
        <v>-0.021711167175843538</v>
      </c>
      <c r="H87" s="296">
        <v>-1.0</v>
      </c>
      <c r="I87" s="293">
        <v>8.5</v>
      </c>
      <c r="J87" s="294">
        <v>-0.008916335636230661</v>
      </c>
    </row>
    <row r="88">
      <c r="A88" t="s">
        <v>716</v>
      </c>
      <c r="B88" s="287">
        <v>42041.0</v>
      </c>
      <c r="C88" s="288">
        <f t="shared" si="1"/>
        <v>37</v>
      </c>
      <c r="D88" s="289">
        <f t="shared" si="2"/>
        <v>1.213114754</v>
      </c>
      <c r="E88" s="290">
        <f t="shared" si="3"/>
        <v>2</v>
      </c>
      <c r="F88" s="290" t="s">
        <v>729</v>
      </c>
      <c r="G88" s="291">
        <v>-0.00752162761736197</v>
      </c>
      <c r="H88" s="296">
        <v>0.0</v>
      </c>
      <c r="I88" s="293">
        <v>8.6</v>
      </c>
      <c r="J88" s="294">
        <v>0.0059481846917614</v>
      </c>
    </row>
    <row r="89">
      <c r="A89" t="s">
        <v>775</v>
      </c>
      <c r="B89" s="287">
        <v>42408.0</v>
      </c>
      <c r="C89" s="288">
        <f t="shared" si="1"/>
        <v>39</v>
      </c>
      <c r="D89" s="289">
        <f t="shared" si="2"/>
        <v>1.278688525</v>
      </c>
      <c r="E89" s="290">
        <f t="shared" si="3"/>
        <v>2</v>
      </c>
      <c r="F89" s="290" t="s">
        <v>729</v>
      </c>
      <c r="G89" s="291">
        <v>0.008179757283574562</v>
      </c>
      <c r="H89" s="296">
        <v>0.0</v>
      </c>
      <c r="I89" s="293">
        <v>8.7</v>
      </c>
      <c r="J89" s="294">
        <v>-0.0027378572769081277</v>
      </c>
    </row>
    <row r="90">
      <c r="A90" t="s">
        <v>776</v>
      </c>
      <c r="B90" s="287">
        <v>42775.0</v>
      </c>
      <c r="C90" s="288">
        <f t="shared" si="1"/>
        <v>40</v>
      </c>
      <c r="D90" s="289">
        <f t="shared" si="2"/>
        <v>1.31147541</v>
      </c>
      <c r="E90" s="290">
        <f t="shared" si="3"/>
        <v>2</v>
      </c>
      <c r="F90" s="290" t="s">
        <v>729</v>
      </c>
      <c r="G90" s="291">
        <v>0.021297182139497273</v>
      </c>
      <c r="H90" s="296">
        <v>1.0</v>
      </c>
      <c r="I90" s="293">
        <v>8.8</v>
      </c>
      <c r="J90" s="294">
        <v>0.0014354579461200753</v>
      </c>
    </row>
    <row r="91">
      <c r="A91" t="s">
        <v>773</v>
      </c>
      <c r="B91" s="287">
        <v>42776.0</v>
      </c>
      <c r="C91" s="288">
        <f t="shared" si="1"/>
        <v>41</v>
      </c>
      <c r="D91" s="289">
        <f t="shared" si="2"/>
        <v>1.344262295</v>
      </c>
      <c r="E91" s="290">
        <f t="shared" si="3"/>
        <v>2</v>
      </c>
      <c r="F91" s="290" t="s">
        <v>729</v>
      </c>
      <c r="G91" s="291">
        <v>0.01800809888906907</v>
      </c>
      <c r="H91" s="296">
        <v>1.0</v>
      </c>
      <c r="I91" s="293">
        <v>8.9</v>
      </c>
      <c r="J91" s="294">
        <v>-0.001912448422350499</v>
      </c>
    </row>
    <row r="92">
      <c r="A92" t="s">
        <v>719</v>
      </c>
      <c r="B92" s="287">
        <v>42410.0</v>
      </c>
      <c r="C92" s="288">
        <f t="shared" si="1"/>
        <v>41</v>
      </c>
      <c r="D92" s="289">
        <f t="shared" si="2"/>
        <v>1.344262295</v>
      </c>
      <c r="E92" s="290">
        <f t="shared" si="3"/>
        <v>2</v>
      </c>
      <c r="F92" s="290" t="s">
        <v>729</v>
      </c>
      <c r="G92" s="291">
        <v>-0.004909330998319472</v>
      </c>
      <c r="H92" s="296">
        <v>0.0</v>
      </c>
      <c r="I92" s="293">
        <v>9.0</v>
      </c>
      <c r="J92" s="294">
        <v>-0.0012058344354184706</v>
      </c>
    </row>
    <row r="93">
      <c r="A93" t="s">
        <v>777</v>
      </c>
      <c r="B93" s="287">
        <v>42412.0</v>
      </c>
      <c r="C93" s="288">
        <f t="shared" si="1"/>
        <v>43</v>
      </c>
      <c r="D93" s="289">
        <f t="shared" si="2"/>
        <v>1.409836066</v>
      </c>
      <c r="E93" s="290">
        <f t="shared" si="3"/>
        <v>2</v>
      </c>
      <c r="F93" s="290" t="s">
        <v>729</v>
      </c>
      <c r="G93" s="291">
        <v>0.0027250069471090876</v>
      </c>
      <c r="H93" s="296">
        <v>0.0</v>
      </c>
      <c r="I93" s="293">
        <v>9.1</v>
      </c>
      <c r="J93" s="294">
        <v>0.007505619929381285</v>
      </c>
    </row>
    <row r="94">
      <c r="A94" t="s">
        <v>778</v>
      </c>
      <c r="B94" s="287">
        <v>42047.0</v>
      </c>
      <c r="C94" s="288">
        <f t="shared" si="1"/>
        <v>43</v>
      </c>
      <c r="D94" s="289">
        <f t="shared" si="2"/>
        <v>1.409836066</v>
      </c>
      <c r="E94" s="290">
        <f t="shared" si="3"/>
        <v>2</v>
      </c>
      <c r="F94" s="290" t="s">
        <v>729</v>
      </c>
      <c r="G94" s="291">
        <v>0.0046295786086612</v>
      </c>
      <c r="H94" s="296">
        <v>0.0</v>
      </c>
      <c r="I94" s="293">
        <v>9.2</v>
      </c>
      <c r="J94" s="294">
        <v>0.0031527404710052025</v>
      </c>
    </row>
    <row r="95">
      <c r="A95" t="s">
        <v>779</v>
      </c>
      <c r="B95" s="287">
        <v>42779.0</v>
      </c>
      <c r="C95" s="288">
        <f t="shared" si="1"/>
        <v>44</v>
      </c>
      <c r="D95" s="289">
        <f t="shared" si="2"/>
        <v>1.442622951</v>
      </c>
      <c r="E95" s="290">
        <f t="shared" si="3"/>
        <v>2</v>
      </c>
      <c r="F95" s="290" t="s">
        <v>729</v>
      </c>
      <c r="G95" s="291">
        <v>0.03588710136149764</v>
      </c>
      <c r="H95" s="296">
        <v>1.0</v>
      </c>
      <c r="I95" s="293">
        <v>9.3</v>
      </c>
      <c r="J95" s="294">
        <v>-6.595025447190631E-4</v>
      </c>
    </row>
    <row r="96">
      <c r="A96" t="s">
        <v>780</v>
      </c>
      <c r="B96" s="287">
        <v>42413.0</v>
      </c>
      <c r="C96" s="288">
        <f t="shared" si="1"/>
        <v>44</v>
      </c>
      <c r="D96" s="289">
        <f t="shared" si="2"/>
        <v>1.442622951</v>
      </c>
      <c r="E96" s="290">
        <f t="shared" si="3"/>
        <v>2</v>
      </c>
      <c r="F96" s="290" t="s">
        <v>729</v>
      </c>
      <c r="G96" s="291">
        <v>0.015307892289044833</v>
      </c>
      <c r="H96" s="296">
        <v>1.0</v>
      </c>
      <c r="I96" s="293">
        <v>9.4</v>
      </c>
      <c r="J96" s="294">
        <v>0.005203722102272245</v>
      </c>
    </row>
    <row r="97">
      <c r="A97" t="s">
        <v>427</v>
      </c>
      <c r="B97" s="287">
        <v>42048.0</v>
      </c>
      <c r="C97" s="288">
        <f t="shared" si="1"/>
        <v>44</v>
      </c>
      <c r="D97" s="289">
        <f t="shared" si="2"/>
        <v>1.442622951</v>
      </c>
      <c r="E97" s="290">
        <f t="shared" si="3"/>
        <v>2</v>
      </c>
      <c r="F97" s="290" t="s">
        <v>729</v>
      </c>
      <c r="G97" s="291">
        <v>0.015337073647768928</v>
      </c>
      <c r="H97" s="296">
        <v>1.0</v>
      </c>
      <c r="I97" s="293">
        <v>9.5</v>
      </c>
      <c r="J97" s="294">
        <v>0.00530571774533789</v>
      </c>
    </row>
    <row r="98">
      <c r="A98" t="s">
        <v>781</v>
      </c>
      <c r="B98" s="287">
        <v>42780.0</v>
      </c>
      <c r="C98" s="288">
        <f t="shared" si="1"/>
        <v>45</v>
      </c>
      <c r="D98" s="289">
        <f t="shared" si="2"/>
        <v>1.475409836</v>
      </c>
      <c r="E98" s="290">
        <f t="shared" si="3"/>
        <v>2</v>
      </c>
      <c r="F98" s="290" t="s">
        <v>729</v>
      </c>
      <c r="G98" s="291">
        <v>-0.014037018518625155</v>
      </c>
      <c r="H98" s="296">
        <v>-1.0</v>
      </c>
      <c r="I98" s="293">
        <v>9.6</v>
      </c>
      <c r="J98" s="294">
        <v>-0.0040097369961399456</v>
      </c>
    </row>
    <row r="99">
      <c r="A99" t="s">
        <v>751</v>
      </c>
      <c r="B99" s="287">
        <v>42414.0</v>
      </c>
      <c r="C99" s="288">
        <f t="shared" si="1"/>
        <v>45</v>
      </c>
      <c r="D99" s="289">
        <f t="shared" si="2"/>
        <v>1.475409836</v>
      </c>
      <c r="E99" s="290">
        <f t="shared" si="3"/>
        <v>2</v>
      </c>
      <c r="F99" s="290" t="s">
        <v>729</v>
      </c>
      <c r="G99" s="291">
        <v>-7.301304324769387E-5</v>
      </c>
      <c r="H99" s="296">
        <v>0.0</v>
      </c>
      <c r="I99" s="293">
        <v>9.7</v>
      </c>
      <c r="J99" s="294">
        <v>-0.002801276373572742</v>
      </c>
    </row>
    <row r="100">
      <c r="A100" t="s">
        <v>751</v>
      </c>
      <c r="B100" s="287">
        <v>42414.0</v>
      </c>
      <c r="C100" s="288">
        <f t="shared" si="1"/>
        <v>45</v>
      </c>
      <c r="D100" s="289">
        <f t="shared" si="2"/>
        <v>1.475409836</v>
      </c>
      <c r="E100" s="290">
        <f t="shared" si="3"/>
        <v>2</v>
      </c>
      <c r="F100" s="290" t="s">
        <v>729</v>
      </c>
      <c r="G100" s="291">
        <v>0.007709286751903077</v>
      </c>
      <c r="H100" s="296">
        <v>0.0</v>
      </c>
      <c r="I100" s="293">
        <v>9.8</v>
      </c>
      <c r="J100" s="294">
        <v>-0.009517266019608984</v>
      </c>
    </row>
    <row r="101">
      <c r="A101" t="s">
        <v>782</v>
      </c>
      <c r="B101" s="287">
        <v>42049.0</v>
      </c>
      <c r="C101" s="288">
        <f t="shared" si="1"/>
        <v>45</v>
      </c>
      <c r="D101" s="289">
        <f t="shared" si="2"/>
        <v>1.475409836</v>
      </c>
      <c r="E101" s="290">
        <f t="shared" si="3"/>
        <v>2</v>
      </c>
      <c r="F101" s="290" t="s">
        <v>729</v>
      </c>
      <c r="G101" s="291">
        <v>-0.012625728607300712</v>
      </c>
      <c r="H101" s="296">
        <v>-1.0</v>
      </c>
      <c r="I101" s="293">
        <v>9.9</v>
      </c>
      <c r="J101" s="294">
        <v>0.014339563781220394</v>
      </c>
    </row>
    <row r="102">
      <c r="A102" t="s">
        <v>783</v>
      </c>
      <c r="B102" s="287">
        <v>42049.0</v>
      </c>
      <c r="C102" s="288">
        <f t="shared" si="1"/>
        <v>45</v>
      </c>
      <c r="D102" s="289">
        <f t="shared" si="2"/>
        <v>1.475409836</v>
      </c>
      <c r="E102" s="290">
        <f t="shared" si="3"/>
        <v>2</v>
      </c>
      <c r="F102" s="290" t="s">
        <v>729</v>
      </c>
      <c r="G102" s="291">
        <v>-0.02059286375736269</v>
      </c>
      <c r="H102" s="296">
        <v>-1.0</v>
      </c>
      <c r="I102" s="293">
        <v>10.0</v>
      </c>
      <c r="J102" s="294">
        <v>-3.040576818238943E-4</v>
      </c>
    </row>
    <row r="103">
      <c r="A103" t="s">
        <v>784</v>
      </c>
      <c r="B103" s="287">
        <v>42781.0</v>
      </c>
      <c r="C103" s="288">
        <f t="shared" si="1"/>
        <v>46</v>
      </c>
      <c r="D103" s="289">
        <f t="shared" si="2"/>
        <v>1.508196721</v>
      </c>
      <c r="E103" s="290">
        <f t="shared" si="3"/>
        <v>2</v>
      </c>
      <c r="F103" s="290" t="s">
        <v>729</v>
      </c>
      <c r="G103" s="291">
        <v>0.019282438842097127</v>
      </c>
      <c r="H103" s="296">
        <v>1.0</v>
      </c>
      <c r="I103" s="293">
        <v>10.1</v>
      </c>
      <c r="J103" s="294">
        <v>0.005104850482361501</v>
      </c>
    </row>
    <row r="104">
      <c r="A104" t="s">
        <v>785</v>
      </c>
      <c r="B104" s="287">
        <v>42415.0</v>
      </c>
      <c r="C104" s="288">
        <f t="shared" si="1"/>
        <v>46</v>
      </c>
      <c r="D104" s="289">
        <f t="shared" si="2"/>
        <v>1.508196721</v>
      </c>
      <c r="E104" s="290">
        <f t="shared" si="3"/>
        <v>2</v>
      </c>
      <c r="F104" s="290" t="s">
        <v>729</v>
      </c>
      <c r="G104" s="291">
        <v>-0.04288408397577981</v>
      </c>
      <c r="H104" s="296">
        <v>-1.0</v>
      </c>
      <c r="I104" s="293">
        <v>10.2</v>
      </c>
      <c r="J104" s="294">
        <v>-0.006030317829994268</v>
      </c>
    </row>
    <row r="105">
      <c r="A105" t="s">
        <v>786</v>
      </c>
      <c r="B105" s="287">
        <v>42415.0</v>
      </c>
      <c r="C105" s="288">
        <f t="shared" si="1"/>
        <v>46</v>
      </c>
      <c r="D105" s="289">
        <f t="shared" si="2"/>
        <v>1.508196721</v>
      </c>
      <c r="E105" s="290">
        <f t="shared" si="3"/>
        <v>2</v>
      </c>
      <c r="F105" s="290" t="s">
        <v>729</v>
      </c>
      <c r="G105" s="291">
        <v>-0.011017358908938069</v>
      </c>
      <c r="H105" s="296">
        <v>-1.0</v>
      </c>
      <c r="I105" s="293">
        <v>10.3</v>
      </c>
      <c r="J105" s="294">
        <v>-6.645099469179793E-4</v>
      </c>
    </row>
    <row r="106">
      <c r="A106" t="s">
        <v>712</v>
      </c>
      <c r="B106" s="287">
        <v>42415.0</v>
      </c>
      <c r="C106" s="288">
        <f t="shared" si="1"/>
        <v>46</v>
      </c>
      <c r="D106" s="289">
        <f t="shared" si="2"/>
        <v>1.508196721</v>
      </c>
      <c r="E106" s="290">
        <f t="shared" si="3"/>
        <v>2</v>
      </c>
      <c r="F106" s="290" t="s">
        <v>729</v>
      </c>
      <c r="G106" s="291">
        <v>-0.018749803249945796</v>
      </c>
      <c r="H106" s="296">
        <v>-1.0</v>
      </c>
      <c r="I106" s="293">
        <v>10.4</v>
      </c>
      <c r="J106" s="294">
        <v>-0.0019167265013934195</v>
      </c>
    </row>
    <row r="107">
      <c r="A107" t="s">
        <v>712</v>
      </c>
      <c r="B107" s="287">
        <v>42415.0</v>
      </c>
      <c r="C107" s="288">
        <f t="shared" si="1"/>
        <v>46</v>
      </c>
      <c r="D107" s="289">
        <f t="shared" si="2"/>
        <v>1.508196721</v>
      </c>
      <c r="E107" s="290">
        <f t="shared" si="3"/>
        <v>2</v>
      </c>
      <c r="F107" s="290" t="s">
        <v>729</v>
      </c>
      <c r="G107" s="291">
        <v>0.012035968045368106</v>
      </c>
      <c r="H107" s="296">
        <v>1.0</v>
      </c>
      <c r="I107" s="293">
        <v>10.5</v>
      </c>
      <c r="J107" s="294">
        <v>-0.006153269788369098</v>
      </c>
    </row>
    <row r="108">
      <c r="A108" t="s">
        <v>787</v>
      </c>
      <c r="B108" s="287">
        <v>42050.0</v>
      </c>
      <c r="C108" s="288">
        <f t="shared" si="1"/>
        <v>46</v>
      </c>
      <c r="D108" s="289">
        <f t="shared" si="2"/>
        <v>1.508196721</v>
      </c>
      <c r="E108" s="290">
        <f t="shared" si="3"/>
        <v>2</v>
      </c>
      <c r="F108" s="290" t="s">
        <v>729</v>
      </c>
      <c r="G108" s="291">
        <v>0.0143655749892031</v>
      </c>
      <c r="H108" s="296">
        <v>1.0</v>
      </c>
      <c r="I108" s="293">
        <v>10.6</v>
      </c>
      <c r="J108" s="294">
        <v>0.009434084894170663</v>
      </c>
    </row>
    <row r="109">
      <c r="A109" t="s">
        <v>427</v>
      </c>
      <c r="B109" s="287">
        <v>42416.0</v>
      </c>
      <c r="C109" s="288">
        <f t="shared" si="1"/>
        <v>47</v>
      </c>
      <c r="D109" s="289">
        <f t="shared" si="2"/>
        <v>1.540983607</v>
      </c>
      <c r="E109" s="290">
        <f t="shared" si="3"/>
        <v>2</v>
      </c>
      <c r="F109" s="290" t="s">
        <v>729</v>
      </c>
      <c r="G109" s="291">
        <v>-0.029722553276882446</v>
      </c>
      <c r="H109" s="296">
        <v>-1.0</v>
      </c>
      <c r="I109" s="293">
        <v>10.7</v>
      </c>
      <c r="J109" s="294">
        <v>0.0032850744294375513</v>
      </c>
    </row>
    <row r="110">
      <c r="A110" t="s">
        <v>788</v>
      </c>
      <c r="B110" s="287">
        <v>42783.0</v>
      </c>
      <c r="C110" s="288">
        <f t="shared" si="1"/>
        <v>48</v>
      </c>
      <c r="D110" s="289">
        <f t="shared" si="2"/>
        <v>1.573770492</v>
      </c>
      <c r="E110" s="290">
        <f t="shared" si="3"/>
        <v>2</v>
      </c>
      <c r="F110" s="290" t="s">
        <v>729</v>
      </c>
      <c r="G110" s="291">
        <v>0.0010906690016805332</v>
      </c>
      <c r="H110" s="296">
        <v>0.0</v>
      </c>
      <c r="I110" s="293">
        <v>10.8</v>
      </c>
      <c r="J110" s="294">
        <v>-0.0015898952111497934</v>
      </c>
    </row>
    <row r="111">
      <c r="A111" t="s">
        <v>108</v>
      </c>
      <c r="B111" s="287">
        <v>42784.0</v>
      </c>
      <c r="C111" s="288">
        <f t="shared" si="1"/>
        <v>49</v>
      </c>
      <c r="D111" s="289">
        <f t="shared" si="2"/>
        <v>1.606557377</v>
      </c>
      <c r="E111" s="290">
        <f t="shared" si="3"/>
        <v>2</v>
      </c>
      <c r="F111" s="290" t="s">
        <v>729</v>
      </c>
      <c r="G111" s="291">
        <v>-0.011992957775224355</v>
      </c>
      <c r="H111" s="296">
        <v>-1.0</v>
      </c>
      <c r="I111" s="293">
        <v>10.9</v>
      </c>
      <c r="J111" s="294">
        <v>-0.004814175606518019</v>
      </c>
    </row>
    <row r="112">
      <c r="A112" t="s">
        <v>789</v>
      </c>
      <c r="B112" s="287">
        <v>42419.0</v>
      </c>
      <c r="C112" s="288">
        <f t="shared" si="1"/>
        <v>50</v>
      </c>
      <c r="D112" s="289">
        <f t="shared" si="2"/>
        <v>1.639344262</v>
      </c>
      <c r="E112" s="290">
        <f t="shared" si="3"/>
        <v>2</v>
      </c>
      <c r="F112" s="290" t="s">
        <v>729</v>
      </c>
      <c r="G112" s="291">
        <v>-0.01076989765665004</v>
      </c>
      <c r="H112" s="296">
        <v>-1.0</v>
      </c>
      <c r="I112" s="293">
        <v>11.0</v>
      </c>
      <c r="J112" s="294">
        <v>0.012158603931054772</v>
      </c>
    </row>
    <row r="113">
      <c r="A113" t="s">
        <v>108</v>
      </c>
      <c r="B113" s="287">
        <v>42419.0</v>
      </c>
      <c r="C113" s="288">
        <f t="shared" si="1"/>
        <v>50</v>
      </c>
      <c r="D113" s="289">
        <f t="shared" si="2"/>
        <v>1.639344262</v>
      </c>
      <c r="E113" s="290">
        <f t="shared" si="3"/>
        <v>2</v>
      </c>
      <c r="F113" s="290" t="s">
        <v>729</v>
      </c>
      <c r="G113" s="291">
        <v>-0.05467770354842727</v>
      </c>
      <c r="H113" s="296">
        <v>-1.0</v>
      </c>
      <c r="I113" s="293">
        <v>11.1</v>
      </c>
      <c r="J113" s="294">
        <v>-3.2824618397074367E-4</v>
      </c>
    </row>
    <row r="114">
      <c r="A114" t="s">
        <v>716</v>
      </c>
      <c r="B114" s="287">
        <v>42786.0</v>
      </c>
      <c r="C114" s="288">
        <f t="shared" si="1"/>
        <v>51</v>
      </c>
      <c r="D114" s="289">
        <f t="shared" si="2"/>
        <v>1.672131148</v>
      </c>
      <c r="E114" s="290">
        <f t="shared" si="3"/>
        <v>2</v>
      </c>
      <c r="F114" s="290" t="s">
        <v>729</v>
      </c>
      <c r="G114" s="291">
        <v>-0.010202563172493573</v>
      </c>
      <c r="H114" s="296">
        <v>-1.0</v>
      </c>
      <c r="I114" s="293">
        <v>11.2</v>
      </c>
      <c r="J114" s="294">
        <v>0.0064946381075486155</v>
      </c>
    </row>
    <row r="115">
      <c r="A115" t="s">
        <v>716</v>
      </c>
      <c r="B115" s="287">
        <v>42420.0</v>
      </c>
      <c r="C115" s="288">
        <f t="shared" si="1"/>
        <v>51</v>
      </c>
      <c r="D115" s="289">
        <f t="shared" si="2"/>
        <v>1.672131148</v>
      </c>
      <c r="E115" s="290">
        <f t="shared" si="3"/>
        <v>2</v>
      </c>
      <c r="F115" s="290" t="s">
        <v>729</v>
      </c>
      <c r="G115" s="291">
        <v>-0.019600840466886926</v>
      </c>
      <c r="H115" s="296">
        <v>-1.0</v>
      </c>
      <c r="I115" s="293">
        <v>11.3</v>
      </c>
      <c r="J115" s="294">
        <v>-0.010529403937410461</v>
      </c>
    </row>
    <row r="116">
      <c r="A116" t="s">
        <v>108</v>
      </c>
      <c r="B116" s="287">
        <v>42420.0</v>
      </c>
      <c r="C116" s="288">
        <f t="shared" si="1"/>
        <v>51</v>
      </c>
      <c r="D116" s="289">
        <f t="shared" si="2"/>
        <v>1.672131148</v>
      </c>
      <c r="E116" s="290">
        <f t="shared" si="3"/>
        <v>2</v>
      </c>
      <c r="F116" s="290" t="s">
        <v>729</v>
      </c>
      <c r="G116" s="291">
        <v>-0.05206276338889204</v>
      </c>
      <c r="H116" s="296">
        <v>-1.0</v>
      </c>
      <c r="I116" s="293">
        <v>11.4</v>
      </c>
      <c r="J116" s="294">
        <v>-0.008485176350167371</v>
      </c>
    </row>
    <row r="117">
      <c r="A117" t="s">
        <v>767</v>
      </c>
      <c r="B117" s="287">
        <v>42420.0</v>
      </c>
      <c r="C117" s="288">
        <f t="shared" si="1"/>
        <v>51</v>
      </c>
      <c r="D117" s="289">
        <f t="shared" si="2"/>
        <v>1.672131148</v>
      </c>
      <c r="E117" s="290">
        <f t="shared" si="3"/>
        <v>2</v>
      </c>
      <c r="F117" s="290" t="s">
        <v>729</v>
      </c>
      <c r="G117" s="291">
        <v>-0.003043502242056406</v>
      </c>
      <c r="H117" s="296">
        <v>0.0</v>
      </c>
      <c r="I117" s="293">
        <v>11.5</v>
      </c>
      <c r="J117" s="294">
        <v>-0.009180128538226433</v>
      </c>
    </row>
    <row r="118">
      <c r="A118" t="s">
        <v>724</v>
      </c>
      <c r="B118" s="287">
        <v>42055.0</v>
      </c>
      <c r="C118" s="288">
        <f t="shared" si="1"/>
        <v>51</v>
      </c>
      <c r="D118" s="289">
        <f t="shared" si="2"/>
        <v>1.672131148</v>
      </c>
      <c r="E118" s="290">
        <f t="shared" si="3"/>
        <v>2</v>
      </c>
      <c r="F118" s="290" t="s">
        <v>729</v>
      </c>
      <c r="G118" s="291">
        <v>0.0225202534670792</v>
      </c>
      <c r="H118" s="296">
        <v>1.0</v>
      </c>
      <c r="I118" s="293">
        <v>11.6</v>
      </c>
      <c r="J118" s="294">
        <v>-0.007710953906743392</v>
      </c>
    </row>
    <row r="119">
      <c r="A119" t="s">
        <v>93</v>
      </c>
      <c r="B119" s="287">
        <v>42055.0</v>
      </c>
      <c r="C119" s="288">
        <f t="shared" si="1"/>
        <v>51</v>
      </c>
      <c r="D119" s="289">
        <f t="shared" si="2"/>
        <v>1.672131148</v>
      </c>
      <c r="E119" s="290">
        <f t="shared" si="3"/>
        <v>2</v>
      </c>
      <c r="F119" s="290" t="s">
        <v>729</v>
      </c>
      <c r="G119" s="291">
        <v>-0.012336990851653185</v>
      </c>
      <c r="H119" s="296">
        <v>-1.0</v>
      </c>
      <c r="I119" s="293">
        <v>11.7</v>
      </c>
      <c r="J119" s="294">
        <v>0.005017492498838483</v>
      </c>
    </row>
    <row r="120">
      <c r="A120" t="s">
        <v>790</v>
      </c>
      <c r="B120" s="287">
        <v>42056.0</v>
      </c>
      <c r="C120" s="288">
        <f t="shared" si="1"/>
        <v>52</v>
      </c>
      <c r="D120" s="289">
        <f t="shared" si="2"/>
        <v>1.704918033</v>
      </c>
      <c r="E120" s="290">
        <f t="shared" si="3"/>
        <v>2</v>
      </c>
      <c r="F120" s="290" t="s">
        <v>729</v>
      </c>
      <c r="G120" s="291">
        <v>0.006716485141011752</v>
      </c>
      <c r="H120" s="296">
        <v>0.0</v>
      </c>
      <c r="I120" s="293">
        <v>11.8</v>
      </c>
      <c r="J120" s="294">
        <v>0.006692128460857279</v>
      </c>
    </row>
    <row r="121">
      <c r="A121" t="s">
        <v>791</v>
      </c>
      <c r="B121" s="287">
        <v>42422.0</v>
      </c>
      <c r="C121" s="288">
        <f t="shared" si="1"/>
        <v>53</v>
      </c>
      <c r="D121" s="289">
        <f t="shared" si="2"/>
        <v>1.737704918</v>
      </c>
      <c r="E121" s="290">
        <f t="shared" si="3"/>
        <v>2</v>
      </c>
      <c r="F121" s="290" t="s">
        <v>729</v>
      </c>
      <c r="G121" s="291">
        <v>-0.001381396787394129</v>
      </c>
      <c r="H121" s="296">
        <v>0.0</v>
      </c>
      <c r="I121" s="293">
        <v>11.9</v>
      </c>
      <c r="J121" s="294">
        <v>-0.0035649084601210995</v>
      </c>
    </row>
    <row r="122">
      <c r="A122" t="s">
        <v>769</v>
      </c>
      <c r="B122" s="287">
        <v>42423.0</v>
      </c>
      <c r="C122" s="288">
        <f t="shared" si="1"/>
        <v>54</v>
      </c>
      <c r="D122" s="289">
        <f t="shared" si="2"/>
        <v>1.770491803</v>
      </c>
      <c r="E122" s="290">
        <f t="shared" si="3"/>
        <v>2</v>
      </c>
      <c r="F122" s="290" t="s">
        <v>729</v>
      </c>
      <c r="G122" s="291">
        <v>0.009119604577880525</v>
      </c>
      <c r="H122" s="296">
        <v>0.0</v>
      </c>
      <c r="I122" s="293">
        <v>12.0</v>
      </c>
      <c r="J122" s="294">
        <v>0.010417415484599164</v>
      </c>
    </row>
    <row r="123">
      <c r="A123" t="s">
        <v>742</v>
      </c>
      <c r="B123" s="287">
        <v>42058.0</v>
      </c>
      <c r="C123" s="288">
        <f t="shared" si="1"/>
        <v>54</v>
      </c>
      <c r="D123" s="289">
        <f t="shared" si="2"/>
        <v>1.770491803</v>
      </c>
      <c r="E123" s="290">
        <f t="shared" si="3"/>
        <v>2</v>
      </c>
      <c r="F123" s="290" t="s">
        <v>729</v>
      </c>
      <c r="G123" s="291">
        <v>0.005503388028213707</v>
      </c>
      <c r="H123" s="296">
        <v>0.0</v>
      </c>
      <c r="I123" s="293"/>
    </row>
    <row r="124">
      <c r="A124" t="s">
        <v>731</v>
      </c>
      <c r="B124" s="287">
        <v>42060.0</v>
      </c>
      <c r="C124" s="288">
        <f t="shared" si="1"/>
        <v>56</v>
      </c>
      <c r="D124" s="289">
        <f t="shared" si="2"/>
        <v>1.836065574</v>
      </c>
      <c r="E124" s="290">
        <f t="shared" si="3"/>
        <v>2</v>
      </c>
      <c r="F124" s="290" t="s">
        <v>729</v>
      </c>
      <c r="G124" s="291">
        <v>-0.004401485045881448</v>
      </c>
      <c r="H124" s="296">
        <v>0.0</v>
      </c>
      <c r="I124" s="293"/>
    </row>
    <row r="125">
      <c r="A125" t="s">
        <v>766</v>
      </c>
      <c r="B125" s="287">
        <v>42793.0</v>
      </c>
      <c r="C125" s="288">
        <f t="shared" si="1"/>
        <v>58</v>
      </c>
      <c r="D125" s="289">
        <f t="shared" si="2"/>
        <v>1.901639344</v>
      </c>
      <c r="E125" s="290">
        <f t="shared" si="3"/>
        <v>2</v>
      </c>
      <c r="F125" s="290" t="s">
        <v>729</v>
      </c>
      <c r="G125" s="291">
        <v>-0.02270681325605306</v>
      </c>
      <c r="H125" s="296">
        <v>-1.0</v>
      </c>
      <c r="I125" s="293"/>
    </row>
    <row r="126">
      <c r="A126" t="s">
        <v>792</v>
      </c>
      <c r="B126" s="287">
        <v>42427.0</v>
      </c>
      <c r="C126" s="288">
        <f t="shared" si="1"/>
        <v>58</v>
      </c>
      <c r="D126" s="289">
        <f t="shared" si="2"/>
        <v>1.901639344</v>
      </c>
      <c r="E126" s="290">
        <f t="shared" si="3"/>
        <v>2</v>
      </c>
      <c r="F126" s="290" t="s">
        <v>729</v>
      </c>
      <c r="G126" s="291">
        <v>-0.0327121746616873</v>
      </c>
      <c r="H126" s="296">
        <v>-1.0</v>
      </c>
      <c r="I126" s="293"/>
    </row>
    <row r="127">
      <c r="A127" t="s">
        <v>793</v>
      </c>
      <c r="B127" s="287">
        <v>42427.0</v>
      </c>
      <c r="C127" s="288">
        <f t="shared" si="1"/>
        <v>58</v>
      </c>
      <c r="D127" s="289">
        <f t="shared" si="2"/>
        <v>1.901639344</v>
      </c>
      <c r="E127" s="290">
        <f t="shared" si="3"/>
        <v>2</v>
      </c>
      <c r="F127" s="290" t="s">
        <v>729</v>
      </c>
      <c r="G127" s="291">
        <v>-0.004673699756108096</v>
      </c>
      <c r="H127" s="296">
        <v>0.0</v>
      </c>
      <c r="I127" s="293"/>
    </row>
    <row r="128">
      <c r="A128" t="s">
        <v>742</v>
      </c>
      <c r="B128" s="287">
        <v>42427.0</v>
      </c>
      <c r="C128" s="288">
        <f t="shared" si="1"/>
        <v>58</v>
      </c>
      <c r="D128" s="289">
        <f t="shared" si="2"/>
        <v>1.901639344</v>
      </c>
      <c r="E128" s="290">
        <f t="shared" si="3"/>
        <v>2</v>
      </c>
      <c r="F128" s="290" t="s">
        <v>729</v>
      </c>
      <c r="G128" s="291">
        <v>-0.027865743033618995</v>
      </c>
      <c r="H128" s="296">
        <v>-1.0</v>
      </c>
      <c r="I128" s="293"/>
    </row>
    <row r="129">
      <c r="A129" t="s">
        <v>794</v>
      </c>
      <c r="B129" s="287">
        <v>42794.0</v>
      </c>
      <c r="C129" s="288">
        <f t="shared" si="1"/>
        <v>59</v>
      </c>
      <c r="D129" s="289">
        <f t="shared" si="2"/>
        <v>1.93442623</v>
      </c>
      <c r="E129" s="290">
        <f t="shared" si="3"/>
        <v>2</v>
      </c>
      <c r="F129" s="290" t="s">
        <v>729</v>
      </c>
      <c r="G129" s="291">
        <v>-0.05653488758630787</v>
      </c>
      <c r="H129" s="296">
        <v>-1.0</v>
      </c>
      <c r="I129" s="293"/>
    </row>
    <row r="130">
      <c r="A130" t="s">
        <v>795</v>
      </c>
      <c r="B130" s="287">
        <v>42794.0</v>
      </c>
      <c r="C130" s="288">
        <f t="shared" si="1"/>
        <v>59</v>
      </c>
      <c r="D130" s="289">
        <f t="shared" si="2"/>
        <v>1.93442623</v>
      </c>
      <c r="E130" s="290">
        <f t="shared" si="3"/>
        <v>2</v>
      </c>
      <c r="F130" s="290" t="s">
        <v>729</v>
      </c>
      <c r="G130" s="291">
        <v>0.009530578155581226</v>
      </c>
      <c r="H130" s="296">
        <v>0.0</v>
      </c>
      <c r="I130" s="293"/>
    </row>
    <row r="131">
      <c r="A131" t="s">
        <v>742</v>
      </c>
      <c r="B131" s="287">
        <v>42428.0</v>
      </c>
      <c r="C131" s="288">
        <f t="shared" si="1"/>
        <v>59</v>
      </c>
      <c r="D131" s="289">
        <f t="shared" si="2"/>
        <v>1.93442623</v>
      </c>
      <c r="E131" s="290">
        <f t="shared" si="3"/>
        <v>2</v>
      </c>
      <c r="F131" s="290" t="s">
        <v>729</v>
      </c>
      <c r="G131" s="291">
        <v>-0.02517929898945437</v>
      </c>
      <c r="H131" s="296">
        <v>-1.0</v>
      </c>
      <c r="I131" s="293"/>
    </row>
    <row r="132">
      <c r="A132" t="s">
        <v>796</v>
      </c>
      <c r="B132" s="287">
        <v>42428.0</v>
      </c>
      <c r="C132" s="288">
        <f t="shared" si="1"/>
        <v>59</v>
      </c>
      <c r="D132" s="289">
        <f t="shared" si="2"/>
        <v>1.93442623</v>
      </c>
      <c r="E132" s="290">
        <f t="shared" si="3"/>
        <v>2</v>
      </c>
      <c r="F132" s="290" t="s">
        <v>729</v>
      </c>
      <c r="G132" s="291">
        <v>0.004525840881154153</v>
      </c>
      <c r="H132" s="296">
        <v>0.0</v>
      </c>
      <c r="I132" s="293"/>
    </row>
    <row r="133">
      <c r="A133" t="s">
        <v>772</v>
      </c>
      <c r="B133" s="287">
        <v>42063.0</v>
      </c>
      <c r="C133" s="288">
        <f t="shared" si="1"/>
        <v>59</v>
      </c>
      <c r="D133" s="289">
        <f t="shared" si="2"/>
        <v>1.93442623</v>
      </c>
      <c r="E133" s="290">
        <f t="shared" si="3"/>
        <v>2</v>
      </c>
      <c r="F133" s="290" t="s">
        <v>729</v>
      </c>
      <c r="G133" s="291">
        <v>-8.737014146970035E-4</v>
      </c>
      <c r="H133" s="296">
        <v>0.0</v>
      </c>
      <c r="I133" s="293"/>
    </row>
    <row r="134">
      <c r="A134" t="s">
        <v>277</v>
      </c>
      <c r="B134" s="287">
        <v>42063.0</v>
      </c>
      <c r="C134" s="288">
        <f t="shared" si="1"/>
        <v>59</v>
      </c>
      <c r="D134" s="289">
        <f t="shared" si="2"/>
        <v>1.93442623</v>
      </c>
      <c r="E134" s="290">
        <f t="shared" si="3"/>
        <v>2</v>
      </c>
      <c r="F134" s="290" t="s">
        <v>729</v>
      </c>
      <c r="G134" s="291">
        <v>-0.009053079289426336</v>
      </c>
      <c r="H134" s="296">
        <v>0.0</v>
      </c>
      <c r="I134" s="293"/>
    </row>
    <row r="135">
      <c r="A135" t="s">
        <v>427</v>
      </c>
      <c r="B135" s="287">
        <v>42795.0</v>
      </c>
      <c r="C135" s="288">
        <f t="shared" si="1"/>
        <v>60</v>
      </c>
      <c r="D135" s="289">
        <f t="shared" si="2"/>
        <v>1.967213115</v>
      </c>
      <c r="E135" s="290">
        <f t="shared" si="3"/>
        <v>2</v>
      </c>
      <c r="F135" s="290" t="s">
        <v>729</v>
      </c>
      <c r="G135" s="291">
        <v>-0.01039265091917585</v>
      </c>
      <c r="H135" s="296">
        <v>-1.0</v>
      </c>
      <c r="I135" s="293"/>
    </row>
    <row r="136">
      <c r="A136" t="s">
        <v>797</v>
      </c>
      <c r="B136" s="287">
        <v>42795.0</v>
      </c>
      <c r="C136" s="288">
        <f t="shared" si="1"/>
        <v>60</v>
      </c>
      <c r="D136" s="289">
        <f t="shared" si="2"/>
        <v>1.967213115</v>
      </c>
      <c r="E136" s="290">
        <f t="shared" si="3"/>
        <v>2</v>
      </c>
      <c r="F136" s="290" t="s">
        <v>729</v>
      </c>
      <c r="G136" s="291">
        <v>0.04881950036363658</v>
      </c>
      <c r="H136" s="296">
        <v>1.0</v>
      </c>
      <c r="I136" s="293"/>
    </row>
    <row r="137">
      <c r="A137" t="s">
        <v>787</v>
      </c>
      <c r="B137" s="287">
        <v>42064.0</v>
      </c>
      <c r="C137" s="288">
        <f t="shared" si="1"/>
        <v>60</v>
      </c>
      <c r="D137" s="289">
        <f t="shared" si="2"/>
        <v>1.967213115</v>
      </c>
      <c r="E137" s="290">
        <f t="shared" si="3"/>
        <v>2</v>
      </c>
      <c r="F137" s="290" t="s">
        <v>729</v>
      </c>
      <c r="G137" s="291">
        <v>0.012118555646951301</v>
      </c>
      <c r="H137" s="296">
        <v>1.0</v>
      </c>
      <c r="I137" s="293"/>
    </row>
    <row r="138">
      <c r="A138" t="s">
        <v>777</v>
      </c>
      <c r="B138" s="287">
        <v>42796.0</v>
      </c>
      <c r="C138" s="288">
        <f t="shared" si="1"/>
        <v>61</v>
      </c>
      <c r="D138" s="289">
        <f t="shared" si="2"/>
        <v>2</v>
      </c>
      <c r="E138" s="290">
        <f t="shared" si="3"/>
        <v>2</v>
      </c>
      <c r="F138" s="290" t="s">
        <v>729</v>
      </c>
      <c r="G138" s="291">
        <v>0.02150104994576485</v>
      </c>
      <c r="H138" s="296">
        <v>1.0</v>
      </c>
      <c r="I138" s="293"/>
    </row>
    <row r="139">
      <c r="A139" t="s">
        <v>746</v>
      </c>
      <c r="B139" s="287">
        <v>42065.0</v>
      </c>
      <c r="C139" s="288">
        <f t="shared" si="1"/>
        <v>61</v>
      </c>
      <c r="D139" s="289">
        <f t="shared" si="2"/>
        <v>2</v>
      </c>
      <c r="E139" s="290">
        <f t="shared" si="3"/>
        <v>2</v>
      </c>
      <c r="F139" s="290" t="s">
        <v>729</v>
      </c>
      <c r="G139" s="291">
        <v>0.007167605166240265</v>
      </c>
      <c r="H139" s="296">
        <v>0.0</v>
      </c>
      <c r="I139" s="293"/>
    </row>
    <row r="140">
      <c r="A140" t="s">
        <v>723</v>
      </c>
      <c r="B140" s="287">
        <v>42797.0</v>
      </c>
      <c r="C140" s="288">
        <f t="shared" si="1"/>
        <v>62</v>
      </c>
      <c r="D140" s="289">
        <f t="shared" si="2"/>
        <v>2.032786885</v>
      </c>
      <c r="E140" s="290">
        <f t="shared" si="3"/>
        <v>3</v>
      </c>
      <c r="F140" s="290" t="s">
        <v>730</v>
      </c>
      <c r="G140" s="291">
        <v>0.022527838818338197</v>
      </c>
      <c r="H140" s="296">
        <v>1.0</v>
      </c>
      <c r="I140" s="293"/>
    </row>
    <row r="141">
      <c r="A141" t="s">
        <v>713</v>
      </c>
      <c r="B141" s="287">
        <v>42797.0</v>
      </c>
      <c r="C141" s="288">
        <f t="shared" si="1"/>
        <v>62</v>
      </c>
      <c r="D141" s="289">
        <f t="shared" si="2"/>
        <v>2.032786885</v>
      </c>
      <c r="E141" s="290">
        <f t="shared" si="3"/>
        <v>3</v>
      </c>
      <c r="F141" s="290" t="s">
        <v>730</v>
      </c>
      <c r="G141" s="291">
        <v>5.517047926817398E-5</v>
      </c>
      <c r="H141" s="296">
        <v>0.0</v>
      </c>
      <c r="I141" s="293"/>
    </row>
    <row r="142">
      <c r="A142" t="s">
        <v>798</v>
      </c>
      <c r="B142" s="287">
        <v>42797.0</v>
      </c>
      <c r="C142" s="288">
        <f t="shared" si="1"/>
        <v>62</v>
      </c>
      <c r="D142" s="289">
        <f t="shared" si="2"/>
        <v>2.032786885</v>
      </c>
      <c r="E142" s="290">
        <f t="shared" si="3"/>
        <v>3</v>
      </c>
      <c r="F142" s="290" t="s">
        <v>730</v>
      </c>
      <c r="G142" s="291">
        <v>-0.01837609482424918</v>
      </c>
      <c r="H142" s="296">
        <v>-1.0</v>
      </c>
      <c r="I142" s="293"/>
    </row>
    <row r="143">
      <c r="A143" t="s">
        <v>799</v>
      </c>
      <c r="B143" s="287">
        <v>42797.0</v>
      </c>
      <c r="C143" s="288">
        <f t="shared" si="1"/>
        <v>62</v>
      </c>
      <c r="D143" s="289">
        <f t="shared" si="2"/>
        <v>2.032786885</v>
      </c>
      <c r="E143" s="290">
        <f t="shared" si="3"/>
        <v>3</v>
      </c>
      <c r="F143" s="290" t="s">
        <v>730</v>
      </c>
      <c r="G143" s="291">
        <v>0.012136413720360006</v>
      </c>
      <c r="H143" s="296">
        <v>1.0</v>
      </c>
      <c r="I143" s="293"/>
    </row>
    <row r="144">
      <c r="A144" t="s">
        <v>800</v>
      </c>
      <c r="B144" s="287">
        <v>42431.0</v>
      </c>
      <c r="C144" s="288">
        <f t="shared" si="1"/>
        <v>62</v>
      </c>
      <c r="D144" s="289">
        <f t="shared" si="2"/>
        <v>2.032786885</v>
      </c>
      <c r="E144" s="290">
        <f t="shared" si="3"/>
        <v>3</v>
      </c>
      <c r="F144" s="290" t="s">
        <v>730</v>
      </c>
      <c r="G144" s="291">
        <v>0.011027732709224858</v>
      </c>
      <c r="H144" s="296">
        <v>1.0</v>
      </c>
      <c r="I144" s="293"/>
    </row>
    <row r="145">
      <c r="A145" t="s">
        <v>801</v>
      </c>
      <c r="B145" s="287">
        <v>42433.0</v>
      </c>
      <c r="C145" s="288">
        <f t="shared" si="1"/>
        <v>64</v>
      </c>
      <c r="D145" s="289">
        <f t="shared" si="2"/>
        <v>2.098360656</v>
      </c>
      <c r="E145" s="290">
        <f t="shared" si="3"/>
        <v>3</v>
      </c>
      <c r="F145" s="290" t="s">
        <v>730</v>
      </c>
      <c r="G145" s="291">
        <v>0.003934480143051866</v>
      </c>
      <c r="H145" s="296">
        <v>0.0</v>
      </c>
      <c r="I145" s="293"/>
    </row>
    <row r="146">
      <c r="A146" t="s">
        <v>711</v>
      </c>
      <c r="B146" s="287">
        <v>42433.0</v>
      </c>
      <c r="C146" s="288">
        <f t="shared" si="1"/>
        <v>64</v>
      </c>
      <c r="D146" s="289">
        <f t="shared" si="2"/>
        <v>2.098360656</v>
      </c>
      <c r="E146" s="290">
        <f t="shared" si="3"/>
        <v>3</v>
      </c>
      <c r="F146" s="290" t="s">
        <v>730</v>
      </c>
      <c r="G146" s="291">
        <v>-0.026209616653591228</v>
      </c>
      <c r="H146" s="296">
        <v>-1.0</v>
      </c>
      <c r="I146" s="293"/>
    </row>
    <row r="147">
      <c r="A147" t="s">
        <v>802</v>
      </c>
      <c r="B147" s="287">
        <v>42433.0</v>
      </c>
      <c r="C147" s="288">
        <f t="shared" si="1"/>
        <v>64</v>
      </c>
      <c r="D147" s="289">
        <f t="shared" si="2"/>
        <v>2.098360656</v>
      </c>
      <c r="E147" s="290">
        <f t="shared" si="3"/>
        <v>3</v>
      </c>
      <c r="F147" s="290" t="s">
        <v>730</v>
      </c>
      <c r="G147" s="291">
        <v>-0.007718630814747662</v>
      </c>
      <c r="H147" s="296">
        <v>0.0</v>
      </c>
      <c r="I147" s="293"/>
    </row>
    <row r="148">
      <c r="A148" t="s">
        <v>709</v>
      </c>
      <c r="B148" s="287">
        <v>42068.0</v>
      </c>
      <c r="C148" s="288">
        <f t="shared" si="1"/>
        <v>64</v>
      </c>
      <c r="D148" s="289">
        <f t="shared" si="2"/>
        <v>2.098360656</v>
      </c>
      <c r="E148" s="290">
        <f t="shared" si="3"/>
        <v>3</v>
      </c>
      <c r="F148" s="290" t="s">
        <v>730</v>
      </c>
      <c r="G148" s="291">
        <v>0.019232301513215866</v>
      </c>
      <c r="H148" s="296">
        <v>1.0</v>
      </c>
      <c r="I148" s="293"/>
    </row>
    <row r="149">
      <c r="A149" t="s">
        <v>803</v>
      </c>
      <c r="B149" s="287">
        <v>42434.0</v>
      </c>
      <c r="C149" s="288">
        <f t="shared" si="1"/>
        <v>65</v>
      </c>
      <c r="D149" s="289">
        <f t="shared" si="2"/>
        <v>2.131147541</v>
      </c>
      <c r="E149" s="290">
        <f t="shared" si="3"/>
        <v>3</v>
      </c>
      <c r="F149" s="290" t="s">
        <v>730</v>
      </c>
      <c r="G149" s="291">
        <v>-0.025700092189185786</v>
      </c>
      <c r="H149" s="296">
        <v>-1.0</v>
      </c>
      <c r="I149" s="293"/>
    </row>
    <row r="150">
      <c r="A150" t="s">
        <v>214</v>
      </c>
      <c r="B150" s="287">
        <v>42069.0</v>
      </c>
      <c r="C150" s="288">
        <f t="shared" si="1"/>
        <v>65</v>
      </c>
      <c r="D150" s="289">
        <f t="shared" si="2"/>
        <v>2.131147541</v>
      </c>
      <c r="E150" s="290">
        <f t="shared" si="3"/>
        <v>3</v>
      </c>
      <c r="F150" s="290" t="s">
        <v>730</v>
      </c>
      <c r="G150" s="291">
        <v>-0.0013192592101677336</v>
      </c>
      <c r="H150" s="296">
        <v>0.0</v>
      </c>
      <c r="I150" s="293"/>
    </row>
    <row r="151">
      <c r="A151" t="s">
        <v>719</v>
      </c>
      <c r="B151" s="287">
        <v>42070.0</v>
      </c>
      <c r="C151" s="288">
        <f t="shared" si="1"/>
        <v>66</v>
      </c>
      <c r="D151" s="289">
        <f t="shared" si="2"/>
        <v>2.163934426</v>
      </c>
      <c r="E151" s="290">
        <f t="shared" si="3"/>
        <v>3</v>
      </c>
      <c r="F151" s="290" t="s">
        <v>730</v>
      </c>
      <c r="G151" s="291">
        <v>-0.0037013319187375604</v>
      </c>
      <c r="H151" s="296">
        <v>0.0</v>
      </c>
      <c r="I151" s="293"/>
    </row>
    <row r="152">
      <c r="A152" t="s">
        <v>804</v>
      </c>
      <c r="B152" s="287">
        <v>42802.0</v>
      </c>
      <c r="C152" s="288">
        <f t="shared" si="1"/>
        <v>67</v>
      </c>
      <c r="D152" s="289">
        <f t="shared" si="2"/>
        <v>2.196721311</v>
      </c>
      <c r="E152" s="290">
        <f t="shared" si="3"/>
        <v>3</v>
      </c>
      <c r="F152" s="290" t="s">
        <v>730</v>
      </c>
      <c r="G152" s="291">
        <v>0.045174027848092435</v>
      </c>
      <c r="H152" s="296">
        <v>1.0</v>
      </c>
      <c r="I152" s="293"/>
    </row>
    <row r="153">
      <c r="A153" t="s">
        <v>805</v>
      </c>
      <c r="B153" s="287">
        <v>42802.0</v>
      </c>
      <c r="C153" s="288">
        <f t="shared" si="1"/>
        <v>67</v>
      </c>
      <c r="D153" s="289">
        <f t="shared" si="2"/>
        <v>2.196721311</v>
      </c>
      <c r="E153" s="290">
        <f t="shared" si="3"/>
        <v>3</v>
      </c>
      <c r="F153" s="290" t="s">
        <v>730</v>
      </c>
      <c r="G153" s="291">
        <v>-0.03366942184441879</v>
      </c>
      <c r="H153" s="296">
        <v>-1.0</v>
      </c>
      <c r="I153" s="293"/>
    </row>
    <row r="154">
      <c r="A154" t="s">
        <v>805</v>
      </c>
      <c r="B154" s="287">
        <v>42436.0</v>
      </c>
      <c r="C154" s="288">
        <f t="shared" si="1"/>
        <v>67</v>
      </c>
      <c r="D154" s="289">
        <f t="shared" si="2"/>
        <v>2.196721311</v>
      </c>
      <c r="E154" s="290">
        <f t="shared" si="3"/>
        <v>3</v>
      </c>
      <c r="F154" s="290" t="s">
        <v>730</v>
      </c>
      <c r="G154" s="291">
        <v>-0.03813223077702477</v>
      </c>
      <c r="H154" s="296">
        <v>-1.0</v>
      </c>
      <c r="I154" s="293"/>
    </row>
    <row r="155">
      <c r="A155" t="s">
        <v>806</v>
      </c>
      <c r="B155" s="287">
        <v>42803.0</v>
      </c>
      <c r="C155" s="288">
        <f t="shared" si="1"/>
        <v>68</v>
      </c>
      <c r="D155" s="289">
        <f t="shared" si="2"/>
        <v>2.229508197</v>
      </c>
      <c r="E155" s="290">
        <f t="shared" si="3"/>
        <v>3</v>
      </c>
      <c r="F155" s="290" t="s">
        <v>730</v>
      </c>
      <c r="G155" s="291">
        <v>0.01169410147770944</v>
      </c>
      <c r="H155" s="296">
        <v>1.0</v>
      </c>
      <c r="I155" s="293"/>
    </row>
    <row r="156">
      <c r="A156" t="s">
        <v>573</v>
      </c>
      <c r="B156" s="287">
        <v>42437.0</v>
      </c>
      <c r="C156" s="288">
        <f t="shared" si="1"/>
        <v>68</v>
      </c>
      <c r="D156" s="289">
        <f t="shared" si="2"/>
        <v>2.229508197</v>
      </c>
      <c r="E156" s="290">
        <f t="shared" si="3"/>
        <v>3</v>
      </c>
      <c r="F156" s="290" t="s">
        <v>730</v>
      </c>
      <c r="G156" s="291">
        <v>-0.010100848599962964</v>
      </c>
      <c r="H156" s="296">
        <v>-1.0</v>
      </c>
      <c r="I156" s="293"/>
    </row>
    <row r="157">
      <c r="A157" t="s">
        <v>807</v>
      </c>
      <c r="B157" s="287">
        <v>42072.0</v>
      </c>
      <c r="C157" s="288">
        <f t="shared" si="1"/>
        <v>68</v>
      </c>
      <c r="D157" s="289">
        <f t="shared" si="2"/>
        <v>2.229508197</v>
      </c>
      <c r="E157" s="290">
        <f t="shared" si="3"/>
        <v>3</v>
      </c>
      <c r="F157" s="290" t="s">
        <v>730</v>
      </c>
      <c r="G157" s="291">
        <v>-0.003521099315084486</v>
      </c>
      <c r="H157" s="296">
        <v>0.0</v>
      </c>
      <c r="I157" s="293"/>
    </row>
    <row r="158">
      <c r="A158" t="s">
        <v>715</v>
      </c>
      <c r="B158" s="287">
        <v>42438.0</v>
      </c>
      <c r="C158" s="288">
        <f t="shared" si="1"/>
        <v>69</v>
      </c>
      <c r="D158" s="289">
        <f t="shared" si="2"/>
        <v>2.262295082</v>
      </c>
      <c r="E158" s="290">
        <f t="shared" si="3"/>
        <v>3</v>
      </c>
      <c r="F158" s="290" t="s">
        <v>730</v>
      </c>
      <c r="G158" s="291">
        <v>-0.012093139876456438</v>
      </c>
      <c r="H158" s="296">
        <v>-1.0</v>
      </c>
      <c r="I158" s="293"/>
    </row>
    <row r="159">
      <c r="A159" t="s">
        <v>808</v>
      </c>
      <c r="B159" s="287">
        <v>42438.0</v>
      </c>
      <c r="C159" s="288">
        <f t="shared" si="1"/>
        <v>69</v>
      </c>
      <c r="D159" s="289">
        <f t="shared" si="2"/>
        <v>2.262295082</v>
      </c>
      <c r="E159" s="290">
        <f t="shared" si="3"/>
        <v>3</v>
      </c>
      <c r="F159" s="290" t="s">
        <v>730</v>
      </c>
      <c r="G159" s="291">
        <v>-0.01807244781475592</v>
      </c>
      <c r="H159" s="296">
        <v>-1.0</v>
      </c>
      <c r="I159" s="293"/>
    </row>
    <row r="160">
      <c r="A160" t="s">
        <v>108</v>
      </c>
      <c r="B160" s="287">
        <v>42805.0</v>
      </c>
      <c r="C160" s="288">
        <f t="shared" si="1"/>
        <v>70</v>
      </c>
      <c r="D160" s="289">
        <f t="shared" si="2"/>
        <v>2.295081967</v>
      </c>
      <c r="E160" s="290">
        <f t="shared" si="3"/>
        <v>3</v>
      </c>
      <c r="F160" s="290" t="s">
        <v>730</v>
      </c>
      <c r="G160" s="291">
        <v>-0.009060001151846353</v>
      </c>
      <c r="H160" s="296">
        <v>0.0</v>
      </c>
      <c r="I160" s="293"/>
    </row>
    <row r="161">
      <c r="A161" t="s">
        <v>809</v>
      </c>
      <c r="B161" s="287">
        <v>42440.0</v>
      </c>
      <c r="C161" s="288">
        <f t="shared" si="1"/>
        <v>71</v>
      </c>
      <c r="D161" s="289">
        <f t="shared" si="2"/>
        <v>2.327868852</v>
      </c>
      <c r="E161" s="290">
        <f t="shared" si="3"/>
        <v>3</v>
      </c>
      <c r="F161" s="290" t="s">
        <v>730</v>
      </c>
      <c r="G161" s="291">
        <v>0.026696407917806364</v>
      </c>
      <c r="H161" s="296">
        <v>1.0</v>
      </c>
      <c r="I161" s="293"/>
    </row>
    <row r="162">
      <c r="A162" t="s">
        <v>810</v>
      </c>
      <c r="B162" s="287">
        <v>42440.0</v>
      </c>
      <c r="C162" s="288">
        <f t="shared" si="1"/>
        <v>71</v>
      </c>
      <c r="D162" s="289">
        <f t="shared" si="2"/>
        <v>2.327868852</v>
      </c>
      <c r="E162" s="290">
        <f t="shared" si="3"/>
        <v>3</v>
      </c>
      <c r="F162" s="290" t="s">
        <v>730</v>
      </c>
      <c r="G162" s="291">
        <v>-0.029421289996961475</v>
      </c>
      <c r="H162" s="296">
        <v>-1.0</v>
      </c>
      <c r="I162" s="293"/>
    </row>
    <row r="163">
      <c r="A163" t="s">
        <v>723</v>
      </c>
      <c r="B163" s="287">
        <v>42441.0</v>
      </c>
      <c r="C163" s="288">
        <f t="shared" si="1"/>
        <v>72</v>
      </c>
      <c r="D163" s="289">
        <f t="shared" si="2"/>
        <v>2.360655738</v>
      </c>
      <c r="E163" s="290">
        <f t="shared" si="3"/>
        <v>3</v>
      </c>
      <c r="F163" s="290" t="s">
        <v>730</v>
      </c>
      <c r="G163" s="291">
        <v>0.023449687376527195</v>
      </c>
      <c r="H163" s="296">
        <v>1.0</v>
      </c>
      <c r="I163" s="293"/>
    </row>
    <row r="164">
      <c r="A164" t="s">
        <v>725</v>
      </c>
      <c r="B164" s="287">
        <v>42076.0</v>
      </c>
      <c r="C164" s="288">
        <f t="shared" si="1"/>
        <v>72</v>
      </c>
      <c r="D164" s="289">
        <f t="shared" si="2"/>
        <v>2.360655738</v>
      </c>
      <c r="E164" s="290">
        <f t="shared" si="3"/>
        <v>3</v>
      </c>
      <c r="F164" s="290" t="s">
        <v>730</v>
      </c>
      <c r="G164" s="291">
        <v>0.00803317293052197</v>
      </c>
      <c r="H164" s="296">
        <v>0.0</v>
      </c>
      <c r="I164" s="293"/>
    </row>
    <row r="165">
      <c r="A165" t="s">
        <v>700</v>
      </c>
      <c r="B165" s="287">
        <v>42808.0</v>
      </c>
      <c r="C165" s="288">
        <f t="shared" si="1"/>
        <v>73</v>
      </c>
      <c r="D165" s="289">
        <f t="shared" si="2"/>
        <v>2.393442623</v>
      </c>
      <c r="E165" s="290">
        <f t="shared" si="3"/>
        <v>3</v>
      </c>
      <c r="F165" s="290" t="s">
        <v>730</v>
      </c>
      <c r="G165" s="291">
        <v>0.018460276540660847</v>
      </c>
      <c r="H165" s="296">
        <v>1.0</v>
      </c>
      <c r="I165" s="293"/>
    </row>
    <row r="166">
      <c r="A166" t="s">
        <v>709</v>
      </c>
      <c r="B166" s="287">
        <v>42443.0</v>
      </c>
      <c r="C166" s="288">
        <f t="shared" si="1"/>
        <v>74</v>
      </c>
      <c r="D166" s="289">
        <f t="shared" si="2"/>
        <v>2.426229508</v>
      </c>
      <c r="E166" s="290">
        <f t="shared" si="3"/>
        <v>3</v>
      </c>
      <c r="F166" s="290" t="s">
        <v>730</v>
      </c>
      <c r="G166" s="291">
        <v>0.017735458296345485</v>
      </c>
      <c r="H166" s="296">
        <v>1.0</v>
      </c>
      <c r="I166" s="293"/>
    </row>
    <row r="167">
      <c r="A167" t="s">
        <v>716</v>
      </c>
      <c r="B167" s="287">
        <v>42810.0</v>
      </c>
      <c r="C167" s="288">
        <f t="shared" si="1"/>
        <v>75</v>
      </c>
      <c r="D167" s="289">
        <f t="shared" si="2"/>
        <v>2.459016393</v>
      </c>
      <c r="E167" s="290">
        <f t="shared" si="3"/>
        <v>3</v>
      </c>
      <c r="F167" s="290" t="s">
        <v>730</v>
      </c>
      <c r="G167" s="291">
        <v>-0.017007289276046555</v>
      </c>
      <c r="H167" s="296">
        <v>-1.0</v>
      </c>
      <c r="I167" s="293"/>
    </row>
    <row r="168">
      <c r="A168" t="s">
        <v>811</v>
      </c>
      <c r="B168" s="287">
        <v>42079.0</v>
      </c>
      <c r="C168" s="288">
        <f t="shared" si="1"/>
        <v>75</v>
      </c>
      <c r="D168" s="289">
        <f t="shared" si="2"/>
        <v>2.459016393</v>
      </c>
      <c r="E168" s="290">
        <f t="shared" si="3"/>
        <v>3</v>
      </c>
      <c r="F168" s="290" t="s">
        <v>730</v>
      </c>
      <c r="G168" s="291">
        <v>0.008663243164720558</v>
      </c>
      <c r="H168" s="296">
        <v>0.0</v>
      </c>
      <c r="I168" s="293"/>
    </row>
    <row r="169">
      <c r="A169" t="s">
        <v>787</v>
      </c>
      <c r="B169" s="287">
        <v>42080.0</v>
      </c>
      <c r="C169" s="288">
        <f t="shared" si="1"/>
        <v>76</v>
      </c>
      <c r="D169" s="289">
        <f t="shared" si="2"/>
        <v>2.491803279</v>
      </c>
      <c r="E169" s="290">
        <f t="shared" si="3"/>
        <v>3</v>
      </c>
      <c r="F169" s="290" t="s">
        <v>730</v>
      </c>
      <c r="G169" s="291">
        <v>0.011767755103397004</v>
      </c>
      <c r="H169" s="296">
        <v>1.0</v>
      </c>
      <c r="I169" s="293"/>
    </row>
    <row r="170">
      <c r="A170" t="s">
        <v>812</v>
      </c>
      <c r="B170" s="287">
        <v>42812.0</v>
      </c>
      <c r="C170" s="288">
        <f t="shared" si="1"/>
        <v>77</v>
      </c>
      <c r="D170" s="289">
        <f t="shared" si="2"/>
        <v>2.524590164</v>
      </c>
      <c r="E170" s="290">
        <f t="shared" si="3"/>
        <v>3</v>
      </c>
      <c r="F170" s="290" t="s">
        <v>730</v>
      </c>
      <c r="G170" s="291">
        <v>0.011548613677939468</v>
      </c>
      <c r="H170" s="296">
        <v>1.0</v>
      </c>
      <c r="I170" s="293"/>
    </row>
    <row r="171">
      <c r="A171" t="s">
        <v>318</v>
      </c>
      <c r="B171" s="287">
        <v>42812.0</v>
      </c>
      <c r="C171" s="288">
        <f t="shared" si="1"/>
        <v>77</v>
      </c>
      <c r="D171" s="289">
        <f t="shared" si="2"/>
        <v>2.524590164</v>
      </c>
      <c r="E171" s="290">
        <f t="shared" si="3"/>
        <v>3</v>
      </c>
      <c r="F171" s="290" t="s">
        <v>730</v>
      </c>
      <c r="G171" s="291">
        <v>-0.04361613329384628</v>
      </c>
      <c r="H171" s="296">
        <v>-1.0</v>
      </c>
      <c r="I171" s="293"/>
    </row>
    <row r="172">
      <c r="A172" t="s">
        <v>813</v>
      </c>
      <c r="B172" s="287">
        <v>42081.0</v>
      </c>
      <c r="C172" s="288">
        <f t="shared" si="1"/>
        <v>77</v>
      </c>
      <c r="D172" s="289">
        <f t="shared" si="2"/>
        <v>2.524590164</v>
      </c>
      <c r="E172" s="290">
        <f t="shared" si="3"/>
        <v>3</v>
      </c>
      <c r="F172" s="290" t="s">
        <v>730</v>
      </c>
      <c r="G172" s="291">
        <v>0.0037333176988538774</v>
      </c>
      <c r="H172" s="296">
        <v>0.0</v>
      </c>
      <c r="I172" s="293"/>
    </row>
    <row r="173">
      <c r="A173" t="s">
        <v>754</v>
      </c>
      <c r="B173" s="287">
        <v>42081.0</v>
      </c>
      <c r="C173" s="288">
        <f t="shared" si="1"/>
        <v>77</v>
      </c>
      <c r="D173" s="289">
        <f t="shared" si="2"/>
        <v>2.524590164</v>
      </c>
      <c r="E173" s="290">
        <f t="shared" si="3"/>
        <v>3</v>
      </c>
      <c r="F173" s="290" t="s">
        <v>730</v>
      </c>
      <c r="G173" s="291">
        <v>0.014056673690432842</v>
      </c>
      <c r="H173" s="296">
        <v>1.0</v>
      </c>
      <c r="I173" s="293"/>
    </row>
    <row r="174">
      <c r="A174" t="s">
        <v>814</v>
      </c>
      <c r="B174" s="287">
        <v>42813.0</v>
      </c>
      <c r="C174" s="288">
        <f t="shared" si="1"/>
        <v>78</v>
      </c>
      <c r="D174" s="289">
        <f t="shared" si="2"/>
        <v>2.557377049</v>
      </c>
      <c r="E174" s="290">
        <f t="shared" si="3"/>
        <v>3</v>
      </c>
      <c r="F174" s="290" t="s">
        <v>730</v>
      </c>
      <c r="G174" s="291">
        <v>0.01269908283902943</v>
      </c>
      <c r="H174" s="296">
        <v>1.0</v>
      </c>
      <c r="I174" s="293"/>
    </row>
    <row r="175">
      <c r="A175" t="s">
        <v>815</v>
      </c>
      <c r="B175" s="287">
        <v>42813.0</v>
      </c>
      <c r="C175" s="288">
        <f t="shared" si="1"/>
        <v>78</v>
      </c>
      <c r="D175" s="289">
        <f t="shared" si="2"/>
        <v>2.557377049</v>
      </c>
      <c r="E175" s="290">
        <f t="shared" si="3"/>
        <v>3</v>
      </c>
      <c r="F175" s="290" t="s">
        <v>730</v>
      </c>
      <c r="G175" s="291">
        <v>-0.015669374149087534</v>
      </c>
      <c r="H175" s="296">
        <v>-1.0</v>
      </c>
      <c r="I175" s="293"/>
    </row>
    <row r="176">
      <c r="A176" t="s">
        <v>769</v>
      </c>
      <c r="B176" s="287">
        <v>42447.0</v>
      </c>
      <c r="C176" s="288">
        <f t="shared" si="1"/>
        <v>78</v>
      </c>
      <c r="D176" s="289">
        <f t="shared" si="2"/>
        <v>2.557377049</v>
      </c>
      <c r="E176" s="290">
        <f t="shared" si="3"/>
        <v>3</v>
      </c>
      <c r="F176" s="290" t="s">
        <v>730</v>
      </c>
      <c r="G176" s="291">
        <v>0.012323925595471352</v>
      </c>
      <c r="H176" s="296">
        <v>1.0</v>
      </c>
      <c r="I176" s="293"/>
    </row>
    <row r="177">
      <c r="A177" t="s">
        <v>214</v>
      </c>
      <c r="B177" s="287">
        <v>42447.0</v>
      </c>
      <c r="C177" s="288">
        <f t="shared" si="1"/>
        <v>78</v>
      </c>
      <c r="D177" s="289">
        <f t="shared" si="2"/>
        <v>2.557377049</v>
      </c>
      <c r="E177" s="290">
        <f t="shared" si="3"/>
        <v>3</v>
      </c>
      <c r="F177" s="290" t="s">
        <v>730</v>
      </c>
      <c r="G177" s="291">
        <v>0.006633889156879347</v>
      </c>
      <c r="H177" s="296">
        <v>0.0</v>
      </c>
      <c r="I177" s="293"/>
    </row>
    <row r="178">
      <c r="A178" t="s">
        <v>711</v>
      </c>
      <c r="B178" s="287">
        <v>42447.0</v>
      </c>
      <c r="C178" s="288">
        <f t="shared" si="1"/>
        <v>78</v>
      </c>
      <c r="D178" s="289">
        <f t="shared" si="2"/>
        <v>2.557377049</v>
      </c>
      <c r="E178" s="290">
        <f t="shared" si="3"/>
        <v>3</v>
      </c>
      <c r="F178" s="290" t="s">
        <v>730</v>
      </c>
      <c r="G178" s="291">
        <v>-0.005181813544704039</v>
      </c>
      <c r="H178" s="296">
        <v>0.0</v>
      </c>
      <c r="I178" s="293"/>
    </row>
    <row r="179">
      <c r="A179" t="s">
        <v>232</v>
      </c>
      <c r="B179" s="287">
        <v>42814.0</v>
      </c>
      <c r="C179" s="288">
        <f t="shared" si="1"/>
        <v>79</v>
      </c>
      <c r="D179" s="289">
        <f t="shared" si="2"/>
        <v>2.590163934</v>
      </c>
      <c r="E179" s="290">
        <f t="shared" si="3"/>
        <v>3</v>
      </c>
      <c r="F179" s="290" t="s">
        <v>730</v>
      </c>
      <c r="G179" s="291">
        <v>0.0015863502671086271</v>
      </c>
      <c r="H179" s="296">
        <v>0.0</v>
      </c>
      <c r="I179" s="293"/>
    </row>
    <row r="180">
      <c r="A180" t="s">
        <v>523</v>
      </c>
      <c r="B180" s="287">
        <v>42448.0</v>
      </c>
      <c r="C180" s="288">
        <f t="shared" si="1"/>
        <v>79</v>
      </c>
      <c r="D180" s="289">
        <f t="shared" si="2"/>
        <v>2.590163934</v>
      </c>
      <c r="E180" s="290">
        <f t="shared" si="3"/>
        <v>3</v>
      </c>
      <c r="F180" s="290" t="s">
        <v>730</v>
      </c>
      <c r="G180" s="291">
        <v>-0.02709062654066896</v>
      </c>
      <c r="H180" s="296">
        <v>-1.0</v>
      </c>
      <c r="I180" s="293"/>
    </row>
    <row r="181">
      <c r="A181" t="s">
        <v>792</v>
      </c>
      <c r="B181" s="287">
        <v>42448.0</v>
      </c>
      <c r="C181" s="288">
        <f t="shared" si="1"/>
        <v>79</v>
      </c>
      <c r="D181" s="289">
        <f t="shared" si="2"/>
        <v>2.590163934</v>
      </c>
      <c r="E181" s="290">
        <f t="shared" si="3"/>
        <v>3</v>
      </c>
      <c r="F181" s="290" t="s">
        <v>730</v>
      </c>
      <c r="G181" s="291">
        <v>-0.016421232571366517</v>
      </c>
      <c r="H181" s="296">
        <v>-1.0</v>
      </c>
      <c r="I181" s="293"/>
    </row>
    <row r="182">
      <c r="A182" t="s">
        <v>727</v>
      </c>
      <c r="B182" s="287">
        <v>42083.0</v>
      </c>
      <c r="C182" s="288">
        <f t="shared" si="1"/>
        <v>79</v>
      </c>
      <c r="D182" s="289">
        <f t="shared" si="2"/>
        <v>2.590163934</v>
      </c>
      <c r="E182" s="290">
        <f t="shared" si="3"/>
        <v>3</v>
      </c>
      <c r="F182" s="290" t="s">
        <v>730</v>
      </c>
      <c r="G182" s="291">
        <v>-0.005934559941721429</v>
      </c>
      <c r="H182" s="296">
        <v>0.0</v>
      </c>
      <c r="I182" s="293"/>
    </row>
    <row r="183">
      <c r="A183" t="s">
        <v>751</v>
      </c>
      <c r="B183" s="287">
        <v>42083.0</v>
      </c>
      <c r="C183" s="288">
        <f t="shared" si="1"/>
        <v>79</v>
      </c>
      <c r="D183" s="289">
        <f t="shared" si="2"/>
        <v>2.590163934</v>
      </c>
      <c r="E183" s="290">
        <f t="shared" si="3"/>
        <v>3</v>
      </c>
      <c r="F183" s="290" t="s">
        <v>730</v>
      </c>
      <c r="G183" s="291">
        <v>-0.010424903024533028</v>
      </c>
      <c r="H183" s="296">
        <v>-1.0</v>
      </c>
      <c r="I183" s="293"/>
    </row>
    <row r="184">
      <c r="A184" t="s">
        <v>523</v>
      </c>
      <c r="B184" s="287">
        <v>42815.0</v>
      </c>
      <c r="C184" s="288">
        <f t="shared" si="1"/>
        <v>80</v>
      </c>
      <c r="D184" s="289">
        <f t="shared" si="2"/>
        <v>2.62295082</v>
      </c>
      <c r="E184" s="290">
        <f t="shared" si="3"/>
        <v>3</v>
      </c>
      <c r="F184" s="290" t="s">
        <v>730</v>
      </c>
      <c r="G184" s="291">
        <v>0.0054615912070793415</v>
      </c>
      <c r="H184" s="296">
        <v>0.0</v>
      </c>
      <c r="I184" s="293"/>
    </row>
    <row r="185">
      <c r="A185" t="s">
        <v>816</v>
      </c>
      <c r="B185" s="287">
        <v>42815.0</v>
      </c>
      <c r="C185" s="288">
        <f t="shared" si="1"/>
        <v>80</v>
      </c>
      <c r="D185" s="289">
        <f t="shared" si="2"/>
        <v>2.62295082</v>
      </c>
      <c r="E185" s="290">
        <f t="shared" si="3"/>
        <v>3</v>
      </c>
      <c r="F185" s="290" t="s">
        <v>730</v>
      </c>
      <c r="G185" s="291">
        <v>0.010123269570252003</v>
      </c>
      <c r="H185" s="296">
        <v>1.0</v>
      </c>
      <c r="I185" s="293"/>
    </row>
    <row r="186">
      <c r="A186" t="s">
        <v>346</v>
      </c>
      <c r="B186" s="287">
        <v>42449.0</v>
      </c>
      <c r="C186" s="288">
        <f t="shared" si="1"/>
        <v>80</v>
      </c>
      <c r="D186" s="289">
        <f t="shared" si="2"/>
        <v>2.62295082</v>
      </c>
      <c r="E186" s="290">
        <f t="shared" si="3"/>
        <v>3</v>
      </c>
      <c r="F186" s="290" t="s">
        <v>730</v>
      </c>
      <c r="G186" s="291">
        <v>6.978540733679761E-4</v>
      </c>
      <c r="H186" s="296">
        <v>0.0</v>
      </c>
      <c r="I186" s="293"/>
    </row>
    <row r="187">
      <c r="A187" t="s">
        <v>716</v>
      </c>
      <c r="B187" s="287">
        <v>42449.0</v>
      </c>
      <c r="C187" s="288">
        <f t="shared" si="1"/>
        <v>80</v>
      </c>
      <c r="D187" s="289">
        <f t="shared" si="2"/>
        <v>2.62295082</v>
      </c>
      <c r="E187" s="290">
        <f t="shared" si="3"/>
        <v>3</v>
      </c>
      <c r="F187" s="290" t="s">
        <v>730</v>
      </c>
      <c r="G187" s="291">
        <v>-0.008005887111363408</v>
      </c>
      <c r="H187" s="296">
        <v>0.0</v>
      </c>
      <c r="I187" s="293"/>
    </row>
    <row r="188">
      <c r="A188" t="s">
        <v>757</v>
      </c>
      <c r="B188" s="287">
        <v>42084.0</v>
      </c>
      <c r="C188" s="288">
        <f t="shared" si="1"/>
        <v>80</v>
      </c>
      <c r="D188" s="289">
        <f t="shared" si="2"/>
        <v>2.62295082</v>
      </c>
      <c r="E188" s="290">
        <f t="shared" si="3"/>
        <v>3</v>
      </c>
      <c r="F188" s="290" t="s">
        <v>730</v>
      </c>
      <c r="G188" s="291">
        <v>-0.0050158138290379295</v>
      </c>
      <c r="H188" s="296">
        <v>0.0</v>
      </c>
      <c r="I188" s="293"/>
    </row>
    <row r="189">
      <c r="A189" t="s">
        <v>757</v>
      </c>
      <c r="B189" s="287">
        <v>42084.0</v>
      </c>
      <c r="C189" s="288">
        <f t="shared" si="1"/>
        <v>80</v>
      </c>
      <c r="D189" s="289">
        <f t="shared" si="2"/>
        <v>2.62295082</v>
      </c>
      <c r="E189" s="290">
        <f t="shared" si="3"/>
        <v>3</v>
      </c>
      <c r="F189" s="290" t="s">
        <v>730</v>
      </c>
      <c r="G189" s="291">
        <v>-0.007017906415871744</v>
      </c>
      <c r="H189" s="296">
        <v>0.0</v>
      </c>
      <c r="I189" s="293"/>
    </row>
    <row r="190">
      <c r="A190" t="s">
        <v>427</v>
      </c>
      <c r="B190" s="287">
        <v>42817.0</v>
      </c>
      <c r="C190" s="288">
        <f t="shared" si="1"/>
        <v>82</v>
      </c>
      <c r="D190" s="289">
        <f t="shared" si="2"/>
        <v>2.68852459</v>
      </c>
      <c r="E190" s="290">
        <f t="shared" si="3"/>
        <v>3</v>
      </c>
      <c r="F190" s="290" t="s">
        <v>730</v>
      </c>
      <c r="G190" s="291">
        <v>-0.00461249501119565</v>
      </c>
      <c r="H190" s="296">
        <v>0.0</v>
      </c>
      <c r="I190" s="293"/>
    </row>
    <row r="191">
      <c r="A191" t="s">
        <v>764</v>
      </c>
      <c r="B191" s="287">
        <v>42452.0</v>
      </c>
      <c r="C191" s="288">
        <f t="shared" si="1"/>
        <v>83</v>
      </c>
      <c r="D191" s="289">
        <f t="shared" si="2"/>
        <v>2.721311475</v>
      </c>
      <c r="E191" s="290">
        <f t="shared" si="3"/>
        <v>3</v>
      </c>
      <c r="F191" s="290" t="s">
        <v>730</v>
      </c>
      <c r="G191" s="291">
        <v>-0.00895375735111914</v>
      </c>
      <c r="H191" s="296">
        <v>0.0</v>
      </c>
      <c r="I191" s="293"/>
    </row>
    <row r="192">
      <c r="A192" t="s">
        <v>318</v>
      </c>
      <c r="B192" s="287">
        <v>42819.0</v>
      </c>
      <c r="C192" s="288">
        <f t="shared" si="1"/>
        <v>84</v>
      </c>
      <c r="D192" s="289">
        <f t="shared" si="2"/>
        <v>2.754098361</v>
      </c>
      <c r="E192" s="290">
        <f t="shared" si="3"/>
        <v>3</v>
      </c>
      <c r="F192" s="290" t="s">
        <v>730</v>
      </c>
      <c r="G192" s="291">
        <v>-0.00617488370906405</v>
      </c>
      <c r="H192" s="296">
        <v>0.0</v>
      </c>
      <c r="I192" s="293"/>
    </row>
    <row r="193">
      <c r="A193" t="s">
        <v>723</v>
      </c>
      <c r="B193" s="287">
        <v>42454.0</v>
      </c>
      <c r="C193" s="288">
        <f t="shared" si="1"/>
        <v>85</v>
      </c>
      <c r="D193" s="289">
        <f t="shared" si="2"/>
        <v>2.786885246</v>
      </c>
      <c r="E193" s="290">
        <f t="shared" si="3"/>
        <v>3</v>
      </c>
      <c r="F193" s="290" t="s">
        <v>730</v>
      </c>
      <c r="G193" s="291">
        <v>0.021925976902200328</v>
      </c>
      <c r="H193" s="296">
        <v>1.0</v>
      </c>
      <c r="I193" s="293"/>
    </row>
    <row r="194">
      <c r="A194" t="s">
        <v>817</v>
      </c>
      <c r="B194" s="287">
        <v>42454.0</v>
      </c>
      <c r="C194" s="288">
        <f t="shared" si="1"/>
        <v>85</v>
      </c>
      <c r="D194" s="289">
        <f t="shared" si="2"/>
        <v>2.786885246</v>
      </c>
      <c r="E194" s="290">
        <f t="shared" si="3"/>
        <v>3</v>
      </c>
      <c r="F194" s="290" t="s">
        <v>730</v>
      </c>
      <c r="G194" s="291">
        <v>0.017061200960013068</v>
      </c>
      <c r="H194" s="296">
        <v>1.0</v>
      </c>
      <c r="I194" s="293"/>
    </row>
    <row r="195">
      <c r="A195" t="s">
        <v>818</v>
      </c>
      <c r="B195" s="287">
        <v>42454.0</v>
      </c>
      <c r="C195" s="288">
        <f t="shared" si="1"/>
        <v>85</v>
      </c>
      <c r="D195" s="289">
        <f t="shared" si="2"/>
        <v>2.786885246</v>
      </c>
      <c r="E195" s="290">
        <f t="shared" si="3"/>
        <v>3</v>
      </c>
      <c r="F195" s="290" t="s">
        <v>730</v>
      </c>
      <c r="G195" s="291">
        <v>-0.019330686713991962</v>
      </c>
      <c r="H195" s="296">
        <v>-1.0</v>
      </c>
      <c r="I195" s="293"/>
    </row>
    <row r="196">
      <c r="A196" t="s">
        <v>819</v>
      </c>
      <c r="B196" s="287">
        <v>42454.0</v>
      </c>
      <c r="C196" s="288">
        <f t="shared" si="1"/>
        <v>85</v>
      </c>
      <c r="D196" s="289">
        <f t="shared" si="2"/>
        <v>2.786885246</v>
      </c>
      <c r="E196" s="290">
        <f t="shared" si="3"/>
        <v>3</v>
      </c>
      <c r="F196" s="290" t="s">
        <v>730</v>
      </c>
      <c r="G196" s="291">
        <v>-0.011866273411867856</v>
      </c>
      <c r="H196" s="296">
        <v>-1.0</v>
      </c>
      <c r="I196" s="293"/>
    </row>
    <row r="197">
      <c r="A197" t="s">
        <v>820</v>
      </c>
      <c r="B197" s="287">
        <v>42089.0</v>
      </c>
      <c r="C197" s="288">
        <f t="shared" si="1"/>
        <v>85</v>
      </c>
      <c r="D197" s="289">
        <f t="shared" si="2"/>
        <v>2.786885246</v>
      </c>
      <c r="E197" s="290">
        <f t="shared" si="3"/>
        <v>3</v>
      </c>
      <c r="F197" s="290" t="s">
        <v>730</v>
      </c>
      <c r="G197" s="291">
        <v>-0.0063463198538107335</v>
      </c>
      <c r="H197" s="296">
        <v>0.0</v>
      </c>
      <c r="I197" s="293"/>
    </row>
    <row r="198">
      <c r="A198" t="s">
        <v>700</v>
      </c>
      <c r="B198" s="287">
        <v>42821.0</v>
      </c>
      <c r="C198" s="288">
        <f t="shared" si="1"/>
        <v>86</v>
      </c>
      <c r="D198" s="289">
        <f t="shared" si="2"/>
        <v>2.819672131</v>
      </c>
      <c r="E198" s="290">
        <f t="shared" si="3"/>
        <v>3</v>
      </c>
      <c r="F198" s="290" t="s">
        <v>730</v>
      </c>
      <c r="G198" s="291">
        <v>0.018817545195564556</v>
      </c>
      <c r="H198" s="296">
        <v>1.0</v>
      </c>
      <c r="I198" s="293"/>
    </row>
    <row r="199">
      <c r="A199" t="s">
        <v>761</v>
      </c>
      <c r="B199" s="287">
        <v>42455.0</v>
      </c>
      <c r="C199" s="288">
        <f t="shared" si="1"/>
        <v>86</v>
      </c>
      <c r="D199" s="289">
        <f t="shared" si="2"/>
        <v>2.819672131</v>
      </c>
      <c r="E199" s="290">
        <f t="shared" si="3"/>
        <v>3</v>
      </c>
      <c r="F199" s="290" t="s">
        <v>730</v>
      </c>
      <c r="G199" s="291">
        <v>0.010533161967857807</v>
      </c>
      <c r="H199" s="296">
        <v>1.0</v>
      </c>
      <c r="I199" s="293"/>
    </row>
    <row r="200">
      <c r="A200" t="s">
        <v>232</v>
      </c>
      <c r="B200" s="287">
        <v>41725.0</v>
      </c>
      <c r="C200" s="288">
        <f t="shared" si="1"/>
        <v>86</v>
      </c>
      <c r="D200" s="289">
        <f t="shared" si="2"/>
        <v>2.819672131</v>
      </c>
      <c r="E200" s="290">
        <f t="shared" si="3"/>
        <v>3</v>
      </c>
      <c r="F200" s="290" t="s">
        <v>730</v>
      </c>
      <c r="G200" s="291">
        <v>0.02035978585356002</v>
      </c>
      <c r="H200" s="296">
        <v>1.0</v>
      </c>
      <c r="I200" s="293"/>
    </row>
    <row r="201">
      <c r="A201" t="s">
        <v>573</v>
      </c>
      <c r="B201" s="287">
        <v>42822.0</v>
      </c>
      <c r="C201" s="288">
        <f t="shared" si="1"/>
        <v>87</v>
      </c>
      <c r="D201" s="289">
        <f t="shared" si="2"/>
        <v>2.852459016</v>
      </c>
      <c r="E201" s="290">
        <f t="shared" si="3"/>
        <v>3</v>
      </c>
      <c r="F201" s="290" t="s">
        <v>730</v>
      </c>
      <c r="G201" s="291">
        <v>-0.009975440307097294</v>
      </c>
      <c r="H201" s="296">
        <v>0.0</v>
      </c>
      <c r="I201" s="293"/>
    </row>
    <row r="202">
      <c r="A202" t="s">
        <v>761</v>
      </c>
      <c r="B202" s="287">
        <v>42823.0</v>
      </c>
      <c r="C202" s="288">
        <f t="shared" si="1"/>
        <v>88</v>
      </c>
      <c r="D202" s="289">
        <f t="shared" si="2"/>
        <v>2.885245902</v>
      </c>
      <c r="E202" s="290">
        <f t="shared" si="3"/>
        <v>3</v>
      </c>
      <c r="F202" s="290" t="s">
        <v>730</v>
      </c>
      <c r="G202" s="291">
        <v>7.44480655634483E-4</v>
      </c>
      <c r="H202" s="296">
        <v>0.0</v>
      </c>
      <c r="I202" s="293"/>
    </row>
    <row r="203">
      <c r="A203" t="s">
        <v>756</v>
      </c>
      <c r="B203" s="287">
        <v>42457.0</v>
      </c>
      <c r="C203" s="288">
        <f t="shared" si="1"/>
        <v>88</v>
      </c>
      <c r="D203" s="289">
        <f t="shared" si="2"/>
        <v>2.885245902</v>
      </c>
      <c r="E203" s="290">
        <f t="shared" si="3"/>
        <v>3</v>
      </c>
      <c r="F203" s="290" t="s">
        <v>730</v>
      </c>
      <c r="G203" s="291">
        <v>0.003887373643317704</v>
      </c>
      <c r="H203" s="296">
        <v>0.0</v>
      </c>
      <c r="I203" s="293"/>
    </row>
    <row r="204">
      <c r="A204" t="s">
        <v>821</v>
      </c>
      <c r="B204" s="287">
        <v>42457.0</v>
      </c>
      <c r="C204" s="288">
        <f t="shared" si="1"/>
        <v>88</v>
      </c>
      <c r="D204" s="289">
        <f t="shared" si="2"/>
        <v>2.885245902</v>
      </c>
      <c r="E204" s="290">
        <f t="shared" si="3"/>
        <v>3</v>
      </c>
      <c r="F204" s="290" t="s">
        <v>730</v>
      </c>
      <c r="G204" s="291">
        <v>-0.004171217489973622</v>
      </c>
      <c r="H204" s="296">
        <v>0.0</v>
      </c>
      <c r="I204" s="293"/>
    </row>
    <row r="205">
      <c r="A205" t="s">
        <v>747</v>
      </c>
      <c r="B205" s="287">
        <v>42457.0</v>
      </c>
      <c r="C205" s="288">
        <f t="shared" si="1"/>
        <v>88</v>
      </c>
      <c r="D205" s="289">
        <f t="shared" si="2"/>
        <v>2.885245902</v>
      </c>
      <c r="E205" s="290">
        <f t="shared" si="3"/>
        <v>3</v>
      </c>
      <c r="F205" s="290" t="s">
        <v>730</v>
      </c>
      <c r="G205" s="291">
        <v>-0.031311334488662634</v>
      </c>
      <c r="H205" s="296">
        <v>-1.0</v>
      </c>
      <c r="I205" s="293"/>
    </row>
    <row r="206">
      <c r="A206" t="s">
        <v>742</v>
      </c>
      <c r="B206" s="297">
        <v>42092.0</v>
      </c>
      <c r="C206" s="288">
        <f t="shared" si="1"/>
        <v>88</v>
      </c>
      <c r="D206" s="289">
        <f t="shared" si="2"/>
        <v>2.885245902</v>
      </c>
      <c r="E206" s="290">
        <f t="shared" si="3"/>
        <v>3</v>
      </c>
      <c r="F206" s="290" t="s">
        <v>730</v>
      </c>
      <c r="G206" s="291">
        <v>-0.005412295625846664</v>
      </c>
      <c r="H206" s="296">
        <v>0.0</v>
      </c>
      <c r="I206" s="293"/>
    </row>
    <row r="207">
      <c r="A207" t="s">
        <v>214</v>
      </c>
      <c r="B207" s="287">
        <v>42092.0</v>
      </c>
      <c r="C207" s="288">
        <f t="shared" si="1"/>
        <v>88</v>
      </c>
      <c r="D207" s="289">
        <f t="shared" si="2"/>
        <v>2.885245902</v>
      </c>
      <c r="E207" s="290">
        <f t="shared" si="3"/>
        <v>3</v>
      </c>
      <c r="F207" s="290" t="s">
        <v>730</v>
      </c>
      <c r="G207" s="291">
        <v>0.006819651926493142</v>
      </c>
      <c r="H207" s="296">
        <v>0.0</v>
      </c>
      <c r="I207" s="293"/>
    </row>
    <row r="208">
      <c r="A208" t="s">
        <v>822</v>
      </c>
      <c r="B208" s="287">
        <v>42825.0</v>
      </c>
      <c r="C208" s="288">
        <f t="shared" si="1"/>
        <v>90</v>
      </c>
      <c r="D208" s="289">
        <f t="shared" si="2"/>
        <v>2.950819672</v>
      </c>
      <c r="E208" s="290">
        <f t="shared" si="3"/>
        <v>3</v>
      </c>
      <c r="F208" s="290" t="s">
        <v>730</v>
      </c>
      <c r="G208" s="291">
        <v>-0.004631369125930318</v>
      </c>
      <c r="H208" s="296">
        <v>0.0</v>
      </c>
      <c r="I208" s="293"/>
    </row>
    <row r="209">
      <c r="A209" t="s">
        <v>511</v>
      </c>
      <c r="B209" s="287">
        <v>42459.0</v>
      </c>
      <c r="C209" s="288">
        <f t="shared" si="1"/>
        <v>90</v>
      </c>
      <c r="D209" s="289">
        <f t="shared" si="2"/>
        <v>2.950819672</v>
      </c>
      <c r="E209" s="290">
        <f t="shared" si="3"/>
        <v>3</v>
      </c>
      <c r="F209" s="290" t="s">
        <v>730</v>
      </c>
      <c r="G209" s="291">
        <v>-0.02004381129274979</v>
      </c>
      <c r="H209" s="296">
        <v>-1.0</v>
      </c>
      <c r="I209" s="293"/>
    </row>
    <row r="210">
      <c r="A210" t="s">
        <v>823</v>
      </c>
      <c r="B210" s="287">
        <v>42459.0</v>
      </c>
      <c r="C210" s="288">
        <f t="shared" si="1"/>
        <v>90</v>
      </c>
      <c r="D210" s="289">
        <f t="shared" si="2"/>
        <v>2.950819672</v>
      </c>
      <c r="E210" s="290">
        <f t="shared" si="3"/>
        <v>3</v>
      </c>
      <c r="F210" s="290" t="s">
        <v>730</v>
      </c>
      <c r="G210" s="291">
        <v>0.02462889470605545</v>
      </c>
      <c r="H210" s="296">
        <v>1.0</v>
      </c>
      <c r="I210" s="293"/>
    </row>
    <row r="211">
      <c r="A211" t="s">
        <v>573</v>
      </c>
      <c r="B211" s="287">
        <v>42459.0</v>
      </c>
      <c r="C211" s="288">
        <f t="shared" si="1"/>
        <v>90</v>
      </c>
      <c r="D211" s="289">
        <f t="shared" si="2"/>
        <v>2.950819672</v>
      </c>
      <c r="E211" s="290">
        <f t="shared" si="3"/>
        <v>3</v>
      </c>
      <c r="F211" s="290" t="s">
        <v>730</v>
      </c>
      <c r="G211" s="291">
        <v>-0.009875610647216648</v>
      </c>
      <c r="H211" s="296">
        <v>0.0</v>
      </c>
      <c r="I211" s="293"/>
    </row>
    <row r="212">
      <c r="A212" t="s">
        <v>824</v>
      </c>
      <c r="B212" s="287">
        <v>42826.0</v>
      </c>
      <c r="C212" s="288">
        <f t="shared" si="1"/>
        <v>91</v>
      </c>
      <c r="D212" s="289">
        <f t="shared" si="2"/>
        <v>2.983606557</v>
      </c>
      <c r="E212" s="290">
        <f t="shared" si="3"/>
        <v>3</v>
      </c>
      <c r="F212" s="290" t="s">
        <v>730</v>
      </c>
      <c r="G212" s="291">
        <v>-0.012100352458932373</v>
      </c>
      <c r="H212" s="296">
        <v>-1.0</v>
      </c>
      <c r="I212" s="293"/>
    </row>
    <row r="213">
      <c r="A213" t="s">
        <v>773</v>
      </c>
      <c r="B213" s="287">
        <v>42826.0</v>
      </c>
      <c r="C213" s="288">
        <f t="shared" si="1"/>
        <v>91</v>
      </c>
      <c r="D213" s="289">
        <f t="shared" si="2"/>
        <v>2.983606557</v>
      </c>
      <c r="E213" s="290">
        <f t="shared" si="3"/>
        <v>3</v>
      </c>
      <c r="F213" s="290" t="s">
        <v>730</v>
      </c>
      <c r="G213" s="291">
        <v>0.019450641217062192</v>
      </c>
      <c r="H213" s="296">
        <v>1.0</v>
      </c>
      <c r="I213" s="293"/>
    </row>
    <row r="214">
      <c r="A214" t="s">
        <v>346</v>
      </c>
      <c r="B214" s="287">
        <v>42460.0</v>
      </c>
      <c r="C214" s="288">
        <f t="shared" si="1"/>
        <v>91</v>
      </c>
      <c r="D214" s="289">
        <f t="shared" si="2"/>
        <v>2.983606557</v>
      </c>
      <c r="E214" s="290">
        <f t="shared" si="3"/>
        <v>3</v>
      </c>
      <c r="F214" s="290" t="s">
        <v>730</v>
      </c>
      <c r="G214" s="291">
        <v>0.00725597272892442</v>
      </c>
      <c r="H214" s="296">
        <v>0.0</v>
      </c>
      <c r="I214" s="293"/>
    </row>
    <row r="215">
      <c r="A215" t="s">
        <v>795</v>
      </c>
      <c r="B215" s="287">
        <v>42461.0</v>
      </c>
      <c r="C215" s="288">
        <f t="shared" si="1"/>
        <v>92</v>
      </c>
      <c r="D215" s="289">
        <f t="shared" si="2"/>
        <v>3.016393443</v>
      </c>
      <c r="E215" s="290">
        <f t="shared" si="3"/>
        <v>4</v>
      </c>
      <c r="F215" s="290" t="s">
        <v>732</v>
      </c>
      <c r="G215" s="291">
        <v>0.02395976684407064</v>
      </c>
      <c r="H215" s="296">
        <v>1.0</v>
      </c>
      <c r="I215" s="293"/>
    </row>
    <row r="216">
      <c r="A216" t="s">
        <v>811</v>
      </c>
      <c r="B216" s="287">
        <v>42461.0</v>
      </c>
      <c r="C216" s="288">
        <f t="shared" si="1"/>
        <v>92</v>
      </c>
      <c r="D216" s="289">
        <f t="shared" si="2"/>
        <v>3.016393443</v>
      </c>
      <c r="E216" s="290">
        <f t="shared" si="3"/>
        <v>4</v>
      </c>
      <c r="F216" s="290" t="s">
        <v>732</v>
      </c>
      <c r="G216" s="291">
        <v>0.007744809862307633</v>
      </c>
      <c r="H216" s="296">
        <v>0.0</v>
      </c>
      <c r="I216" s="293"/>
    </row>
    <row r="217">
      <c r="A217" t="s">
        <v>825</v>
      </c>
      <c r="B217" s="287">
        <v>42461.0</v>
      </c>
      <c r="C217" s="288">
        <f t="shared" si="1"/>
        <v>92</v>
      </c>
      <c r="D217" s="289">
        <f t="shared" si="2"/>
        <v>3.016393443</v>
      </c>
      <c r="E217" s="290">
        <f t="shared" si="3"/>
        <v>4</v>
      </c>
      <c r="F217" s="290" t="s">
        <v>732</v>
      </c>
      <c r="G217" s="291">
        <v>-0.007275991862962794</v>
      </c>
      <c r="H217" s="296">
        <v>0.0</v>
      </c>
      <c r="I217" s="293"/>
    </row>
    <row r="218">
      <c r="A218" t="s">
        <v>781</v>
      </c>
      <c r="B218" s="287">
        <v>42828.0</v>
      </c>
      <c r="C218" s="288">
        <f t="shared" si="1"/>
        <v>93</v>
      </c>
      <c r="D218" s="289">
        <f t="shared" si="2"/>
        <v>3.049180328</v>
      </c>
      <c r="E218" s="290">
        <f t="shared" si="3"/>
        <v>4</v>
      </c>
      <c r="F218" s="290" t="s">
        <v>732</v>
      </c>
      <c r="G218" s="291">
        <v>1.3401326040884953E-4</v>
      </c>
      <c r="H218" s="296">
        <v>0.0</v>
      </c>
      <c r="I218" s="293"/>
    </row>
    <row r="219">
      <c r="A219" t="s">
        <v>457</v>
      </c>
      <c r="B219" s="287">
        <v>42830.0</v>
      </c>
      <c r="C219" s="288">
        <f t="shared" si="1"/>
        <v>95</v>
      </c>
      <c r="D219" s="289">
        <f t="shared" si="2"/>
        <v>3.114754098</v>
      </c>
      <c r="E219" s="290">
        <f t="shared" si="3"/>
        <v>4</v>
      </c>
      <c r="F219" s="290" t="s">
        <v>732</v>
      </c>
      <c r="G219" s="291">
        <v>-0.012472545006316449</v>
      </c>
      <c r="H219" s="296">
        <v>-1.0</v>
      </c>
      <c r="I219" s="293"/>
    </row>
    <row r="220">
      <c r="A220" t="s">
        <v>826</v>
      </c>
      <c r="B220" s="287">
        <v>42830.0</v>
      </c>
      <c r="C220" s="288">
        <f t="shared" si="1"/>
        <v>95</v>
      </c>
      <c r="D220" s="289">
        <f t="shared" si="2"/>
        <v>3.114754098</v>
      </c>
      <c r="E220" s="290">
        <f t="shared" si="3"/>
        <v>4</v>
      </c>
      <c r="F220" s="290" t="s">
        <v>732</v>
      </c>
      <c r="G220" s="291">
        <v>0.022025104758474634</v>
      </c>
      <c r="H220" s="296">
        <v>1.0</v>
      </c>
      <c r="I220" s="293"/>
    </row>
    <row r="221">
      <c r="A221" t="s">
        <v>108</v>
      </c>
      <c r="B221" s="287">
        <v>42464.0</v>
      </c>
      <c r="C221" s="288">
        <f t="shared" si="1"/>
        <v>95</v>
      </c>
      <c r="D221" s="289">
        <f t="shared" si="2"/>
        <v>3.114754098</v>
      </c>
      <c r="E221" s="290">
        <f t="shared" si="3"/>
        <v>4</v>
      </c>
      <c r="F221" s="290" t="s">
        <v>732</v>
      </c>
      <c r="G221" s="291">
        <v>-0.047411751847244554</v>
      </c>
      <c r="H221" s="296">
        <v>-1.0</v>
      </c>
      <c r="I221" s="293"/>
    </row>
    <row r="222">
      <c r="A222" t="s">
        <v>827</v>
      </c>
      <c r="B222" s="287">
        <v>42464.0</v>
      </c>
      <c r="C222" s="288">
        <f t="shared" si="1"/>
        <v>95</v>
      </c>
      <c r="D222" s="289">
        <f t="shared" si="2"/>
        <v>3.114754098</v>
      </c>
      <c r="E222" s="290">
        <f t="shared" si="3"/>
        <v>4</v>
      </c>
      <c r="F222" s="290" t="s">
        <v>732</v>
      </c>
      <c r="G222" s="291">
        <v>-0.006426472541444017</v>
      </c>
      <c r="H222" s="296">
        <v>0.0</v>
      </c>
      <c r="I222" s="293"/>
    </row>
    <row r="223">
      <c r="A223" t="s">
        <v>723</v>
      </c>
      <c r="B223" s="287">
        <v>42831.0</v>
      </c>
      <c r="C223" s="288">
        <f t="shared" si="1"/>
        <v>96</v>
      </c>
      <c r="D223" s="289">
        <f t="shared" si="2"/>
        <v>3.147540984</v>
      </c>
      <c r="E223" s="290">
        <f t="shared" si="3"/>
        <v>4</v>
      </c>
      <c r="F223" s="290" t="s">
        <v>732</v>
      </c>
      <c r="G223" s="291">
        <v>0.023445538130273058</v>
      </c>
      <c r="H223" s="296">
        <v>1.0</v>
      </c>
      <c r="I223" s="293"/>
    </row>
    <row r="224">
      <c r="A224" t="s">
        <v>427</v>
      </c>
      <c r="B224" s="287">
        <v>42465.0</v>
      </c>
      <c r="C224" s="288">
        <f t="shared" si="1"/>
        <v>96</v>
      </c>
      <c r="D224" s="289">
        <f t="shared" si="2"/>
        <v>3.147540984</v>
      </c>
      <c r="E224" s="290">
        <f t="shared" si="3"/>
        <v>4</v>
      </c>
      <c r="F224" s="290" t="s">
        <v>732</v>
      </c>
      <c r="G224" s="291">
        <v>-0.005350968204221096</v>
      </c>
      <c r="H224" s="296">
        <v>0.0</v>
      </c>
      <c r="I224" s="293"/>
    </row>
    <row r="225">
      <c r="A225" t="s">
        <v>713</v>
      </c>
      <c r="B225" s="287">
        <v>42100.0</v>
      </c>
      <c r="C225" s="288">
        <f t="shared" si="1"/>
        <v>96</v>
      </c>
      <c r="D225" s="289">
        <f t="shared" si="2"/>
        <v>3.147540984</v>
      </c>
      <c r="E225" s="290">
        <f t="shared" si="3"/>
        <v>4</v>
      </c>
      <c r="F225" s="290" t="s">
        <v>732</v>
      </c>
      <c r="G225" s="291">
        <v>0.0018176156676432687</v>
      </c>
      <c r="H225" s="296">
        <v>0.0</v>
      </c>
      <c r="I225" s="293"/>
    </row>
    <row r="226">
      <c r="A226" t="s">
        <v>828</v>
      </c>
      <c r="B226" s="287">
        <v>42832.0</v>
      </c>
      <c r="C226" s="288">
        <f t="shared" si="1"/>
        <v>97</v>
      </c>
      <c r="D226" s="289">
        <f t="shared" si="2"/>
        <v>3.180327869</v>
      </c>
      <c r="E226" s="290">
        <f t="shared" si="3"/>
        <v>4</v>
      </c>
      <c r="F226" s="290" t="s">
        <v>732</v>
      </c>
      <c r="G226" s="291">
        <v>0.009462147992302494</v>
      </c>
      <c r="H226" s="296">
        <v>0.0</v>
      </c>
      <c r="I226" s="293"/>
    </row>
    <row r="227">
      <c r="A227" t="s">
        <v>108</v>
      </c>
      <c r="B227" s="287">
        <v>42466.0</v>
      </c>
      <c r="C227" s="288">
        <f t="shared" si="1"/>
        <v>97</v>
      </c>
      <c r="D227" s="289">
        <f t="shared" si="2"/>
        <v>3.180327869</v>
      </c>
      <c r="E227" s="290">
        <f t="shared" si="3"/>
        <v>4</v>
      </c>
      <c r="F227" s="290" t="s">
        <v>732</v>
      </c>
      <c r="G227" s="291">
        <v>-0.04729813255810644</v>
      </c>
      <c r="H227" s="296">
        <v>-1.0</v>
      </c>
      <c r="I227" s="293"/>
    </row>
    <row r="228">
      <c r="A228" t="s">
        <v>761</v>
      </c>
      <c r="B228" s="287">
        <v>42466.0</v>
      </c>
      <c r="C228" s="288">
        <f t="shared" si="1"/>
        <v>97</v>
      </c>
      <c r="D228" s="289">
        <f t="shared" si="2"/>
        <v>3.180327869</v>
      </c>
      <c r="E228" s="290">
        <f t="shared" si="3"/>
        <v>4</v>
      </c>
      <c r="F228" s="290" t="s">
        <v>732</v>
      </c>
      <c r="G228" s="291">
        <v>0.007650348531886619</v>
      </c>
      <c r="H228" s="296">
        <v>0.0</v>
      </c>
      <c r="I228" s="293"/>
    </row>
    <row r="229">
      <c r="A229" t="s">
        <v>304</v>
      </c>
      <c r="B229" s="287">
        <v>42101.0</v>
      </c>
      <c r="C229" s="288">
        <f t="shared" si="1"/>
        <v>97</v>
      </c>
      <c r="D229" s="289">
        <f t="shared" si="2"/>
        <v>3.180327869</v>
      </c>
      <c r="E229" s="290">
        <f t="shared" si="3"/>
        <v>4</v>
      </c>
      <c r="F229" s="290" t="s">
        <v>732</v>
      </c>
      <c r="G229" s="291">
        <v>0.003329977464950673</v>
      </c>
      <c r="H229" s="296">
        <v>0.0</v>
      </c>
      <c r="I229" s="293"/>
    </row>
    <row r="230">
      <c r="A230" t="s">
        <v>787</v>
      </c>
      <c r="B230" s="287">
        <v>42102.0</v>
      </c>
      <c r="C230" s="288">
        <f t="shared" si="1"/>
        <v>98</v>
      </c>
      <c r="D230" s="289">
        <f t="shared" si="2"/>
        <v>3.213114754</v>
      </c>
      <c r="E230" s="290">
        <f t="shared" si="3"/>
        <v>4</v>
      </c>
      <c r="F230" s="290" t="s">
        <v>732</v>
      </c>
      <c r="G230" s="291">
        <v>0.01080969993769676</v>
      </c>
      <c r="H230" s="296">
        <v>1.0</v>
      </c>
      <c r="I230" s="293"/>
    </row>
    <row r="231">
      <c r="A231" t="s">
        <v>829</v>
      </c>
      <c r="B231" s="287">
        <v>41737.0</v>
      </c>
      <c r="C231" s="288">
        <f t="shared" si="1"/>
        <v>98</v>
      </c>
      <c r="D231" s="289">
        <f t="shared" si="2"/>
        <v>3.213114754</v>
      </c>
      <c r="E231" s="290">
        <f t="shared" si="3"/>
        <v>4</v>
      </c>
      <c r="F231" s="290" t="s">
        <v>732</v>
      </c>
      <c r="G231" s="291">
        <v>0.01342087178000062</v>
      </c>
      <c r="H231" s="296">
        <v>1.0</v>
      </c>
      <c r="I231" s="293"/>
    </row>
    <row r="232">
      <c r="A232" t="s">
        <v>760</v>
      </c>
      <c r="B232" s="287">
        <v>42103.0</v>
      </c>
      <c r="C232" s="288">
        <f t="shared" si="1"/>
        <v>99</v>
      </c>
      <c r="D232" s="289">
        <f t="shared" si="2"/>
        <v>3.245901639</v>
      </c>
      <c r="E232" s="290">
        <f t="shared" si="3"/>
        <v>4</v>
      </c>
      <c r="F232" s="290" t="s">
        <v>732</v>
      </c>
      <c r="G232" s="291">
        <v>0.009715472705216444</v>
      </c>
      <c r="H232" s="296">
        <v>0.0</v>
      </c>
      <c r="I232" s="293"/>
    </row>
    <row r="233">
      <c r="A233" t="s">
        <v>523</v>
      </c>
      <c r="B233" s="287">
        <v>42469.0</v>
      </c>
      <c r="C233" s="288">
        <f t="shared" si="1"/>
        <v>100</v>
      </c>
      <c r="D233" s="289">
        <f t="shared" si="2"/>
        <v>3.278688525</v>
      </c>
      <c r="E233" s="290">
        <f t="shared" si="3"/>
        <v>4</v>
      </c>
      <c r="F233" s="290" t="s">
        <v>732</v>
      </c>
      <c r="G233" s="291">
        <v>-0.012752694618846205</v>
      </c>
      <c r="H233" s="296">
        <v>-1.0</v>
      </c>
      <c r="I233" s="293"/>
    </row>
    <row r="234">
      <c r="A234" t="s">
        <v>747</v>
      </c>
      <c r="B234" s="287">
        <v>42104.0</v>
      </c>
      <c r="C234" s="288">
        <f t="shared" si="1"/>
        <v>100</v>
      </c>
      <c r="D234" s="289">
        <f t="shared" si="2"/>
        <v>3.278688525</v>
      </c>
      <c r="E234" s="290">
        <f t="shared" si="3"/>
        <v>4</v>
      </c>
      <c r="F234" s="290" t="s">
        <v>732</v>
      </c>
      <c r="G234" s="291">
        <v>0.002207136242637353</v>
      </c>
      <c r="H234" s="296">
        <v>0.0</v>
      </c>
      <c r="I234" s="293"/>
    </row>
    <row r="235">
      <c r="A235" t="s">
        <v>830</v>
      </c>
      <c r="B235" s="287">
        <v>42836.0</v>
      </c>
      <c r="C235" s="288">
        <f t="shared" si="1"/>
        <v>101</v>
      </c>
      <c r="D235" s="289">
        <f t="shared" si="2"/>
        <v>3.31147541</v>
      </c>
      <c r="E235" s="290">
        <f t="shared" si="3"/>
        <v>4</v>
      </c>
      <c r="F235" s="290" t="s">
        <v>732</v>
      </c>
      <c r="G235" s="291">
        <v>0.002880835792408054</v>
      </c>
      <c r="H235" s="296">
        <v>0.0</v>
      </c>
      <c r="I235" s="293"/>
    </row>
    <row r="236">
      <c r="A236" t="s">
        <v>108</v>
      </c>
      <c r="B236" s="287">
        <v>42470.0</v>
      </c>
      <c r="C236" s="288">
        <f t="shared" si="1"/>
        <v>101</v>
      </c>
      <c r="D236" s="289">
        <f t="shared" si="2"/>
        <v>3.31147541</v>
      </c>
      <c r="E236" s="290">
        <f t="shared" si="3"/>
        <v>4</v>
      </c>
      <c r="F236" s="290" t="s">
        <v>732</v>
      </c>
      <c r="G236" s="291">
        <v>-0.04715106902062838</v>
      </c>
      <c r="H236" s="296">
        <v>-1.0</v>
      </c>
      <c r="I236" s="293"/>
    </row>
    <row r="237">
      <c r="A237" t="s">
        <v>831</v>
      </c>
      <c r="B237" s="287">
        <v>42470.0</v>
      </c>
      <c r="C237" s="288">
        <f t="shared" si="1"/>
        <v>101</v>
      </c>
      <c r="D237" s="289">
        <f t="shared" si="2"/>
        <v>3.31147541</v>
      </c>
      <c r="E237" s="290">
        <f t="shared" si="3"/>
        <v>4</v>
      </c>
      <c r="F237" s="290" t="s">
        <v>732</v>
      </c>
      <c r="G237" s="291">
        <v>-9.381142447895119E-5</v>
      </c>
      <c r="H237" s="296">
        <v>0.0</v>
      </c>
      <c r="I237" s="293"/>
    </row>
    <row r="238">
      <c r="A238" t="s">
        <v>214</v>
      </c>
      <c r="B238" s="287">
        <v>42105.0</v>
      </c>
      <c r="C238" s="288">
        <f t="shared" si="1"/>
        <v>101</v>
      </c>
      <c r="D238" s="289">
        <f t="shared" si="2"/>
        <v>3.31147541</v>
      </c>
      <c r="E238" s="290">
        <f t="shared" si="3"/>
        <v>4</v>
      </c>
      <c r="F238" s="290" t="s">
        <v>732</v>
      </c>
      <c r="G238" s="291">
        <v>0.01134577243003787</v>
      </c>
      <c r="H238" s="296">
        <v>1.0</v>
      </c>
      <c r="I238" s="293"/>
    </row>
    <row r="239">
      <c r="A239" t="s">
        <v>277</v>
      </c>
      <c r="B239" s="287">
        <v>42106.0</v>
      </c>
      <c r="C239" s="288">
        <f t="shared" si="1"/>
        <v>102</v>
      </c>
      <c r="D239" s="289">
        <f t="shared" si="2"/>
        <v>3.344262295</v>
      </c>
      <c r="E239" s="290">
        <f t="shared" si="3"/>
        <v>4</v>
      </c>
      <c r="F239" s="290" t="s">
        <v>732</v>
      </c>
      <c r="G239" s="291">
        <v>-0.009137217232566108</v>
      </c>
      <c r="H239" s="296">
        <v>0.0</v>
      </c>
      <c r="I239" s="293"/>
    </row>
    <row r="240">
      <c r="A240" t="s">
        <v>731</v>
      </c>
      <c r="B240" s="287">
        <v>42106.0</v>
      </c>
      <c r="C240" s="288">
        <f t="shared" si="1"/>
        <v>102</v>
      </c>
      <c r="D240" s="289">
        <f t="shared" si="2"/>
        <v>3.344262295</v>
      </c>
      <c r="E240" s="290">
        <f t="shared" si="3"/>
        <v>4</v>
      </c>
      <c r="F240" s="290" t="s">
        <v>732</v>
      </c>
      <c r="G240" s="291">
        <v>0.0020557541487931097</v>
      </c>
      <c r="H240" s="296">
        <v>0.0</v>
      </c>
      <c r="I240" s="293"/>
    </row>
    <row r="241">
      <c r="A241" t="s">
        <v>711</v>
      </c>
      <c r="B241" s="287">
        <v>42838.0</v>
      </c>
      <c r="C241" s="288">
        <f t="shared" si="1"/>
        <v>103</v>
      </c>
      <c r="D241" s="289">
        <f t="shared" si="2"/>
        <v>3.37704918</v>
      </c>
      <c r="E241" s="290">
        <f t="shared" si="3"/>
        <v>4</v>
      </c>
      <c r="F241" s="290" t="s">
        <v>732</v>
      </c>
      <c r="G241" s="291">
        <v>-0.004714747159267674</v>
      </c>
      <c r="H241" s="296">
        <v>0.0</v>
      </c>
      <c r="I241" s="293"/>
    </row>
    <row r="242">
      <c r="A242" t="s">
        <v>779</v>
      </c>
      <c r="B242" s="287">
        <v>42838.0</v>
      </c>
      <c r="C242" s="288">
        <f t="shared" si="1"/>
        <v>103</v>
      </c>
      <c r="D242" s="289">
        <f t="shared" si="2"/>
        <v>3.37704918</v>
      </c>
      <c r="E242" s="290">
        <f t="shared" si="3"/>
        <v>4</v>
      </c>
      <c r="F242" s="290" t="s">
        <v>732</v>
      </c>
      <c r="G242" s="291">
        <v>0.04125345985435669</v>
      </c>
      <c r="H242" s="296">
        <v>1.0</v>
      </c>
      <c r="I242" s="293"/>
    </row>
    <row r="243">
      <c r="A243" t="s">
        <v>603</v>
      </c>
      <c r="B243" s="287">
        <v>42838.0</v>
      </c>
      <c r="C243" s="288">
        <f t="shared" si="1"/>
        <v>103</v>
      </c>
      <c r="D243" s="289">
        <f t="shared" si="2"/>
        <v>3.37704918</v>
      </c>
      <c r="E243" s="290">
        <f t="shared" si="3"/>
        <v>4</v>
      </c>
      <c r="F243" s="290" t="s">
        <v>732</v>
      </c>
      <c r="G243" s="291">
        <v>0.025680637363871717</v>
      </c>
      <c r="H243" s="296">
        <v>1.0</v>
      </c>
      <c r="I243" s="293"/>
    </row>
    <row r="244">
      <c r="A244" t="s">
        <v>808</v>
      </c>
      <c r="B244" s="287">
        <v>42472.0</v>
      </c>
      <c r="C244" s="288">
        <f t="shared" si="1"/>
        <v>103</v>
      </c>
      <c r="D244" s="289">
        <f t="shared" si="2"/>
        <v>3.37704918</v>
      </c>
      <c r="E244" s="290">
        <f t="shared" si="3"/>
        <v>4</v>
      </c>
      <c r="F244" s="290" t="s">
        <v>732</v>
      </c>
      <c r="G244" s="291">
        <v>-0.006281511364831349</v>
      </c>
      <c r="H244" s="296">
        <v>0.0</v>
      </c>
      <c r="I244" s="293"/>
    </row>
    <row r="245">
      <c r="A245" t="s">
        <v>832</v>
      </c>
      <c r="B245" s="287">
        <v>42839.0</v>
      </c>
      <c r="C245" s="288">
        <f t="shared" si="1"/>
        <v>104</v>
      </c>
      <c r="D245" s="289">
        <f t="shared" si="2"/>
        <v>3.409836066</v>
      </c>
      <c r="E245" s="290">
        <f t="shared" si="3"/>
        <v>4</v>
      </c>
      <c r="F245" s="290" t="s">
        <v>732</v>
      </c>
      <c r="G245" s="291">
        <v>-0.025100221791317323</v>
      </c>
      <c r="H245" s="296">
        <v>-1.0</v>
      </c>
      <c r="I245" s="293"/>
    </row>
    <row r="246">
      <c r="A246" t="s">
        <v>427</v>
      </c>
      <c r="B246" s="287">
        <v>42108.0</v>
      </c>
      <c r="C246" s="288">
        <f t="shared" si="1"/>
        <v>104</v>
      </c>
      <c r="D246" s="289">
        <f t="shared" si="2"/>
        <v>3.409836066</v>
      </c>
      <c r="E246" s="290">
        <f t="shared" si="3"/>
        <v>4</v>
      </c>
      <c r="F246" s="290" t="s">
        <v>732</v>
      </c>
      <c r="G246" s="291">
        <v>0.019630578155581224</v>
      </c>
      <c r="H246" s="296">
        <v>1.0</v>
      </c>
      <c r="I246" s="293"/>
    </row>
    <row r="247">
      <c r="A247" t="s">
        <v>833</v>
      </c>
      <c r="B247" s="287">
        <v>42840.0</v>
      </c>
      <c r="C247" s="288">
        <f t="shared" si="1"/>
        <v>105</v>
      </c>
      <c r="D247" s="289">
        <f t="shared" si="2"/>
        <v>3.442622951</v>
      </c>
      <c r="E247" s="290">
        <f t="shared" si="3"/>
        <v>4</v>
      </c>
      <c r="F247" s="290" t="s">
        <v>732</v>
      </c>
      <c r="G247" s="291">
        <v>-0.07243901596659541</v>
      </c>
      <c r="H247" s="296">
        <v>-1.0</v>
      </c>
      <c r="I247" s="293"/>
    </row>
    <row r="248">
      <c r="A248" t="s">
        <v>834</v>
      </c>
      <c r="B248" s="287">
        <v>42840.0</v>
      </c>
      <c r="C248" s="288">
        <f t="shared" si="1"/>
        <v>105</v>
      </c>
      <c r="D248" s="289">
        <f t="shared" si="2"/>
        <v>3.442622951</v>
      </c>
      <c r="E248" s="290">
        <f t="shared" si="3"/>
        <v>4</v>
      </c>
      <c r="F248" s="290" t="s">
        <v>732</v>
      </c>
      <c r="G248" s="291">
        <v>0.0013106131585240988</v>
      </c>
      <c r="H248" s="296">
        <v>0.0</v>
      </c>
      <c r="I248" s="293"/>
    </row>
    <row r="249">
      <c r="A249" t="s">
        <v>751</v>
      </c>
      <c r="B249" s="287">
        <v>42474.0</v>
      </c>
      <c r="C249" s="288">
        <f t="shared" si="1"/>
        <v>105</v>
      </c>
      <c r="D249" s="289">
        <f t="shared" si="2"/>
        <v>3.442622951</v>
      </c>
      <c r="E249" s="290">
        <f t="shared" si="3"/>
        <v>4</v>
      </c>
      <c r="F249" s="290" t="s">
        <v>732</v>
      </c>
      <c r="G249" s="291">
        <v>-0.0028417004418171965</v>
      </c>
      <c r="H249" s="296">
        <v>0.0</v>
      </c>
      <c r="I249" s="293"/>
    </row>
    <row r="250">
      <c r="A250" t="s">
        <v>790</v>
      </c>
      <c r="B250" s="287">
        <v>42109.0</v>
      </c>
      <c r="C250" s="288">
        <f t="shared" si="1"/>
        <v>105</v>
      </c>
      <c r="D250" s="289">
        <f t="shared" si="2"/>
        <v>3.442622951</v>
      </c>
      <c r="E250" s="290">
        <f t="shared" si="3"/>
        <v>4</v>
      </c>
      <c r="F250" s="290" t="s">
        <v>732</v>
      </c>
      <c r="G250" s="291">
        <v>0.002775096975466962</v>
      </c>
      <c r="H250" s="296">
        <v>0.0</v>
      </c>
      <c r="I250" s="293"/>
    </row>
    <row r="251">
      <c r="A251" t="s">
        <v>744</v>
      </c>
      <c r="B251" s="287">
        <v>42109.0</v>
      </c>
      <c r="C251" s="288">
        <f t="shared" si="1"/>
        <v>105</v>
      </c>
      <c r="D251" s="289">
        <f t="shared" si="2"/>
        <v>3.442622951</v>
      </c>
      <c r="E251" s="290">
        <f t="shared" si="3"/>
        <v>4</v>
      </c>
      <c r="F251" s="290" t="s">
        <v>732</v>
      </c>
      <c r="G251" s="291">
        <v>-0.01561053174813265</v>
      </c>
      <c r="H251" s="296">
        <v>-1.0</v>
      </c>
      <c r="I251" s="293"/>
    </row>
    <row r="252">
      <c r="A252" t="s">
        <v>835</v>
      </c>
      <c r="B252" s="287">
        <v>42841.0</v>
      </c>
      <c r="C252" s="288">
        <f t="shared" si="1"/>
        <v>106</v>
      </c>
      <c r="D252" s="289">
        <f t="shared" si="2"/>
        <v>3.475409836</v>
      </c>
      <c r="E252" s="290">
        <f t="shared" si="3"/>
        <v>4</v>
      </c>
      <c r="F252" s="290" t="s">
        <v>732</v>
      </c>
      <c r="G252" s="291">
        <v>0.013022992219462126</v>
      </c>
      <c r="H252" s="296">
        <v>1.0</v>
      </c>
      <c r="I252" s="293"/>
    </row>
    <row r="253">
      <c r="A253" t="s">
        <v>709</v>
      </c>
      <c r="B253" s="287">
        <v>42475.0</v>
      </c>
      <c r="C253" s="288">
        <f t="shared" si="1"/>
        <v>106</v>
      </c>
      <c r="D253" s="289">
        <f t="shared" si="2"/>
        <v>3.475409836</v>
      </c>
      <c r="E253" s="290">
        <f t="shared" si="3"/>
        <v>4</v>
      </c>
      <c r="F253" s="290" t="s">
        <v>732</v>
      </c>
      <c r="G253" s="291">
        <v>0.02325842789325383</v>
      </c>
      <c r="H253" s="296">
        <v>1.0</v>
      </c>
      <c r="I253" s="293"/>
    </row>
    <row r="254">
      <c r="A254" t="s">
        <v>836</v>
      </c>
      <c r="B254" s="287">
        <v>42110.0</v>
      </c>
      <c r="C254" s="288">
        <f t="shared" si="1"/>
        <v>106</v>
      </c>
      <c r="D254" s="289">
        <f t="shared" si="2"/>
        <v>3.475409836</v>
      </c>
      <c r="E254" s="290">
        <f t="shared" si="3"/>
        <v>4</v>
      </c>
      <c r="F254" s="290" t="s">
        <v>732</v>
      </c>
      <c r="G254" s="291">
        <v>0.022617352221935172</v>
      </c>
      <c r="H254" s="296">
        <v>1.0</v>
      </c>
      <c r="I254" s="293"/>
    </row>
    <row r="255">
      <c r="A255" t="s">
        <v>837</v>
      </c>
      <c r="B255" s="287">
        <v>42110.0</v>
      </c>
      <c r="C255" s="288">
        <f t="shared" si="1"/>
        <v>106</v>
      </c>
      <c r="D255" s="289">
        <f t="shared" si="2"/>
        <v>3.475409836</v>
      </c>
      <c r="E255" s="290">
        <f t="shared" si="3"/>
        <v>4</v>
      </c>
      <c r="F255" s="290" t="s">
        <v>732</v>
      </c>
      <c r="G255" s="291">
        <v>0.00960034351987138</v>
      </c>
      <c r="H255" s="296">
        <v>0.0</v>
      </c>
      <c r="I255" s="293"/>
    </row>
    <row r="256">
      <c r="A256" t="s">
        <v>838</v>
      </c>
      <c r="B256" s="287">
        <v>42110.0</v>
      </c>
      <c r="C256" s="288">
        <f t="shared" si="1"/>
        <v>106</v>
      </c>
      <c r="D256" s="289">
        <f t="shared" si="2"/>
        <v>3.475409836</v>
      </c>
      <c r="E256" s="290">
        <f t="shared" si="3"/>
        <v>4</v>
      </c>
      <c r="F256" s="290" t="s">
        <v>732</v>
      </c>
      <c r="G256" s="291">
        <v>-0.016961301368916715</v>
      </c>
      <c r="H256" s="296">
        <v>-1.0</v>
      </c>
      <c r="I256" s="293"/>
    </row>
    <row r="257">
      <c r="A257" t="s">
        <v>829</v>
      </c>
      <c r="B257" s="287">
        <v>42110.0</v>
      </c>
      <c r="C257" s="288">
        <f t="shared" si="1"/>
        <v>106</v>
      </c>
      <c r="D257" s="289">
        <f t="shared" si="2"/>
        <v>3.475409836</v>
      </c>
      <c r="E257" s="290">
        <f t="shared" si="3"/>
        <v>4</v>
      </c>
      <c r="F257" s="290" t="s">
        <v>732</v>
      </c>
      <c r="G257" s="291">
        <v>-0.011431147158993071</v>
      </c>
      <c r="H257" s="296">
        <v>-1.0</v>
      </c>
      <c r="I257" s="293"/>
    </row>
    <row r="258">
      <c r="A258" t="s">
        <v>472</v>
      </c>
      <c r="B258" s="287">
        <v>42842.0</v>
      </c>
      <c r="C258" s="288">
        <f t="shared" si="1"/>
        <v>107</v>
      </c>
      <c r="D258" s="289">
        <f t="shared" si="2"/>
        <v>3.508196721</v>
      </c>
      <c r="E258" s="290">
        <f t="shared" si="3"/>
        <v>4</v>
      </c>
      <c r="F258" s="290" t="s">
        <v>732</v>
      </c>
      <c r="G258" s="291">
        <v>0.013966684965763698</v>
      </c>
      <c r="H258" s="296">
        <v>1.0</v>
      </c>
      <c r="I258" s="293"/>
    </row>
    <row r="259">
      <c r="A259" t="s">
        <v>839</v>
      </c>
      <c r="B259" s="287">
        <v>42842.0</v>
      </c>
      <c r="C259" s="288">
        <f t="shared" si="1"/>
        <v>107</v>
      </c>
      <c r="D259" s="289">
        <f t="shared" si="2"/>
        <v>3.508196721</v>
      </c>
      <c r="E259" s="290">
        <f t="shared" si="3"/>
        <v>4</v>
      </c>
      <c r="F259" s="290" t="s">
        <v>732</v>
      </c>
      <c r="G259" s="291">
        <v>0.009882344648086905</v>
      </c>
      <c r="H259" s="296">
        <v>0.0</v>
      </c>
      <c r="I259" s="293"/>
    </row>
    <row r="260">
      <c r="A260" t="s">
        <v>840</v>
      </c>
      <c r="B260" s="287">
        <v>42842.0</v>
      </c>
      <c r="C260" s="288">
        <f t="shared" si="1"/>
        <v>107</v>
      </c>
      <c r="D260" s="289">
        <f t="shared" si="2"/>
        <v>3.508196721</v>
      </c>
      <c r="E260" s="290">
        <f t="shared" si="3"/>
        <v>4</v>
      </c>
      <c r="F260" s="290" t="s">
        <v>732</v>
      </c>
      <c r="G260" s="291">
        <v>0.015268597867502898</v>
      </c>
      <c r="H260" s="296">
        <v>1.0</v>
      </c>
      <c r="I260" s="293"/>
    </row>
    <row r="261">
      <c r="A261" t="s">
        <v>841</v>
      </c>
      <c r="B261" s="287">
        <v>42842.0</v>
      </c>
      <c r="C261" s="288">
        <f t="shared" si="1"/>
        <v>107</v>
      </c>
      <c r="D261" s="289">
        <f t="shared" si="2"/>
        <v>3.508196721</v>
      </c>
      <c r="E261" s="290">
        <f t="shared" si="3"/>
        <v>4</v>
      </c>
      <c r="F261" s="290" t="s">
        <v>732</v>
      </c>
      <c r="G261" s="291">
        <v>0.008592747329677186</v>
      </c>
      <c r="H261" s="296">
        <v>0.0</v>
      </c>
      <c r="I261" s="293"/>
    </row>
    <row r="262">
      <c r="A262" t="s">
        <v>108</v>
      </c>
      <c r="B262" s="287">
        <v>42111.0</v>
      </c>
      <c r="C262" s="288">
        <f t="shared" si="1"/>
        <v>107</v>
      </c>
      <c r="D262" s="289">
        <f t="shared" si="2"/>
        <v>3.508196721</v>
      </c>
      <c r="E262" s="290">
        <f t="shared" si="3"/>
        <v>4</v>
      </c>
      <c r="F262" s="290" t="s">
        <v>732</v>
      </c>
      <c r="G262" s="291">
        <v>0.0038596885298652905</v>
      </c>
      <c r="H262" s="296">
        <v>0.0</v>
      </c>
      <c r="I262" s="293"/>
    </row>
    <row r="263">
      <c r="A263" t="s">
        <v>760</v>
      </c>
      <c r="B263" s="287">
        <v>42843.0</v>
      </c>
      <c r="C263" s="288">
        <f t="shared" si="1"/>
        <v>108</v>
      </c>
      <c r="D263" s="289">
        <f t="shared" si="2"/>
        <v>3.540983607</v>
      </c>
      <c r="E263" s="290">
        <f t="shared" si="3"/>
        <v>4</v>
      </c>
      <c r="F263" s="290" t="s">
        <v>732</v>
      </c>
      <c r="G263" s="291">
        <v>-0.004137093760588906</v>
      </c>
      <c r="H263" s="296">
        <v>0.0</v>
      </c>
      <c r="I263" s="293"/>
    </row>
    <row r="264">
      <c r="A264" t="s">
        <v>842</v>
      </c>
      <c r="B264" s="287">
        <v>42843.0</v>
      </c>
      <c r="C264" s="288">
        <f t="shared" si="1"/>
        <v>108</v>
      </c>
      <c r="D264" s="289">
        <f t="shared" si="2"/>
        <v>3.540983607</v>
      </c>
      <c r="E264" s="290">
        <f t="shared" si="3"/>
        <v>4</v>
      </c>
      <c r="F264" s="290" t="s">
        <v>732</v>
      </c>
      <c r="G264" s="291">
        <v>0.017200130463108088</v>
      </c>
      <c r="H264" s="296">
        <v>1.0</v>
      </c>
      <c r="I264" s="293"/>
    </row>
    <row r="265">
      <c r="A265" t="s">
        <v>755</v>
      </c>
      <c r="B265" s="287">
        <v>42477.0</v>
      </c>
      <c r="C265" s="288">
        <f t="shared" si="1"/>
        <v>108</v>
      </c>
      <c r="D265" s="289">
        <f t="shared" si="2"/>
        <v>3.540983607</v>
      </c>
      <c r="E265" s="290">
        <f t="shared" si="3"/>
        <v>4</v>
      </c>
      <c r="F265" s="290" t="s">
        <v>732</v>
      </c>
      <c r="G265" s="291">
        <v>-0.005082959663360809</v>
      </c>
      <c r="H265" s="296">
        <v>0.0</v>
      </c>
      <c r="I265" s="293"/>
    </row>
    <row r="266">
      <c r="A266" t="s">
        <v>716</v>
      </c>
      <c r="B266" s="287">
        <v>42477.0</v>
      </c>
      <c r="C266" s="288">
        <f t="shared" si="1"/>
        <v>108</v>
      </c>
      <c r="D266" s="289">
        <f t="shared" si="2"/>
        <v>3.540983607</v>
      </c>
      <c r="E266" s="290">
        <f t="shared" si="3"/>
        <v>4</v>
      </c>
      <c r="F266" s="290" t="s">
        <v>732</v>
      </c>
      <c r="G266" s="291">
        <v>0.005240819043794365</v>
      </c>
      <c r="H266" s="296">
        <v>0.0</v>
      </c>
      <c r="I266" s="293"/>
    </row>
    <row r="267">
      <c r="A267" t="s">
        <v>777</v>
      </c>
      <c r="B267" s="287">
        <v>42477.0</v>
      </c>
      <c r="C267" s="288">
        <f t="shared" si="1"/>
        <v>108</v>
      </c>
      <c r="D267" s="289">
        <f t="shared" si="2"/>
        <v>3.540983607</v>
      </c>
      <c r="E267" s="290">
        <f t="shared" si="3"/>
        <v>4</v>
      </c>
      <c r="F267" s="290" t="s">
        <v>732</v>
      </c>
      <c r="G267" s="291">
        <v>0.006905758970517595</v>
      </c>
      <c r="H267" s="296">
        <v>0.0</v>
      </c>
      <c r="I267" s="293"/>
    </row>
    <row r="268">
      <c r="A268" t="s">
        <v>843</v>
      </c>
      <c r="B268" s="287">
        <v>42477.0</v>
      </c>
      <c r="C268" s="288">
        <f t="shared" si="1"/>
        <v>108</v>
      </c>
      <c r="D268" s="289">
        <f t="shared" si="2"/>
        <v>3.540983607</v>
      </c>
      <c r="E268" s="290">
        <f t="shared" si="3"/>
        <v>4</v>
      </c>
      <c r="F268" s="290" t="s">
        <v>732</v>
      </c>
      <c r="G268" s="291">
        <v>0.02104819448205275</v>
      </c>
      <c r="H268" s="296">
        <v>1.0</v>
      </c>
      <c r="I268" s="293"/>
    </row>
    <row r="269">
      <c r="A269" t="s">
        <v>93</v>
      </c>
      <c r="B269" s="287">
        <v>42112.0</v>
      </c>
      <c r="C269" s="288">
        <f t="shared" si="1"/>
        <v>108</v>
      </c>
      <c r="D269" s="289">
        <f t="shared" si="2"/>
        <v>3.540983607</v>
      </c>
      <c r="E269" s="290">
        <f t="shared" si="3"/>
        <v>4</v>
      </c>
      <c r="F269" s="290" t="s">
        <v>732</v>
      </c>
      <c r="G269" s="291">
        <v>-0.016480764015556315</v>
      </c>
      <c r="H269" s="296">
        <v>-1.0</v>
      </c>
      <c r="I269" s="293"/>
    </row>
    <row r="270">
      <c r="A270" t="s">
        <v>742</v>
      </c>
      <c r="B270" s="287">
        <v>42112.0</v>
      </c>
      <c r="C270" s="288">
        <f t="shared" si="1"/>
        <v>108</v>
      </c>
      <c r="D270" s="289">
        <f t="shared" si="2"/>
        <v>3.540983607</v>
      </c>
      <c r="E270" s="290">
        <f t="shared" si="3"/>
        <v>4</v>
      </c>
      <c r="F270" s="290" t="s">
        <v>732</v>
      </c>
      <c r="G270" s="291">
        <v>-0.0015973624161789157</v>
      </c>
      <c r="H270" s="296">
        <v>0.0</v>
      </c>
      <c r="I270" s="293"/>
    </row>
    <row r="271">
      <c r="A271" t="s">
        <v>844</v>
      </c>
      <c r="B271" s="287">
        <v>42844.0</v>
      </c>
      <c r="C271" s="288">
        <f t="shared" si="1"/>
        <v>109</v>
      </c>
      <c r="D271" s="289">
        <f t="shared" si="2"/>
        <v>3.573770492</v>
      </c>
      <c r="E271" s="290">
        <f t="shared" si="3"/>
        <v>4</v>
      </c>
      <c r="F271" s="290" t="s">
        <v>732</v>
      </c>
      <c r="G271" s="291">
        <v>-0.00723708315067606</v>
      </c>
      <c r="H271" s="296">
        <v>0.0</v>
      </c>
      <c r="I271" s="293"/>
    </row>
    <row r="272">
      <c r="A272" t="s">
        <v>769</v>
      </c>
      <c r="B272" s="287">
        <v>42478.0</v>
      </c>
      <c r="C272" s="288">
        <f t="shared" si="1"/>
        <v>109</v>
      </c>
      <c r="D272" s="289">
        <f t="shared" si="2"/>
        <v>3.573770492</v>
      </c>
      <c r="E272" s="290">
        <f t="shared" si="3"/>
        <v>4</v>
      </c>
      <c r="F272" s="290" t="s">
        <v>732</v>
      </c>
      <c r="G272" s="291">
        <v>0.016099725707324652</v>
      </c>
      <c r="H272" s="296">
        <v>1.0</v>
      </c>
      <c r="I272" s="293"/>
    </row>
    <row r="273">
      <c r="A273" t="s">
        <v>751</v>
      </c>
      <c r="B273" s="287">
        <v>42113.0</v>
      </c>
      <c r="C273" s="288">
        <f t="shared" si="1"/>
        <v>109</v>
      </c>
      <c r="D273" s="289">
        <f t="shared" si="2"/>
        <v>3.573770492</v>
      </c>
      <c r="E273" s="290">
        <f t="shared" si="3"/>
        <v>4</v>
      </c>
      <c r="F273" s="290" t="s">
        <v>732</v>
      </c>
      <c r="G273" s="291">
        <v>-0.00847535258065979</v>
      </c>
      <c r="H273" s="296">
        <v>0.0</v>
      </c>
      <c r="I273" s="293"/>
    </row>
    <row r="274">
      <c r="A274" t="s">
        <v>756</v>
      </c>
      <c r="B274" s="287">
        <v>42113.0</v>
      </c>
      <c r="C274" s="288">
        <f t="shared" si="1"/>
        <v>109</v>
      </c>
      <c r="D274" s="289">
        <f t="shared" si="2"/>
        <v>3.573770492</v>
      </c>
      <c r="E274" s="290">
        <f t="shared" si="3"/>
        <v>4</v>
      </c>
      <c r="F274" s="290" t="s">
        <v>732</v>
      </c>
      <c r="G274" s="291">
        <v>-0.013143943578967199</v>
      </c>
      <c r="H274" s="296">
        <v>-1.0</v>
      </c>
      <c r="I274" s="293"/>
    </row>
    <row r="275">
      <c r="A275" t="s">
        <v>722</v>
      </c>
      <c r="B275" s="287">
        <v>42479.0</v>
      </c>
      <c r="C275" s="288">
        <f t="shared" si="1"/>
        <v>110</v>
      </c>
      <c r="D275" s="289">
        <f t="shared" si="2"/>
        <v>3.606557377</v>
      </c>
      <c r="E275" s="290">
        <f t="shared" si="3"/>
        <v>4</v>
      </c>
      <c r="F275" s="290" t="s">
        <v>732</v>
      </c>
      <c r="G275" s="291">
        <v>-0.02114080893954129</v>
      </c>
      <c r="H275" s="296">
        <v>-1.0</v>
      </c>
      <c r="I275" s="293"/>
    </row>
    <row r="276">
      <c r="A276" t="s">
        <v>770</v>
      </c>
      <c r="B276" s="287">
        <v>42114.0</v>
      </c>
      <c r="C276" s="288">
        <f t="shared" si="1"/>
        <v>110</v>
      </c>
      <c r="D276" s="289">
        <f t="shared" si="2"/>
        <v>3.606557377</v>
      </c>
      <c r="E276" s="290">
        <f t="shared" si="3"/>
        <v>4</v>
      </c>
      <c r="F276" s="290" t="s">
        <v>732</v>
      </c>
      <c r="G276" s="291">
        <v>-0.003104059830352668</v>
      </c>
      <c r="H276" s="296">
        <v>0.0</v>
      </c>
      <c r="I276" s="293"/>
    </row>
    <row r="277">
      <c r="A277" t="s">
        <v>811</v>
      </c>
      <c r="B277" s="287">
        <v>42114.0</v>
      </c>
      <c r="C277" s="288">
        <f t="shared" si="1"/>
        <v>110</v>
      </c>
      <c r="D277" s="289">
        <f t="shared" si="2"/>
        <v>3.606557377</v>
      </c>
      <c r="E277" s="290">
        <f t="shared" si="3"/>
        <v>4</v>
      </c>
      <c r="F277" s="290" t="s">
        <v>732</v>
      </c>
      <c r="G277" s="291">
        <v>-0.0024059013237599514</v>
      </c>
      <c r="H277" s="296">
        <v>0.0</v>
      </c>
      <c r="I277" s="293"/>
    </row>
    <row r="278">
      <c r="A278" t="s">
        <v>845</v>
      </c>
      <c r="B278" s="287">
        <v>42846.0</v>
      </c>
      <c r="C278" s="288">
        <f t="shared" si="1"/>
        <v>111</v>
      </c>
      <c r="D278" s="289">
        <f t="shared" si="2"/>
        <v>3.639344262</v>
      </c>
      <c r="E278" s="290">
        <f t="shared" si="3"/>
        <v>4</v>
      </c>
      <c r="F278" s="290" t="s">
        <v>732</v>
      </c>
      <c r="G278" s="291">
        <v>0.01236947186614712</v>
      </c>
      <c r="H278" s="296">
        <v>1.0</v>
      </c>
      <c r="I278" s="293"/>
    </row>
    <row r="279">
      <c r="A279" t="s">
        <v>834</v>
      </c>
      <c r="B279" s="287">
        <v>42847.0</v>
      </c>
      <c r="C279" s="288">
        <f t="shared" si="1"/>
        <v>112</v>
      </c>
      <c r="D279" s="289">
        <f t="shared" si="2"/>
        <v>3.672131148</v>
      </c>
      <c r="E279" s="290">
        <f t="shared" si="3"/>
        <v>4</v>
      </c>
      <c r="F279" s="290" t="s">
        <v>732</v>
      </c>
      <c r="G279" s="291">
        <v>0.012675299778291182</v>
      </c>
      <c r="H279" s="296">
        <v>1.0</v>
      </c>
      <c r="I279" s="293"/>
    </row>
    <row r="280">
      <c r="A280" t="s">
        <v>812</v>
      </c>
      <c r="B280" s="287">
        <v>42847.0</v>
      </c>
      <c r="C280" s="288">
        <f t="shared" si="1"/>
        <v>112</v>
      </c>
      <c r="D280" s="289">
        <f t="shared" si="2"/>
        <v>3.672131148</v>
      </c>
      <c r="E280" s="290">
        <f t="shared" si="3"/>
        <v>4</v>
      </c>
      <c r="F280" s="290" t="s">
        <v>732</v>
      </c>
      <c r="G280" s="291">
        <v>0.012457240007903492</v>
      </c>
      <c r="H280" s="296">
        <v>1.0</v>
      </c>
      <c r="I280" s="293"/>
    </row>
    <row r="281">
      <c r="A281" t="s">
        <v>846</v>
      </c>
      <c r="B281" s="287">
        <v>42847.0</v>
      </c>
      <c r="C281" s="288">
        <f t="shared" si="1"/>
        <v>112</v>
      </c>
      <c r="D281" s="289">
        <f t="shared" si="2"/>
        <v>3.672131148</v>
      </c>
      <c r="E281" s="290">
        <f t="shared" si="3"/>
        <v>4</v>
      </c>
      <c r="F281" s="290" t="s">
        <v>732</v>
      </c>
      <c r="G281" s="291">
        <v>0.009675382294092039</v>
      </c>
      <c r="H281" s="296">
        <v>0.0</v>
      </c>
      <c r="I281" s="293"/>
    </row>
    <row r="282">
      <c r="A282" t="s">
        <v>573</v>
      </c>
      <c r="B282" s="287">
        <v>42481.0</v>
      </c>
      <c r="C282" s="288">
        <f t="shared" si="1"/>
        <v>112</v>
      </c>
      <c r="D282" s="289">
        <f t="shared" si="2"/>
        <v>3.672131148</v>
      </c>
      <c r="E282" s="290">
        <f t="shared" si="3"/>
        <v>4</v>
      </c>
      <c r="F282" s="290" t="s">
        <v>732</v>
      </c>
      <c r="G282" s="291">
        <v>-0.005936633867385077</v>
      </c>
      <c r="H282" s="296">
        <v>0.0</v>
      </c>
      <c r="I282" s="293"/>
    </row>
    <row r="283">
      <c r="A283" t="s">
        <v>812</v>
      </c>
      <c r="B283" s="287">
        <v>42848.0</v>
      </c>
      <c r="C283" s="288">
        <f t="shared" si="1"/>
        <v>113</v>
      </c>
      <c r="D283" s="289">
        <f t="shared" si="2"/>
        <v>3.704918033</v>
      </c>
      <c r="E283" s="290">
        <f t="shared" si="3"/>
        <v>4</v>
      </c>
      <c r="F283" s="290" t="s">
        <v>732</v>
      </c>
      <c r="G283" s="291">
        <v>0.012526174979275884</v>
      </c>
      <c r="H283" s="296">
        <v>1.0</v>
      </c>
      <c r="I283" s="293"/>
    </row>
    <row r="284">
      <c r="A284" t="s">
        <v>400</v>
      </c>
      <c r="B284" s="287">
        <v>42848.0</v>
      </c>
      <c r="C284" s="288">
        <f t="shared" si="1"/>
        <v>113</v>
      </c>
      <c r="D284" s="289">
        <f t="shared" si="2"/>
        <v>3.704918033</v>
      </c>
      <c r="E284" s="290">
        <f t="shared" si="3"/>
        <v>4</v>
      </c>
      <c r="F284" s="290" t="s">
        <v>732</v>
      </c>
      <c r="G284" s="291">
        <v>0.020404318500634955</v>
      </c>
      <c r="H284" s="296">
        <v>1.0</v>
      </c>
      <c r="I284" s="293"/>
    </row>
    <row r="285">
      <c r="A285" t="s">
        <v>715</v>
      </c>
      <c r="B285" s="287">
        <v>42482.0</v>
      </c>
      <c r="C285" s="288">
        <f t="shared" si="1"/>
        <v>113</v>
      </c>
      <c r="D285" s="289">
        <f t="shared" si="2"/>
        <v>3.704918033</v>
      </c>
      <c r="E285" s="290">
        <f t="shared" si="3"/>
        <v>4</v>
      </c>
      <c r="F285" s="290" t="s">
        <v>732</v>
      </c>
      <c r="G285" s="291">
        <v>0.004172951802255298</v>
      </c>
      <c r="H285" s="296">
        <v>0.0</v>
      </c>
      <c r="I285" s="293"/>
    </row>
    <row r="286">
      <c r="A286" t="s">
        <v>108</v>
      </c>
      <c r="B286" s="287">
        <v>42482.0</v>
      </c>
      <c r="C286" s="288">
        <f t="shared" si="1"/>
        <v>113</v>
      </c>
      <c r="D286" s="289">
        <f t="shared" si="2"/>
        <v>3.704918033</v>
      </c>
      <c r="E286" s="290">
        <f t="shared" si="3"/>
        <v>4</v>
      </c>
      <c r="F286" s="290" t="s">
        <v>732</v>
      </c>
      <c r="G286" s="291">
        <v>-0.04883523002882051</v>
      </c>
      <c r="H286" s="296">
        <v>-1.0</v>
      </c>
      <c r="I286" s="293"/>
    </row>
    <row r="287">
      <c r="A287" t="s">
        <v>318</v>
      </c>
      <c r="B287" s="287">
        <v>42482.0</v>
      </c>
      <c r="C287" s="288">
        <f t="shared" si="1"/>
        <v>113</v>
      </c>
      <c r="D287" s="289">
        <f t="shared" si="2"/>
        <v>3.704918033</v>
      </c>
      <c r="E287" s="290">
        <f t="shared" si="3"/>
        <v>4</v>
      </c>
      <c r="F287" s="290" t="s">
        <v>732</v>
      </c>
      <c r="G287" s="291">
        <v>-0.004056140278833831</v>
      </c>
      <c r="H287" s="296">
        <v>0.0</v>
      </c>
      <c r="I287" s="293"/>
    </row>
    <row r="288">
      <c r="A288" t="s">
        <v>847</v>
      </c>
      <c r="B288" s="287">
        <v>42117.0</v>
      </c>
      <c r="C288" s="288">
        <f t="shared" si="1"/>
        <v>113</v>
      </c>
      <c r="D288" s="289">
        <f t="shared" si="2"/>
        <v>3.704918033</v>
      </c>
      <c r="E288" s="290">
        <f t="shared" si="3"/>
        <v>4</v>
      </c>
      <c r="F288" s="290" t="s">
        <v>732</v>
      </c>
      <c r="G288" s="291">
        <v>-0.049812354223656596</v>
      </c>
      <c r="H288" s="296">
        <v>-1.0</v>
      </c>
      <c r="I288" s="293"/>
    </row>
    <row r="289">
      <c r="A289" t="s">
        <v>573</v>
      </c>
      <c r="B289" s="287">
        <v>42849.0</v>
      </c>
      <c r="C289" s="288">
        <f t="shared" si="1"/>
        <v>114</v>
      </c>
      <c r="D289" s="289">
        <f t="shared" si="2"/>
        <v>3.737704918</v>
      </c>
      <c r="E289" s="290">
        <f t="shared" si="3"/>
        <v>4</v>
      </c>
      <c r="F289" s="290" t="s">
        <v>732</v>
      </c>
      <c r="G289" s="291">
        <v>-0.009808698300893148</v>
      </c>
      <c r="H289" s="296">
        <v>0.0</v>
      </c>
      <c r="I289" s="293"/>
    </row>
    <row r="290">
      <c r="A290" t="s">
        <v>848</v>
      </c>
      <c r="B290" s="287">
        <v>42118.0</v>
      </c>
      <c r="C290" s="288">
        <f t="shared" si="1"/>
        <v>114</v>
      </c>
      <c r="D290" s="289">
        <f t="shared" si="2"/>
        <v>3.737704918</v>
      </c>
      <c r="E290" s="290">
        <f t="shared" si="3"/>
        <v>4</v>
      </c>
      <c r="F290" s="290" t="s">
        <v>732</v>
      </c>
      <c r="G290" s="291">
        <v>-0.012594133581140365</v>
      </c>
      <c r="H290" s="296">
        <v>-1.0</v>
      </c>
      <c r="I290" s="293"/>
    </row>
    <row r="291">
      <c r="A291" t="s">
        <v>845</v>
      </c>
      <c r="B291" s="287">
        <v>42118.0</v>
      </c>
      <c r="C291" s="288">
        <f t="shared" si="1"/>
        <v>114</v>
      </c>
      <c r="D291" s="289">
        <f t="shared" si="2"/>
        <v>3.737704918</v>
      </c>
      <c r="E291" s="290">
        <f t="shared" si="3"/>
        <v>4</v>
      </c>
      <c r="F291" s="290" t="s">
        <v>732</v>
      </c>
      <c r="G291" s="291">
        <v>0.022879576682067526</v>
      </c>
      <c r="H291" s="296">
        <v>1.0</v>
      </c>
      <c r="I291" s="293"/>
    </row>
    <row r="292">
      <c r="A292" t="s">
        <v>849</v>
      </c>
      <c r="B292" s="287">
        <v>42850.0</v>
      </c>
      <c r="C292" s="288">
        <f t="shared" si="1"/>
        <v>115</v>
      </c>
      <c r="D292" s="289">
        <f t="shared" si="2"/>
        <v>3.770491803</v>
      </c>
      <c r="E292" s="290">
        <f t="shared" si="3"/>
        <v>4</v>
      </c>
      <c r="F292" s="290" t="s">
        <v>732</v>
      </c>
      <c r="G292" s="291">
        <v>0.06021680756356762</v>
      </c>
      <c r="H292" s="296">
        <v>1.0</v>
      </c>
      <c r="I292" s="293"/>
    </row>
    <row r="293">
      <c r="A293" t="s">
        <v>737</v>
      </c>
      <c r="B293" s="287">
        <v>42120.0</v>
      </c>
      <c r="C293" s="288">
        <f t="shared" si="1"/>
        <v>116</v>
      </c>
      <c r="D293" s="289">
        <f t="shared" si="2"/>
        <v>3.803278689</v>
      </c>
      <c r="E293" s="290">
        <f t="shared" si="3"/>
        <v>4</v>
      </c>
      <c r="F293" s="290" t="s">
        <v>732</v>
      </c>
      <c r="G293" s="291">
        <v>-0.020775341944711756</v>
      </c>
      <c r="H293" s="296">
        <v>-1.0</v>
      </c>
      <c r="I293" s="293"/>
    </row>
    <row r="294">
      <c r="A294" t="s">
        <v>718</v>
      </c>
      <c r="B294" s="287">
        <v>42121.0</v>
      </c>
      <c r="C294" s="288">
        <f t="shared" si="1"/>
        <v>117</v>
      </c>
      <c r="D294" s="289">
        <f t="shared" si="2"/>
        <v>3.836065574</v>
      </c>
      <c r="E294" s="290">
        <f t="shared" si="3"/>
        <v>4</v>
      </c>
      <c r="F294" s="290" t="s">
        <v>732</v>
      </c>
      <c r="G294" s="291">
        <v>3.010562889326218E-4</v>
      </c>
      <c r="H294" s="296">
        <v>0.0</v>
      </c>
      <c r="I294" s="293"/>
    </row>
    <row r="295">
      <c r="A295" t="s">
        <v>850</v>
      </c>
      <c r="B295" s="287">
        <v>42121.0</v>
      </c>
      <c r="C295" s="288">
        <f t="shared" si="1"/>
        <v>117</v>
      </c>
      <c r="D295" s="289">
        <f t="shared" si="2"/>
        <v>3.836065574</v>
      </c>
      <c r="E295" s="290">
        <f t="shared" si="3"/>
        <v>4</v>
      </c>
      <c r="F295" s="290" t="s">
        <v>732</v>
      </c>
      <c r="G295" s="291">
        <v>-0.013001294482720804</v>
      </c>
      <c r="H295" s="296">
        <v>-1.0</v>
      </c>
      <c r="I295" s="293"/>
    </row>
    <row r="296">
      <c r="A296" t="s">
        <v>851</v>
      </c>
      <c r="B296" s="287">
        <v>42853.0</v>
      </c>
      <c r="C296" s="288">
        <f t="shared" si="1"/>
        <v>118</v>
      </c>
      <c r="D296" s="289">
        <f t="shared" si="2"/>
        <v>3.868852459</v>
      </c>
      <c r="E296" s="290">
        <f t="shared" si="3"/>
        <v>4</v>
      </c>
      <c r="F296" s="290" t="s">
        <v>732</v>
      </c>
      <c r="G296" s="291">
        <v>0.01183990051953765</v>
      </c>
      <c r="H296" s="296">
        <v>1.0</v>
      </c>
      <c r="I296" s="293"/>
    </row>
    <row r="297">
      <c r="A297" t="s">
        <v>189</v>
      </c>
      <c r="B297" s="287">
        <v>42487.0</v>
      </c>
      <c r="C297" s="288">
        <f t="shared" si="1"/>
        <v>118</v>
      </c>
      <c r="D297" s="289">
        <f t="shared" si="2"/>
        <v>3.868852459</v>
      </c>
      <c r="E297" s="290">
        <f t="shared" si="3"/>
        <v>4</v>
      </c>
      <c r="F297" s="290" t="s">
        <v>732</v>
      </c>
      <c r="G297" s="291">
        <v>-0.009659141516847658</v>
      </c>
      <c r="H297" s="296">
        <v>0.0</v>
      </c>
      <c r="I297" s="293"/>
    </row>
    <row r="298">
      <c r="A298" t="s">
        <v>108</v>
      </c>
      <c r="B298" s="287">
        <v>42122.0</v>
      </c>
      <c r="C298" s="288">
        <f t="shared" si="1"/>
        <v>118</v>
      </c>
      <c r="D298" s="289">
        <f t="shared" si="2"/>
        <v>3.868852459</v>
      </c>
      <c r="E298" s="290">
        <f t="shared" si="3"/>
        <v>4</v>
      </c>
      <c r="F298" s="290" t="s">
        <v>732</v>
      </c>
      <c r="G298" s="291">
        <v>0.0012133281065610513</v>
      </c>
      <c r="H298" s="296">
        <v>0.0</v>
      </c>
      <c r="I298" s="293"/>
    </row>
    <row r="299">
      <c r="A299" t="s">
        <v>834</v>
      </c>
      <c r="B299" s="287">
        <v>42854.0</v>
      </c>
      <c r="C299" s="288">
        <f t="shared" si="1"/>
        <v>119</v>
      </c>
      <c r="D299" s="289">
        <f t="shared" si="2"/>
        <v>3.901639344</v>
      </c>
      <c r="E299" s="290">
        <f t="shared" si="3"/>
        <v>4</v>
      </c>
      <c r="F299" s="290" t="s">
        <v>732</v>
      </c>
      <c r="G299" s="291">
        <v>-0.006489381537152283</v>
      </c>
      <c r="H299" s="296">
        <v>0.0</v>
      </c>
      <c r="I299" s="293"/>
    </row>
    <row r="300">
      <c r="A300" t="s">
        <v>808</v>
      </c>
      <c r="B300" s="287">
        <v>42488.0</v>
      </c>
      <c r="C300" s="288">
        <f t="shared" si="1"/>
        <v>119</v>
      </c>
      <c r="D300" s="289">
        <f t="shared" si="2"/>
        <v>3.901639344</v>
      </c>
      <c r="E300" s="290">
        <f t="shared" si="3"/>
        <v>4</v>
      </c>
      <c r="F300" s="290" t="s">
        <v>732</v>
      </c>
      <c r="G300" s="291">
        <v>-0.007528198796033947</v>
      </c>
      <c r="H300" s="296">
        <v>0.0</v>
      </c>
      <c r="I300" s="293"/>
    </row>
    <row r="301">
      <c r="A301" t="s">
        <v>214</v>
      </c>
      <c r="B301" s="287">
        <v>42123.0</v>
      </c>
      <c r="C301" s="288">
        <f t="shared" si="1"/>
        <v>119</v>
      </c>
      <c r="D301" s="289">
        <f t="shared" si="2"/>
        <v>3.901639344</v>
      </c>
      <c r="E301" s="290">
        <f t="shared" si="3"/>
        <v>4</v>
      </c>
      <c r="F301" s="290" t="s">
        <v>732</v>
      </c>
      <c r="G301" s="291">
        <v>0.00522908943448297</v>
      </c>
      <c r="H301" s="296">
        <v>0.0</v>
      </c>
      <c r="I301" s="293"/>
    </row>
    <row r="302">
      <c r="A302" t="s">
        <v>852</v>
      </c>
      <c r="B302" s="287">
        <v>42124.0</v>
      </c>
      <c r="C302" s="288">
        <f t="shared" si="1"/>
        <v>120</v>
      </c>
      <c r="D302" s="289">
        <f t="shared" si="2"/>
        <v>3.93442623</v>
      </c>
      <c r="E302" s="290">
        <f t="shared" si="3"/>
        <v>4</v>
      </c>
      <c r="F302" s="290" t="s">
        <v>732</v>
      </c>
      <c r="G302" s="291">
        <v>-0.004512396856849565</v>
      </c>
      <c r="H302" s="296">
        <v>0.0</v>
      </c>
      <c r="I302" s="293"/>
    </row>
    <row r="303">
      <c r="A303" t="s">
        <v>853</v>
      </c>
      <c r="B303" s="287">
        <v>42856.0</v>
      </c>
      <c r="C303" s="288">
        <f t="shared" si="1"/>
        <v>121</v>
      </c>
      <c r="D303" s="289">
        <f t="shared" si="2"/>
        <v>3.967213115</v>
      </c>
      <c r="E303" s="290">
        <f t="shared" si="3"/>
        <v>4</v>
      </c>
      <c r="F303" s="290" t="s">
        <v>732</v>
      </c>
      <c r="G303" s="291">
        <v>0.019922434400399536</v>
      </c>
      <c r="H303" s="296">
        <v>1.0</v>
      </c>
      <c r="I303" s="293"/>
    </row>
    <row r="304">
      <c r="A304" t="s">
        <v>490</v>
      </c>
      <c r="B304" s="287">
        <v>42856.0</v>
      </c>
      <c r="C304" s="288">
        <f t="shared" si="1"/>
        <v>121</v>
      </c>
      <c r="D304" s="289">
        <f t="shared" si="2"/>
        <v>3.967213115</v>
      </c>
      <c r="E304" s="290">
        <f t="shared" si="3"/>
        <v>4</v>
      </c>
      <c r="F304" s="290" t="s">
        <v>732</v>
      </c>
      <c r="G304" s="291">
        <v>0.029684102686054148</v>
      </c>
      <c r="H304" s="296">
        <v>1.0</v>
      </c>
      <c r="I304" s="293"/>
    </row>
    <row r="305">
      <c r="A305" t="s">
        <v>723</v>
      </c>
      <c r="B305" s="287">
        <v>42490.0</v>
      </c>
      <c r="C305" s="288">
        <f t="shared" si="1"/>
        <v>121</v>
      </c>
      <c r="D305" s="289">
        <f t="shared" si="2"/>
        <v>3.967213115</v>
      </c>
      <c r="E305" s="290">
        <f t="shared" si="3"/>
        <v>4</v>
      </c>
      <c r="F305" s="290" t="s">
        <v>732</v>
      </c>
      <c r="G305" s="291">
        <v>0.015062302008124417</v>
      </c>
      <c r="H305" s="296">
        <v>1.0</v>
      </c>
      <c r="I305" s="293"/>
    </row>
    <row r="306">
      <c r="A306" t="s">
        <v>277</v>
      </c>
      <c r="B306" s="287">
        <v>42490.0</v>
      </c>
      <c r="C306" s="288">
        <f t="shared" si="1"/>
        <v>121</v>
      </c>
      <c r="D306" s="289">
        <f t="shared" si="2"/>
        <v>3.967213115</v>
      </c>
      <c r="E306" s="290">
        <f t="shared" si="3"/>
        <v>4</v>
      </c>
      <c r="F306" s="290" t="s">
        <v>732</v>
      </c>
      <c r="G306" s="291">
        <v>-0.005989926422305225</v>
      </c>
      <c r="H306" s="296">
        <v>0.0</v>
      </c>
      <c r="I306" s="293"/>
    </row>
    <row r="307">
      <c r="A307" t="s">
        <v>304</v>
      </c>
      <c r="B307" s="287">
        <v>42125.0</v>
      </c>
      <c r="C307" s="288">
        <f t="shared" si="1"/>
        <v>121</v>
      </c>
      <c r="D307" s="289">
        <f t="shared" si="2"/>
        <v>3.967213115</v>
      </c>
      <c r="E307" s="290">
        <f t="shared" si="3"/>
        <v>4</v>
      </c>
      <c r="F307" s="290" t="s">
        <v>732</v>
      </c>
      <c r="G307" s="291">
        <v>0.008806128816754466</v>
      </c>
      <c r="H307" s="296">
        <v>0.0</v>
      </c>
      <c r="I307" s="293"/>
    </row>
    <row r="308">
      <c r="A308" t="s">
        <v>766</v>
      </c>
      <c r="B308" s="287">
        <v>42125.0</v>
      </c>
      <c r="C308" s="288">
        <f t="shared" si="1"/>
        <v>121</v>
      </c>
      <c r="D308" s="289">
        <f t="shared" si="2"/>
        <v>3.967213115</v>
      </c>
      <c r="E308" s="290">
        <f t="shared" si="3"/>
        <v>4</v>
      </c>
      <c r="F308" s="290" t="s">
        <v>732</v>
      </c>
      <c r="G308" s="291">
        <v>0.0028277327092248727</v>
      </c>
      <c r="H308" s="296">
        <v>0.0</v>
      </c>
      <c r="I308" s="293"/>
    </row>
    <row r="309">
      <c r="A309" t="s">
        <v>740</v>
      </c>
      <c r="B309" s="287">
        <v>42125.0</v>
      </c>
      <c r="C309" s="288">
        <f t="shared" si="1"/>
        <v>121</v>
      </c>
      <c r="D309" s="289">
        <f t="shared" si="2"/>
        <v>3.967213115</v>
      </c>
      <c r="E309" s="290">
        <f t="shared" si="3"/>
        <v>4</v>
      </c>
      <c r="F309" s="290" t="s">
        <v>732</v>
      </c>
      <c r="G309" s="291">
        <v>0.006729379164946536</v>
      </c>
      <c r="H309" s="296">
        <v>0.0</v>
      </c>
      <c r="I309" s="293"/>
    </row>
    <row r="310">
      <c r="A310" t="s">
        <v>854</v>
      </c>
      <c r="B310" s="287">
        <v>42125.0</v>
      </c>
      <c r="C310" s="288">
        <f t="shared" si="1"/>
        <v>121</v>
      </c>
      <c r="D310" s="289">
        <f t="shared" si="2"/>
        <v>3.967213115</v>
      </c>
      <c r="E310" s="290">
        <f t="shared" si="3"/>
        <v>4</v>
      </c>
      <c r="F310" s="290" t="s">
        <v>732</v>
      </c>
      <c r="G310" s="291">
        <v>-0.05523181600658411</v>
      </c>
      <c r="H310" s="296">
        <v>-1.0</v>
      </c>
      <c r="I310" s="293"/>
    </row>
    <row r="311">
      <c r="A311" t="s">
        <v>277</v>
      </c>
      <c r="B311" s="287">
        <v>42857.0</v>
      </c>
      <c r="C311" s="288">
        <f t="shared" si="1"/>
        <v>122</v>
      </c>
      <c r="D311" s="289">
        <f t="shared" si="2"/>
        <v>4</v>
      </c>
      <c r="E311" s="290">
        <f t="shared" si="3"/>
        <v>4</v>
      </c>
      <c r="F311" s="290" t="s">
        <v>732</v>
      </c>
      <c r="G311" s="291">
        <v>0.01938290189484637</v>
      </c>
      <c r="H311" s="296">
        <v>1.0</v>
      </c>
      <c r="I311" s="293"/>
    </row>
    <row r="312">
      <c r="A312" t="s">
        <v>855</v>
      </c>
      <c r="B312" s="287">
        <v>42491.0</v>
      </c>
      <c r="C312" s="288">
        <f t="shared" si="1"/>
        <v>122</v>
      </c>
      <c r="D312" s="289">
        <f t="shared" si="2"/>
        <v>4</v>
      </c>
      <c r="E312" s="290">
        <f t="shared" si="3"/>
        <v>4</v>
      </c>
      <c r="F312" s="290" t="s">
        <v>732</v>
      </c>
      <c r="G312" s="291">
        <v>-0.0016660740109840644</v>
      </c>
      <c r="H312" s="296">
        <v>0.0</v>
      </c>
      <c r="I312" s="293"/>
    </row>
    <row r="313">
      <c r="A313" t="s">
        <v>700</v>
      </c>
      <c r="B313" s="287">
        <v>42858.0</v>
      </c>
      <c r="C313" s="288">
        <f t="shared" si="1"/>
        <v>123</v>
      </c>
      <c r="D313" s="289">
        <f t="shared" si="2"/>
        <v>4.032786885</v>
      </c>
      <c r="E313" s="290">
        <f t="shared" si="3"/>
        <v>5</v>
      </c>
      <c r="F313" s="290" t="s">
        <v>733</v>
      </c>
      <c r="G313" s="291">
        <v>0.015461216346819073</v>
      </c>
      <c r="H313" s="296">
        <v>1.0</v>
      </c>
      <c r="I313" s="293"/>
    </row>
    <row r="314">
      <c r="A314" t="s">
        <v>711</v>
      </c>
      <c r="B314" s="287">
        <v>42858.0</v>
      </c>
      <c r="C314" s="288">
        <f t="shared" si="1"/>
        <v>123</v>
      </c>
      <c r="D314" s="289">
        <f t="shared" si="2"/>
        <v>4.032786885</v>
      </c>
      <c r="E314" s="290">
        <f t="shared" si="3"/>
        <v>5</v>
      </c>
      <c r="F314" s="290" t="s">
        <v>733</v>
      </c>
      <c r="G314" s="291">
        <v>0.003142791555793334</v>
      </c>
      <c r="H314" s="296">
        <v>0.0</v>
      </c>
      <c r="I314" s="293"/>
    </row>
    <row r="315">
      <c r="A315" t="s">
        <v>856</v>
      </c>
      <c r="B315" s="287">
        <v>42492.0</v>
      </c>
      <c r="C315" s="288">
        <f t="shared" si="1"/>
        <v>123</v>
      </c>
      <c r="D315" s="289">
        <f t="shared" si="2"/>
        <v>4.032786885</v>
      </c>
      <c r="E315" s="290">
        <f t="shared" si="3"/>
        <v>5</v>
      </c>
      <c r="F315" s="290" t="s">
        <v>733</v>
      </c>
      <c r="G315" s="291">
        <v>0.0190880130121468</v>
      </c>
      <c r="H315" s="296">
        <v>1.0</v>
      </c>
      <c r="I315" s="293"/>
    </row>
    <row r="316">
      <c r="A316" t="s">
        <v>857</v>
      </c>
      <c r="B316" s="287">
        <v>42492.0</v>
      </c>
      <c r="C316" s="288">
        <f t="shared" si="1"/>
        <v>123</v>
      </c>
      <c r="D316" s="289">
        <f t="shared" si="2"/>
        <v>4.032786885</v>
      </c>
      <c r="E316" s="290">
        <f t="shared" si="3"/>
        <v>5</v>
      </c>
      <c r="F316" s="290" t="s">
        <v>733</v>
      </c>
      <c r="G316" s="291">
        <v>0.026750066274591422</v>
      </c>
      <c r="H316" s="296">
        <v>1.0</v>
      </c>
      <c r="I316" s="293"/>
    </row>
    <row r="317">
      <c r="A317" t="s">
        <v>783</v>
      </c>
      <c r="B317" s="287">
        <v>42128.0</v>
      </c>
      <c r="C317" s="288">
        <f t="shared" si="1"/>
        <v>124</v>
      </c>
      <c r="D317" s="289">
        <f t="shared" si="2"/>
        <v>4.06557377</v>
      </c>
      <c r="E317" s="290">
        <f t="shared" si="3"/>
        <v>5</v>
      </c>
      <c r="F317" s="290" t="s">
        <v>733</v>
      </c>
      <c r="G317" s="291">
        <v>0.006899397603957191</v>
      </c>
      <c r="H317" s="296">
        <v>0.0</v>
      </c>
      <c r="I317" s="293"/>
    </row>
    <row r="318">
      <c r="A318" t="s">
        <v>858</v>
      </c>
      <c r="B318" s="287">
        <v>42494.0</v>
      </c>
      <c r="C318" s="288">
        <f t="shared" si="1"/>
        <v>125</v>
      </c>
      <c r="D318" s="289">
        <f t="shared" si="2"/>
        <v>4.098360656</v>
      </c>
      <c r="E318" s="290">
        <f t="shared" si="3"/>
        <v>5</v>
      </c>
      <c r="F318" s="290" t="s">
        <v>733</v>
      </c>
      <c r="G318" s="291">
        <v>0.016116992903653093</v>
      </c>
      <c r="H318" s="296">
        <v>1.0</v>
      </c>
      <c r="I318" s="293"/>
    </row>
    <row r="319">
      <c r="A319" t="s">
        <v>750</v>
      </c>
      <c r="B319" s="287">
        <v>42129.0</v>
      </c>
      <c r="C319" s="288">
        <f t="shared" si="1"/>
        <v>125</v>
      </c>
      <c r="D319" s="289">
        <f t="shared" si="2"/>
        <v>4.098360656</v>
      </c>
      <c r="E319" s="290">
        <f t="shared" si="3"/>
        <v>5</v>
      </c>
      <c r="F319" s="290" t="s">
        <v>733</v>
      </c>
      <c r="G319" s="291">
        <v>0.001327398724576434</v>
      </c>
      <c r="H319" s="296">
        <v>0.0</v>
      </c>
      <c r="I319" s="293"/>
    </row>
    <row r="320">
      <c r="A320" t="s">
        <v>859</v>
      </c>
      <c r="B320" s="287">
        <v>42861.0</v>
      </c>
      <c r="C320" s="288">
        <f t="shared" si="1"/>
        <v>126</v>
      </c>
      <c r="D320" s="289">
        <f t="shared" si="2"/>
        <v>4.131147541</v>
      </c>
      <c r="E320" s="290">
        <f t="shared" si="3"/>
        <v>5</v>
      </c>
      <c r="F320" s="290" t="s">
        <v>733</v>
      </c>
      <c r="G320" s="291">
        <v>-0.008393928153142216</v>
      </c>
      <c r="H320" s="296">
        <v>0.0</v>
      </c>
      <c r="I320" s="293"/>
    </row>
    <row r="321">
      <c r="A321" t="s">
        <v>860</v>
      </c>
      <c r="B321" s="287">
        <v>42861.0</v>
      </c>
      <c r="C321" s="288">
        <f t="shared" si="1"/>
        <v>126</v>
      </c>
      <c r="D321" s="289">
        <f t="shared" si="2"/>
        <v>4.131147541</v>
      </c>
      <c r="E321" s="290">
        <f t="shared" si="3"/>
        <v>5</v>
      </c>
      <c r="F321" s="290" t="s">
        <v>733</v>
      </c>
      <c r="G321" s="291">
        <v>0.018375127574632</v>
      </c>
      <c r="H321" s="296">
        <v>1.0</v>
      </c>
      <c r="I321" s="293"/>
    </row>
    <row r="322">
      <c r="A322" t="s">
        <v>796</v>
      </c>
      <c r="B322" s="287">
        <v>42862.0</v>
      </c>
      <c r="C322" s="288">
        <f t="shared" si="1"/>
        <v>127</v>
      </c>
      <c r="D322" s="289">
        <f t="shared" si="2"/>
        <v>4.163934426</v>
      </c>
      <c r="E322" s="290">
        <f t="shared" si="3"/>
        <v>5</v>
      </c>
      <c r="F322" s="290" t="s">
        <v>733</v>
      </c>
      <c r="G322" s="291">
        <v>0.03181744699494615</v>
      </c>
      <c r="H322" s="296">
        <v>1.0</v>
      </c>
      <c r="I322" s="293"/>
    </row>
    <row r="323">
      <c r="A323" t="s">
        <v>232</v>
      </c>
      <c r="B323" s="287">
        <v>42496.0</v>
      </c>
      <c r="C323" s="288">
        <f t="shared" si="1"/>
        <v>127</v>
      </c>
      <c r="D323" s="289">
        <f t="shared" si="2"/>
        <v>4.163934426</v>
      </c>
      <c r="E323" s="290">
        <f t="shared" si="3"/>
        <v>5</v>
      </c>
      <c r="F323" s="290" t="s">
        <v>733</v>
      </c>
      <c r="G323" s="291">
        <v>-0.001189583175980946</v>
      </c>
      <c r="H323" s="296">
        <v>0.0</v>
      </c>
      <c r="I323" s="293"/>
    </row>
    <row r="324">
      <c r="A324" t="s">
        <v>861</v>
      </c>
      <c r="B324" s="287">
        <v>42131.0</v>
      </c>
      <c r="C324" s="288">
        <f t="shared" si="1"/>
        <v>127</v>
      </c>
      <c r="D324" s="289">
        <f t="shared" si="2"/>
        <v>4.163934426</v>
      </c>
      <c r="E324" s="290">
        <f t="shared" si="3"/>
        <v>5</v>
      </c>
      <c r="F324" s="290" t="s">
        <v>733</v>
      </c>
      <c r="G324" s="291">
        <v>0.011264888690391661</v>
      </c>
      <c r="H324" s="296">
        <v>1.0</v>
      </c>
      <c r="I324" s="293"/>
    </row>
    <row r="325">
      <c r="A325" t="s">
        <v>108</v>
      </c>
      <c r="B325" s="287">
        <v>42131.0</v>
      </c>
      <c r="C325" s="288">
        <f t="shared" si="1"/>
        <v>127</v>
      </c>
      <c r="D325" s="289">
        <f t="shared" si="2"/>
        <v>4.163934426</v>
      </c>
      <c r="E325" s="290">
        <f t="shared" si="3"/>
        <v>5</v>
      </c>
      <c r="F325" s="290" t="s">
        <v>733</v>
      </c>
      <c r="G325" s="291">
        <v>0.00270537753008937</v>
      </c>
      <c r="H325" s="296">
        <v>0.0</v>
      </c>
      <c r="I325" s="293"/>
    </row>
    <row r="326">
      <c r="A326" t="s">
        <v>862</v>
      </c>
      <c r="B326" s="287">
        <v>42497.0</v>
      </c>
      <c r="C326" s="288">
        <f t="shared" si="1"/>
        <v>128</v>
      </c>
      <c r="D326" s="289">
        <f t="shared" si="2"/>
        <v>4.196721311</v>
      </c>
      <c r="E326" s="290">
        <f t="shared" si="3"/>
        <v>5</v>
      </c>
      <c r="F326" s="290" t="s">
        <v>733</v>
      </c>
      <c r="G326" s="291">
        <v>0.003929440095473913</v>
      </c>
      <c r="H326" s="296">
        <v>0.0</v>
      </c>
      <c r="I326" s="293"/>
    </row>
    <row r="327">
      <c r="A327" t="s">
        <v>863</v>
      </c>
      <c r="B327" s="287">
        <v>42132.0</v>
      </c>
      <c r="C327" s="288">
        <f t="shared" si="1"/>
        <v>128</v>
      </c>
      <c r="D327" s="289">
        <f t="shared" si="2"/>
        <v>4.196721311</v>
      </c>
      <c r="E327" s="290">
        <f t="shared" si="3"/>
        <v>5</v>
      </c>
      <c r="F327" s="290" t="s">
        <v>733</v>
      </c>
      <c r="G327" s="291">
        <v>0.011713906453384104</v>
      </c>
      <c r="H327" s="296">
        <v>1.0</v>
      </c>
      <c r="I327" s="293"/>
    </row>
    <row r="328">
      <c r="A328" t="s">
        <v>427</v>
      </c>
      <c r="B328" s="287">
        <v>42864.0</v>
      </c>
      <c r="C328" s="288">
        <f t="shared" si="1"/>
        <v>129</v>
      </c>
      <c r="D328" s="289">
        <f t="shared" si="2"/>
        <v>4.229508197</v>
      </c>
      <c r="E328" s="290">
        <f t="shared" si="3"/>
        <v>5</v>
      </c>
      <c r="F328" s="290" t="s">
        <v>733</v>
      </c>
      <c r="G328" s="291">
        <v>0.006367618615865989</v>
      </c>
      <c r="H328" s="296">
        <v>0.0</v>
      </c>
      <c r="I328" s="293"/>
    </row>
    <row r="329">
      <c r="A329" t="s">
        <v>864</v>
      </c>
      <c r="B329" s="287">
        <v>42864.0</v>
      </c>
      <c r="C329" s="288">
        <f t="shared" si="1"/>
        <v>129</v>
      </c>
      <c r="D329" s="289">
        <f t="shared" si="2"/>
        <v>4.229508197</v>
      </c>
      <c r="E329" s="290">
        <f t="shared" si="3"/>
        <v>5</v>
      </c>
      <c r="F329" s="290" t="s">
        <v>733</v>
      </c>
      <c r="G329" s="291">
        <v>-0.08675032407222094</v>
      </c>
      <c r="H329" s="296">
        <v>-1.0</v>
      </c>
      <c r="I329" s="293"/>
    </row>
    <row r="330">
      <c r="A330" t="s">
        <v>734</v>
      </c>
      <c r="B330" s="287">
        <v>42865.0</v>
      </c>
      <c r="C330" s="288">
        <f t="shared" si="1"/>
        <v>130</v>
      </c>
      <c r="D330" s="289">
        <f t="shared" si="2"/>
        <v>4.262295082</v>
      </c>
      <c r="E330" s="290">
        <f t="shared" si="3"/>
        <v>5</v>
      </c>
      <c r="F330" s="290" t="s">
        <v>733</v>
      </c>
      <c r="G330" s="291">
        <v>-0.008787835120345089</v>
      </c>
      <c r="H330" s="296">
        <v>0.0</v>
      </c>
      <c r="I330" s="293"/>
    </row>
    <row r="331">
      <c r="A331" t="s">
        <v>108</v>
      </c>
      <c r="B331" s="287">
        <v>42134.0</v>
      </c>
      <c r="C331" s="288">
        <f t="shared" si="1"/>
        <v>130</v>
      </c>
      <c r="D331" s="289">
        <f t="shared" si="2"/>
        <v>4.262295082</v>
      </c>
      <c r="E331" s="290">
        <f t="shared" si="3"/>
        <v>5</v>
      </c>
      <c r="F331" s="290" t="s">
        <v>733</v>
      </c>
      <c r="G331" s="291">
        <v>0.005554775843572779</v>
      </c>
      <c r="H331" s="296">
        <v>0.0</v>
      </c>
      <c r="I331" s="293"/>
    </row>
    <row r="332">
      <c r="A332" t="s">
        <v>754</v>
      </c>
      <c r="B332" s="287">
        <v>42134.0</v>
      </c>
      <c r="C332" s="288">
        <f t="shared" si="1"/>
        <v>130</v>
      </c>
      <c r="D332" s="289">
        <f t="shared" si="2"/>
        <v>4.262295082</v>
      </c>
      <c r="E332" s="290">
        <f t="shared" si="3"/>
        <v>5</v>
      </c>
      <c r="F332" s="290" t="s">
        <v>733</v>
      </c>
      <c r="G332" s="291">
        <v>0.013343467686788513</v>
      </c>
      <c r="H332" s="296">
        <v>1.0</v>
      </c>
      <c r="I332" s="293"/>
    </row>
    <row r="333">
      <c r="A333" t="s">
        <v>304</v>
      </c>
      <c r="B333" s="287">
        <v>42134.0</v>
      </c>
      <c r="C333" s="288">
        <f t="shared" si="1"/>
        <v>130</v>
      </c>
      <c r="D333" s="289">
        <f t="shared" si="2"/>
        <v>4.262295082</v>
      </c>
      <c r="E333" s="290">
        <f t="shared" si="3"/>
        <v>5</v>
      </c>
      <c r="F333" s="290" t="s">
        <v>733</v>
      </c>
      <c r="G333" s="291">
        <v>0.01187551887224303</v>
      </c>
      <c r="H333" s="296">
        <v>1.0</v>
      </c>
      <c r="I333" s="293"/>
    </row>
    <row r="334">
      <c r="A334" t="s">
        <v>787</v>
      </c>
      <c r="B334" s="287">
        <v>42134.0</v>
      </c>
      <c r="C334" s="288">
        <f t="shared" si="1"/>
        <v>130</v>
      </c>
      <c r="D334" s="289">
        <f t="shared" si="2"/>
        <v>4.262295082</v>
      </c>
      <c r="E334" s="290">
        <f t="shared" si="3"/>
        <v>5</v>
      </c>
      <c r="F334" s="290" t="s">
        <v>733</v>
      </c>
      <c r="G334" s="291">
        <v>0.009996180317857983</v>
      </c>
      <c r="H334" s="296">
        <v>0.0</v>
      </c>
      <c r="I334" s="293"/>
    </row>
    <row r="335">
      <c r="A335" t="s">
        <v>833</v>
      </c>
      <c r="B335" s="287">
        <v>42500.0</v>
      </c>
      <c r="C335" s="288">
        <f t="shared" si="1"/>
        <v>131</v>
      </c>
      <c r="D335" s="289">
        <f t="shared" si="2"/>
        <v>4.295081967</v>
      </c>
      <c r="E335" s="290">
        <f t="shared" si="3"/>
        <v>5</v>
      </c>
      <c r="F335" s="290" t="s">
        <v>733</v>
      </c>
      <c r="G335" s="291">
        <v>0.005108035800086119</v>
      </c>
      <c r="H335" s="296">
        <v>0.0</v>
      </c>
      <c r="I335" s="293"/>
    </row>
    <row r="336">
      <c r="A336" t="s">
        <v>742</v>
      </c>
      <c r="B336" s="287">
        <v>42500.0</v>
      </c>
      <c r="C336" s="288">
        <f t="shared" si="1"/>
        <v>131</v>
      </c>
      <c r="D336" s="289">
        <f t="shared" si="2"/>
        <v>4.295081967</v>
      </c>
      <c r="E336" s="290">
        <f t="shared" si="3"/>
        <v>5</v>
      </c>
      <c r="F336" s="290" t="s">
        <v>733</v>
      </c>
      <c r="G336" s="291">
        <v>-0.022937541881677737</v>
      </c>
      <c r="H336" s="296">
        <v>-1.0</v>
      </c>
      <c r="I336" s="293"/>
    </row>
    <row r="337">
      <c r="A337" t="s">
        <v>734</v>
      </c>
      <c r="B337" s="287">
        <v>42135.0</v>
      </c>
      <c r="C337" s="288">
        <f t="shared" si="1"/>
        <v>131</v>
      </c>
      <c r="D337" s="289">
        <f t="shared" si="2"/>
        <v>4.295081967</v>
      </c>
      <c r="E337" s="290">
        <f t="shared" si="3"/>
        <v>5</v>
      </c>
      <c r="F337" s="290" t="s">
        <v>733</v>
      </c>
      <c r="G337" s="291">
        <v>-0.005659738328481323</v>
      </c>
      <c r="H337" s="296">
        <v>0.0</v>
      </c>
      <c r="I337" s="293"/>
    </row>
    <row r="338">
      <c r="A338" t="s">
        <v>865</v>
      </c>
      <c r="B338" s="287">
        <v>42135.0</v>
      </c>
      <c r="C338" s="288">
        <f t="shared" si="1"/>
        <v>131</v>
      </c>
      <c r="D338" s="289">
        <f t="shared" si="2"/>
        <v>4.295081967</v>
      </c>
      <c r="E338" s="290">
        <f t="shared" si="3"/>
        <v>5</v>
      </c>
      <c r="F338" s="290" t="s">
        <v>733</v>
      </c>
      <c r="G338" s="291">
        <v>0.026749705797346368</v>
      </c>
      <c r="H338" s="296">
        <v>1.0</v>
      </c>
      <c r="I338" s="293"/>
    </row>
    <row r="339">
      <c r="A339" t="s">
        <v>723</v>
      </c>
      <c r="B339" s="287">
        <v>42867.0</v>
      </c>
      <c r="C339" s="288">
        <f t="shared" si="1"/>
        <v>132</v>
      </c>
      <c r="D339" s="289">
        <f t="shared" si="2"/>
        <v>4.327868852</v>
      </c>
      <c r="E339" s="290">
        <f t="shared" si="3"/>
        <v>5</v>
      </c>
      <c r="F339" s="290" t="s">
        <v>733</v>
      </c>
      <c r="G339" s="291">
        <v>0.021971695553641757</v>
      </c>
      <c r="H339" s="296">
        <v>1.0</v>
      </c>
      <c r="I339" s="293"/>
    </row>
    <row r="340">
      <c r="A340" t="s">
        <v>776</v>
      </c>
      <c r="B340" s="287">
        <v>42867.0</v>
      </c>
      <c r="C340" s="288">
        <f t="shared" si="1"/>
        <v>132</v>
      </c>
      <c r="D340" s="289">
        <f t="shared" si="2"/>
        <v>4.327868852</v>
      </c>
      <c r="E340" s="290">
        <f t="shared" si="3"/>
        <v>5</v>
      </c>
      <c r="F340" s="290" t="s">
        <v>733</v>
      </c>
      <c r="G340" s="291">
        <v>0.029376667505921605</v>
      </c>
      <c r="H340" s="296">
        <v>1.0</v>
      </c>
      <c r="I340" s="293"/>
    </row>
    <row r="341">
      <c r="A341" t="s">
        <v>219</v>
      </c>
      <c r="B341" s="287">
        <v>42136.0</v>
      </c>
      <c r="C341" s="288">
        <f t="shared" si="1"/>
        <v>132</v>
      </c>
      <c r="D341" s="289">
        <f t="shared" si="2"/>
        <v>4.327868852</v>
      </c>
      <c r="E341" s="290">
        <f t="shared" si="3"/>
        <v>5</v>
      </c>
      <c r="F341" s="290" t="s">
        <v>733</v>
      </c>
      <c r="G341" s="291">
        <v>0.0026332866210928563</v>
      </c>
      <c r="H341" s="296">
        <v>0.0</v>
      </c>
      <c r="I341" s="293"/>
    </row>
    <row r="342">
      <c r="A342" t="s">
        <v>866</v>
      </c>
      <c r="B342" s="287">
        <v>42502.0</v>
      </c>
      <c r="C342" s="288">
        <f t="shared" si="1"/>
        <v>133</v>
      </c>
      <c r="D342" s="289">
        <f t="shared" si="2"/>
        <v>4.360655738</v>
      </c>
      <c r="E342" s="290">
        <f t="shared" si="3"/>
        <v>5</v>
      </c>
      <c r="F342" s="290" t="s">
        <v>733</v>
      </c>
      <c r="G342" s="291">
        <v>-0.0032252254637705757</v>
      </c>
      <c r="H342" s="296">
        <v>0.0</v>
      </c>
      <c r="I342" s="293"/>
    </row>
    <row r="343">
      <c r="A343" t="s">
        <v>808</v>
      </c>
      <c r="B343" s="287">
        <v>42502.0</v>
      </c>
      <c r="C343" s="288">
        <f t="shared" si="1"/>
        <v>133</v>
      </c>
      <c r="D343" s="289">
        <f t="shared" si="2"/>
        <v>4.360655738</v>
      </c>
      <c r="E343" s="290">
        <f t="shared" si="3"/>
        <v>5</v>
      </c>
      <c r="F343" s="290" t="s">
        <v>733</v>
      </c>
      <c r="G343" s="291">
        <v>0.0024447027140417354</v>
      </c>
      <c r="H343" s="296">
        <v>0.0</v>
      </c>
      <c r="I343" s="293"/>
    </row>
    <row r="344">
      <c r="A344" t="s">
        <v>867</v>
      </c>
      <c r="B344" s="287">
        <v>42869.0</v>
      </c>
      <c r="C344" s="288">
        <f t="shared" si="1"/>
        <v>134</v>
      </c>
      <c r="D344" s="289">
        <f t="shared" si="2"/>
        <v>4.393442623</v>
      </c>
      <c r="E344" s="290">
        <f t="shared" si="3"/>
        <v>5</v>
      </c>
      <c r="F344" s="290" t="s">
        <v>733</v>
      </c>
      <c r="G344" s="291">
        <v>-0.017593590912969748</v>
      </c>
      <c r="H344" s="296">
        <v>-1.0</v>
      </c>
      <c r="I344" s="293"/>
    </row>
    <row r="345">
      <c r="A345" t="s">
        <v>868</v>
      </c>
      <c r="B345" s="287">
        <v>42138.0</v>
      </c>
      <c r="C345" s="288">
        <f t="shared" si="1"/>
        <v>134</v>
      </c>
      <c r="D345" s="289">
        <f t="shared" si="2"/>
        <v>4.393442623</v>
      </c>
      <c r="E345" s="290">
        <f t="shared" si="3"/>
        <v>5</v>
      </c>
      <c r="F345" s="290" t="s">
        <v>733</v>
      </c>
      <c r="G345" s="291">
        <v>-0.004693401846366463</v>
      </c>
      <c r="H345" s="296">
        <v>0.0</v>
      </c>
      <c r="I345" s="293"/>
    </row>
    <row r="346">
      <c r="A346" t="s">
        <v>831</v>
      </c>
      <c r="B346" s="287">
        <v>42504.0</v>
      </c>
      <c r="C346" s="288">
        <f t="shared" si="1"/>
        <v>135</v>
      </c>
      <c r="D346" s="289">
        <f t="shared" si="2"/>
        <v>4.426229508</v>
      </c>
      <c r="E346" s="290">
        <f t="shared" si="3"/>
        <v>5</v>
      </c>
      <c r="F346" s="290" t="s">
        <v>733</v>
      </c>
      <c r="G346" s="291">
        <v>0.015847458311925133</v>
      </c>
      <c r="H346" s="296">
        <v>1.0</v>
      </c>
      <c r="I346" s="293"/>
    </row>
    <row r="347">
      <c r="A347" t="s">
        <v>700</v>
      </c>
      <c r="B347" s="287">
        <v>42871.0</v>
      </c>
      <c r="C347" s="288">
        <f t="shared" si="1"/>
        <v>136</v>
      </c>
      <c r="D347" s="289">
        <f t="shared" si="2"/>
        <v>4.459016393</v>
      </c>
      <c r="E347" s="290">
        <f t="shared" si="3"/>
        <v>5</v>
      </c>
      <c r="F347" s="290" t="s">
        <v>733</v>
      </c>
      <c r="G347" s="291">
        <v>0.016973288293937405</v>
      </c>
      <c r="H347" s="296">
        <v>1.0</v>
      </c>
      <c r="I347" s="293"/>
    </row>
    <row r="348">
      <c r="A348" t="s">
        <v>869</v>
      </c>
      <c r="B348" s="287">
        <v>42871.0</v>
      </c>
      <c r="C348" s="288">
        <f t="shared" si="1"/>
        <v>136</v>
      </c>
      <c r="D348" s="289">
        <f t="shared" si="2"/>
        <v>4.459016393</v>
      </c>
      <c r="E348" s="290">
        <f t="shared" si="3"/>
        <v>5</v>
      </c>
      <c r="F348" s="290" t="s">
        <v>733</v>
      </c>
      <c r="G348" s="291">
        <v>0.0026515315941845197</v>
      </c>
      <c r="H348" s="296">
        <v>0.0</v>
      </c>
      <c r="I348" s="293"/>
    </row>
    <row r="349">
      <c r="A349" t="s">
        <v>870</v>
      </c>
      <c r="B349" s="287">
        <v>42872.0</v>
      </c>
      <c r="C349" s="288">
        <f t="shared" si="1"/>
        <v>137</v>
      </c>
      <c r="D349" s="289">
        <f t="shared" si="2"/>
        <v>4.491803279</v>
      </c>
      <c r="E349" s="290">
        <f t="shared" si="3"/>
        <v>5</v>
      </c>
      <c r="F349" s="290" t="s">
        <v>733</v>
      </c>
      <c r="G349" s="291">
        <v>0.0321759087906921</v>
      </c>
      <c r="H349" s="296">
        <v>1.0</v>
      </c>
      <c r="I349" s="293"/>
    </row>
    <row r="350">
      <c r="A350" t="s">
        <v>871</v>
      </c>
      <c r="B350" s="287">
        <v>42872.0</v>
      </c>
      <c r="C350" s="288">
        <f t="shared" si="1"/>
        <v>137</v>
      </c>
      <c r="D350" s="289">
        <f t="shared" si="2"/>
        <v>4.491803279</v>
      </c>
      <c r="E350" s="290">
        <f t="shared" si="3"/>
        <v>5</v>
      </c>
      <c r="F350" s="290" t="s">
        <v>733</v>
      </c>
      <c r="G350" s="291">
        <v>0.012685638779065922</v>
      </c>
      <c r="H350" s="296">
        <v>1.0</v>
      </c>
      <c r="I350" s="293"/>
    </row>
    <row r="351">
      <c r="A351" t="s">
        <v>716</v>
      </c>
      <c r="B351" s="287">
        <v>42141.0</v>
      </c>
      <c r="C351" s="288">
        <f t="shared" si="1"/>
        <v>137</v>
      </c>
      <c r="D351" s="289">
        <f t="shared" si="2"/>
        <v>4.491803279</v>
      </c>
      <c r="E351" s="290">
        <f t="shared" si="3"/>
        <v>5</v>
      </c>
      <c r="F351" s="290" t="s">
        <v>733</v>
      </c>
      <c r="G351" s="291">
        <v>-0.011228402181540864</v>
      </c>
      <c r="H351" s="296">
        <v>-1.0</v>
      </c>
      <c r="I351" s="293"/>
    </row>
    <row r="352">
      <c r="A352" t="s">
        <v>734</v>
      </c>
      <c r="B352" s="287">
        <v>42507.0</v>
      </c>
      <c r="C352" s="288">
        <f t="shared" si="1"/>
        <v>138</v>
      </c>
      <c r="D352" s="289">
        <f t="shared" si="2"/>
        <v>4.524590164</v>
      </c>
      <c r="E352" s="290">
        <f t="shared" si="3"/>
        <v>5</v>
      </c>
      <c r="F352" s="290" t="s">
        <v>733</v>
      </c>
      <c r="G352" s="291">
        <v>-0.006223537314907768</v>
      </c>
      <c r="H352" s="296">
        <v>0.0</v>
      </c>
      <c r="I352" s="293"/>
    </row>
    <row r="353">
      <c r="A353" t="s">
        <v>731</v>
      </c>
      <c r="B353" s="287">
        <v>42142.0</v>
      </c>
      <c r="C353" s="288">
        <f t="shared" si="1"/>
        <v>138</v>
      </c>
      <c r="D353" s="289">
        <f t="shared" si="2"/>
        <v>4.524590164</v>
      </c>
      <c r="E353" s="290">
        <f t="shared" si="3"/>
        <v>5</v>
      </c>
      <c r="F353" s="290" t="s">
        <v>733</v>
      </c>
      <c r="G353" s="291">
        <v>0.0030010499457647777</v>
      </c>
      <c r="H353" s="296">
        <v>0.0</v>
      </c>
      <c r="I353" s="293"/>
    </row>
    <row r="354">
      <c r="A354" t="s">
        <v>872</v>
      </c>
      <c r="B354" s="287">
        <v>42142.0</v>
      </c>
      <c r="C354" s="288">
        <f t="shared" si="1"/>
        <v>138</v>
      </c>
      <c r="D354" s="289">
        <f t="shared" si="2"/>
        <v>4.524590164</v>
      </c>
      <c r="E354" s="290">
        <f t="shared" si="3"/>
        <v>5</v>
      </c>
      <c r="F354" s="290" t="s">
        <v>733</v>
      </c>
      <c r="G354" s="291">
        <v>0.013302897982867767</v>
      </c>
      <c r="H354" s="296">
        <v>1.0</v>
      </c>
      <c r="I354" s="293"/>
    </row>
    <row r="355">
      <c r="A355" t="s">
        <v>715</v>
      </c>
      <c r="B355" s="287">
        <v>42142.0</v>
      </c>
      <c r="C355" s="288">
        <f t="shared" si="1"/>
        <v>138</v>
      </c>
      <c r="D355" s="289">
        <f t="shared" si="2"/>
        <v>4.524590164</v>
      </c>
      <c r="E355" s="290">
        <f t="shared" si="3"/>
        <v>5</v>
      </c>
      <c r="F355" s="290" t="s">
        <v>733</v>
      </c>
      <c r="G355" s="291">
        <v>0.014757821689782569</v>
      </c>
      <c r="H355" s="296">
        <v>1.0</v>
      </c>
      <c r="I355" s="293"/>
    </row>
    <row r="356">
      <c r="A356" t="s">
        <v>873</v>
      </c>
      <c r="B356" s="287">
        <v>42142.0</v>
      </c>
      <c r="C356" s="288">
        <f t="shared" si="1"/>
        <v>138</v>
      </c>
      <c r="D356" s="289">
        <f t="shared" si="2"/>
        <v>4.524590164</v>
      </c>
      <c r="E356" s="290">
        <f t="shared" si="3"/>
        <v>5</v>
      </c>
      <c r="F356" s="290" t="s">
        <v>733</v>
      </c>
      <c r="G356" s="291">
        <v>-0.03221535063529368</v>
      </c>
      <c r="H356" s="296">
        <v>-1.0</v>
      </c>
      <c r="I356" s="293"/>
    </row>
    <row r="357">
      <c r="A357" t="s">
        <v>724</v>
      </c>
      <c r="B357" s="287">
        <v>42874.0</v>
      </c>
      <c r="C357" s="288">
        <f t="shared" si="1"/>
        <v>139</v>
      </c>
      <c r="D357" s="289">
        <f t="shared" si="2"/>
        <v>4.557377049</v>
      </c>
      <c r="E357" s="290">
        <f t="shared" si="3"/>
        <v>5</v>
      </c>
      <c r="F357" s="290" t="s">
        <v>733</v>
      </c>
      <c r="G357" s="291">
        <v>0.011802948318357931</v>
      </c>
      <c r="H357" s="296">
        <v>1.0</v>
      </c>
      <c r="I357" s="293"/>
    </row>
    <row r="358">
      <c r="A358" t="s">
        <v>108</v>
      </c>
      <c r="B358" s="287">
        <v>42874.0</v>
      </c>
      <c r="C358" s="288">
        <f t="shared" si="1"/>
        <v>139</v>
      </c>
      <c r="D358" s="289">
        <f t="shared" si="2"/>
        <v>4.557377049</v>
      </c>
      <c r="E358" s="290">
        <f t="shared" si="3"/>
        <v>5</v>
      </c>
      <c r="F358" s="290" t="s">
        <v>733</v>
      </c>
      <c r="G358" s="291">
        <v>-0.00518859267999916</v>
      </c>
      <c r="H358" s="296">
        <v>0.0</v>
      </c>
      <c r="I358" s="293"/>
    </row>
    <row r="359">
      <c r="A359" t="s">
        <v>781</v>
      </c>
      <c r="B359" s="298">
        <v>42874.0</v>
      </c>
      <c r="C359" s="288">
        <f t="shared" si="1"/>
        <v>139</v>
      </c>
      <c r="D359" s="289">
        <f t="shared" si="2"/>
        <v>4.557377049</v>
      </c>
      <c r="E359" s="290">
        <f t="shared" si="3"/>
        <v>5</v>
      </c>
      <c r="F359" s="290" t="s">
        <v>733</v>
      </c>
      <c r="G359" s="291">
        <v>-0.008792863757362657</v>
      </c>
      <c r="H359" s="296">
        <v>0.0</v>
      </c>
      <c r="I359" s="293"/>
    </row>
    <row r="360">
      <c r="A360" t="s">
        <v>874</v>
      </c>
      <c r="B360" s="287">
        <v>42874.0</v>
      </c>
      <c r="C360" s="288">
        <f t="shared" si="1"/>
        <v>139</v>
      </c>
      <c r="D360" s="289">
        <f t="shared" si="2"/>
        <v>4.557377049</v>
      </c>
      <c r="E360" s="290">
        <f t="shared" si="3"/>
        <v>5</v>
      </c>
      <c r="F360" s="290" t="s">
        <v>733</v>
      </c>
      <c r="G360" s="291">
        <v>0.04640946785449307</v>
      </c>
      <c r="H360" s="296">
        <v>1.0</v>
      </c>
      <c r="I360" s="293"/>
    </row>
    <row r="361">
      <c r="A361" t="s">
        <v>547</v>
      </c>
      <c r="B361" s="287">
        <v>42874.0</v>
      </c>
      <c r="C361" s="288">
        <f t="shared" si="1"/>
        <v>139</v>
      </c>
      <c r="D361" s="289">
        <f t="shared" si="2"/>
        <v>4.557377049</v>
      </c>
      <c r="E361" s="290">
        <f t="shared" si="3"/>
        <v>5</v>
      </c>
      <c r="F361" s="290" t="s">
        <v>733</v>
      </c>
      <c r="G361" s="291">
        <v>0.012558277137729168</v>
      </c>
      <c r="H361" s="296">
        <v>1.0</v>
      </c>
      <c r="I361" s="293"/>
    </row>
    <row r="362">
      <c r="A362" t="s">
        <v>769</v>
      </c>
      <c r="B362" s="287">
        <v>42508.0</v>
      </c>
      <c r="C362" s="288">
        <f t="shared" si="1"/>
        <v>139</v>
      </c>
      <c r="D362" s="289">
        <f t="shared" si="2"/>
        <v>4.557377049</v>
      </c>
      <c r="E362" s="290">
        <f t="shared" si="3"/>
        <v>5</v>
      </c>
      <c r="F362" s="290" t="s">
        <v>733</v>
      </c>
      <c r="G362" s="291">
        <v>0.015783926805877146</v>
      </c>
      <c r="H362" s="296">
        <v>1.0</v>
      </c>
      <c r="I362" s="293"/>
    </row>
    <row r="363">
      <c r="A363" t="s">
        <v>427</v>
      </c>
      <c r="B363" s="287">
        <v>42508.0</v>
      </c>
      <c r="C363" s="288">
        <f t="shared" si="1"/>
        <v>139</v>
      </c>
      <c r="D363" s="289">
        <f t="shared" si="2"/>
        <v>4.557377049</v>
      </c>
      <c r="E363" s="290">
        <f t="shared" si="3"/>
        <v>5</v>
      </c>
      <c r="F363" s="290" t="s">
        <v>733</v>
      </c>
      <c r="G363" s="291">
        <v>-0.00675353423592806</v>
      </c>
      <c r="H363" s="296">
        <v>0.0</v>
      </c>
      <c r="I363" s="293"/>
    </row>
    <row r="364">
      <c r="A364" t="s">
        <v>875</v>
      </c>
      <c r="B364" s="287">
        <v>42143.0</v>
      </c>
      <c r="C364" s="288">
        <f t="shared" si="1"/>
        <v>139</v>
      </c>
      <c r="D364" s="289">
        <f t="shared" si="2"/>
        <v>4.557377049</v>
      </c>
      <c r="E364" s="290">
        <f t="shared" si="3"/>
        <v>5</v>
      </c>
      <c r="F364" s="290" t="s">
        <v>733</v>
      </c>
      <c r="G364" s="291">
        <v>-0.0020288074193230976</v>
      </c>
      <c r="H364" s="296">
        <v>0.0</v>
      </c>
      <c r="I364" s="293"/>
    </row>
    <row r="365">
      <c r="A365" t="s">
        <v>719</v>
      </c>
      <c r="B365" s="287">
        <v>42143.0</v>
      </c>
      <c r="C365" s="288">
        <f t="shared" si="1"/>
        <v>139</v>
      </c>
      <c r="D365" s="289">
        <f t="shared" si="2"/>
        <v>4.557377049</v>
      </c>
      <c r="E365" s="290">
        <f t="shared" si="3"/>
        <v>5</v>
      </c>
      <c r="F365" s="290" t="s">
        <v>733</v>
      </c>
      <c r="G365" s="291">
        <v>-0.011962871840861311</v>
      </c>
      <c r="H365" s="296">
        <v>-1.0</v>
      </c>
      <c r="I365" s="293"/>
    </row>
    <row r="366">
      <c r="A366" t="s">
        <v>876</v>
      </c>
      <c r="B366" s="287">
        <v>42875.0</v>
      </c>
      <c r="C366" s="288">
        <f t="shared" si="1"/>
        <v>140</v>
      </c>
      <c r="D366" s="289">
        <f t="shared" si="2"/>
        <v>4.590163934</v>
      </c>
      <c r="E366" s="290">
        <f t="shared" si="3"/>
        <v>5</v>
      </c>
      <c r="F366" s="290" t="s">
        <v>733</v>
      </c>
      <c r="G366" s="291">
        <v>0.033839702548295825</v>
      </c>
      <c r="H366" s="296">
        <v>1.0</v>
      </c>
      <c r="I366" s="293"/>
    </row>
    <row r="367">
      <c r="A367" t="s">
        <v>277</v>
      </c>
      <c r="B367" s="287">
        <v>42144.0</v>
      </c>
      <c r="C367" s="288">
        <f t="shared" si="1"/>
        <v>140</v>
      </c>
      <c r="D367" s="289">
        <f t="shared" si="2"/>
        <v>4.590163934</v>
      </c>
      <c r="E367" s="290">
        <f t="shared" si="3"/>
        <v>5</v>
      </c>
      <c r="F367" s="290" t="s">
        <v>733</v>
      </c>
      <c r="G367" s="291">
        <v>-0.011819619078486943</v>
      </c>
      <c r="H367" s="296">
        <v>-1.0</v>
      </c>
      <c r="I367" s="293"/>
    </row>
    <row r="368">
      <c r="A368" t="s">
        <v>723</v>
      </c>
      <c r="B368" s="287">
        <v>42510.0</v>
      </c>
      <c r="C368" s="288">
        <f t="shared" si="1"/>
        <v>141</v>
      </c>
      <c r="D368" s="289">
        <f t="shared" si="2"/>
        <v>4.62295082</v>
      </c>
      <c r="E368" s="290">
        <f t="shared" si="3"/>
        <v>5</v>
      </c>
      <c r="F368" s="290" t="s">
        <v>733</v>
      </c>
      <c r="G368" s="291">
        <v>0.016264311346901317</v>
      </c>
      <c r="H368" s="296">
        <v>1.0</v>
      </c>
      <c r="I368" s="293"/>
    </row>
    <row r="369">
      <c r="A369" t="s">
        <v>808</v>
      </c>
      <c r="B369" s="287">
        <v>42510.0</v>
      </c>
      <c r="C369" s="288">
        <f t="shared" si="1"/>
        <v>141</v>
      </c>
      <c r="D369" s="289">
        <f t="shared" si="2"/>
        <v>4.62295082</v>
      </c>
      <c r="E369" s="290">
        <f t="shared" si="3"/>
        <v>5</v>
      </c>
      <c r="F369" s="290" t="s">
        <v>733</v>
      </c>
      <c r="G369" s="291">
        <v>7.065028354408254E-4</v>
      </c>
      <c r="H369" s="296">
        <v>0.0</v>
      </c>
      <c r="I369" s="293"/>
    </row>
    <row r="370">
      <c r="A370" t="s">
        <v>427</v>
      </c>
      <c r="B370" s="287">
        <v>42146.0</v>
      </c>
      <c r="C370" s="288">
        <f t="shared" si="1"/>
        <v>142</v>
      </c>
      <c r="D370" s="289">
        <f t="shared" si="2"/>
        <v>4.655737705</v>
      </c>
      <c r="E370" s="290">
        <f t="shared" si="3"/>
        <v>5</v>
      </c>
      <c r="F370" s="290" t="s">
        <v>733</v>
      </c>
      <c r="G370" s="291">
        <v>0.010392652965287685</v>
      </c>
      <c r="H370" s="296">
        <v>1.0</v>
      </c>
      <c r="I370" s="293"/>
    </row>
    <row r="371">
      <c r="A371" t="s">
        <v>304</v>
      </c>
      <c r="B371" s="287">
        <v>42146.0</v>
      </c>
      <c r="C371" s="288">
        <f t="shared" si="1"/>
        <v>142</v>
      </c>
      <c r="D371" s="289">
        <f t="shared" si="2"/>
        <v>4.655737705</v>
      </c>
      <c r="E371" s="290">
        <f t="shared" si="3"/>
        <v>5</v>
      </c>
      <c r="F371" s="290" t="s">
        <v>733</v>
      </c>
      <c r="G371" s="291">
        <v>0.01121702882807285</v>
      </c>
      <c r="H371" s="296">
        <v>1.0</v>
      </c>
      <c r="I371" s="293"/>
    </row>
    <row r="372">
      <c r="A372" t="s">
        <v>877</v>
      </c>
      <c r="B372" s="287">
        <v>42146.0</v>
      </c>
      <c r="C372" s="288">
        <f t="shared" si="1"/>
        <v>142</v>
      </c>
      <c r="D372" s="289">
        <f t="shared" si="2"/>
        <v>4.655737705</v>
      </c>
      <c r="E372" s="290">
        <f t="shared" si="3"/>
        <v>5</v>
      </c>
      <c r="F372" s="290" t="s">
        <v>733</v>
      </c>
      <c r="G372" s="291">
        <v>-0.04957128917893272</v>
      </c>
      <c r="H372" s="296">
        <v>-1.0</v>
      </c>
      <c r="I372" s="293"/>
    </row>
    <row r="373">
      <c r="A373" t="s">
        <v>878</v>
      </c>
      <c r="B373" s="287">
        <v>42878.0</v>
      </c>
      <c r="C373" s="288">
        <f t="shared" si="1"/>
        <v>143</v>
      </c>
      <c r="D373" s="289">
        <f t="shared" si="2"/>
        <v>4.68852459</v>
      </c>
      <c r="E373" s="290">
        <f t="shared" si="3"/>
        <v>5</v>
      </c>
      <c r="F373" s="290" t="s">
        <v>733</v>
      </c>
      <c r="G373" s="291">
        <v>0.00654005253809764</v>
      </c>
      <c r="H373" s="296">
        <v>0.0</v>
      </c>
      <c r="I373" s="293"/>
    </row>
    <row r="374">
      <c r="A374" t="s">
        <v>573</v>
      </c>
      <c r="B374" s="287">
        <v>42878.0</v>
      </c>
      <c r="C374" s="288">
        <f t="shared" si="1"/>
        <v>143</v>
      </c>
      <c r="D374" s="289">
        <f t="shared" si="2"/>
        <v>4.68852459</v>
      </c>
      <c r="E374" s="290">
        <f t="shared" si="3"/>
        <v>5</v>
      </c>
      <c r="F374" s="290" t="s">
        <v>733</v>
      </c>
      <c r="G374" s="291">
        <v>-0.009493282075048515</v>
      </c>
      <c r="H374" s="296">
        <v>0.0</v>
      </c>
      <c r="I374" s="293"/>
    </row>
    <row r="375">
      <c r="A375" t="s">
        <v>879</v>
      </c>
      <c r="B375" s="287">
        <v>42878.0</v>
      </c>
      <c r="C375" s="288">
        <f t="shared" si="1"/>
        <v>143</v>
      </c>
      <c r="D375" s="289">
        <f t="shared" si="2"/>
        <v>4.68852459</v>
      </c>
      <c r="E375" s="290">
        <f t="shared" si="3"/>
        <v>5</v>
      </c>
      <c r="F375" s="290" t="s">
        <v>733</v>
      </c>
      <c r="G375" s="291">
        <v>0.039319509394939334</v>
      </c>
      <c r="H375" s="296">
        <v>1.0</v>
      </c>
      <c r="I375" s="293"/>
    </row>
    <row r="376">
      <c r="A376" t="s">
        <v>277</v>
      </c>
      <c r="B376" s="287">
        <v>42148.0</v>
      </c>
      <c r="C376" s="288">
        <f t="shared" si="1"/>
        <v>144</v>
      </c>
      <c r="D376" s="289">
        <f t="shared" si="2"/>
        <v>4.721311475</v>
      </c>
      <c r="E376" s="290">
        <f t="shared" si="3"/>
        <v>5</v>
      </c>
      <c r="F376" s="290" t="s">
        <v>733</v>
      </c>
      <c r="G376" s="291">
        <v>-0.008871517912051652</v>
      </c>
      <c r="H376" s="296">
        <v>0.0</v>
      </c>
      <c r="I376" s="293"/>
    </row>
    <row r="377">
      <c r="A377" t="s">
        <v>742</v>
      </c>
      <c r="B377" s="287">
        <v>42149.0</v>
      </c>
      <c r="C377" s="288">
        <f t="shared" si="1"/>
        <v>145</v>
      </c>
      <c r="D377" s="289">
        <f t="shared" si="2"/>
        <v>4.754098361</v>
      </c>
      <c r="E377" s="290">
        <f t="shared" si="3"/>
        <v>5</v>
      </c>
      <c r="F377" s="290" t="s">
        <v>733</v>
      </c>
      <c r="G377" s="291">
        <v>-0.0016676123985182034</v>
      </c>
      <c r="H377" s="296">
        <v>0.0</v>
      </c>
      <c r="I377" s="293"/>
    </row>
    <row r="378">
      <c r="A378" t="s">
        <v>880</v>
      </c>
      <c r="B378" s="287">
        <v>42881.0</v>
      </c>
      <c r="C378" s="288">
        <f t="shared" si="1"/>
        <v>146</v>
      </c>
      <c r="D378" s="289">
        <f t="shared" si="2"/>
        <v>4.786885246</v>
      </c>
      <c r="E378" s="290">
        <f t="shared" si="3"/>
        <v>5</v>
      </c>
      <c r="F378" s="290" t="s">
        <v>733</v>
      </c>
      <c r="G378" s="291">
        <v>0.027398685585813487</v>
      </c>
      <c r="H378" s="296">
        <v>1.0</v>
      </c>
      <c r="I378" s="293"/>
    </row>
    <row r="379">
      <c r="A379" t="s">
        <v>744</v>
      </c>
      <c r="B379" s="287">
        <v>42150.0</v>
      </c>
      <c r="C379" s="288">
        <f t="shared" si="1"/>
        <v>146</v>
      </c>
      <c r="D379" s="289">
        <f t="shared" si="2"/>
        <v>4.786885246</v>
      </c>
      <c r="E379" s="290">
        <f t="shared" si="3"/>
        <v>5</v>
      </c>
      <c r="F379" s="290" t="s">
        <v>733</v>
      </c>
      <c r="G379" s="291">
        <v>-0.006227061892407959</v>
      </c>
      <c r="H379" s="296">
        <v>0.0</v>
      </c>
      <c r="I379" s="293"/>
    </row>
    <row r="380">
      <c r="A380" t="s">
        <v>214</v>
      </c>
      <c r="B380" s="287">
        <v>42151.0</v>
      </c>
      <c r="C380" s="288">
        <f t="shared" si="1"/>
        <v>147</v>
      </c>
      <c r="D380" s="289">
        <f t="shared" si="2"/>
        <v>4.819672131</v>
      </c>
      <c r="E380" s="290">
        <f t="shared" si="3"/>
        <v>5</v>
      </c>
      <c r="F380" s="290" t="s">
        <v>733</v>
      </c>
      <c r="G380" s="291">
        <v>0.0014407567731904436</v>
      </c>
      <c r="H380" s="296">
        <v>0.0</v>
      </c>
      <c r="I380" s="293"/>
    </row>
    <row r="381">
      <c r="A381" t="s">
        <v>304</v>
      </c>
      <c r="B381" s="287">
        <v>42151.0</v>
      </c>
      <c r="C381" s="288">
        <f t="shared" si="1"/>
        <v>147</v>
      </c>
      <c r="D381" s="289">
        <f t="shared" si="2"/>
        <v>4.819672131</v>
      </c>
      <c r="E381" s="290">
        <f t="shared" si="3"/>
        <v>5</v>
      </c>
      <c r="F381" s="290" t="s">
        <v>733</v>
      </c>
      <c r="G381" s="291">
        <v>0.013937535728176798</v>
      </c>
      <c r="H381" s="296">
        <v>1.0</v>
      </c>
      <c r="I381" s="293"/>
    </row>
    <row r="382">
      <c r="A382" t="s">
        <v>881</v>
      </c>
      <c r="B382" s="287">
        <v>42883.0</v>
      </c>
      <c r="C382" s="288">
        <f t="shared" si="1"/>
        <v>148</v>
      </c>
      <c r="D382" s="289">
        <f t="shared" si="2"/>
        <v>4.852459016</v>
      </c>
      <c r="E382" s="290">
        <f t="shared" si="3"/>
        <v>5</v>
      </c>
      <c r="F382" s="290" t="s">
        <v>733</v>
      </c>
      <c r="G382" s="291">
        <v>0.034547326600642636</v>
      </c>
      <c r="H382" s="296">
        <v>1.0</v>
      </c>
      <c r="I382" s="293"/>
    </row>
    <row r="383">
      <c r="A383" t="s">
        <v>882</v>
      </c>
      <c r="B383" s="287">
        <v>42883.0</v>
      </c>
      <c r="C383" s="288">
        <f t="shared" si="1"/>
        <v>148</v>
      </c>
      <c r="D383" s="289">
        <f t="shared" si="2"/>
        <v>4.852459016</v>
      </c>
      <c r="E383" s="290">
        <f t="shared" si="3"/>
        <v>5</v>
      </c>
      <c r="F383" s="290" t="s">
        <v>733</v>
      </c>
      <c r="G383" s="291">
        <v>0.004598087931559025</v>
      </c>
      <c r="H383" s="296">
        <v>0.0</v>
      </c>
      <c r="I383" s="293"/>
    </row>
    <row r="384">
      <c r="A384" t="s">
        <v>833</v>
      </c>
      <c r="B384" s="287">
        <v>42517.0</v>
      </c>
      <c r="C384" s="288">
        <f t="shared" si="1"/>
        <v>148</v>
      </c>
      <c r="D384" s="289">
        <f t="shared" si="2"/>
        <v>4.852459016</v>
      </c>
      <c r="E384" s="290">
        <f t="shared" si="3"/>
        <v>5</v>
      </c>
      <c r="F384" s="290" t="s">
        <v>733</v>
      </c>
      <c r="G384" s="291">
        <v>-0.012056140674272298</v>
      </c>
      <c r="H384" s="296">
        <v>-1.0</v>
      </c>
      <c r="I384" s="293"/>
    </row>
    <row r="385">
      <c r="A385" t="s">
        <v>711</v>
      </c>
      <c r="B385" s="287">
        <v>42517.0</v>
      </c>
      <c r="C385" s="288">
        <f t="shared" si="1"/>
        <v>148</v>
      </c>
      <c r="D385" s="289">
        <f t="shared" si="2"/>
        <v>4.852459016</v>
      </c>
      <c r="E385" s="290">
        <f t="shared" si="3"/>
        <v>5</v>
      </c>
      <c r="F385" s="290" t="s">
        <v>733</v>
      </c>
      <c r="G385" s="291">
        <v>-0.013418922126674837</v>
      </c>
      <c r="H385" s="296">
        <v>-1.0</v>
      </c>
      <c r="I385" s="293"/>
    </row>
    <row r="386">
      <c r="A386" t="s">
        <v>277</v>
      </c>
      <c r="B386" s="287">
        <v>42517.0</v>
      </c>
      <c r="C386" s="288">
        <f t="shared" si="1"/>
        <v>148</v>
      </c>
      <c r="D386" s="289">
        <f t="shared" si="2"/>
        <v>4.852459016</v>
      </c>
      <c r="E386" s="290">
        <f t="shared" si="3"/>
        <v>5</v>
      </c>
      <c r="F386" s="290" t="s">
        <v>733</v>
      </c>
      <c r="G386" s="291">
        <v>-0.0028077279532489063</v>
      </c>
      <c r="H386" s="296">
        <v>0.0</v>
      </c>
      <c r="I386" s="293"/>
    </row>
    <row r="387">
      <c r="A387" t="s">
        <v>753</v>
      </c>
      <c r="B387" s="287">
        <v>42152.0</v>
      </c>
      <c r="C387" s="288">
        <f t="shared" si="1"/>
        <v>148</v>
      </c>
      <c r="D387" s="289">
        <f t="shared" si="2"/>
        <v>4.852459016</v>
      </c>
      <c r="E387" s="290">
        <f t="shared" si="3"/>
        <v>5</v>
      </c>
      <c r="F387" s="290" t="s">
        <v>733</v>
      </c>
      <c r="G387" s="291">
        <v>0.00361155244785083</v>
      </c>
      <c r="H387" s="296">
        <v>0.0</v>
      </c>
      <c r="I387" s="293"/>
    </row>
    <row r="388">
      <c r="A388" t="s">
        <v>883</v>
      </c>
      <c r="B388" s="287">
        <v>42152.0</v>
      </c>
      <c r="C388" s="288">
        <f t="shared" si="1"/>
        <v>148</v>
      </c>
      <c r="D388" s="289">
        <f t="shared" si="2"/>
        <v>4.852459016</v>
      </c>
      <c r="E388" s="290">
        <f t="shared" si="3"/>
        <v>5</v>
      </c>
      <c r="F388" s="290" t="s">
        <v>733</v>
      </c>
      <c r="G388" s="291">
        <v>-0.008403580081437267</v>
      </c>
      <c r="H388" s="296">
        <v>0.0</v>
      </c>
      <c r="I388" s="293"/>
    </row>
    <row r="389">
      <c r="A389" t="s">
        <v>884</v>
      </c>
      <c r="B389" s="287">
        <v>42884.0</v>
      </c>
      <c r="C389" s="288">
        <f t="shared" si="1"/>
        <v>149</v>
      </c>
      <c r="D389" s="289">
        <f t="shared" si="2"/>
        <v>4.885245902</v>
      </c>
      <c r="E389" s="290">
        <f t="shared" si="3"/>
        <v>5</v>
      </c>
      <c r="F389" s="290" t="s">
        <v>733</v>
      </c>
      <c r="G389" s="291">
        <v>-0.10927134457634113</v>
      </c>
      <c r="H389" s="296">
        <v>-1.0</v>
      </c>
      <c r="I389" s="293"/>
    </row>
    <row r="390">
      <c r="A390" t="s">
        <v>727</v>
      </c>
      <c r="B390" s="287">
        <v>42153.0</v>
      </c>
      <c r="C390" s="288">
        <f t="shared" si="1"/>
        <v>149</v>
      </c>
      <c r="D390" s="289">
        <f t="shared" si="2"/>
        <v>4.885245902</v>
      </c>
      <c r="E390" s="290">
        <f t="shared" si="3"/>
        <v>5</v>
      </c>
      <c r="F390" s="290" t="s">
        <v>733</v>
      </c>
      <c r="G390" s="291">
        <v>4.581793856275329E-4</v>
      </c>
      <c r="H390" s="296">
        <v>0.0</v>
      </c>
      <c r="I390" s="293"/>
    </row>
    <row r="391">
      <c r="A391" t="s">
        <v>724</v>
      </c>
      <c r="B391" s="287">
        <v>42153.0</v>
      </c>
      <c r="C391" s="288">
        <f t="shared" si="1"/>
        <v>149</v>
      </c>
      <c r="D391" s="289">
        <f t="shared" si="2"/>
        <v>4.885245902</v>
      </c>
      <c r="E391" s="290">
        <f t="shared" si="3"/>
        <v>5</v>
      </c>
      <c r="F391" s="290" t="s">
        <v>733</v>
      </c>
      <c r="G391" s="291">
        <v>0.004106754663356638</v>
      </c>
      <c r="H391" s="296">
        <v>0.0</v>
      </c>
      <c r="I391" s="293"/>
    </row>
    <row r="392">
      <c r="A392" t="s">
        <v>108</v>
      </c>
      <c r="B392" s="287">
        <v>42153.0</v>
      </c>
      <c r="C392" s="288">
        <f t="shared" si="1"/>
        <v>149</v>
      </c>
      <c r="D392" s="289">
        <f t="shared" si="2"/>
        <v>4.885245902</v>
      </c>
      <c r="E392" s="290">
        <f t="shared" si="3"/>
        <v>5</v>
      </c>
      <c r="F392" s="290" t="s">
        <v>733</v>
      </c>
      <c r="G392" s="291">
        <v>-4.2226737974426776E-4</v>
      </c>
      <c r="H392" s="296">
        <v>0.0</v>
      </c>
      <c r="I392" s="293"/>
    </row>
    <row r="393">
      <c r="A393" t="s">
        <v>709</v>
      </c>
      <c r="B393" s="287">
        <v>42153.0</v>
      </c>
      <c r="C393" s="288">
        <f t="shared" si="1"/>
        <v>149</v>
      </c>
      <c r="D393" s="289">
        <f t="shared" si="2"/>
        <v>4.885245902</v>
      </c>
      <c r="E393" s="290">
        <f t="shared" si="3"/>
        <v>5</v>
      </c>
      <c r="F393" s="290" t="s">
        <v>733</v>
      </c>
      <c r="G393" s="291">
        <v>0.014194648575522884</v>
      </c>
      <c r="H393" s="296">
        <v>1.0</v>
      </c>
      <c r="I393" s="293"/>
    </row>
    <row r="394">
      <c r="A394" t="s">
        <v>885</v>
      </c>
      <c r="B394" s="287">
        <v>42885.0</v>
      </c>
      <c r="C394" s="288">
        <f t="shared" si="1"/>
        <v>150</v>
      </c>
      <c r="D394" s="289">
        <f t="shared" si="2"/>
        <v>4.918032787</v>
      </c>
      <c r="E394" s="290">
        <f t="shared" si="3"/>
        <v>5</v>
      </c>
      <c r="F394" s="290" t="s">
        <v>733</v>
      </c>
      <c r="G394" s="291">
        <v>0.02113595742017549</v>
      </c>
      <c r="H394" s="296">
        <v>1.0</v>
      </c>
      <c r="I394" s="293"/>
    </row>
    <row r="395">
      <c r="A395" t="s">
        <v>886</v>
      </c>
      <c r="B395" s="287">
        <v>42519.0</v>
      </c>
      <c r="C395" s="288">
        <f t="shared" si="1"/>
        <v>150</v>
      </c>
      <c r="D395" s="289">
        <f t="shared" si="2"/>
        <v>4.918032787</v>
      </c>
      <c r="E395" s="290">
        <f t="shared" si="3"/>
        <v>5</v>
      </c>
      <c r="F395" s="290" t="s">
        <v>733</v>
      </c>
      <c r="G395" s="291">
        <v>-0.024382651284778678</v>
      </c>
      <c r="H395" s="296">
        <v>-1.0</v>
      </c>
      <c r="I395" s="293"/>
    </row>
    <row r="396">
      <c r="A396" t="s">
        <v>277</v>
      </c>
      <c r="B396" s="287">
        <v>42519.0</v>
      </c>
      <c r="C396" s="288">
        <f t="shared" si="1"/>
        <v>150</v>
      </c>
      <c r="D396" s="289">
        <f t="shared" si="2"/>
        <v>4.918032787</v>
      </c>
      <c r="E396" s="290">
        <f t="shared" si="3"/>
        <v>5</v>
      </c>
      <c r="F396" s="290" t="s">
        <v>733</v>
      </c>
      <c r="G396" s="291">
        <v>-0.00773347364705157</v>
      </c>
      <c r="H396" s="296">
        <v>0.0</v>
      </c>
      <c r="I396" s="293"/>
    </row>
    <row r="397">
      <c r="A397" t="s">
        <v>887</v>
      </c>
      <c r="B397" s="287">
        <v>42155.0</v>
      </c>
      <c r="C397" s="288">
        <f t="shared" si="1"/>
        <v>151</v>
      </c>
      <c r="D397" s="289">
        <f t="shared" si="2"/>
        <v>4.950819672</v>
      </c>
      <c r="E397" s="290">
        <f t="shared" si="3"/>
        <v>5</v>
      </c>
      <c r="F397" s="290" t="s">
        <v>733</v>
      </c>
      <c r="G397" s="291">
        <v>-0.008692869580813056</v>
      </c>
      <c r="H397" s="296">
        <v>0.0</v>
      </c>
      <c r="I397" s="293"/>
    </row>
    <row r="398">
      <c r="A398" t="s">
        <v>888</v>
      </c>
      <c r="B398" s="287">
        <v>42155.0</v>
      </c>
      <c r="C398" s="288">
        <f t="shared" si="1"/>
        <v>151</v>
      </c>
      <c r="D398" s="289">
        <f t="shared" si="2"/>
        <v>4.950819672</v>
      </c>
      <c r="E398" s="290">
        <f t="shared" si="3"/>
        <v>5</v>
      </c>
      <c r="F398" s="290" t="s">
        <v>733</v>
      </c>
      <c r="G398" s="291">
        <v>-0.004174603148336731</v>
      </c>
      <c r="H398" s="296">
        <v>0.0</v>
      </c>
      <c r="I398" s="293"/>
    </row>
    <row r="399">
      <c r="A399" t="s">
        <v>889</v>
      </c>
      <c r="B399" s="287">
        <v>42155.0</v>
      </c>
      <c r="C399" s="288">
        <f t="shared" si="1"/>
        <v>151</v>
      </c>
      <c r="D399" s="289">
        <f t="shared" si="2"/>
        <v>4.950819672</v>
      </c>
      <c r="E399" s="290">
        <f t="shared" si="3"/>
        <v>5</v>
      </c>
      <c r="F399" s="290" t="s">
        <v>733</v>
      </c>
      <c r="G399" s="291">
        <v>-9.255993558010545E-4</v>
      </c>
      <c r="H399" s="296">
        <v>0.0</v>
      </c>
      <c r="I399" s="293"/>
    </row>
    <row r="400">
      <c r="A400" t="s">
        <v>890</v>
      </c>
      <c r="B400" s="287">
        <v>42887.0</v>
      </c>
      <c r="C400" s="288">
        <f t="shared" si="1"/>
        <v>152</v>
      </c>
      <c r="D400" s="289">
        <f t="shared" si="2"/>
        <v>4.983606557</v>
      </c>
      <c r="E400" s="290">
        <f t="shared" si="3"/>
        <v>5</v>
      </c>
      <c r="F400" s="290" t="s">
        <v>733</v>
      </c>
      <c r="G400" s="291">
        <v>0.006113328106561067</v>
      </c>
      <c r="H400" s="296">
        <v>0.0</v>
      </c>
      <c r="I400" s="293"/>
    </row>
    <row r="401">
      <c r="A401" t="s">
        <v>573</v>
      </c>
      <c r="B401" s="287">
        <v>42887.0</v>
      </c>
      <c r="C401" s="288">
        <f t="shared" si="1"/>
        <v>152</v>
      </c>
      <c r="D401" s="289">
        <f t="shared" si="2"/>
        <v>4.983606557</v>
      </c>
      <c r="E401" s="290">
        <f t="shared" si="3"/>
        <v>5</v>
      </c>
      <c r="F401" s="290" t="s">
        <v>733</v>
      </c>
      <c r="G401" s="291">
        <v>-0.005704921161164278</v>
      </c>
      <c r="H401" s="296">
        <v>0.0</v>
      </c>
      <c r="I401" s="293"/>
    </row>
    <row r="402">
      <c r="A402" t="s">
        <v>891</v>
      </c>
      <c r="B402" s="287">
        <v>42157.0</v>
      </c>
      <c r="C402" s="288">
        <f t="shared" si="1"/>
        <v>153</v>
      </c>
      <c r="D402" s="289">
        <f t="shared" si="2"/>
        <v>5.016393443</v>
      </c>
      <c r="E402" s="290">
        <f t="shared" si="3"/>
        <v>6</v>
      </c>
      <c r="F402" s="290" t="s">
        <v>735</v>
      </c>
      <c r="G402" s="291">
        <v>3.597858535600018E-4</v>
      </c>
      <c r="H402" s="296">
        <v>0.0</v>
      </c>
      <c r="I402" s="293"/>
    </row>
    <row r="403">
      <c r="A403" t="s">
        <v>892</v>
      </c>
      <c r="B403" s="287">
        <v>42157.0</v>
      </c>
      <c r="C403" s="288">
        <f t="shared" si="1"/>
        <v>153</v>
      </c>
      <c r="D403" s="289">
        <f t="shared" si="2"/>
        <v>5.016393443</v>
      </c>
      <c r="E403" s="290">
        <f t="shared" si="3"/>
        <v>6</v>
      </c>
      <c r="F403" s="290" t="s">
        <v>735</v>
      </c>
      <c r="G403" s="291">
        <v>0.024381280906306757</v>
      </c>
      <c r="H403" s="296">
        <v>1.0</v>
      </c>
      <c r="I403" s="293"/>
    </row>
    <row r="404">
      <c r="A404" t="s">
        <v>814</v>
      </c>
      <c r="B404" s="287">
        <v>42158.0</v>
      </c>
      <c r="C404" s="288">
        <f t="shared" si="1"/>
        <v>154</v>
      </c>
      <c r="D404" s="289">
        <f t="shared" si="2"/>
        <v>5.049180328</v>
      </c>
      <c r="E404" s="290">
        <f t="shared" si="3"/>
        <v>6</v>
      </c>
      <c r="F404" s="290" t="s">
        <v>735</v>
      </c>
      <c r="G404" s="291">
        <v>0.010349076549629133</v>
      </c>
      <c r="H404" s="296">
        <v>1.0</v>
      </c>
      <c r="I404" s="293"/>
    </row>
    <row r="405">
      <c r="A405" t="s">
        <v>573</v>
      </c>
      <c r="B405" s="287">
        <v>42524.0</v>
      </c>
      <c r="C405" s="288">
        <f t="shared" si="1"/>
        <v>155</v>
      </c>
      <c r="D405" s="289">
        <f t="shared" si="2"/>
        <v>5.081967213</v>
      </c>
      <c r="E405" s="290">
        <f t="shared" si="3"/>
        <v>6</v>
      </c>
      <c r="F405" s="290" t="s">
        <v>735</v>
      </c>
      <c r="G405" s="291">
        <v>-0.0053482473214380155</v>
      </c>
      <c r="H405" s="296">
        <v>0.0</v>
      </c>
      <c r="I405" s="293"/>
    </row>
    <row r="406">
      <c r="A406" t="s">
        <v>731</v>
      </c>
      <c r="B406" s="287">
        <v>42159.0</v>
      </c>
      <c r="C406" s="288">
        <f t="shared" si="1"/>
        <v>155</v>
      </c>
      <c r="D406" s="289">
        <f t="shared" si="2"/>
        <v>5.081967213</v>
      </c>
      <c r="E406" s="290">
        <f t="shared" si="3"/>
        <v>6</v>
      </c>
      <c r="F406" s="290" t="s">
        <v>735</v>
      </c>
      <c r="G406" s="291">
        <v>0.0035079833424407347</v>
      </c>
      <c r="H406" s="296">
        <v>0.0</v>
      </c>
      <c r="I406" s="293"/>
    </row>
    <row r="407">
      <c r="A407" t="s">
        <v>108</v>
      </c>
      <c r="B407" s="287">
        <v>42159.0</v>
      </c>
      <c r="C407" s="288">
        <f t="shared" si="1"/>
        <v>155</v>
      </c>
      <c r="D407" s="289">
        <f t="shared" si="2"/>
        <v>5.081967213</v>
      </c>
      <c r="E407" s="290">
        <f t="shared" si="3"/>
        <v>6</v>
      </c>
      <c r="F407" s="290" t="s">
        <v>735</v>
      </c>
      <c r="G407" s="291">
        <v>0.0011216664608212357</v>
      </c>
      <c r="H407" s="296">
        <v>0.0</v>
      </c>
      <c r="I407" s="293"/>
    </row>
    <row r="408">
      <c r="A408" t="s">
        <v>775</v>
      </c>
      <c r="B408" s="287">
        <v>42891.0</v>
      </c>
      <c r="C408" s="288">
        <f t="shared" si="1"/>
        <v>156</v>
      </c>
      <c r="D408" s="289">
        <f t="shared" si="2"/>
        <v>5.114754098</v>
      </c>
      <c r="E408" s="290">
        <f t="shared" si="3"/>
        <v>6</v>
      </c>
      <c r="F408" s="290" t="s">
        <v>735</v>
      </c>
      <c r="G408" s="291">
        <v>0.03533331769885395</v>
      </c>
      <c r="H408" s="296">
        <v>1.0</v>
      </c>
      <c r="I408" s="293"/>
    </row>
    <row r="409">
      <c r="A409" t="s">
        <v>893</v>
      </c>
      <c r="B409" s="287">
        <v>42891.0</v>
      </c>
      <c r="C409" s="288">
        <f t="shared" si="1"/>
        <v>156</v>
      </c>
      <c r="D409" s="289">
        <f t="shared" si="2"/>
        <v>5.114754098</v>
      </c>
      <c r="E409" s="290">
        <f t="shared" si="3"/>
        <v>6</v>
      </c>
      <c r="F409" s="290" t="s">
        <v>735</v>
      </c>
      <c r="G409" s="291">
        <v>0.01294775783412927</v>
      </c>
      <c r="H409" s="296">
        <v>1.0</v>
      </c>
      <c r="I409" s="293"/>
    </row>
    <row r="410">
      <c r="A410" t="s">
        <v>894</v>
      </c>
      <c r="B410" s="287">
        <v>42160.0</v>
      </c>
      <c r="C410" s="288">
        <f t="shared" si="1"/>
        <v>156</v>
      </c>
      <c r="D410" s="289">
        <f t="shared" si="2"/>
        <v>5.114754098</v>
      </c>
      <c r="E410" s="290">
        <f t="shared" si="3"/>
        <v>6</v>
      </c>
      <c r="F410" s="290" t="s">
        <v>735</v>
      </c>
      <c r="G410" s="291">
        <v>-7.02025712333243E-4</v>
      </c>
      <c r="H410" s="296">
        <v>0.0</v>
      </c>
      <c r="I410" s="293"/>
    </row>
    <row r="411">
      <c r="A411" t="s">
        <v>895</v>
      </c>
      <c r="B411" s="287">
        <v>42160.0</v>
      </c>
      <c r="C411" s="288">
        <f t="shared" si="1"/>
        <v>156</v>
      </c>
      <c r="D411" s="289">
        <f t="shared" si="2"/>
        <v>5.114754098</v>
      </c>
      <c r="E411" s="290">
        <f t="shared" si="3"/>
        <v>6</v>
      </c>
      <c r="F411" s="290" t="s">
        <v>735</v>
      </c>
      <c r="G411" s="291">
        <v>-0.10574383157325307</v>
      </c>
      <c r="H411" s="296">
        <v>-1.0</v>
      </c>
      <c r="I411" s="293"/>
    </row>
    <row r="412">
      <c r="A412" t="s">
        <v>761</v>
      </c>
      <c r="B412" s="287">
        <v>42892.0</v>
      </c>
      <c r="C412" s="288">
        <f t="shared" si="1"/>
        <v>157</v>
      </c>
      <c r="D412" s="289">
        <f t="shared" si="2"/>
        <v>5.147540984</v>
      </c>
      <c r="E412" s="290">
        <f t="shared" si="3"/>
        <v>6</v>
      </c>
      <c r="F412" s="290" t="s">
        <v>735</v>
      </c>
      <c r="G412" s="291">
        <v>-0.0010867380693668771</v>
      </c>
      <c r="H412" s="296">
        <v>0.0</v>
      </c>
      <c r="I412" s="293"/>
    </row>
    <row r="413">
      <c r="A413" t="s">
        <v>346</v>
      </c>
      <c r="B413" s="287">
        <v>42526.0</v>
      </c>
      <c r="C413" s="288">
        <f t="shared" si="1"/>
        <v>157</v>
      </c>
      <c r="D413" s="289">
        <f t="shared" si="2"/>
        <v>5.147540984</v>
      </c>
      <c r="E413" s="290">
        <f t="shared" si="3"/>
        <v>6</v>
      </c>
      <c r="F413" s="290" t="s">
        <v>735</v>
      </c>
      <c r="G413" s="291">
        <v>0.0014467905608003262</v>
      </c>
      <c r="H413" s="296">
        <v>0.0</v>
      </c>
      <c r="I413" s="293"/>
    </row>
    <row r="414">
      <c r="A414" t="s">
        <v>777</v>
      </c>
      <c r="B414" s="287">
        <v>42526.0</v>
      </c>
      <c r="C414" s="288">
        <f t="shared" si="1"/>
        <v>157</v>
      </c>
      <c r="D414" s="289">
        <f t="shared" si="2"/>
        <v>5.147540984</v>
      </c>
      <c r="E414" s="290">
        <f t="shared" si="3"/>
        <v>6</v>
      </c>
      <c r="F414" s="290" t="s">
        <v>735</v>
      </c>
      <c r="G414" s="291">
        <v>0.017219732947188038</v>
      </c>
      <c r="H414" s="296">
        <v>1.0</v>
      </c>
      <c r="I414" s="293"/>
    </row>
    <row r="415">
      <c r="A415" t="s">
        <v>803</v>
      </c>
      <c r="B415" s="287">
        <v>42526.0</v>
      </c>
      <c r="C415" s="288">
        <f t="shared" si="1"/>
        <v>157</v>
      </c>
      <c r="D415" s="289">
        <f t="shared" si="2"/>
        <v>5.147540984</v>
      </c>
      <c r="E415" s="290">
        <f t="shared" si="3"/>
        <v>6</v>
      </c>
      <c r="F415" s="290" t="s">
        <v>735</v>
      </c>
      <c r="G415" s="291">
        <v>-0.01859233798691562</v>
      </c>
      <c r="H415" s="296">
        <v>-1.0</v>
      </c>
      <c r="I415" s="293"/>
    </row>
    <row r="416">
      <c r="A416" t="s">
        <v>709</v>
      </c>
      <c r="B416" s="287">
        <v>42161.0</v>
      </c>
      <c r="C416" s="288">
        <f t="shared" si="1"/>
        <v>157</v>
      </c>
      <c r="D416" s="289">
        <f t="shared" si="2"/>
        <v>5.147540984</v>
      </c>
      <c r="E416" s="290">
        <f t="shared" si="3"/>
        <v>6</v>
      </c>
      <c r="F416" s="290" t="s">
        <v>735</v>
      </c>
      <c r="G416" s="291">
        <v>0.009589204202360757</v>
      </c>
      <c r="H416" s="296">
        <v>0.0</v>
      </c>
      <c r="I416" s="293"/>
    </row>
    <row r="417">
      <c r="A417" t="s">
        <v>896</v>
      </c>
      <c r="B417" s="287">
        <v>42527.0</v>
      </c>
      <c r="C417" s="288">
        <f t="shared" si="1"/>
        <v>158</v>
      </c>
      <c r="D417" s="289">
        <f t="shared" si="2"/>
        <v>5.180327869</v>
      </c>
      <c r="E417" s="290">
        <f t="shared" si="3"/>
        <v>6</v>
      </c>
      <c r="F417" s="290" t="s">
        <v>735</v>
      </c>
      <c r="G417" s="291">
        <v>-0.017069862243680567</v>
      </c>
      <c r="H417" s="296">
        <v>-1.0</v>
      </c>
      <c r="I417" s="293"/>
    </row>
    <row r="418">
      <c r="A418" t="s">
        <v>897</v>
      </c>
      <c r="B418" s="287">
        <v>42162.0</v>
      </c>
      <c r="C418" s="288">
        <f t="shared" si="1"/>
        <v>158</v>
      </c>
      <c r="D418" s="289">
        <f t="shared" si="2"/>
        <v>5.180327869</v>
      </c>
      <c r="E418" s="290">
        <f t="shared" si="3"/>
        <v>6</v>
      </c>
      <c r="F418" s="290" t="s">
        <v>735</v>
      </c>
      <c r="G418" s="291">
        <v>-0.038381201047355984</v>
      </c>
      <c r="H418" s="296">
        <v>-1.0</v>
      </c>
      <c r="I418" s="293"/>
    </row>
    <row r="419">
      <c r="A419" t="s">
        <v>108</v>
      </c>
      <c r="B419" s="287">
        <v>42528.0</v>
      </c>
      <c r="C419" s="288">
        <f t="shared" si="1"/>
        <v>159</v>
      </c>
      <c r="D419" s="289">
        <f t="shared" si="2"/>
        <v>5.213114754</v>
      </c>
      <c r="E419" s="290">
        <f t="shared" si="3"/>
        <v>6</v>
      </c>
      <c r="F419" s="290" t="s">
        <v>735</v>
      </c>
      <c r="G419" s="291">
        <v>-0.04310198186547709</v>
      </c>
      <c r="H419" s="296">
        <v>-1.0</v>
      </c>
      <c r="I419" s="293"/>
    </row>
    <row r="420">
      <c r="A420" t="s">
        <v>427</v>
      </c>
      <c r="B420" s="287">
        <v>42895.0</v>
      </c>
      <c r="C420" s="288">
        <f t="shared" si="1"/>
        <v>160</v>
      </c>
      <c r="D420" s="289">
        <f t="shared" si="2"/>
        <v>5.245901639</v>
      </c>
      <c r="E420" s="290">
        <f t="shared" si="3"/>
        <v>6</v>
      </c>
      <c r="F420" s="290" t="s">
        <v>735</v>
      </c>
      <c r="G420" s="291">
        <v>0.009903711278376304</v>
      </c>
      <c r="H420" s="296">
        <v>0.0</v>
      </c>
      <c r="I420" s="293"/>
    </row>
    <row r="421">
      <c r="A421" t="s">
        <v>304</v>
      </c>
      <c r="B421" s="287">
        <v>42164.0</v>
      </c>
      <c r="C421" s="288">
        <f t="shared" si="1"/>
        <v>160</v>
      </c>
      <c r="D421" s="289">
        <f t="shared" si="2"/>
        <v>5.245901639</v>
      </c>
      <c r="E421" s="290">
        <f t="shared" si="3"/>
        <v>6</v>
      </c>
      <c r="F421" s="290" t="s">
        <v>735</v>
      </c>
      <c r="G421" s="291">
        <v>0.014845476909624788</v>
      </c>
      <c r="H421" s="296">
        <v>1.0</v>
      </c>
      <c r="I421" s="293"/>
    </row>
    <row r="422">
      <c r="A422" t="s">
        <v>716</v>
      </c>
      <c r="B422" s="287">
        <v>42164.0</v>
      </c>
      <c r="C422" s="288">
        <f t="shared" si="1"/>
        <v>160</v>
      </c>
      <c r="D422" s="289">
        <f t="shared" si="2"/>
        <v>5.245901639</v>
      </c>
      <c r="E422" s="290">
        <f t="shared" si="3"/>
        <v>6</v>
      </c>
      <c r="F422" s="290" t="s">
        <v>735</v>
      </c>
      <c r="G422" s="291">
        <v>-0.0018041865495300735</v>
      </c>
      <c r="H422" s="296">
        <v>0.0</v>
      </c>
      <c r="I422" s="293"/>
    </row>
    <row r="423">
      <c r="A423" t="s">
        <v>232</v>
      </c>
      <c r="B423" s="287">
        <v>42164.0</v>
      </c>
      <c r="C423" s="288">
        <f t="shared" si="1"/>
        <v>160</v>
      </c>
      <c r="D423" s="289">
        <f t="shared" si="2"/>
        <v>5.245901639</v>
      </c>
      <c r="E423" s="290">
        <f t="shared" si="3"/>
        <v>6</v>
      </c>
      <c r="F423" s="290" t="s">
        <v>735</v>
      </c>
      <c r="G423" s="291">
        <v>0.003903584617597655</v>
      </c>
      <c r="H423" s="296">
        <v>0.0</v>
      </c>
      <c r="I423" s="293"/>
    </row>
    <row r="424">
      <c r="A424" t="s">
        <v>898</v>
      </c>
      <c r="B424" s="287">
        <v>42165.0</v>
      </c>
      <c r="C424" s="288">
        <f t="shared" si="1"/>
        <v>161</v>
      </c>
      <c r="D424" s="289">
        <f t="shared" si="2"/>
        <v>5.278688525</v>
      </c>
      <c r="E424" s="290">
        <f t="shared" si="3"/>
        <v>6</v>
      </c>
      <c r="F424" s="290" t="s">
        <v>735</v>
      </c>
      <c r="G424" s="291">
        <v>0.024035772902249786</v>
      </c>
      <c r="H424" s="296">
        <v>1.0</v>
      </c>
      <c r="I424" s="293"/>
    </row>
    <row r="425">
      <c r="A425" t="s">
        <v>713</v>
      </c>
      <c r="B425" s="287">
        <v>42897.0</v>
      </c>
      <c r="C425" s="288">
        <f t="shared" si="1"/>
        <v>162</v>
      </c>
      <c r="D425" s="289">
        <f t="shared" si="2"/>
        <v>5.31147541</v>
      </c>
      <c r="E425" s="290">
        <f t="shared" si="3"/>
        <v>6</v>
      </c>
      <c r="F425" s="290" t="s">
        <v>735</v>
      </c>
      <c r="G425" s="291">
        <v>0.006394274226857122</v>
      </c>
      <c r="H425" s="296">
        <v>0.0</v>
      </c>
      <c r="I425" s="293"/>
    </row>
    <row r="426">
      <c r="A426" t="s">
        <v>700</v>
      </c>
      <c r="B426" s="287">
        <v>42897.0</v>
      </c>
      <c r="C426" s="288">
        <f t="shared" si="1"/>
        <v>162</v>
      </c>
      <c r="D426" s="289">
        <f t="shared" si="2"/>
        <v>5.31147541</v>
      </c>
      <c r="E426" s="290">
        <f t="shared" si="3"/>
        <v>6</v>
      </c>
      <c r="F426" s="290" t="s">
        <v>735</v>
      </c>
      <c r="G426" s="291">
        <v>0.019685465960948445</v>
      </c>
      <c r="H426" s="296">
        <v>1.0</v>
      </c>
      <c r="I426" s="293"/>
    </row>
    <row r="427">
      <c r="A427" t="s">
        <v>240</v>
      </c>
      <c r="B427" s="287">
        <v>42166.0</v>
      </c>
      <c r="C427" s="288">
        <f t="shared" si="1"/>
        <v>162</v>
      </c>
      <c r="D427" s="289">
        <f t="shared" si="2"/>
        <v>5.31147541</v>
      </c>
      <c r="E427" s="290">
        <f t="shared" si="3"/>
        <v>6</v>
      </c>
      <c r="F427" s="290" t="s">
        <v>735</v>
      </c>
      <c r="G427" s="291">
        <v>0.0021601623563088923</v>
      </c>
      <c r="H427" s="296">
        <v>0.0</v>
      </c>
      <c r="I427" s="293"/>
    </row>
    <row r="428">
      <c r="A428" t="s">
        <v>108</v>
      </c>
      <c r="B428" s="287">
        <v>42532.0</v>
      </c>
      <c r="C428" s="288">
        <f t="shared" si="1"/>
        <v>163</v>
      </c>
      <c r="D428" s="289">
        <f t="shared" si="2"/>
        <v>5.344262295</v>
      </c>
      <c r="E428" s="290">
        <f t="shared" si="3"/>
        <v>6</v>
      </c>
      <c r="F428" s="290" t="s">
        <v>735</v>
      </c>
      <c r="G428" s="291">
        <v>-0.03870216844489094</v>
      </c>
      <c r="H428" s="296">
        <v>-1.0</v>
      </c>
      <c r="I428" s="293"/>
    </row>
    <row r="429">
      <c r="A429" t="s">
        <v>830</v>
      </c>
      <c r="B429" s="287">
        <v>42532.0</v>
      </c>
      <c r="C429" s="288">
        <f t="shared" si="1"/>
        <v>163</v>
      </c>
      <c r="D429" s="289">
        <f t="shared" si="2"/>
        <v>5.344262295</v>
      </c>
      <c r="E429" s="290">
        <f t="shared" si="3"/>
        <v>6</v>
      </c>
      <c r="F429" s="290" t="s">
        <v>735</v>
      </c>
      <c r="G429" s="291">
        <v>0.008452960547413735</v>
      </c>
      <c r="H429" s="296">
        <v>0.0</v>
      </c>
      <c r="I429" s="293"/>
    </row>
    <row r="430">
      <c r="A430" t="s">
        <v>709</v>
      </c>
      <c r="B430" s="287">
        <v>42532.0</v>
      </c>
      <c r="C430" s="288">
        <f t="shared" si="1"/>
        <v>163</v>
      </c>
      <c r="D430" s="289">
        <f t="shared" si="2"/>
        <v>5.344262295</v>
      </c>
      <c r="E430" s="290">
        <f t="shared" si="3"/>
        <v>6</v>
      </c>
      <c r="F430" s="290" t="s">
        <v>735</v>
      </c>
      <c r="G430" s="291">
        <v>0.024830102343349925</v>
      </c>
      <c r="H430" s="296">
        <v>1.0</v>
      </c>
      <c r="I430" s="293"/>
    </row>
    <row r="431">
      <c r="A431" t="s">
        <v>756</v>
      </c>
      <c r="B431" s="287">
        <v>42532.0</v>
      </c>
      <c r="C431" s="288">
        <f t="shared" si="1"/>
        <v>163</v>
      </c>
      <c r="D431" s="289">
        <f t="shared" si="2"/>
        <v>5.344262295</v>
      </c>
      <c r="E431" s="290">
        <f t="shared" si="3"/>
        <v>6</v>
      </c>
      <c r="F431" s="290" t="s">
        <v>735</v>
      </c>
      <c r="G431" s="291">
        <v>0.01225953452693318</v>
      </c>
      <c r="H431" s="296">
        <v>1.0</v>
      </c>
      <c r="I431" s="293"/>
    </row>
    <row r="432">
      <c r="A432" t="s">
        <v>899</v>
      </c>
      <c r="B432" s="287">
        <v>42532.0</v>
      </c>
      <c r="C432" s="288">
        <f t="shared" si="1"/>
        <v>163</v>
      </c>
      <c r="D432" s="289">
        <f t="shared" si="2"/>
        <v>5.344262295</v>
      </c>
      <c r="E432" s="290">
        <f t="shared" si="3"/>
        <v>6</v>
      </c>
      <c r="F432" s="290" t="s">
        <v>735</v>
      </c>
      <c r="G432" s="291">
        <v>-0.03516276793410744</v>
      </c>
      <c r="H432" s="296">
        <v>-1.0</v>
      </c>
      <c r="I432" s="293"/>
    </row>
    <row r="433">
      <c r="A433" t="s">
        <v>751</v>
      </c>
      <c r="B433" s="287">
        <v>42167.0</v>
      </c>
      <c r="C433" s="288">
        <f t="shared" si="1"/>
        <v>163</v>
      </c>
      <c r="D433" s="289">
        <f t="shared" si="2"/>
        <v>5.344262295</v>
      </c>
      <c r="E433" s="290">
        <f t="shared" si="3"/>
        <v>6</v>
      </c>
      <c r="F433" s="290" t="s">
        <v>735</v>
      </c>
      <c r="G433" s="291">
        <v>0.01973010234334993</v>
      </c>
      <c r="H433" s="296">
        <v>1.0</v>
      </c>
      <c r="I433" s="293"/>
    </row>
    <row r="434">
      <c r="A434" t="s">
        <v>900</v>
      </c>
      <c r="B434" s="287">
        <v>42167.0</v>
      </c>
      <c r="C434" s="288">
        <f t="shared" si="1"/>
        <v>163</v>
      </c>
      <c r="D434" s="289">
        <f t="shared" si="2"/>
        <v>5.344262295</v>
      </c>
      <c r="E434" s="290">
        <f t="shared" si="3"/>
        <v>6</v>
      </c>
      <c r="F434" s="290" t="s">
        <v>735</v>
      </c>
      <c r="G434" s="291">
        <v>0.01926900106797569</v>
      </c>
      <c r="H434" s="296">
        <v>1.0</v>
      </c>
      <c r="I434" s="293"/>
    </row>
    <row r="435">
      <c r="A435" t="s">
        <v>709</v>
      </c>
      <c r="B435" s="287">
        <v>42167.0</v>
      </c>
      <c r="C435" s="288">
        <f t="shared" si="1"/>
        <v>163</v>
      </c>
      <c r="D435" s="289">
        <f t="shared" si="2"/>
        <v>5.344262295</v>
      </c>
      <c r="E435" s="290">
        <f t="shared" si="3"/>
        <v>6</v>
      </c>
      <c r="F435" s="290" t="s">
        <v>735</v>
      </c>
      <c r="G435" s="291">
        <v>0.011030664242198784</v>
      </c>
      <c r="H435" s="296">
        <v>1.0</v>
      </c>
      <c r="I435" s="293"/>
    </row>
    <row r="436">
      <c r="A436" t="s">
        <v>808</v>
      </c>
      <c r="B436" s="287">
        <v>42167.0</v>
      </c>
      <c r="C436" s="288">
        <f t="shared" si="1"/>
        <v>163</v>
      </c>
      <c r="D436" s="289">
        <f t="shared" si="2"/>
        <v>5.344262295</v>
      </c>
      <c r="E436" s="290">
        <f t="shared" si="3"/>
        <v>6</v>
      </c>
      <c r="F436" s="290" t="s">
        <v>735</v>
      </c>
      <c r="G436" s="291">
        <v>-0.04243472635368972</v>
      </c>
      <c r="H436" s="296">
        <v>-1.0</v>
      </c>
      <c r="I436" s="293"/>
    </row>
    <row r="437">
      <c r="A437" t="s">
        <v>901</v>
      </c>
      <c r="B437" s="287">
        <v>42167.0</v>
      </c>
      <c r="C437" s="288">
        <f t="shared" si="1"/>
        <v>163</v>
      </c>
      <c r="D437" s="289">
        <f t="shared" si="2"/>
        <v>5.344262295</v>
      </c>
      <c r="E437" s="290">
        <f t="shared" si="3"/>
        <v>6</v>
      </c>
      <c r="F437" s="290" t="s">
        <v>735</v>
      </c>
      <c r="G437" s="291">
        <v>-0.014530568726031534</v>
      </c>
      <c r="H437" s="296">
        <v>-1.0</v>
      </c>
      <c r="I437" s="293"/>
    </row>
    <row r="438">
      <c r="A438" t="s">
        <v>902</v>
      </c>
      <c r="B438" s="287">
        <v>42899.0</v>
      </c>
      <c r="C438" s="288">
        <f t="shared" si="1"/>
        <v>164</v>
      </c>
      <c r="D438" s="289">
        <f t="shared" si="2"/>
        <v>5.37704918</v>
      </c>
      <c r="E438" s="290">
        <f t="shared" si="3"/>
        <v>6</v>
      </c>
      <c r="F438" s="290" t="s">
        <v>735</v>
      </c>
      <c r="G438" s="291">
        <v>-0.005858729574356736</v>
      </c>
      <c r="H438" s="296">
        <v>0.0</v>
      </c>
      <c r="I438" s="293"/>
    </row>
    <row r="439">
      <c r="A439" t="s">
        <v>767</v>
      </c>
      <c r="B439" s="287">
        <v>42533.0</v>
      </c>
      <c r="C439" s="288">
        <f t="shared" si="1"/>
        <v>164</v>
      </c>
      <c r="D439" s="289">
        <f t="shared" si="2"/>
        <v>5.37704918</v>
      </c>
      <c r="E439" s="290">
        <f t="shared" si="3"/>
        <v>6</v>
      </c>
      <c r="F439" s="290" t="s">
        <v>735</v>
      </c>
      <c r="G439" s="291">
        <v>0.017230102343349873</v>
      </c>
      <c r="H439" s="296">
        <v>1.0</v>
      </c>
      <c r="I439" s="293"/>
    </row>
    <row r="440">
      <c r="A440" t="s">
        <v>877</v>
      </c>
      <c r="B440" s="287">
        <v>42168.0</v>
      </c>
      <c r="C440" s="288">
        <f t="shared" si="1"/>
        <v>164</v>
      </c>
      <c r="D440" s="289">
        <f t="shared" si="2"/>
        <v>5.37704918</v>
      </c>
      <c r="E440" s="290">
        <f t="shared" si="3"/>
        <v>6</v>
      </c>
      <c r="F440" s="290" t="s">
        <v>735</v>
      </c>
      <c r="G440" s="291">
        <v>-0.05074540710633402</v>
      </c>
      <c r="H440" s="296">
        <v>-1.0</v>
      </c>
      <c r="I440" s="293"/>
    </row>
    <row r="441">
      <c r="A441" t="s">
        <v>811</v>
      </c>
      <c r="B441" s="287">
        <v>42168.0</v>
      </c>
      <c r="C441" s="288">
        <f t="shared" si="1"/>
        <v>164</v>
      </c>
      <c r="D441" s="289">
        <f t="shared" si="2"/>
        <v>5.37704918</v>
      </c>
      <c r="E441" s="290">
        <f t="shared" si="3"/>
        <v>6</v>
      </c>
      <c r="F441" s="290" t="s">
        <v>735</v>
      </c>
      <c r="G441" s="291">
        <v>0.0014708108560348432</v>
      </c>
      <c r="H441" s="296">
        <v>0.0</v>
      </c>
      <c r="I441" s="293"/>
    </row>
    <row r="442">
      <c r="A442" t="s">
        <v>903</v>
      </c>
      <c r="B442" s="287">
        <v>42169.0</v>
      </c>
      <c r="C442" s="288">
        <f t="shared" si="1"/>
        <v>165</v>
      </c>
      <c r="D442" s="289">
        <f t="shared" si="2"/>
        <v>5.409836066</v>
      </c>
      <c r="E442" s="290">
        <f t="shared" si="3"/>
        <v>6</v>
      </c>
      <c r="F442" s="290" t="s">
        <v>735</v>
      </c>
      <c r="G442" s="291">
        <v>-0.03492773330425791</v>
      </c>
      <c r="H442" s="296">
        <v>-1.0</v>
      </c>
      <c r="I442" s="293"/>
    </row>
    <row r="443">
      <c r="A443" t="s">
        <v>779</v>
      </c>
      <c r="B443" s="287">
        <v>42536.0</v>
      </c>
      <c r="C443" s="288">
        <f t="shared" si="1"/>
        <v>167</v>
      </c>
      <c r="D443" s="289">
        <f t="shared" si="2"/>
        <v>5.475409836</v>
      </c>
      <c r="E443" s="290">
        <f t="shared" si="3"/>
        <v>6</v>
      </c>
      <c r="F443" s="290" t="s">
        <v>735</v>
      </c>
      <c r="G443" s="291">
        <v>0.03182951852329263</v>
      </c>
      <c r="H443" s="296">
        <v>1.0</v>
      </c>
      <c r="I443" s="293"/>
    </row>
    <row r="444">
      <c r="A444" t="s">
        <v>904</v>
      </c>
      <c r="B444" s="287">
        <v>42536.0</v>
      </c>
      <c r="C444" s="288">
        <f t="shared" si="1"/>
        <v>167</v>
      </c>
      <c r="D444" s="289">
        <f t="shared" si="2"/>
        <v>5.475409836</v>
      </c>
      <c r="E444" s="290">
        <f t="shared" si="3"/>
        <v>6</v>
      </c>
      <c r="F444" s="290" t="s">
        <v>735</v>
      </c>
      <c r="G444" s="291">
        <v>-0.008680035731151059</v>
      </c>
      <c r="H444" s="296">
        <v>0.0</v>
      </c>
      <c r="I444" s="293"/>
    </row>
    <row r="445">
      <c r="A445" t="s">
        <v>905</v>
      </c>
      <c r="B445" s="287">
        <v>42903.0</v>
      </c>
      <c r="C445" s="288">
        <f t="shared" si="1"/>
        <v>168</v>
      </c>
      <c r="D445" s="289">
        <f t="shared" si="2"/>
        <v>5.508196721</v>
      </c>
      <c r="E445" s="290">
        <f t="shared" si="3"/>
        <v>6</v>
      </c>
      <c r="F445" s="290" t="s">
        <v>735</v>
      </c>
      <c r="G445" s="291">
        <v>-0.020804927219658653</v>
      </c>
      <c r="H445" s="296">
        <v>-1.0</v>
      </c>
      <c r="I445" s="293"/>
    </row>
    <row r="446">
      <c r="A446" t="s">
        <v>906</v>
      </c>
      <c r="B446" s="287">
        <v>42903.0</v>
      </c>
      <c r="C446" s="288">
        <f t="shared" si="1"/>
        <v>168</v>
      </c>
      <c r="D446" s="289">
        <f t="shared" si="2"/>
        <v>5.508196721</v>
      </c>
      <c r="E446" s="290">
        <f t="shared" si="3"/>
        <v>6</v>
      </c>
      <c r="F446" s="290" t="s">
        <v>735</v>
      </c>
      <c r="G446" s="291">
        <v>0.024931454342038473</v>
      </c>
      <c r="H446" s="296">
        <v>1.0</v>
      </c>
      <c r="I446" s="293"/>
    </row>
    <row r="447">
      <c r="A447" t="s">
        <v>716</v>
      </c>
      <c r="B447" s="287">
        <v>42537.0</v>
      </c>
      <c r="C447" s="288">
        <f t="shared" si="1"/>
        <v>168</v>
      </c>
      <c r="D447" s="289">
        <f t="shared" si="2"/>
        <v>5.508196721</v>
      </c>
      <c r="E447" s="290">
        <f t="shared" si="3"/>
        <v>6</v>
      </c>
      <c r="F447" s="290" t="s">
        <v>735</v>
      </c>
      <c r="G447" s="291">
        <v>-0.0010369941659935655</v>
      </c>
      <c r="H447" s="296">
        <v>0.0</v>
      </c>
      <c r="I447" s="293"/>
    </row>
    <row r="448">
      <c r="A448" t="s">
        <v>907</v>
      </c>
      <c r="B448" s="287">
        <v>42537.0</v>
      </c>
      <c r="C448" s="288">
        <f t="shared" si="1"/>
        <v>168</v>
      </c>
      <c r="D448" s="289">
        <f t="shared" si="2"/>
        <v>5.508196721</v>
      </c>
      <c r="E448" s="290">
        <f t="shared" si="3"/>
        <v>6</v>
      </c>
      <c r="F448" s="290" t="s">
        <v>735</v>
      </c>
      <c r="G448" s="291">
        <v>0.03164844432023184</v>
      </c>
      <c r="H448" s="296">
        <v>1.0</v>
      </c>
      <c r="I448" s="293"/>
    </row>
    <row r="449">
      <c r="A449" t="s">
        <v>760</v>
      </c>
      <c r="B449" s="287">
        <v>42538.0</v>
      </c>
      <c r="C449" s="288">
        <f t="shared" si="1"/>
        <v>169</v>
      </c>
      <c r="D449" s="289">
        <f t="shared" si="2"/>
        <v>5.540983607</v>
      </c>
      <c r="E449" s="290">
        <f t="shared" si="3"/>
        <v>6</v>
      </c>
      <c r="F449" s="290" t="s">
        <v>735</v>
      </c>
      <c r="G449" s="291">
        <v>0.018145466911605568</v>
      </c>
      <c r="H449" s="296">
        <v>1.0</v>
      </c>
      <c r="I449" s="293"/>
    </row>
    <row r="450">
      <c r="A450" t="s">
        <v>908</v>
      </c>
      <c r="B450" s="287">
        <v>42538.0</v>
      </c>
      <c r="C450" s="288">
        <f t="shared" si="1"/>
        <v>169</v>
      </c>
      <c r="D450" s="289">
        <f t="shared" si="2"/>
        <v>5.540983607</v>
      </c>
      <c r="E450" s="290">
        <f t="shared" si="3"/>
        <v>6</v>
      </c>
      <c r="F450" s="290" t="s">
        <v>735</v>
      </c>
      <c r="G450" s="291">
        <v>0.056836949235121725</v>
      </c>
      <c r="H450" s="296">
        <v>1.0</v>
      </c>
      <c r="I450" s="293"/>
    </row>
    <row r="451">
      <c r="A451" t="s">
        <v>573</v>
      </c>
      <c r="B451" s="287">
        <v>42905.0</v>
      </c>
      <c r="C451" s="288">
        <f t="shared" si="1"/>
        <v>170</v>
      </c>
      <c r="D451" s="289">
        <f t="shared" si="2"/>
        <v>5.573770492</v>
      </c>
      <c r="E451" s="290">
        <f t="shared" si="3"/>
        <v>6</v>
      </c>
      <c r="F451" s="290" t="s">
        <v>735</v>
      </c>
      <c r="G451" s="291">
        <v>-0.00557246067531425</v>
      </c>
      <c r="H451" s="296">
        <v>0.0</v>
      </c>
      <c r="I451" s="293"/>
    </row>
    <row r="452">
      <c r="A452" t="s">
        <v>573</v>
      </c>
      <c r="B452" s="287">
        <v>42174.0</v>
      </c>
      <c r="C452" s="288">
        <f t="shared" si="1"/>
        <v>170</v>
      </c>
      <c r="D452" s="289">
        <f t="shared" si="2"/>
        <v>5.573770492</v>
      </c>
      <c r="E452" s="290">
        <f t="shared" si="3"/>
        <v>6</v>
      </c>
      <c r="F452" s="290" t="s">
        <v>735</v>
      </c>
      <c r="G452" s="291">
        <v>-0.01112226511258696</v>
      </c>
      <c r="H452" s="296">
        <v>-1.0</v>
      </c>
      <c r="I452" s="293"/>
    </row>
    <row r="453">
      <c r="A453" t="s">
        <v>765</v>
      </c>
      <c r="B453" s="287">
        <v>42906.0</v>
      </c>
      <c r="C453" s="288">
        <f t="shared" si="1"/>
        <v>171</v>
      </c>
      <c r="D453" s="289">
        <f t="shared" si="2"/>
        <v>5.606557377</v>
      </c>
      <c r="E453" s="290">
        <f t="shared" si="3"/>
        <v>6</v>
      </c>
      <c r="F453" s="290" t="s">
        <v>735</v>
      </c>
      <c r="G453" s="291">
        <v>-0.01828875037254185</v>
      </c>
      <c r="H453" s="296">
        <v>-1.0</v>
      </c>
      <c r="I453" s="293"/>
    </row>
    <row r="454">
      <c r="A454" t="s">
        <v>909</v>
      </c>
      <c r="B454" s="287">
        <v>42540.0</v>
      </c>
      <c r="C454" s="288">
        <f t="shared" si="1"/>
        <v>171</v>
      </c>
      <c r="D454" s="289">
        <f t="shared" si="2"/>
        <v>5.606557377</v>
      </c>
      <c r="E454" s="290">
        <f t="shared" si="3"/>
        <v>6</v>
      </c>
      <c r="F454" s="290" t="s">
        <v>735</v>
      </c>
      <c r="G454" s="291">
        <v>0.014137059110799655</v>
      </c>
      <c r="H454" s="296">
        <v>1.0</v>
      </c>
      <c r="I454" s="293"/>
    </row>
    <row r="455">
      <c r="A455" t="s">
        <v>304</v>
      </c>
      <c r="B455" s="287">
        <v>42175.0</v>
      </c>
      <c r="C455" s="288">
        <f t="shared" si="1"/>
        <v>171</v>
      </c>
      <c r="D455" s="289">
        <f t="shared" si="2"/>
        <v>5.606557377</v>
      </c>
      <c r="E455" s="290">
        <f t="shared" si="3"/>
        <v>6</v>
      </c>
      <c r="F455" s="290" t="s">
        <v>735</v>
      </c>
      <c r="G455" s="291">
        <v>0.01753157183620746</v>
      </c>
      <c r="H455" s="296">
        <v>1.0</v>
      </c>
      <c r="I455" s="293"/>
    </row>
    <row r="456">
      <c r="A456" t="s">
        <v>910</v>
      </c>
      <c r="B456" s="287">
        <v>42907.0</v>
      </c>
      <c r="C456" s="288">
        <f t="shared" si="1"/>
        <v>172</v>
      </c>
      <c r="D456" s="289">
        <f t="shared" si="2"/>
        <v>5.639344262</v>
      </c>
      <c r="E456" s="290">
        <f t="shared" si="3"/>
        <v>6</v>
      </c>
      <c r="F456" s="290" t="s">
        <v>735</v>
      </c>
      <c r="G456" s="291">
        <v>-0.009390020423709844</v>
      </c>
      <c r="H456" s="296">
        <v>0.0</v>
      </c>
      <c r="I456" s="293"/>
    </row>
    <row r="457">
      <c r="A457" t="s">
        <v>711</v>
      </c>
      <c r="B457" s="287">
        <v>42907.0</v>
      </c>
      <c r="C457" s="288">
        <f t="shared" si="1"/>
        <v>172</v>
      </c>
      <c r="D457" s="289">
        <f t="shared" si="2"/>
        <v>5.639344262</v>
      </c>
      <c r="E457" s="290">
        <f t="shared" si="3"/>
        <v>6</v>
      </c>
      <c r="F457" s="290" t="s">
        <v>735</v>
      </c>
      <c r="G457" s="291">
        <v>0.001620730134077042</v>
      </c>
      <c r="H457" s="296">
        <v>0.0</v>
      </c>
      <c r="I457" s="293"/>
    </row>
    <row r="458">
      <c r="A458" t="s">
        <v>787</v>
      </c>
      <c r="B458" s="287">
        <v>42176.0</v>
      </c>
      <c r="C458" s="288">
        <f t="shared" si="1"/>
        <v>172</v>
      </c>
      <c r="D458" s="289">
        <f t="shared" si="2"/>
        <v>5.639344262</v>
      </c>
      <c r="E458" s="290">
        <f t="shared" si="3"/>
        <v>6</v>
      </c>
      <c r="F458" s="290" t="s">
        <v>735</v>
      </c>
      <c r="G458" s="291">
        <v>0.00932894421850261</v>
      </c>
      <c r="H458" s="296">
        <v>0.0</v>
      </c>
      <c r="I458" s="293"/>
    </row>
    <row r="459">
      <c r="A459" t="s">
        <v>795</v>
      </c>
      <c r="B459" s="287">
        <v>42908.0</v>
      </c>
      <c r="C459" s="288">
        <f t="shared" si="1"/>
        <v>173</v>
      </c>
      <c r="D459" s="289">
        <f t="shared" si="2"/>
        <v>5.672131148</v>
      </c>
      <c r="E459" s="290">
        <f t="shared" si="3"/>
        <v>6</v>
      </c>
      <c r="F459" s="290" t="s">
        <v>735</v>
      </c>
      <c r="G459" s="291">
        <v>0.026437826923307095</v>
      </c>
      <c r="H459" s="296">
        <v>1.0</v>
      </c>
      <c r="I459" s="293"/>
    </row>
    <row r="460">
      <c r="A460" t="s">
        <v>761</v>
      </c>
      <c r="B460" s="287">
        <v>42542.0</v>
      </c>
      <c r="C460" s="288">
        <f t="shared" si="1"/>
        <v>173</v>
      </c>
      <c r="D460" s="289">
        <f t="shared" si="2"/>
        <v>5.672131148</v>
      </c>
      <c r="E460" s="290">
        <f t="shared" si="3"/>
        <v>6</v>
      </c>
      <c r="F460" s="290" t="s">
        <v>735</v>
      </c>
      <c r="G460" s="291">
        <v>0.016027178212151494</v>
      </c>
      <c r="H460" s="296">
        <v>1.0</v>
      </c>
      <c r="I460" s="293"/>
    </row>
    <row r="461">
      <c r="A461" t="s">
        <v>808</v>
      </c>
      <c r="B461" s="287">
        <v>42542.0</v>
      </c>
      <c r="C461" s="288">
        <f t="shared" si="1"/>
        <v>173</v>
      </c>
      <c r="D461" s="289">
        <f t="shared" si="2"/>
        <v>5.672131148</v>
      </c>
      <c r="E461" s="290">
        <f t="shared" si="3"/>
        <v>6</v>
      </c>
      <c r="F461" s="290" t="s">
        <v>735</v>
      </c>
      <c r="G461" s="291">
        <v>0.00445837133717808</v>
      </c>
      <c r="H461" s="296">
        <v>0.0</v>
      </c>
      <c r="I461" s="293"/>
    </row>
    <row r="462">
      <c r="A462" t="s">
        <v>834</v>
      </c>
      <c r="B462" s="287">
        <v>42909.0</v>
      </c>
      <c r="C462" s="288">
        <f t="shared" si="1"/>
        <v>174</v>
      </c>
      <c r="D462" s="289">
        <f t="shared" si="2"/>
        <v>5.704918033</v>
      </c>
      <c r="E462" s="290">
        <f t="shared" si="3"/>
        <v>6</v>
      </c>
      <c r="F462" s="290" t="s">
        <v>735</v>
      </c>
      <c r="G462" s="291">
        <v>0.023450845332575687</v>
      </c>
      <c r="H462" s="296">
        <v>1.0</v>
      </c>
      <c r="I462" s="293"/>
    </row>
    <row r="463">
      <c r="A463" t="s">
        <v>905</v>
      </c>
      <c r="B463" s="287">
        <v>42910.0</v>
      </c>
      <c r="C463" s="288">
        <f t="shared" si="1"/>
        <v>175</v>
      </c>
      <c r="D463" s="289">
        <f t="shared" si="2"/>
        <v>5.737704918</v>
      </c>
      <c r="E463" s="290">
        <f t="shared" si="3"/>
        <v>6</v>
      </c>
      <c r="F463" s="290" t="s">
        <v>735</v>
      </c>
      <c r="G463" s="291">
        <v>-0.02005023733080613</v>
      </c>
      <c r="H463" s="296">
        <v>-1.0</v>
      </c>
      <c r="I463" s="293"/>
    </row>
    <row r="464">
      <c r="A464" t="s">
        <v>803</v>
      </c>
      <c r="B464" s="287">
        <v>42910.0</v>
      </c>
      <c r="C464" s="288">
        <f t="shared" si="1"/>
        <v>175</v>
      </c>
      <c r="D464" s="289">
        <f t="shared" si="2"/>
        <v>5.737704918</v>
      </c>
      <c r="E464" s="290">
        <f t="shared" si="3"/>
        <v>6</v>
      </c>
      <c r="F464" s="290" t="s">
        <v>735</v>
      </c>
      <c r="G464" s="291">
        <v>-0.0021830849153747778</v>
      </c>
      <c r="H464" s="296">
        <v>0.0</v>
      </c>
      <c r="I464" s="293"/>
    </row>
    <row r="465">
      <c r="A465" t="s">
        <v>716</v>
      </c>
      <c r="B465" s="287">
        <v>42544.0</v>
      </c>
      <c r="C465" s="288">
        <f t="shared" si="1"/>
        <v>175</v>
      </c>
      <c r="D465" s="289">
        <f t="shared" si="2"/>
        <v>5.737704918</v>
      </c>
      <c r="E465" s="290">
        <f t="shared" si="3"/>
        <v>6</v>
      </c>
      <c r="F465" s="290" t="s">
        <v>735</v>
      </c>
      <c r="G465" s="291">
        <v>0.004214016730715198</v>
      </c>
      <c r="H465" s="296">
        <v>0.0</v>
      </c>
      <c r="I465" s="293"/>
    </row>
    <row r="466">
      <c r="A466" t="s">
        <v>911</v>
      </c>
      <c r="B466" s="287">
        <v>42911.0</v>
      </c>
      <c r="C466" s="288">
        <f t="shared" si="1"/>
        <v>176</v>
      </c>
      <c r="D466" s="289">
        <f t="shared" si="2"/>
        <v>5.770491803</v>
      </c>
      <c r="E466" s="290">
        <f t="shared" si="3"/>
        <v>6</v>
      </c>
      <c r="F466" s="290" t="s">
        <v>735</v>
      </c>
      <c r="G466" s="291">
        <v>-0.04667618974761789</v>
      </c>
      <c r="H466" s="296">
        <v>-1.0</v>
      </c>
      <c r="I466" s="293"/>
    </row>
    <row r="467">
      <c r="A467" t="s">
        <v>912</v>
      </c>
      <c r="B467" s="287">
        <v>42911.0</v>
      </c>
      <c r="C467" s="288">
        <f t="shared" si="1"/>
        <v>176</v>
      </c>
      <c r="D467" s="289">
        <f t="shared" si="2"/>
        <v>5.770491803</v>
      </c>
      <c r="E467" s="290">
        <f t="shared" si="3"/>
        <v>6</v>
      </c>
      <c r="F467" s="290" t="s">
        <v>735</v>
      </c>
      <c r="G467" s="291">
        <v>0.010613993892185536</v>
      </c>
      <c r="H467" s="296">
        <v>1.0</v>
      </c>
      <c r="I467" s="293"/>
    </row>
    <row r="468">
      <c r="A468" t="s">
        <v>400</v>
      </c>
      <c r="B468" s="287">
        <v>42911.0</v>
      </c>
      <c r="C468" s="288">
        <f t="shared" si="1"/>
        <v>176</v>
      </c>
      <c r="D468" s="289">
        <f t="shared" si="2"/>
        <v>5.770491803</v>
      </c>
      <c r="E468" s="290">
        <f t="shared" si="3"/>
        <v>6</v>
      </c>
      <c r="F468" s="290" t="s">
        <v>735</v>
      </c>
      <c r="G468" s="291">
        <v>0.016377642191592434</v>
      </c>
      <c r="H468" s="296">
        <v>1.0</v>
      </c>
      <c r="I468" s="293"/>
    </row>
    <row r="469">
      <c r="A469" t="s">
        <v>723</v>
      </c>
      <c r="B469" s="287">
        <v>42545.0</v>
      </c>
      <c r="C469" s="288">
        <f t="shared" si="1"/>
        <v>176</v>
      </c>
      <c r="D469" s="289">
        <f t="shared" si="2"/>
        <v>5.770491803</v>
      </c>
      <c r="E469" s="290">
        <f t="shared" si="3"/>
        <v>6</v>
      </c>
      <c r="F469" s="290" t="s">
        <v>735</v>
      </c>
      <c r="G469" s="291">
        <v>0.020939169151915293</v>
      </c>
      <c r="H469" s="296">
        <v>1.0</v>
      </c>
      <c r="I469" s="293"/>
    </row>
    <row r="470">
      <c r="A470" t="s">
        <v>808</v>
      </c>
      <c r="B470" s="287">
        <v>42180.0</v>
      </c>
      <c r="C470" s="288">
        <f t="shared" si="1"/>
        <v>176</v>
      </c>
      <c r="D470" s="289">
        <f t="shared" si="2"/>
        <v>5.770491803</v>
      </c>
      <c r="E470" s="290">
        <f t="shared" si="3"/>
        <v>6</v>
      </c>
      <c r="F470" s="290" t="s">
        <v>735</v>
      </c>
      <c r="G470" s="291">
        <v>-0.03842581987192528</v>
      </c>
      <c r="H470" s="296">
        <v>-1.0</v>
      </c>
      <c r="I470" s="293"/>
    </row>
    <row r="471">
      <c r="A471" t="s">
        <v>913</v>
      </c>
      <c r="B471" s="287">
        <v>42181.0</v>
      </c>
      <c r="C471" s="288">
        <f t="shared" si="1"/>
        <v>177</v>
      </c>
      <c r="D471" s="289">
        <f t="shared" si="2"/>
        <v>5.803278689</v>
      </c>
      <c r="E471" s="290">
        <f t="shared" si="3"/>
        <v>6</v>
      </c>
      <c r="F471" s="290" t="s">
        <v>735</v>
      </c>
      <c r="G471" s="291">
        <v>0.006484539704935455</v>
      </c>
      <c r="H471" s="296">
        <v>0.0</v>
      </c>
      <c r="I471" s="293"/>
    </row>
    <row r="472">
      <c r="A472" t="s">
        <v>914</v>
      </c>
      <c r="B472" s="287">
        <v>42181.0</v>
      </c>
      <c r="C472" s="288">
        <f t="shared" si="1"/>
        <v>177</v>
      </c>
      <c r="D472" s="289">
        <f t="shared" si="2"/>
        <v>5.803278689</v>
      </c>
      <c r="E472" s="290">
        <f t="shared" si="3"/>
        <v>6</v>
      </c>
      <c r="F472" s="290" t="s">
        <v>735</v>
      </c>
      <c r="G472" s="291">
        <v>-0.01145929487552344</v>
      </c>
      <c r="H472" s="296">
        <v>-1.0</v>
      </c>
      <c r="I472" s="293"/>
    </row>
    <row r="473">
      <c r="A473" t="s">
        <v>709</v>
      </c>
      <c r="B473" s="287">
        <v>42547.0</v>
      </c>
      <c r="C473" s="288">
        <f t="shared" si="1"/>
        <v>178</v>
      </c>
      <c r="D473" s="289">
        <f t="shared" si="2"/>
        <v>5.836065574</v>
      </c>
      <c r="E473" s="290">
        <f t="shared" si="3"/>
        <v>6</v>
      </c>
      <c r="F473" s="290" t="s">
        <v>735</v>
      </c>
      <c r="G473" s="291">
        <v>0.019964575385838734</v>
      </c>
      <c r="H473" s="296">
        <v>1.0</v>
      </c>
      <c r="I473" s="293"/>
    </row>
    <row r="474">
      <c r="A474" t="s">
        <v>915</v>
      </c>
      <c r="B474" s="287">
        <v>42182.0</v>
      </c>
      <c r="C474" s="288">
        <f t="shared" si="1"/>
        <v>178</v>
      </c>
      <c r="D474" s="289">
        <f t="shared" si="2"/>
        <v>5.836065574</v>
      </c>
      <c r="E474" s="290">
        <f t="shared" si="3"/>
        <v>6</v>
      </c>
      <c r="F474" s="290" t="s">
        <v>735</v>
      </c>
      <c r="G474" s="291">
        <v>-0.01309206088280579</v>
      </c>
      <c r="H474" s="296">
        <v>-1.0</v>
      </c>
      <c r="I474" s="293"/>
    </row>
    <row r="475">
      <c r="A475" t="s">
        <v>781</v>
      </c>
      <c r="B475" s="287">
        <v>42914.0</v>
      </c>
      <c r="C475" s="288">
        <f t="shared" si="1"/>
        <v>179</v>
      </c>
      <c r="D475" s="289">
        <f t="shared" si="2"/>
        <v>5.868852459</v>
      </c>
      <c r="E475" s="290">
        <f t="shared" si="3"/>
        <v>6</v>
      </c>
      <c r="F475" s="290" t="s">
        <v>735</v>
      </c>
      <c r="G475" s="291">
        <v>-0.018671060635761294</v>
      </c>
      <c r="H475" s="296">
        <v>-1.0</v>
      </c>
      <c r="I475" s="293"/>
    </row>
    <row r="476">
      <c r="A476" t="s">
        <v>716</v>
      </c>
      <c r="B476" s="287">
        <v>42183.0</v>
      </c>
      <c r="C476" s="288">
        <f t="shared" si="1"/>
        <v>179</v>
      </c>
      <c r="D476" s="289">
        <f t="shared" si="2"/>
        <v>5.868852459</v>
      </c>
      <c r="E476" s="290">
        <f t="shared" si="3"/>
        <v>6</v>
      </c>
      <c r="F476" s="290" t="s">
        <v>735</v>
      </c>
      <c r="G476" s="291">
        <v>0.01157593640916943</v>
      </c>
      <c r="H476" s="296">
        <v>1.0</v>
      </c>
      <c r="I476" s="293"/>
    </row>
    <row r="477">
      <c r="A477" t="s">
        <v>808</v>
      </c>
      <c r="B477" s="287">
        <v>42549.0</v>
      </c>
      <c r="C477" s="288">
        <f t="shared" si="1"/>
        <v>180</v>
      </c>
      <c r="D477" s="289">
        <f t="shared" si="2"/>
        <v>5.901639344</v>
      </c>
      <c r="E477" s="290">
        <f t="shared" si="3"/>
        <v>6</v>
      </c>
      <c r="F477" s="290" t="s">
        <v>735</v>
      </c>
      <c r="G477" s="291">
        <v>0.0072359089019931044</v>
      </c>
      <c r="H477" s="296">
        <v>0.0</v>
      </c>
      <c r="I477" s="293"/>
    </row>
    <row r="478">
      <c r="A478" t="s">
        <v>214</v>
      </c>
      <c r="B478" s="287">
        <v>42184.0</v>
      </c>
      <c r="C478" s="288">
        <f t="shared" si="1"/>
        <v>180</v>
      </c>
      <c r="D478" s="289">
        <f t="shared" si="2"/>
        <v>5.901639344</v>
      </c>
      <c r="E478" s="290">
        <f t="shared" si="3"/>
        <v>6</v>
      </c>
      <c r="F478" s="290" t="s">
        <v>735</v>
      </c>
      <c r="G478" s="291">
        <v>-0.00473301064543441</v>
      </c>
      <c r="H478" s="296">
        <v>0.0</v>
      </c>
      <c r="I478" s="293"/>
    </row>
    <row r="479">
      <c r="A479" t="s">
        <v>427</v>
      </c>
      <c r="B479" s="287">
        <v>42184.0</v>
      </c>
      <c r="C479" s="288">
        <f t="shared" si="1"/>
        <v>180</v>
      </c>
      <c r="D479" s="289">
        <f t="shared" si="2"/>
        <v>5.901639344</v>
      </c>
      <c r="E479" s="290">
        <f t="shared" si="3"/>
        <v>6</v>
      </c>
      <c r="F479" s="290" t="s">
        <v>735</v>
      </c>
      <c r="G479" s="291">
        <v>0.0012051533199317621</v>
      </c>
      <c r="H479" s="296">
        <v>0.0</v>
      </c>
      <c r="I479" s="293"/>
    </row>
    <row r="480">
      <c r="A480" t="s">
        <v>772</v>
      </c>
      <c r="B480" s="287">
        <v>42550.0</v>
      </c>
      <c r="C480" s="288">
        <f t="shared" si="1"/>
        <v>181</v>
      </c>
      <c r="D480" s="289">
        <f t="shared" si="2"/>
        <v>5.93442623</v>
      </c>
      <c r="E480" s="290">
        <f t="shared" si="3"/>
        <v>6</v>
      </c>
      <c r="F480" s="290" t="s">
        <v>735</v>
      </c>
      <c r="G480" s="291">
        <v>0.031575922221972474</v>
      </c>
      <c r="H480" s="296">
        <v>1.0</v>
      </c>
      <c r="I480" s="293"/>
    </row>
    <row r="481">
      <c r="A481" t="s">
        <v>845</v>
      </c>
      <c r="B481" s="287">
        <v>42185.0</v>
      </c>
      <c r="C481" s="288">
        <f t="shared" si="1"/>
        <v>181</v>
      </c>
      <c r="D481" s="289">
        <f t="shared" si="2"/>
        <v>5.93442623</v>
      </c>
      <c r="E481" s="290">
        <f t="shared" si="3"/>
        <v>6</v>
      </c>
      <c r="F481" s="290" t="s">
        <v>735</v>
      </c>
      <c r="G481" s="291">
        <v>0.006853321000788948</v>
      </c>
      <c r="H481" s="296">
        <v>0.0</v>
      </c>
      <c r="I481" s="293"/>
    </row>
    <row r="482">
      <c r="A482" t="s">
        <v>808</v>
      </c>
      <c r="B482" s="287">
        <v>42185.0</v>
      </c>
      <c r="C482" s="288">
        <f t="shared" si="1"/>
        <v>181</v>
      </c>
      <c r="D482" s="289">
        <f t="shared" si="2"/>
        <v>5.93442623</v>
      </c>
      <c r="E482" s="290">
        <f t="shared" si="3"/>
        <v>6</v>
      </c>
      <c r="F482" s="290" t="s">
        <v>735</v>
      </c>
      <c r="G482" s="291">
        <v>-0.03410179846977779</v>
      </c>
      <c r="H482" s="296">
        <v>-1.0</v>
      </c>
      <c r="I482" s="293"/>
    </row>
    <row r="483">
      <c r="A483" t="s">
        <v>834</v>
      </c>
      <c r="B483" s="287">
        <v>42917.0</v>
      </c>
      <c r="C483" s="288">
        <f t="shared" si="1"/>
        <v>182</v>
      </c>
      <c r="D483" s="289">
        <f t="shared" si="2"/>
        <v>5.967213115</v>
      </c>
      <c r="E483" s="290">
        <f t="shared" si="3"/>
        <v>6</v>
      </c>
      <c r="F483" s="290" t="s">
        <v>735</v>
      </c>
      <c r="G483" s="291">
        <v>0.02385798740390932</v>
      </c>
      <c r="H483" s="296">
        <v>1.0</v>
      </c>
      <c r="I483" s="293"/>
    </row>
    <row r="484">
      <c r="A484" t="s">
        <v>916</v>
      </c>
      <c r="B484" s="287">
        <v>42552.0</v>
      </c>
      <c r="C484" s="288">
        <f t="shared" si="1"/>
        <v>183</v>
      </c>
      <c r="D484" s="289">
        <f t="shared" si="2"/>
        <v>6</v>
      </c>
      <c r="E484" s="290">
        <f t="shared" si="3"/>
        <v>6</v>
      </c>
      <c r="F484" s="290" t="s">
        <v>735</v>
      </c>
      <c r="G484" s="291">
        <v>0.00648714505453718</v>
      </c>
      <c r="H484" s="296">
        <v>0.0</v>
      </c>
      <c r="I484" s="293"/>
    </row>
    <row r="485">
      <c r="A485" t="s">
        <v>232</v>
      </c>
      <c r="B485" s="287">
        <v>42552.0</v>
      </c>
      <c r="C485" s="288">
        <f t="shared" si="1"/>
        <v>183</v>
      </c>
      <c r="D485" s="289">
        <f t="shared" si="2"/>
        <v>6</v>
      </c>
      <c r="E485" s="290">
        <f t="shared" si="3"/>
        <v>6</v>
      </c>
      <c r="F485" s="290" t="s">
        <v>735</v>
      </c>
      <c r="G485" s="291">
        <v>0.012666516031895836</v>
      </c>
      <c r="H485" s="296">
        <v>1.0</v>
      </c>
      <c r="I485" s="293"/>
    </row>
    <row r="486">
      <c r="A486" t="s">
        <v>917</v>
      </c>
      <c r="B486" s="287">
        <v>42919.0</v>
      </c>
      <c r="C486" s="288">
        <f t="shared" si="1"/>
        <v>184</v>
      </c>
      <c r="D486" s="289">
        <f t="shared" si="2"/>
        <v>6.032786885</v>
      </c>
      <c r="E486" s="290">
        <f t="shared" si="3"/>
        <v>7</v>
      </c>
      <c r="F486" s="290" t="s">
        <v>238</v>
      </c>
      <c r="G486" s="291">
        <v>5.769096364927062E-4</v>
      </c>
      <c r="H486" s="296">
        <v>0.0</v>
      </c>
      <c r="I486" s="293"/>
    </row>
    <row r="487">
      <c r="A487" t="s">
        <v>108</v>
      </c>
      <c r="B487" s="287">
        <v>42553.0</v>
      </c>
      <c r="C487" s="288">
        <f t="shared" si="1"/>
        <v>184</v>
      </c>
      <c r="D487" s="289">
        <f t="shared" si="2"/>
        <v>6.032786885</v>
      </c>
      <c r="E487" s="290">
        <f t="shared" si="3"/>
        <v>7</v>
      </c>
      <c r="F487" s="290" t="s">
        <v>238</v>
      </c>
      <c r="G487" s="291">
        <v>-0.03743807047145575</v>
      </c>
      <c r="H487" s="296">
        <v>-1.0</v>
      </c>
      <c r="I487" s="293"/>
    </row>
    <row r="488">
      <c r="A488" t="s">
        <v>918</v>
      </c>
      <c r="B488" s="287">
        <v>42553.0</v>
      </c>
      <c r="C488" s="288">
        <f t="shared" si="1"/>
        <v>184</v>
      </c>
      <c r="D488" s="289">
        <f t="shared" si="2"/>
        <v>6.032786885</v>
      </c>
      <c r="E488" s="290">
        <f t="shared" si="3"/>
        <v>7</v>
      </c>
      <c r="F488" s="290" t="s">
        <v>238</v>
      </c>
      <c r="G488" s="291">
        <v>0.009058220878822243</v>
      </c>
      <c r="H488" s="296">
        <v>0.0</v>
      </c>
      <c r="I488" s="293"/>
    </row>
    <row r="489">
      <c r="A489" t="s">
        <v>892</v>
      </c>
      <c r="B489" s="287">
        <v>42188.0</v>
      </c>
      <c r="C489" s="288">
        <f t="shared" si="1"/>
        <v>184</v>
      </c>
      <c r="D489" s="289">
        <f t="shared" si="2"/>
        <v>6.032786885</v>
      </c>
      <c r="E489" s="290">
        <f t="shared" si="3"/>
        <v>7</v>
      </c>
      <c r="F489" s="290" t="s">
        <v>238</v>
      </c>
      <c r="G489" s="291">
        <v>0.030642442119365954</v>
      </c>
      <c r="H489" s="296">
        <v>1.0</v>
      </c>
      <c r="I489" s="293"/>
    </row>
    <row r="490">
      <c r="A490" t="s">
        <v>318</v>
      </c>
      <c r="B490" s="287">
        <v>42920.0</v>
      </c>
      <c r="C490" s="288">
        <f t="shared" si="1"/>
        <v>185</v>
      </c>
      <c r="D490" s="289">
        <f t="shared" si="2"/>
        <v>6.06557377</v>
      </c>
      <c r="E490" s="290">
        <f t="shared" si="3"/>
        <v>7</v>
      </c>
      <c r="F490" s="290" t="s">
        <v>238</v>
      </c>
      <c r="G490" s="291">
        <v>4.2462061571180154E-4</v>
      </c>
      <c r="H490" s="296">
        <v>0.0</v>
      </c>
      <c r="I490" s="293"/>
    </row>
    <row r="491">
      <c r="A491" t="s">
        <v>919</v>
      </c>
      <c r="B491" s="287">
        <v>42921.0</v>
      </c>
      <c r="C491" s="288">
        <f t="shared" si="1"/>
        <v>186</v>
      </c>
      <c r="D491" s="289">
        <f t="shared" si="2"/>
        <v>6.098360656</v>
      </c>
      <c r="E491" s="290">
        <f t="shared" si="3"/>
        <v>7</v>
      </c>
      <c r="F491" s="290" t="s">
        <v>238</v>
      </c>
      <c r="G491" s="291">
        <v>-0.008182180599294209</v>
      </c>
      <c r="H491" s="296">
        <v>0.0</v>
      </c>
      <c r="I491" s="293"/>
    </row>
    <row r="492">
      <c r="A492" t="s">
        <v>722</v>
      </c>
      <c r="B492" s="287">
        <v>42192.0</v>
      </c>
      <c r="C492" s="288">
        <f t="shared" si="1"/>
        <v>188</v>
      </c>
      <c r="D492" s="289">
        <f t="shared" si="2"/>
        <v>6.163934426</v>
      </c>
      <c r="E492" s="290">
        <f t="shared" si="3"/>
        <v>7</v>
      </c>
      <c r="F492" s="290" t="s">
        <v>238</v>
      </c>
      <c r="G492" s="291">
        <v>-0.012442173040163373</v>
      </c>
      <c r="H492" s="296">
        <v>-1.0</v>
      </c>
      <c r="I492" s="293"/>
    </row>
    <row r="493">
      <c r="A493" t="s">
        <v>920</v>
      </c>
      <c r="B493" s="287">
        <v>42192.0</v>
      </c>
      <c r="C493" s="288">
        <f t="shared" si="1"/>
        <v>188</v>
      </c>
      <c r="D493" s="289">
        <f t="shared" si="2"/>
        <v>6.163934426</v>
      </c>
      <c r="E493" s="290">
        <f t="shared" si="3"/>
        <v>7</v>
      </c>
      <c r="F493" s="290" t="s">
        <v>238</v>
      </c>
      <c r="G493" s="291">
        <v>-0.009728992063719799</v>
      </c>
      <c r="H493" s="296">
        <v>0.0</v>
      </c>
      <c r="I493" s="293"/>
    </row>
    <row r="494">
      <c r="A494" t="s">
        <v>921</v>
      </c>
      <c r="B494" s="287">
        <v>42925.0</v>
      </c>
      <c r="C494" s="288">
        <f t="shared" si="1"/>
        <v>190</v>
      </c>
      <c r="D494" s="289">
        <f t="shared" si="2"/>
        <v>6.229508197</v>
      </c>
      <c r="E494" s="290">
        <f t="shared" si="3"/>
        <v>7</v>
      </c>
      <c r="F494" s="290" t="s">
        <v>238</v>
      </c>
      <c r="G494" s="291">
        <v>0.012338297439036361</v>
      </c>
      <c r="H494" s="296">
        <v>1.0</v>
      </c>
      <c r="I494" s="293"/>
    </row>
    <row r="495">
      <c r="A495" t="s">
        <v>809</v>
      </c>
      <c r="B495" s="287">
        <v>42559.0</v>
      </c>
      <c r="C495" s="288">
        <f t="shared" si="1"/>
        <v>190</v>
      </c>
      <c r="D495" s="289">
        <f t="shared" si="2"/>
        <v>6.229508197</v>
      </c>
      <c r="E495" s="290">
        <f t="shared" si="3"/>
        <v>7</v>
      </c>
      <c r="F495" s="290" t="s">
        <v>238</v>
      </c>
      <c r="G495" s="291">
        <v>0.023817040336639228</v>
      </c>
      <c r="H495" s="296">
        <v>1.0</v>
      </c>
      <c r="I495" s="293"/>
    </row>
    <row r="496">
      <c r="A496" t="s">
        <v>573</v>
      </c>
      <c r="B496" s="287">
        <v>42559.0</v>
      </c>
      <c r="C496" s="288">
        <f t="shared" si="1"/>
        <v>190</v>
      </c>
      <c r="D496" s="289">
        <f t="shared" si="2"/>
        <v>6.229508197</v>
      </c>
      <c r="E496" s="290">
        <f t="shared" si="3"/>
        <v>7</v>
      </c>
      <c r="F496" s="290" t="s">
        <v>238</v>
      </c>
      <c r="G496" s="291">
        <v>-0.008540166101753677</v>
      </c>
      <c r="H496" s="296">
        <v>0.0</v>
      </c>
      <c r="I496" s="293"/>
    </row>
    <row r="497">
      <c r="A497" t="s">
        <v>808</v>
      </c>
      <c r="B497" s="287">
        <v>42194.0</v>
      </c>
      <c r="C497" s="288">
        <f t="shared" si="1"/>
        <v>190</v>
      </c>
      <c r="D497" s="289">
        <f t="shared" si="2"/>
        <v>6.229508197</v>
      </c>
      <c r="E497" s="290">
        <f t="shared" si="3"/>
        <v>7</v>
      </c>
      <c r="F497" s="290" t="s">
        <v>238</v>
      </c>
      <c r="G497" s="291">
        <v>-0.03639880380220817</v>
      </c>
      <c r="H497" s="296">
        <v>-1.0</v>
      </c>
      <c r="I497" s="293"/>
    </row>
    <row r="498">
      <c r="A498" t="s">
        <v>922</v>
      </c>
      <c r="B498" s="287">
        <v>42196.0</v>
      </c>
      <c r="C498" s="288">
        <f t="shared" si="1"/>
        <v>192</v>
      </c>
      <c r="D498" s="289">
        <f t="shared" si="2"/>
        <v>6.295081967</v>
      </c>
      <c r="E498" s="290">
        <f t="shared" si="3"/>
        <v>7</v>
      </c>
      <c r="F498" s="290" t="s">
        <v>238</v>
      </c>
      <c r="G498" s="291">
        <v>0.008213282517071652</v>
      </c>
      <c r="H498" s="296">
        <v>0.0</v>
      </c>
      <c r="I498" s="293"/>
    </row>
    <row r="499">
      <c r="A499" t="s">
        <v>427</v>
      </c>
      <c r="B499" s="287">
        <v>42928.0</v>
      </c>
      <c r="C499" s="288">
        <f t="shared" si="1"/>
        <v>193</v>
      </c>
      <c r="D499" s="289">
        <f t="shared" si="2"/>
        <v>6.327868852</v>
      </c>
      <c r="E499" s="290">
        <f t="shared" si="3"/>
        <v>7</v>
      </c>
      <c r="F499" s="290" t="s">
        <v>238</v>
      </c>
      <c r="G499" s="291">
        <v>0.015683760021354298</v>
      </c>
      <c r="H499" s="296">
        <v>1.0</v>
      </c>
      <c r="I499" s="293"/>
    </row>
    <row r="500">
      <c r="A500" t="s">
        <v>427</v>
      </c>
      <c r="B500" s="287">
        <v>42562.0</v>
      </c>
      <c r="C500" s="288">
        <f t="shared" si="1"/>
        <v>193</v>
      </c>
      <c r="D500" s="289">
        <f t="shared" si="2"/>
        <v>6.327868852</v>
      </c>
      <c r="E500" s="290">
        <f t="shared" si="3"/>
        <v>7</v>
      </c>
      <c r="F500" s="290" t="s">
        <v>238</v>
      </c>
      <c r="G500" s="291">
        <v>-0.002531894704201787</v>
      </c>
      <c r="H500" s="296">
        <v>0.0</v>
      </c>
      <c r="I500" s="293"/>
    </row>
    <row r="501">
      <c r="A501" t="s">
        <v>427</v>
      </c>
      <c r="B501" s="287">
        <v>42929.0</v>
      </c>
      <c r="C501" s="288">
        <f t="shared" si="1"/>
        <v>194</v>
      </c>
      <c r="D501" s="289">
        <f t="shared" si="2"/>
        <v>6.360655738</v>
      </c>
      <c r="E501" s="290">
        <f t="shared" si="3"/>
        <v>7</v>
      </c>
      <c r="F501" s="290" t="s">
        <v>238</v>
      </c>
      <c r="G501" s="291">
        <v>0.01571496151946128</v>
      </c>
      <c r="H501" s="296">
        <v>1.0</v>
      </c>
      <c r="I501" s="293"/>
    </row>
    <row r="502">
      <c r="A502" t="s">
        <v>711</v>
      </c>
      <c r="B502" s="287">
        <v>42929.0</v>
      </c>
      <c r="C502" s="288">
        <f t="shared" si="1"/>
        <v>194</v>
      </c>
      <c r="D502" s="289">
        <f t="shared" si="2"/>
        <v>6.360655738</v>
      </c>
      <c r="E502" s="290">
        <f t="shared" si="3"/>
        <v>7</v>
      </c>
      <c r="F502" s="290" t="s">
        <v>238</v>
      </c>
      <c r="G502" s="291">
        <v>-0.002303583603053716</v>
      </c>
      <c r="H502" s="296">
        <v>0.0</v>
      </c>
      <c r="I502" s="293"/>
    </row>
    <row r="503">
      <c r="A503" t="s">
        <v>511</v>
      </c>
      <c r="B503" s="287">
        <v>42929.0</v>
      </c>
      <c r="C503" s="288">
        <f t="shared" si="1"/>
        <v>194</v>
      </c>
      <c r="D503" s="289">
        <f t="shared" si="2"/>
        <v>6.360655738</v>
      </c>
      <c r="E503" s="290">
        <f t="shared" si="3"/>
        <v>7</v>
      </c>
      <c r="F503" s="290" t="s">
        <v>238</v>
      </c>
      <c r="G503" s="291">
        <v>0.02917635217515091</v>
      </c>
      <c r="H503" s="296">
        <v>1.0</v>
      </c>
      <c r="I503" s="293"/>
    </row>
    <row r="504">
      <c r="A504" t="s">
        <v>923</v>
      </c>
      <c r="B504" s="287">
        <v>42929.0</v>
      </c>
      <c r="C504" s="288">
        <f t="shared" si="1"/>
        <v>194</v>
      </c>
      <c r="D504" s="289">
        <f t="shared" si="2"/>
        <v>6.360655738</v>
      </c>
      <c r="E504" s="290">
        <f t="shared" si="3"/>
        <v>7</v>
      </c>
      <c r="F504" s="290" t="s">
        <v>238</v>
      </c>
      <c r="G504" s="291">
        <v>0.0024320657007705915</v>
      </c>
      <c r="H504" s="296">
        <v>0.0</v>
      </c>
      <c r="I504" s="293"/>
    </row>
    <row r="505">
      <c r="A505" t="s">
        <v>518</v>
      </c>
      <c r="B505" s="287">
        <v>42930.0</v>
      </c>
      <c r="C505" s="288">
        <f t="shared" si="1"/>
        <v>195</v>
      </c>
      <c r="D505" s="289">
        <f t="shared" si="2"/>
        <v>6.393442623</v>
      </c>
      <c r="E505" s="290">
        <f t="shared" si="3"/>
        <v>7</v>
      </c>
      <c r="F505" s="290" t="s">
        <v>238</v>
      </c>
      <c r="G505" s="291">
        <v>0.009092557857198313</v>
      </c>
      <c r="H505" s="296">
        <v>0.0</v>
      </c>
      <c r="I505" s="293"/>
    </row>
    <row r="506">
      <c r="A506" t="s">
        <v>924</v>
      </c>
      <c r="B506" s="287">
        <v>42930.0</v>
      </c>
      <c r="C506" s="288">
        <f t="shared" si="1"/>
        <v>195</v>
      </c>
      <c r="D506" s="289">
        <f t="shared" si="2"/>
        <v>6.393442623</v>
      </c>
      <c r="E506" s="290">
        <f t="shared" si="3"/>
        <v>7</v>
      </c>
      <c r="F506" s="290" t="s">
        <v>238</v>
      </c>
      <c r="G506" s="291">
        <v>0.03782510475847467</v>
      </c>
      <c r="H506" s="296">
        <v>1.0</v>
      </c>
      <c r="I506" s="293"/>
    </row>
    <row r="507">
      <c r="A507" t="s">
        <v>808</v>
      </c>
      <c r="B507" s="287">
        <v>42199.0</v>
      </c>
      <c r="C507" s="288">
        <f t="shared" si="1"/>
        <v>195</v>
      </c>
      <c r="D507" s="289">
        <f t="shared" si="2"/>
        <v>6.393442623</v>
      </c>
      <c r="E507" s="290">
        <f t="shared" si="3"/>
        <v>7</v>
      </c>
      <c r="F507" s="290" t="s">
        <v>238</v>
      </c>
      <c r="G507" s="291">
        <v>-0.03767817326894973</v>
      </c>
      <c r="H507" s="296">
        <v>-1.0</v>
      </c>
      <c r="I507" s="293"/>
    </row>
    <row r="508">
      <c r="A508" t="s">
        <v>925</v>
      </c>
      <c r="B508" s="287">
        <v>42933.0</v>
      </c>
      <c r="C508" s="288">
        <f t="shared" si="1"/>
        <v>198</v>
      </c>
      <c r="D508" s="289">
        <f t="shared" si="2"/>
        <v>6.491803279</v>
      </c>
      <c r="E508" s="290">
        <f t="shared" si="3"/>
        <v>7</v>
      </c>
      <c r="F508" s="290" t="s">
        <v>238</v>
      </c>
      <c r="G508" s="291">
        <v>0.004576167204938919</v>
      </c>
      <c r="H508" s="296">
        <v>0.0</v>
      </c>
      <c r="I508" s="293"/>
    </row>
    <row r="509">
      <c r="A509" t="s">
        <v>769</v>
      </c>
      <c r="B509" s="287">
        <v>42567.0</v>
      </c>
      <c r="C509" s="288">
        <f t="shared" si="1"/>
        <v>198</v>
      </c>
      <c r="D509" s="289">
        <f t="shared" si="2"/>
        <v>6.491803279</v>
      </c>
      <c r="E509" s="290">
        <f t="shared" si="3"/>
        <v>7</v>
      </c>
      <c r="F509" s="290" t="s">
        <v>238</v>
      </c>
      <c r="G509" s="291">
        <v>0.019939166245663942</v>
      </c>
      <c r="H509" s="296">
        <v>1.0</v>
      </c>
      <c r="I509" s="293"/>
    </row>
    <row r="510">
      <c r="A510" t="s">
        <v>817</v>
      </c>
      <c r="B510" s="287">
        <v>42567.0</v>
      </c>
      <c r="C510" s="288">
        <f t="shared" si="1"/>
        <v>198</v>
      </c>
      <c r="D510" s="289">
        <f t="shared" si="2"/>
        <v>6.491803279</v>
      </c>
      <c r="E510" s="290">
        <f t="shared" si="3"/>
        <v>7</v>
      </c>
      <c r="F510" s="290" t="s">
        <v>238</v>
      </c>
      <c r="G510" s="291">
        <v>-0.005383199946885298</v>
      </c>
      <c r="H510" s="296">
        <v>0.0</v>
      </c>
      <c r="I510" s="293"/>
    </row>
    <row r="511">
      <c r="A511" t="s">
        <v>926</v>
      </c>
      <c r="B511" s="287">
        <v>42567.0</v>
      </c>
      <c r="C511" s="288">
        <f t="shared" si="1"/>
        <v>198</v>
      </c>
      <c r="D511" s="289">
        <f t="shared" si="2"/>
        <v>6.491803279</v>
      </c>
      <c r="E511" s="290">
        <f t="shared" si="3"/>
        <v>7</v>
      </c>
      <c r="F511" s="290" t="s">
        <v>238</v>
      </c>
      <c r="G511" s="291">
        <v>0.005855641333341155</v>
      </c>
      <c r="H511" s="296">
        <v>0.0</v>
      </c>
      <c r="I511" s="293"/>
    </row>
    <row r="512">
      <c r="A512" t="s">
        <v>777</v>
      </c>
      <c r="B512" s="287">
        <v>42567.0</v>
      </c>
      <c r="C512" s="288">
        <f t="shared" si="1"/>
        <v>198</v>
      </c>
      <c r="D512" s="289">
        <f t="shared" si="2"/>
        <v>6.491803279</v>
      </c>
      <c r="E512" s="290">
        <f t="shared" si="3"/>
        <v>7</v>
      </c>
      <c r="F512" s="290" t="s">
        <v>238</v>
      </c>
      <c r="G512" s="291">
        <v>0.019090196343163446</v>
      </c>
      <c r="H512" s="296">
        <v>1.0</v>
      </c>
      <c r="I512" s="293"/>
    </row>
    <row r="513">
      <c r="A513" t="s">
        <v>400</v>
      </c>
      <c r="B513" s="287">
        <v>42567.0</v>
      </c>
      <c r="C513" s="288">
        <f t="shared" si="1"/>
        <v>198</v>
      </c>
      <c r="D513" s="289">
        <f t="shared" si="2"/>
        <v>6.491803279</v>
      </c>
      <c r="E513" s="290">
        <f t="shared" si="3"/>
        <v>7</v>
      </c>
      <c r="F513" s="290" t="s">
        <v>238</v>
      </c>
      <c r="G513" s="291">
        <v>0.011743766749824469</v>
      </c>
      <c r="H513" s="296">
        <v>1.0</v>
      </c>
      <c r="I513" s="293"/>
    </row>
    <row r="514">
      <c r="A514" t="s">
        <v>927</v>
      </c>
      <c r="B514" s="287">
        <v>42567.0</v>
      </c>
      <c r="C514" s="288">
        <f t="shared" si="1"/>
        <v>198</v>
      </c>
      <c r="D514" s="289">
        <f t="shared" si="2"/>
        <v>6.491803279</v>
      </c>
      <c r="E514" s="290">
        <f t="shared" si="3"/>
        <v>7</v>
      </c>
      <c r="F514" s="290" t="s">
        <v>238</v>
      </c>
      <c r="G514" s="291">
        <v>0.0020290896797083846</v>
      </c>
      <c r="H514" s="296">
        <v>0.0</v>
      </c>
      <c r="I514" s="293"/>
    </row>
    <row r="515">
      <c r="A515" t="s">
        <v>928</v>
      </c>
      <c r="B515" s="287">
        <v>42202.0</v>
      </c>
      <c r="C515" s="288">
        <f t="shared" si="1"/>
        <v>198</v>
      </c>
      <c r="D515" s="289">
        <f t="shared" si="2"/>
        <v>6.491803279</v>
      </c>
      <c r="E515" s="290">
        <f t="shared" si="3"/>
        <v>7</v>
      </c>
      <c r="F515" s="290" t="s">
        <v>238</v>
      </c>
      <c r="G515" s="291">
        <v>-0.04583025185051082</v>
      </c>
      <c r="H515" s="296">
        <v>-1.0</v>
      </c>
      <c r="I515" s="293"/>
    </row>
    <row r="516">
      <c r="A516" t="s">
        <v>573</v>
      </c>
      <c r="B516" s="287">
        <v>42202.0</v>
      </c>
      <c r="C516" s="288">
        <f t="shared" si="1"/>
        <v>198</v>
      </c>
      <c r="D516" s="289">
        <f t="shared" si="2"/>
        <v>6.491803279</v>
      </c>
      <c r="E516" s="290">
        <f t="shared" si="3"/>
        <v>7</v>
      </c>
      <c r="F516" s="290" t="s">
        <v>238</v>
      </c>
      <c r="G516" s="291">
        <v>-0.010148595052987597</v>
      </c>
      <c r="H516" s="296">
        <v>-1.0</v>
      </c>
      <c r="I516" s="293"/>
    </row>
    <row r="517">
      <c r="A517" t="s">
        <v>929</v>
      </c>
      <c r="B517" s="287">
        <v>42568.0</v>
      </c>
      <c r="C517" s="288">
        <f t="shared" si="1"/>
        <v>199</v>
      </c>
      <c r="D517" s="289">
        <f t="shared" si="2"/>
        <v>6.524590164</v>
      </c>
      <c r="E517" s="290">
        <f t="shared" si="3"/>
        <v>7</v>
      </c>
      <c r="F517" s="290" t="s">
        <v>238</v>
      </c>
      <c r="G517" s="291">
        <v>0.024530132712355157</v>
      </c>
      <c r="H517" s="296">
        <v>1.0</v>
      </c>
      <c r="I517" s="293"/>
    </row>
    <row r="518">
      <c r="A518" t="s">
        <v>845</v>
      </c>
      <c r="B518" s="287">
        <v>42568.0</v>
      </c>
      <c r="C518" s="288">
        <f t="shared" si="1"/>
        <v>199</v>
      </c>
      <c r="D518" s="289">
        <f t="shared" si="2"/>
        <v>6.524590164</v>
      </c>
      <c r="E518" s="290">
        <f t="shared" si="3"/>
        <v>7</v>
      </c>
      <c r="F518" s="290" t="s">
        <v>238</v>
      </c>
      <c r="G518" s="291">
        <v>0.0032103242278233024</v>
      </c>
      <c r="H518" s="296">
        <v>0.0</v>
      </c>
      <c r="I518" s="293"/>
    </row>
    <row r="519">
      <c r="A519" t="s">
        <v>711</v>
      </c>
      <c r="B519" s="287">
        <v>42569.0</v>
      </c>
      <c r="C519" s="288">
        <f t="shared" si="1"/>
        <v>200</v>
      </c>
      <c r="D519" s="289">
        <f t="shared" si="2"/>
        <v>6.557377049</v>
      </c>
      <c r="E519" s="290">
        <f t="shared" si="3"/>
        <v>7</v>
      </c>
      <c r="F519" s="290" t="s">
        <v>238</v>
      </c>
      <c r="G519" s="291">
        <v>-0.008817583072846635</v>
      </c>
      <c r="H519" s="296">
        <v>0.0</v>
      </c>
      <c r="I519" s="293"/>
    </row>
    <row r="520">
      <c r="A520" t="s">
        <v>855</v>
      </c>
      <c r="B520" s="287">
        <v>42204.0</v>
      </c>
      <c r="C520" s="288">
        <f t="shared" si="1"/>
        <v>200</v>
      </c>
      <c r="D520" s="289">
        <f t="shared" si="2"/>
        <v>6.557377049</v>
      </c>
      <c r="E520" s="290">
        <f t="shared" si="3"/>
        <v>7</v>
      </c>
      <c r="F520" s="290" t="s">
        <v>238</v>
      </c>
      <c r="G520" s="291">
        <v>0.001968608308733244</v>
      </c>
      <c r="H520" s="296">
        <v>0.0</v>
      </c>
      <c r="I520" s="293"/>
    </row>
    <row r="521">
      <c r="A521" t="s">
        <v>876</v>
      </c>
      <c r="B521" s="287">
        <v>42936.0</v>
      </c>
      <c r="C521" s="288">
        <f t="shared" si="1"/>
        <v>201</v>
      </c>
      <c r="D521" s="289">
        <f t="shared" si="2"/>
        <v>6.590163934</v>
      </c>
      <c r="E521" s="290">
        <f t="shared" si="3"/>
        <v>7</v>
      </c>
      <c r="F521" s="290" t="s">
        <v>238</v>
      </c>
      <c r="G521" s="291">
        <v>0.03608944792602342</v>
      </c>
      <c r="H521" s="296">
        <v>1.0</v>
      </c>
      <c r="I521" s="293"/>
    </row>
    <row r="522">
      <c r="A522" t="s">
        <v>723</v>
      </c>
      <c r="B522" s="287">
        <v>42936.0</v>
      </c>
      <c r="C522" s="288">
        <f t="shared" si="1"/>
        <v>201</v>
      </c>
      <c r="D522" s="289">
        <f t="shared" si="2"/>
        <v>6.590163934</v>
      </c>
      <c r="E522" s="290">
        <f t="shared" si="3"/>
        <v>7</v>
      </c>
      <c r="F522" s="290" t="s">
        <v>238</v>
      </c>
      <c r="G522" s="291">
        <v>0.020808789862367782</v>
      </c>
      <c r="H522" s="296">
        <v>1.0</v>
      </c>
      <c r="I522" s="293"/>
    </row>
    <row r="523">
      <c r="A523" t="s">
        <v>925</v>
      </c>
      <c r="B523" s="287">
        <v>42937.0</v>
      </c>
      <c r="C523" s="288">
        <f t="shared" si="1"/>
        <v>202</v>
      </c>
      <c r="D523" s="289">
        <f t="shared" si="2"/>
        <v>6.62295082</v>
      </c>
      <c r="E523" s="290">
        <f t="shared" si="3"/>
        <v>7</v>
      </c>
      <c r="F523" s="290" t="s">
        <v>238</v>
      </c>
      <c r="G523" s="291">
        <v>0.00216214426145378</v>
      </c>
      <c r="H523" s="296">
        <v>0.0</v>
      </c>
      <c r="I523" s="293"/>
    </row>
    <row r="524">
      <c r="A524" t="s">
        <v>573</v>
      </c>
      <c r="B524" s="287">
        <v>42937.0</v>
      </c>
      <c r="C524" s="288">
        <f t="shared" si="1"/>
        <v>202</v>
      </c>
      <c r="D524" s="289">
        <f t="shared" si="2"/>
        <v>6.62295082</v>
      </c>
      <c r="E524" s="290">
        <f t="shared" si="3"/>
        <v>7</v>
      </c>
      <c r="F524" s="290" t="s">
        <v>238</v>
      </c>
      <c r="G524" s="291">
        <v>-0.005355723617894825</v>
      </c>
      <c r="H524" s="296">
        <v>0.0</v>
      </c>
      <c r="I524" s="293"/>
    </row>
    <row r="525">
      <c r="A525" t="s">
        <v>930</v>
      </c>
      <c r="B525" s="287">
        <v>42938.0</v>
      </c>
      <c r="C525" s="288">
        <f t="shared" si="1"/>
        <v>203</v>
      </c>
      <c r="D525" s="289">
        <f t="shared" si="2"/>
        <v>6.655737705</v>
      </c>
      <c r="E525" s="290">
        <f t="shared" si="3"/>
        <v>7</v>
      </c>
      <c r="F525" s="290" t="s">
        <v>238</v>
      </c>
      <c r="G525" s="291">
        <v>-0.0016446032335635241</v>
      </c>
      <c r="H525" s="296">
        <v>0.0</v>
      </c>
      <c r="I525" s="293"/>
    </row>
    <row r="526">
      <c r="A526" t="s">
        <v>931</v>
      </c>
      <c r="B526" s="287">
        <v>42939.0</v>
      </c>
      <c r="C526" s="288">
        <f t="shared" si="1"/>
        <v>204</v>
      </c>
      <c r="D526" s="289">
        <f t="shared" si="2"/>
        <v>6.68852459</v>
      </c>
      <c r="E526" s="290">
        <f t="shared" si="3"/>
        <v>7</v>
      </c>
      <c r="F526" s="290" t="s">
        <v>238</v>
      </c>
      <c r="G526" s="291">
        <v>0.03204079913765634</v>
      </c>
      <c r="H526" s="296">
        <v>1.0</v>
      </c>
      <c r="I526" s="293"/>
    </row>
    <row r="527">
      <c r="A527" t="s">
        <v>932</v>
      </c>
      <c r="B527" s="287">
        <v>42940.0</v>
      </c>
      <c r="C527" s="288">
        <f t="shared" si="1"/>
        <v>205</v>
      </c>
      <c r="D527" s="289">
        <f t="shared" si="2"/>
        <v>6.721311475</v>
      </c>
      <c r="E527" s="290">
        <f t="shared" si="3"/>
        <v>7</v>
      </c>
      <c r="F527" s="290" t="s">
        <v>238</v>
      </c>
      <c r="G527" s="291">
        <v>0.01891099709490418</v>
      </c>
      <c r="H527" s="296">
        <v>1.0</v>
      </c>
      <c r="I527" s="293"/>
    </row>
    <row r="528">
      <c r="A528" t="s">
        <v>277</v>
      </c>
      <c r="B528" s="287">
        <v>42209.0</v>
      </c>
      <c r="C528" s="288">
        <f t="shared" si="1"/>
        <v>205</v>
      </c>
      <c r="D528" s="289">
        <f t="shared" si="2"/>
        <v>6.721311475</v>
      </c>
      <c r="E528" s="290">
        <f t="shared" si="3"/>
        <v>7</v>
      </c>
      <c r="F528" s="290" t="s">
        <v>238</v>
      </c>
      <c r="G528" s="291">
        <v>-0.015644733554120327</v>
      </c>
      <c r="H528" s="296">
        <v>-1.0</v>
      </c>
      <c r="I528" s="293"/>
    </row>
    <row r="529">
      <c r="A529" t="s">
        <v>933</v>
      </c>
      <c r="B529" s="287">
        <v>42941.0</v>
      </c>
      <c r="C529" s="288">
        <f t="shared" si="1"/>
        <v>206</v>
      </c>
      <c r="D529" s="289">
        <f t="shared" si="2"/>
        <v>6.754098361</v>
      </c>
      <c r="E529" s="290">
        <f t="shared" si="3"/>
        <v>7</v>
      </c>
      <c r="F529" s="290" t="s">
        <v>238</v>
      </c>
      <c r="G529" s="291">
        <v>0.01802025346707925</v>
      </c>
      <c r="H529" s="296">
        <v>1.0</v>
      </c>
      <c r="I529" s="293"/>
    </row>
    <row r="530">
      <c r="A530" t="s">
        <v>523</v>
      </c>
      <c r="B530" s="287">
        <v>42576.0</v>
      </c>
      <c r="C530" s="288">
        <f t="shared" si="1"/>
        <v>207</v>
      </c>
      <c r="D530" s="289">
        <f t="shared" si="2"/>
        <v>6.786885246</v>
      </c>
      <c r="E530" s="290">
        <f t="shared" si="3"/>
        <v>7</v>
      </c>
      <c r="F530" s="290" t="s">
        <v>238</v>
      </c>
      <c r="G530" s="291">
        <v>0.007902092936521776</v>
      </c>
      <c r="H530" s="296">
        <v>0.0</v>
      </c>
      <c r="I530" s="293"/>
    </row>
    <row r="531">
      <c r="A531" t="s">
        <v>934</v>
      </c>
      <c r="B531" s="287">
        <v>42576.0</v>
      </c>
      <c r="C531" s="288">
        <f t="shared" si="1"/>
        <v>207</v>
      </c>
      <c r="D531" s="289">
        <f t="shared" si="2"/>
        <v>6.786885246</v>
      </c>
      <c r="E531" s="290">
        <f t="shared" si="3"/>
        <v>7</v>
      </c>
      <c r="F531" s="290" t="s">
        <v>238</v>
      </c>
      <c r="G531" s="291">
        <v>0.009699628108462366</v>
      </c>
      <c r="H531" s="296">
        <v>0.0</v>
      </c>
      <c r="I531" s="293"/>
    </row>
    <row r="532">
      <c r="A532" t="s">
        <v>935</v>
      </c>
      <c r="B532" s="287">
        <v>42212.0</v>
      </c>
      <c r="C532" s="288">
        <f t="shared" si="1"/>
        <v>208</v>
      </c>
      <c r="D532" s="289">
        <f t="shared" si="2"/>
        <v>6.819672131</v>
      </c>
      <c r="E532" s="290">
        <f t="shared" si="3"/>
        <v>7</v>
      </c>
      <c r="F532" s="290" t="s">
        <v>238</v>
      </c>
      <c r="G532" s="291">
        <v>0.014989113671547094</v>
      </c>
      <c r="H532" s="296">
        <v>1.0</v>
      </c>
      <c r="I532" s="293"/>
    </row>
    <row r="533">
      <c r="A533" t="s">
        <v>781</v>
      </c>
      <c r="B533" s="287">
        <v>42944.0</v>
      </c>
      <c r="C533" s="288">
        <f t="shared" si="1"/>
        <v>209</v>
      </c>
      <c r="D533" s="289">
        <f t="shared" si="2"/>
        <v>6.852459016</v>
      </c>
      <c r="E533" s="290">
        <f t="shared" si="3"/>
        <v>7</v>
      </c>
      <c r="F533" s="290" t="s">
        <v>238</v>
      </c>
      <c r="G533" s="291">
        <v>-9.557967468742934E-5</v>
      </c>
      <c r="H533" s="296">
        <v>0.0</v>
      </c>
      <c r="I533" s="293"/>
    </row>
    <row r="534">
      <c r="A534" t="s">
        <v>762</v>
      </c>
      <c r="B534" s="287">
        <v>42945.0</v>
      </c>
      <c r="C534" s="288">
        <f t="shared" si="1"/>
        <v>210</v>
      </c>
      <c r="D534" s="289">
        <f t="shared" si="2"/>
        <v>6.885245902</v>
      </c>
      <c r="E534" s="290">
        <f t="shared" si="3"/>
        <v>7</v>
      </c>
      <c r="F534" s="290" t="s">
        <v>238</v>
      </c>
      <c r="G534" s="291">
        <v>0.010474724653265821</v>
      </c>
      <c r="H534" s="296">
        <v>1.0</v>
      </c>
      <c r="I534" s="293"/>
    </row>
    <row r="535">
      <c r="A535" t="s">
        <v>905</v>
      </c>
      <c r="B535" s="287">
        <v>42945.0</v>
      </c>
      <c r="C535" s="288">
        <f t="shared" si="1"/>
        <v>210</v>
      </c>
      <c r="D535" s="289">
        <f t="shared" si="2"/>
        <v>6.885245902</v>
      </c>
      <c r="E535" s="290">
        <f t="shared" si="3"/>
        <v>7</v>
      </c>
      <c r="F535" s="290" t="s">
        <v>238</v>
      </c>
      <c r="G535" s="291">
        <v>-0.008632320375369429</v>
      </c>
      <c r="H535" s="296">
        <v>0.0</v>
      </c>
      <c r="I535" s="293"/>
    </row>
    <row r="536">
      <c r="A536" t="s">
        <v>851</v>
      </c>
      <c r="B536" s="287">
        <v>42945.0</v>
      </c>
      <c r="C536" s="288">
        <f t="shared" si="1"/>
        <v>210</v>
      </c>
      <c r="D536" s="289">
        <f t="shared" si="2"/>
        <v>6.885245902</v>
      </c>
      <c r="E536" s="290">
        <f t="shared" si="3"/>
        <v>7</v>
      </c>
      <c r="F536" s="290" t="s">
        <v>238</v>
      </c>
      <c r="G536" s="291">
        <v>0.01869568732685989</v>
      </c>
      <c r="H536" s="296">
        <v>1.0</v>
      </c>
      <c r="I536" s="293"/>
    </row>
    <row r="537">
      <c r="A537" t="s">
        <v>277</v>
      </c>
      <c r="B537" s="287">
        <v>42945.0</v>
      </c>
      <c r="C537" s="288">
        <f t="shared" si="1"/>
        <v>210</v>
      </c>
      <c r="D537" s="289">
        <f t="shared" si="2"/>
        <v>6.885245902</v>
      </c>
      <c r="E537" s="290">
        <f t="shared" si="3"/>
        <v>7</v>
      </c>
      <c r="F537" s="290" t="s">
        <v>238</v>
      </c>
      <c r="G537" s="291">
        <v>0.009090136748319377</v>
      </c>
      <c r="H537" s="296">
        <v>0.0</v>
      </c>
      <c r="I537" s="293"/>
    </row>
    <row r="538">
      <c r="A538" t="s">
        <v>723</v>
      </c>
      <c r="B538" s="287">
        <v>42579.0</v>
      </c>
      <c r="C538" s="288">
        <f t="shared" si="1"/>
        <v>210</v>
      </c>
      <c r="D538" s="289">
        <f t="shared" si="2"/>
        <v>6.885245902</v>
      </c>
      <c r="E538" s="290">
        <f t="shared" si="3"/>
        <v>7</v>
      </c>
      <c r="F538" s="290" t="s">
        <v>238</v>
      </c>
      <c r="G538" s="291">
        <v>0.020126110200788805</v>
      </c>
      <c r="H538" s="296">
        <v>1.0</v>
      </c>
      <c r="I538" s="293"/>
    </row>
    <row r="539">
      <c r="A539" t="s">
        <v>427</v>
      </c>
      <c r="B539" s="287">
        <v>42214.0</v>
      </c>
      <c r="C539" s="288">
        <f t="shared" si="1"/>
        <v>210</v>
      </c>
      <c r="D539" s="289">
        <f t="shared" si="2"/>
        <v>6.885245902</v>
      </c>
      <c r="E539" s="290">
        <f t="shared" si="3"/>
        <v>7</v>
      </c>
      <c r="F539" s="290" t="s">
        <v>238</v>
      </c>
      <c r="G539" s="291">
        <v>0.002690669001680579</v>
      </c>
      <c r="H539" s="296">
        <v>0.0</v>
      </c>
      <c r="I539" s="293"/>
    </row>
    <row r="540">
      <c r="A540" t="s">
        <v>936</v>
      </c>
      <c r="B540" s="287">
        <v>42214.0</v>
      </c>
      <c r="C540" s="288">
        <f t="shared" si="1"/>
        <v>210</v>
      </c>
      <c r="D540" s="289">
        <f t="shared" si="2"/>
        <v>6.885245902</v>
      </c>
      <c r="E540" s="290">
        <f t="shared" si="3"/>
        <v>7</v>
      </c>
      <c r="F540" s="290" t="s">
        <v>238</v>
      </c>
      <c r="G540" s="291">
        <v>0.014130902548436186</v>
      </c>
      <c r="H540" s="296">
        <v>1.0</v>
      </c>
      <c r="I540" s="293"/>
    </row>
    <row r="541">
      <c r="A541" t="s">
        <v>937</v>
      </c>
      <c r="B541" s="287">
        <v>42946.0</v>
      </c>
      <c r="C541" s="288">
        <f t="shared" si="1"/>
        <v>211</v>
      </c>
      <c r="D541" s="289">
        <f t="shared" si="2"/>
        <v>6.918032787</v>
      </c>
      <c r="E541" s="290">
        <f t="shared" si="3"/>
        <v>7</v>
      </c>
      <c r="F541" s="290" t="s">
        <v>238</v>
      </c>
      <c r="G541" s="291">
        <v>0.02853967207575203</v>
      </c>
      <c r="H541" s="296">
        <v>1.0</v>
      </c>
      <c r="I541" s="293"/>
    </row>
    <row r="542">
      <c r="A542" t="s">
        <v>108</v>
      </c>
      <c r="B542" s="287">
        <v>42215.0</v>
      </c>
      <c r="C542" s="288">
        <f t="shared" si="1"/>
        <v>211</v>
      </c>
      <c r="D542" s="289">
        <f t="shared" si="2"/>
        <v>6.918032787</v>
      </c>
      <c r="E542" s="290">
        <f t="shared" si="3"/>
        <v>7</v>
      </c>
      <c r="F542" s="290" t="s">
        <v>238</v>
      </c>
      <c r="G542" s="291">
        <v>-0.011698942829660552</v>
      </c>
      <c r="H542" s="296">
        <v>-1.0</v>
      </c>
      <c r="I542" s="293"/>
    </row>
    <row r="543">
      <c r="A543" t="s">
        <v>938</v>
      </c>
      <c r="B543" s="287">
        <v>42947.0</v>
      </c>
      <c r="C543" s="288">
        <f t="shared" si="1"/>
        <v>212</v>
      </c>
      <c r="D543" s="289">
        <f t="shared" si="2"/>
        <v>6.950819672</v>
      </c>
      <c r="E543" s="290">
        <f t="shared" si="3"/>
        <v>7</v>
      </c>
      <c r="F543" s="290" t="s">
        <v>238</v>
      </c>
      <c r="G543" s="291">
        <v>-0.020322179131136986</v>
      </c>
      <c r="H543" s="296">
        <v>-1.0</v>
      </c>
      <c r="I543" s="293"/>
    </row>
    <row r="544">
      <c r="A544" t="s">
        <v>930</v>
      </c>
      <c r="B544" s="287">
        <v>42581.0</v>
      </c>
      <c r="C544" s="288">
        <f t="shared" si="1"/>
        <v>212</v>
      </c>
      <c r="D544" s="289">
        <f t="shared" si="2"/>
        <v>6.950819672</v>
      </c>
      <c r="E544" s="290">
        <f t="shared" si="3"/>
        <v>7</v>
      </c>
      <c r="F544" s="290" t="s">
        <v>238</v>
      </c>
      <c r="G544" s="291">
        <v>0.003087282067621877</v>
      </c>
      <c r="H544" s="296">
        <v>0.0</v>
      </c>
      <c r="I544" s="293"/>
    </row>
    <row r="545">
      <c r="A545" t="s">
        <v>798</v>
      </c>
      <c r="B545" s="287">
        <v>42581.0</v>
      </c>
      <c r="C545" s="288">
        <f t="shared" si="1"/>
        <v>212</v>
      </c>
      <c r="D545" s="289">
        <f t="shared" si="2"/>
        <v>6.950819672</v>
      </c>
      <c r="E545" s="290">
        <f t="shared" si="3"/>
        <v>7</v>
      </c>
      <c r="F545" s="290" t="s">
        <v>238</v>
      </c>
      <c r="G545" s="291">
        <v>-0.002218471304938241</v>
      </c>
      <c r="H545" s="296">
        <v>0.0</v>
      </c>
      <c r="I545" s="293"/>
    </row>
    <row r="546">
      <c r="A546" t="s">
        <v>400</v>
      </c>
      <c r="B546" s="287">
        <v>42581.0</v>
      </c>
      <c r="C546" s="288">
        <f t="shared" si="1"/>
        <v>212</v>
      </c>
      <c r="D546" s="289">
        <f t="shared" si="2"/>
        <v>6.950819672</v>
      </c>
      <c r="E546" s="290">
        <f t="shared" si="3"/>
        <v>7</v>
      </c>
      <c r="F546" s="290" t="s">
        <v>238</v>
      </c>
      <c r="G546" s="291">
        <v>0.013375285163257256</v>
      </c>
      <c r="H546" s="296">
        <v>1.0</v>
      </c>
      <c r="I546" s="293"/>
    </row>
    <row r="547">
      <c r="A547" t="s">
        <v>939</v>
      </c>
      <c r="B547" s="287">
        <v>42216.0</v>
      </c>
      <c r="C547" s="288">
        <f t="shared" si="1"/>
        <v>212</v>
      </c>
      <c r="D547" s="289">
        <f t="shared" si="2"/>
        <v>6.950819672</v>
      </c>
      <c r="E547" s="290">
        <f t="shared" si="3"/>
        <v>7</v>
      </c>
      <c r="F547" s="290" t="s">
        <v>238</v>
      </c>
      <c r="G547" s="291">
        <v>0.009579701605075042</v>
      </c>
      <c r="H547" s="296">
        <v>0.0</v>
      </c>
      <c r="I547" s="293"/>
    </row>
    <row r="548">
      <c r="A548" t="s">
        <v>940</v>
      </c>
      <c r="B548" s="287">
        <v>42216.0</v>
      </c>
      <c r="C548" s="288">
        <f t="shared" si="1"/>
        <v>212</v>
      </c>
      <c r="D548" s="289">
        <f t="shared" si="2"/>
        <v>6.950819672</v>
      </c>
      <c r="E548" s="290">
        <f t="shared" si="3"/>
        <v>7</v>
      </c>
      <c r="F548" s="290" t="s">
        <v>238</v>
      </c>
      <c r="G548" s="291">
        <v>-0.005098098090442926</v>
      </c>
      <c r="H548" s="296">
        <v>0.0</v>
      </c>
      <c r="I548" s="293"/>
    </row>
    <row r="549">
      <c r="A549" t="s">
        <v>277</v>
      </c>
      <c r="B549" s="287">
        <v>42216.0</v>
      </c>
      <c r="C549" s="288">
        <f t="shared" si="1"/>
        <v>212</v>
      </c>
      <c r="D549" s="289">
        <f t="shared" si="2"/>
        <v>6.950819672</v>
      </c>
      <c r="E549" s="290">
        <f t="shared" si="3"/>
        <v>7</v>
      </c>
      <c r="F549" s="290" t="s">
        <v>238</v>
      </c>
      <c r="G549" s="291">
        <v>-0.010400739925938485</v>
      </c>
      <c r="H549" s="296">
        <v>-1.0</v>
      </c>
      <c r="I549" s="293"/>
    </row>
    <row r="550">
      <c r="A550" t="s">
        <v>941</v>
      </c>
      <c r="B550" s="287">
        <v>42948.0</v>
      </c>
      <c r="C550" s="288">
        <f t="shared" si="1"/>
        <v>213</v>
      </c>
      <c r="D550" s="289">
        <f t="shared" si="2"/>
        <v>6.983606557</v>
      </c>
      <c r="E550" s="290">
        <f t="shared" si="3"/>
        <v>7</v>
      </c>
      <c r="F550" s="290" t="s">
        <v>238</v>
      </c>
      <c r="G550" s="291">
        <v>-0.010080716340470697</v>
      </c>
      <c r="H550" s="296">
        <v>-1.0</v>
      </c>
      <c r="I550" s="293"/>
    </row>
    <row r="551">
      <c r="A551" t="s">
        <v>942</v>
      </c>
      <c r="B551" s="287">
        <v>42948.0</v>
      </c>
      <c r="C551" s="288">
        <f t="shared" si="1"/>
        <v>213</v>
      </c>
      <c r="D551" s="289">
        <f t="shared" si="2"/>
        <v>6.983606557</v>
      </c>
      <c r="E551" s="290">
        <f t="shared" si="3"/>
        <v>7</v>
      </c>
      <c r="F551" s="290" t="s">
        <v>238</v>
      </c>
      <c r="G551" s="291">
        <v>0.02090069726144239</v>
      </c>
      <c r="H551" s="296">
        <v>1.0</v>
      </c>
      <c r="I551" s="293"/>
    </row>
    <row r="552">
      <c r="A552" t="s">
        <v>108</v>
      </c>
      <c r="B552" s="287">
        <v>42582.0</v>
      </c>
      <c r="C552" s="288">
        <f t="shared" si="1"/>
        <v>213</v>
      </c>
      <c r="D552" s="289">
        <f t="shared" si="2"/>
        <v>6.983606557</v>
      </c>
      <c r="E552" s="290">
        <f t="shared" si="3"/>
        <v>7</v>
      </c>
      <c r="F552" s="290" t="s">
        <v>238</v>
      </c>
      <c r="G552" s="291">
        <v>-0.03643486908691829</v>
      </c>
      <c r="H552" s="296">
        <v>-1.0</v>
      </c>
      <c r="I552" s="293"/>
    </row>
    <row r="553">
      <c r="A553" t="s">
        <v>108</v>
      </c>
      <c r="B553" s="287">
        <v>42582.0</v>
      </c>
      <c r="C553" s="288">
        <f t="shared" si="1"/>
        <v>213</v>
      </c>
      <c r="D553" s="289">
        <f t="shared" si="2"/>
        <v>6.983606557</v>
      </c>
      <c r="E553" s="290">
        <f t="shared" si="3"/>
        <v>7</v>
      </c>
      <c r="F553" s="290" t="s">
        <v>238</v>
      </c>
      <c r="G553" s="291">
        <v>-0.03877740261204876</v>
      </c>
      <c r="H553" s="296">
        <v>-1.0</v>
      </c>
      <c r="I553" s="293"/>
    </row>
    <row r="554">
      <c r="A554" t="s">
        <v>108</v>
      </c>
      <c r="B554" s="287">
        <v>42582.0</v>
      </c>
      <c r="C554" s="288">
        <f t="shared" si="1"/>
        <v>213</v>
      </c>
      <c r="D554" s="289">
        <f t="shared" si="2"/>
        <v>6.983606557</v>
      </c>
      <c r="E554" s="290">
        <f t="shared" si="3"/>
        <v>7</v>
      </c>
      <c r="F554" s="290" t="s">
        <v>238</v>
      </c>
      <c r="G554" s="291">
        <v>-0.0337183273800159</v>
      </c>
      <c r="H554" s="296">
        <v>-1.0</v>
      </c>
      <c r="I554" s="293"/>
    </row>
    <row r="555">
      <c r="A555" t="s">
        <v>770</v>
      </c>
      <c r="B555" s="287">
        <v>42582.0</v>
      </c>
      <c r="C555" s="288">
        <f t="shared" si="1"/>
        <v>213</v>
      </c>
      <c r="D555" s="289">
        <f t="shared" si="2"/>
        <v>6.983606557</v>
      </c>
      <c r="E555" s="290">
        <f t="shared" si="3"/>
        <v>7</v>
      </c>
      <c r="F555" s="290" t="s">
        <v>238</v>
      </c>
      <c r="G555" s="291">
        <v>-0.0071310984315065</v>
      </c>
      <c r="H555" s="296">
        <v>0.0</v>
      </c>
      <c r="I555" s="293"/>
    </row>
    <row r="556">
      <c r="A556" t="s">
        <v>808</v>
      </c>
      <c r="B556" s="287">
        <v>42582.0</v>
      </c>
      <c r="C556" s="288">
        <f t="shared" si="1"/>
        <v>213</v>
      </c>
      <c r="D556" s="289">
        <f t="shared" si="2"/>
        <v>6.983606557</v>
      </c>
      <c r="E556" s="290">
        <f t="shared" si="3"/>
        <v>7</v>
      </c>
      <c r="F556" s="290" t="s">
        <v>238</v>
      </c>
      <c r="G556" s="291">
        <v>0.012943257032683841</v>
      </c>
      <c r="H556" s="296">
        <v>1.0</v>
      </c>
      <c r="I556" s="293"/>
    </row>
    <row r="557">
      <c r="A557" t="s">
        <v>811</v>
      </c>
      <c r="B557" s="287">
        <v>42217.0</v>
      </c>
      <c r="C557" s="288">
        <f t="shared" si="1"/>
        <v>213</v>
      </c>
      <c r="D557" s="289">
        <f t="shared" si="2"/>
        <v>6.983606557</v>
      </c>
      <c r="E557" s="290">
        <f t="shared" si="3"/>
        <v>7</v>
      </c>
      <c r="F557" s="290" t="s">
        <v>238</v>
      </c>
      <c r="G557" s="291">
        <v>0.0031714839068934797</v>
      </c>
      <c r="H557" s="296">
        <v>0.0</v>
      </c>
      <c r="I557" s="293"/>
    </row>
    <row r="558">
      <c r="A558" t="s">
        <v>277</v>
      </c>
      <c r="B558" s="287">
        <v>42217.0</v>
      </c>
      <c r="C558" s="288">
        <f t="shared" si="1"/>
        <v>213</v>
      </c>
      <c r="D558" s="289">
        <f t="shared" si="2"/>
        <v>6.983606557</v>
      </c>
      <c r="E558" s="290">
        <f t="shared" si="3"/>
        <v>7</v>
      </c>
      <c r="F558" s="290" t="s">
        <v>238</v>
      </c>
      <c r="G558" s="291">
        <v>-0.007670359391729442</v>
      </c>
      <c r="H558" s="296">
        <v>0.0</v>
      </c>
      <c r="I558" s="293"/>
    </row>
    <row r="559">
      <c r="A559" t="s">
        <v>795</v>
      </c>
      <c r="B559" s="287">
        <v>42583.0</v>
      </c>
      <c r="C559" s="288">
        <f t="shared" si="1"/>
        <v>214</v>
      </c>
      <c r="D559" s="289">
        <f t="shared" si="2"/>
        <v>7.016393443</v>
      </c>
      <c r="E559" s="290">
        <f t="shared" si="3"/>
        <v>8</v>
      </c>
      <c r="F559" s="290" t="s">
        <v>736</v>
      </c>
      <c r="G559" s="291">
        <v>0.008306820280828298</v>
      </c>
      <c r="H559" s="296">
        <v>0.0</v>
      </c>
      <c r="I559" s="293"/>
    </row>
    <row r="560">
      <c r="A560" t="s">
        <v>304</v>
      </c>
      <c r="B560" s="287">
        <v>42218.0</v>
      </c>
      <c r="C560" s="288">
        <f t="shared" si="1"/>
        <v>214</v>
      </c>
      <c r="D560" s="289">
        <f t="shared" si="2"/>
        <v>7.016393443</v>
      </c>
      <c r="E560" s="290">
        <f t="shared" si="3"/>
        <v>8</v>
      </c>
      <c r="F560" s="290" t="s">
        <v>736</v>
      </c>
      <c r="G560" s="291">
        <v>0.01815270615508402</v>
      </c>
      <c r="H560" s="296">
        <v>1.0</v>
      </c>
      <c r="I560" s="293"/>
    </row>
    <row r="561">
      <c r="A561" t="s">
        <v>910</v>
      </c>
      <c r="B561" s="287">
        <v>42950.0</v>
      </c>
      <c r="C561" s="288">
        <f t="shared" si="1"/>
        <v>215</v>
      </c>
      <c r="D561" s="289">
        <f t="shared" si="2"/>
        <v>7.049180328</v>
      </c>
      <c r="E561" s="290">
        <f t="shared" si="3"/>
        <v>8</v>
      </c>
      <c r="F561" s="290" t="s">
        <v>736</v>
      </c>
      <c r="G561" s="291">
        <v>-0.010115113852480206</v>
      </c>
      <c r="H561" s="296">
        <v>-1.0</v>
      </c>
      <c r="I561" s="293"/>
    </row>
    <row r="562">
      <c r="A562" t="s">
        <v>918</v>
      </c>
      <c r="B562" s="287">
        <v>42950.0</v>
      </c>
      <c r="C562" s="288">
        <f t="shared" si="1"/>
        <v>215</v>
      </c>
      <c r="D562" s="289">
        <f t="shared" si="2"/>
        <v>7.049180328</v>
      </c>
      <c r="E562" s="290">
        <f t="shared" si="3"/>
        <v>8</v>
      </c>
      <c r="F562" s="290" t="s">
        <v>736</v>
      </c>
      <c r="G562" s="291">
        <v>0.013505492243523043</v>
      </c>
      <c r="H562" s="296">
        <v>1.0</v>
      </c>
      <c r="I562" s="293"/>
    </row>
    <row r="563">
      <c r="A563" t="s">
        <v>108</v>
      </c>
      <c r="B563" s="287">
        <v>42951.0</v>
      </c>
      <c r="C563" s="288">
        <f t="shared" si="1"/>
        <v>216</v>
      </c>
      <c r="D563" s="289">
        <f t="shared" si="2"/>
        <v>7.081967213</v>
      </c>
      <c r="E563" s="290">
        <f t="shared" si="3"/>
        <v>8</v>
      </c>
      <c r="F563" s="290" t="s">
        <v>736</v>
      </c>
      <c r="G563" s="291">
        <v>-0.0013710246865907827</v>
      </c>
      <c r="H563" s="296">
        <v>0.0</v>
      </c>
      <c r="I563" s="293"/>
    </row>
    <row r="564">
      <c r="A564" t="s">
        <v>943</v>
      </c>
      <c r="B564" s="287">
        <v>42951.0</v>
      </c>
      <c r="C564" s="288">
        <f t="shared" si="1"/>
        <v>216</v>
      </c>
      <c r="D564" s="289">
        <f t="shared" si="2"/>
        <v>7.081967213</v>
      </c>
      <c r="E564" s="290">
        <f t="shared" si="3"/>
        <v>8</v>
      </c>
      <c r="F564" s="290" t="s">
        <v>736</v>
      </c>
      <c r="G564" s="291">
        <v>0.04729720191982323</v>
      </c>
      <c r="H564" s="296">
        <v>1.0</v>
      </c>
      <c r="I564" s="293"/>
    </row>
    <row r="565">
      <c r="A565" t="s">
        <v>277</v>
      </c>
      <c r="B565" s="287">
        <v>42220.0</v>
      </c>
      <c r="C565" s="288">
        <f t="shared" si="1"/>
        <v>216</v>
      </c>
      <c r="D565" s="289">
        <f t="shared" si="2"/>
        <v>7.081967213</v>
      </c>
      <c r="E565" s="290">
        <f t="shared" si="3"/>
        <v>8</v>
      </c>
      <c r="F565" s="290" t="s">
        <v>736</v>
      </c>
      <c r="G565" s="291">
        <v>-0.010099166356804634</v>
      </c>
      <c r="H565" s="296">
        <v>-1.0</v>
      </c>
      <c r="I565" s="293"/>
    </row>
    <row r="566">
      <c r="A566" t="s">
        <v>944</v>
      </c>
      <c r="B566" s="287">
        <v>42220.0</v>
      </c>
      <c r="C566" s="288">
        <f t="shared" si="1"/>
        <v>216</v>
      </c>
      <c r="D566" s="289">
        <f t="shared" si="2"/>
        <v>7.081967213</v>
      </c>
      <c r="E566" s="290">
        <f t="shared" si="3"/>
        <v>8</v>
      </c>
      <c r="F566" s="290" t="s">
        <v>736</v>
      </c>
      <c r="G566" s="291">
        <v>7.108094988989011E-4</v>
      </c>
      <c r="H566" s="296">
        <v>0.0</v>
      </c>
      <c r="I566" s="293"/>
    </row>
    <row r="567">
      <c r="A567" t="s">
        <v>796</v>
      </c>
      <c r="B567" s="287">
        <v>42952.0</v>
      </c>
      <c r="C567" s="288">
        <f t="shared" si="1"/>
        <v>217</v>
      </c>
      <c r="D567" s="289">
        <f t="shared" si="2"/>
        <v>7.114754098</v>
      </c>
      <c r="E567" s="290">
        <f t="shared" si="3"/>
        <v>8</v>
      </c>
      <c r="F567" s="290" t="s">
        <v>736</v>
      </c>
      <c r="G567" s="291">
        <v>0.03902170591329657</v>
      </c>
      <c r="H567" s="296">
        <v>1.0</v>
      </c>
      <c r="I567" s="293"/>
    </row>
    <row r="568">
      <c r="A568" t="s">
        <v>945</v>
      </c>
      <c r="B568" s="287">
        <v>42586.0</v>
      </c>
      <c r="C568" s="288">
        <f t="shared" si="1"/>
        <v>217</v>
      </c>
      <c r="D568" s="289">
        <f t="shared" si="2"/>
        <v>7.114754098</v>
      </c>
      <c r="E568" s="290">
        <f t="shared" si="3"/>
        <v>8</v>
      </c>
      <c r="F568" s="290" t="s">
        <v>736</v>
      </c>
      <c r="G568" s="291">
        <v>-0.005114698519848249</v>
      </c>
      <c r="H568" s="296">
        <v>0.0</v>
      </c>
      <c r="I568" s="293"/>
    </row>
    <row r="569">
      <c r="A569" t="s">
        <v>855</v>
      </c>
      <c r="B569" s="287">
        <v>42586.0</v>
      </c>
      <c r="C569" s="288">
        <f t="shared" si="1"/>
        <v>217</v>
      </c>
      <c r="D569" s="289">
        <f t="shared" si="2"/>
        <v>7.114754098</v>
      </c>
      <c r="E569" s="290">
        <f t="shared" si="3"/>
        <v>8</v>
      </c>
      <c r="F569" s="290" t="s">
        <v>736</v>
      </c>
      <c r="G569" s="291">
        <v>0.022317662948631356</v>
      </c>
      <c r="H569" s="296">
        <v>1.0</v>
      </c>
      <c r="I569" s="293"/>
    </row>
    <row r="570">
      <c r="A570" t="s">
        <v>817</v>
      </c>
      <c r="B570" s="287">
        <v>42586.0</v>
      </c>
      <c r="C570" s="288">
        <f t="shared" si="1"/>
        <v>217</v>
      </c>
      <c r="D570" s="289">
        <f t="shared" si="2"/>
        <v>7.114754098</v>
      </c>
      <c r="E570" s="290">
        <f t="shared" si="3"/>
        <v>8</v>
      </c>
      <c r="F570" s="290" t="s">
        <v>736</v>
      </c>
      <c r="G570" s="291">
        <v>0.0022814681236450474</v>
      </c>
      <c r="H570" s="296">
        <v>0.0</v>
      </c>
      <c r="I570" s="293"/>
    </row>
    <row r="571">
      <c r="A571" t="s">
        <v>277</v>
      </c>
      <c r="B571" s="287">
        <v>42221.0</v>
      </c>
      <c r="C571" s="288">
        <f t="shared" si="1"/>
        <v>217</v>
      </c>
      <c r="D571" s="289">
        <f t="shared" si="2"/>
        <v>7.114754098</v>
      </c>
      <c r="E571" s="290">
        <f t="shared" si="3"/>
        <v>8</v>
      </c>
      <c r="F571" s="290" t="s">
        <v>736</v>
      </c>
      <c r="G571" s="291">
        <v>-0.00757577473394877</v>
      </c>
      <c r="H571" s="296">
        <v>0.0</v>
      </c>
      <c r="I571" s="293"/>
    </row>
    <row r="572">
      <c r="A572" t="s">
        <v>277</v>
      </c>
      <c r="B572" s="287">
        <v>42587.0</v>
      </c>
      <c r="C572" s="288">
        <f t="shared" si="1"/>
        <v>218</v>
      </c>
      <c r="D572" s="289">
        <f t="shared" si="2"/>
        <v>7.147540984</v>
      </c>
      <c r="E572" s="290">
        <f t="shared" si="3"/>
        <v>8</v>
      </c>
      <c r="F572" s="290" t="s">
        <v>736</v>
      </c>
      <c r="G572" s="291">
        <v>0.0015237776046425067</v>
      </c>
      <c r="H572" s="296">
        <v>0.0</v>
      </c>
      <c r="I572" s="293"/>
    </row>
    <row r="573">
      <c r="A573" t="s">
        <v>761</v>
      </c>
      <c r="B573" s="287">
        <v>42587.0</v>
      </c>
      <c r="C573" s="288">
        <f t="shared" si="1"/>
        <v>218</v>
      </c>
      <c r="D573" s="289">
        <f t="shared" si="2"/>
        <v>7.147540984</v>
      </c>
      <c r="E573" s="290">
        <f t="shared" si="3"/>
        <v>8</v>
      </c>
      <c r="F573" s="290" t="s">
        <v>736</v>
      </c>
      <c r="G573" s="291">
        <v>0.016470737688854542</v>
      </c>
      <c r="H573" s="296">
        <v>1.0</v>
      </c>
      <c r="I573" s="293"/>
    </row>
    <row r="574">
      <c r="A574" t="s">
        <v>108</v>
      </c>
      <c r="B574" s="287">
        <v>42588.0</v>
      </c>
      <c r="C574" s="288">
        <f t="shared" si="1"/>
        <v>219</v>
      </c>
      <c r="D574" s="289">
        <f t="shared" si="2"/>
        <v>7.180327869</v>
      </c>
      <c r="E574" s="290">
        <f t="shared" si="3"/>
        <v>8</v>
      </c>
      <c r="F574" s="290" t="s">
        <v>736</v>
      </c>
      <c r="G574" s="291">
        <v>-0.03588157177047513</v>
      </c>
      <c r="H574" s="296">
        <v>-1.0</v>
      </c>
      <c r="I574" s="293"/>
    </row>
    <row r="575">
      <c r="A575" t="s">
        <v>277</v>
      </c>
      <c r="B575" s="287">
        <v>42223.0</v>
      </c>
      <c r="C575" s="288">
        <f t="shared" si="1"/>
        <v>219</v>
      </c>
      <c r="D575" s="289">
        <f t="shared" si="2"/>
        <v>7.180327869</v>
      </c>
      <c r="E575" s="290">
        <f t="shared" si="3"/>
        <v>8</v>
      </c>
      <c r="F575" s="290" t="s">
        <v>736</v>
      </c>
      <c r="G575" s="291">
        <v>-0.00502289678073875</v>
      </c>
      <c r="H575" s="296">
        <v>0.0</v>
      </c>
      <c r="I575" s="293"/>
    </row>
    <row r="576">
      <c r="A576" t="s">
        <v>108</v>
      </c>
      <c r="B576" s="287">
        <v>42955.0</v>
      </c>
      <c r="C576" s="288">
        <f t="shared" si="1"/>
        <v>220</v>
      </c>
      <c r="D576" s="289">
        <f t="shared" si="2"/>
        <v>7.213114754</v>
      </c>
      <c r="E576" s="290">
        <f t="shared" si="3"/>
        <v>8</v>
      </c>
      <c r="F576" s="290" t="s">
        <v>736</v>
      </c>
      <c r="G576" s="291">
        <v>-0.003836415241871949</v>
      </c>
      <c r="H576" s="296">
        <v>0.0</v>
      </c>
      <c r="I576" s="293"/>
    </row>
    <row r="577">
      <c r="A577" t="s">
        <v>576</v>
      </c>
      <c r="B577" s="287">
        <v>42955.0</v>
      </c>
      <c r="C577" s="288">
        <f t="shared" si="1"/>
        <v>220</v>
      </c>
      <c r="D577" s="289">
        <f t="shared" si="2"/>
        <v>7.213114754</v>
      </c>
      <c r="E577" s="290">
        <f t="shared" si="3"/>
        <v>8</v>
      </c>
      <c r="F577" s="290" t="s">
        <v>736</v>
      </c>
      <c r="G577" s="291">
        <v>0.01469063516554625</v>
      </c>
      <c r="H577" s="296">
        <v>1.0</v>
      </c>
      <c r="I577" s="293"/>
    </row>
    <row r="578">
      <c r="A578" t="s">
        <v>214</v>
      </c>
      <c r="B578" s="287">
        <v>42224.0</v>
      </c>
      <c r="C578" s="288">
        <f t="shared" si="1"/>
        <v>220</v>
      </c>
      <c r="D578" s="289">
        <f t="shared" si="2"/>
        <v>7.213114754</v>
      </c>
      <c r="E578" s="290">
        <f t="shared" si="3"/>
        <v>8</v>
      </c>
      <c r="F578" s="290" t="s">
        <v>736</v>
      </c>
      <c r="G578" s="291">
        <v>-0.001416374975238055</v>
      </c>
      <c r="H578" s="296">
        <v>0.0</v>
      </c>
      <c r="I578" s="293"/>
    </row>
    <row r="579">
      <c r="A579" t="s">
        <v>108</v>
      </c>
      <c r="B579" s="287">
        <v>42224.0</v>
      </c>
      <c r="C579" s="288">
        <f t="shared" si="1"/>
        <v>220</v>
      </c>
      <c r="D579" s="289">
        <f t="shared" si="2"/>
        <v>7.213114754</v>
      </c>
      <c r="E579" s="290">
        <f t="shared" si="3"/>
        <v>8</v>
      </c>
      <c r="F579" s="290" t="s">
        <v>736</v>
      </c>
      <c r="G579" s="291">
        <v>-0.013759494931068095</v>
      </c>
      <c r="H579" s="296">
        <v>-1.0</v>
      </c>
      <c r="I579" s="293"/>
    </row>
    <row r="580">
      <c r="A580" t="s">
        <v>946</v>
      </c>
      <c r="B580" s="287">
        <v>42956.0</v>
      </c>
      <c r="C580" s="288">
        <f t="shared" si="1"/>
        <v>221</v>
      </c>
      <c r="D580" s="289">
        <f t="shared" si="2"/>
        <v>7.245901639</v>
      </c>
      <c r="E580" s="290">
        <f t="shared" si="3"/>
        <v>8</v>
      </c>
      <c r="F580" s="290" t="s">
        <v>736</v>
      </c>
      <c r="G580" s="291">
        <v>0.013503937367535523</v>
      </c>
      <c r="H580" s="296">
        <v>1.0</v>
      </c>
      <c r="I580" s="293"/>
    </row>
    <row r="581">
      <c r="A581" t="s">
        <v>108</v>
      </c>
      <c r="B581" s="287">
        <v>42225.0</v>
      </c>
      <c r="C581" s="288">
        <f t="shared" si="1"/>
        <v>221</v>
      </c>
      <c r="D581" s="289">
        <f t="shared" si="2"/>
        <v>7.245901639</v>
      </c>
      <c r="E581" s="290">
        <f t="shared" si="3"/>
        <v>8</v>
      </c>
      <c r="F581" s="290" t="s">
        <v>736</v>
      </c>
      <c r="G581" s="291">
        <v>-0.015738499699180064</v>
      </c>
      <c r="H581" s="296">
        <v>-1.0</v>
      </c>
      <c r="I581" s="293"/>
    </row>
    <row r="582">
      <c r="A582" t="s">
        <v>744</v>
      </c>
      <c r="B582" s="287">
        <v>42225.0</v>
      </c>
      <c r="C582" s="288">
        <f t="shared" si="1"/>
        <v>221</v>
      </c>
      <c r="D582" s="289">
        <f t="shared" si="2"/>
        <v>7.245901639</v>
      </c>
      <c r="E582" s="290">
        <f t="shared" si="3"/>
        <v>8</v>
      </c>
      <c r="F582" s="290" t="s">
        <v>736</v>
      </c>
      <c r="G582" s="291">
        <v>0.005076375562812152</v>
      </c>
      <c r="H582" s="296">
        <v>0.0</v>
      </c>
      <c r="I582" s="293"/>
    </row>
    <row r="583">
      <c r="A583" t="s">
        <v>756</v>
      </c>
      <c r="B583" s="287">
        <v>42225.0</v>
      </c>
      <c r="C583" s="288">
        <f t="shared" si="1"/>
        <v>221</v>
      </c>
      <c r="D583" s="289">
        <f t="shared" si="2"/>
        <v>7.245901639</v>
      </c>
      <c r="E583" s="290">
        <f t="shared" si="3"/>
        <v>8</v>
      </c>
      <c r="F583" s="290" t="s">
        <v>736</v>
      </c>
      <c r="G583" s="291">
        <v>-0.008641779121177806</v>
      </c>
      <c r="H583" s="296">
        <v>0.0</v>
      </c>
      <c r="I583" s="293"/>
    </row>
    <row r="584">
      <c r="A584" t="s">
        <v>277</v>
      </c>
      <c r="B584" s="287">
        <v>42225.0</v>
      </c>
      <c r="C584" s="288">
        <f t="shared" si="1"/>
        <v>221</v>
      </c>
      <c r="D584" s="289">
        <f t="shared" si="2"/>
        <v>7.245901639</v>
      </c>
      <c r="E584" s="290">
        <f t="shared" si="3"/>
        <v>8</v>
      </c>
      <c r="F584" s="290" t="s">
        <v>736</v>
      </c>
      <c r="G584" s="291">
        <v>-0.004998339593489831</v>
      </c>
      <c r="H584" s="296">
        <v>0.0</v>
      </c>
      <c r="I584" s="293"/>
    </row>
    <row r="585">
      <c r="A585" t="s">
        <v>808</v>
      </c>
      <c r="B585" s="287">
        <v>42225.0</v>
      </c>
      <c r="C585" s="288">
        <f t="shared" si="1"/>
        <v>221</v>
      </c>
      <c r="D585" s="289">
        <f t="shared" si="2"/>
        <v>7.245901639</v>
      </c>
      <c r="E585" s="290">
        <f t="shared" si="3"/>
        <v>8</v>
      </c>
      <c r="F585" s="290" t="s">
        <v>736</v>
      </c>
      <c r="G585" s="291">
        <v>-0.034123991752151084</v>
      </c>
      <c r="H585" s="296">
        <v>-1.0</v>
      </c>
      <c r="I585" s="293"/>
    </row>
    <row r="586">
      <c r="A586" t="s">
        <v>947</v>
      </c>
      <c r="B586" s="287">
        <v>42957.0</v>
      </c>
      <c r="C586" s="288">
        <f t="shared" si="1"/>
        <v>222</v>
      </c>
      <c r="D586" s="289">
        <f t="shared" si="2"/>
        <v>7.278688525</v>
      </c>
      <c r="E586" s="290">
        <f t="shared" si="3"/>
        <v>8</v>
      </c>
      <c r="F586" s="290" t="s">
        <v>736</v>
      </c>
      <c r="G586" s="291">
        <v>0.01845730678157953</v>
      </c>
      <c r="H586" s="296">
        <v>1.0</v>
      </c>
      <c r="I586" s="293"/>
    </row>
    <row r="587">
      <c r="A587" t="s">
        <v>948</v>
      </c>
      <c r="B587" s="287">
        <v>42957.0</v>
      </c>
      <c r="C587" s="288">
        <f t="shared" si="1"/>
        <v>222</v>
      </c>
      <c r="D587" s="289">
        <f t="shared" si="2"/>
        <v>7.278688525</v>
      </c>
      <c r="E587" s="290">
        <f t="shared" si="3"/>
        <v>8</v>
      </c>
      <c r="F587" s="290" t="s">
        <v>736</v>
      </c>
      <c r="G587" s="291">
        <v>0.03645627549247188</v>
      </c>
      <c r="H587" s="296">
        <v>1.0</v>
      </c>
      <c r="I587" s="293"/>
    </row>
    <row r="588">
      <c r="A588" t="s">
        <v>949</v>
      </c>
      <c r="B588" s="299">
        <v>42957.0</v>
      </c>
      <c r="C588" s="288">
        <f t="shared" si="1"/>
        <v>222</v>
      </c>
      <c r="D588" s="289">
        <f t="shared" si="2"/>
        <v>7.278688525</v>
      </c>
      <c r="E588" s="290">
        <f t="shared" si="3"/>
        <v>8</v>
      </c>
      <c r="F588" s="290" t="s">
        <v>736</v>
      </c>
      <c r="G588" s="291">
        <v>0.0038325874221978307</v>
      </c>
      <c r="H588" s="296">
        <v>0.0</v>
      </c>
      <c r="I588" s="293"/>
    </row>
    <row r="589">
      <c r="A589" t="s">
        <v>900</v>
      </c>
      <c r="B589" s="287">
        <v>42591.0</v>
      </c>
      <c r="C589" s="288">
        <f t="shared" si="1"/>
        <v>222</v>
      </c>
      <c r="D589" s="289">
        <f t="shared" si="2"/>
        <v>7.278688525</v>
      </c>
      <c r="E589" s="290">
        <f t="shared" si="3"/>
        <v>8</v>
      </c>
      <c r="F589" s="290" t="s">
        <v>736</v>
      </c>
      <c r="G589" s="291">
        <v>-0.009278284088916067</v>
      </c>
      <c r="H589" s="296">
        <v>0.0</v>
      </c>
      <c r="I589" s="293"/>
    </row>
    <row r="590">
      <c r="A590" t="s">
        <v>716</v>
      </c>
      <c r="B590" s="287">
        <v>42591.0</v>
      </c>
      <c r="C590" s="288">
        <f t="shared" si="1"/>
        <v>222</v>
      </c>
      <c r="D590" s="289">
        <f t="shared" si="2"/>
        <v>7.278688525</v>
      </c>
      <c r="E590" s="290">
        <f t="shared" si="3"/>
        <v>8</v>
      </c>
      <c r="F590" s="290" t="s">
        <v>736</v>
      </c>
      <c r="G590" s="291">
        <v>0.012997169193611269</v>
      </c>
      <c r="H590" s="296">
        <v>1.0</v>
      </c>
      <c r="I590" s="293"/>
    </row>
    <row r="591">
      <c r="A591" t="s">
        <v>769</v>
      </c>
      <c r="B591" s="287">
        <v>42591.0</v>
      </c>
      <c r="C591" s="288">
        <f t="shared" si="1"/>
        <v>222</v>
      </c>
      <c r="D591" s="289">
        <f t="shared" si="2"/>
        <v>7.278688525</v>
      </c>
      <c r="E591" s="290">
        <f t="shared" si="3"/>
        <v>8</v>
      </c>
      <c r="F591" s="290" t="s">
        <v>736</v>
      </c>
      <c r="G591" s="291">
        <v>0.026489204202360783</v>
      </c>
      <c r="H591" s="296">
        <v>1.0</v>
      </c>
      <c r="I591" s="293"/>
    </row>
    <row r="592">
      <c r="A592" t="s">
        <v>873</v>
      </c>
      <c r="B592" s="287">
        <v>42226.0</v>
      </c>
      <c r="C592" s="288">
        <f t="shared" si="1"/>
        <v>222</v>
      </c>
      <c r="D592" s="289">
        <f t="shared" si="2"/>
        <v>7.278688525</v>
      </c>
      <c r="E592" s="290">
        <f t="shared" si="3"/>
        <v>8</v>
      </c>
      <c r="F592" s="290" t="s">
        <v>736</v>
      </c>
      <c r="G592" s="291">
        <v>-0.0240787869234389</v>
      </c>
      <c r="H592" s="296">
        <v>-1.0</v>
      </c>
      <c r="I592" s="293"/>
    </row>
    <row r="593">
      <c r="A593" t="s">
        <v>851</v>
      </c>
      <c r="B593" s="287">
        <v>42958.0</v>
      </c>
      <c r="C593" s="288">
        <f t="shared" si="1"/>
        <v>223</v>
      </c>
      <c r="D593" s="289">
        <f t="shared" si="2"/>
        <v>7.31147541</v>
      </c>
      <c r="E593" s="290">
        <f t="shared" si="3"/>
        <v>8</v>
      </c>
      <c r="F593" s="290" t="s">
        <v>736</v>
      </c>
      <c r="G593" s="291">
        <v>0.014511760328700274</v>
      </c>
      <c r="H593" s="296">
        <v>1.0</v>
      </c>
      <c r="I593" s="293"/>
    </row>
    <row r="594">
      <c r="A594" t="s">
        <v>950</v>
      </c>
      <c r="B594" s="287">
        <v>42958.0</v>
      </c>
      <c r="C594" s="288">
        <f t="shared" si="1"/>
        <v>223</v>
      </c>
      <c r="D594" s="289">
        <f t="shared" si="2"/>
        <v>7.31147541</v>
      </c>
      <c r="E594" s="290">
        <f t="shared" si="3"/>
        <v>8</v>
      </c>
      <c r="F594" s="290" t="s">
        <v>736</v>
      </c>
      <c r="G594" s="291">
        <v>0.03571323324438713</v>
      </c>
      <c r="H594" s="296">
        <v>1.0</v>
      </c>
      <c r="I594" s="293"/>
    </row>
    <row r="595">
      <c r="A595" t="s">
        <v>925</v>
      </c>
      <c r="B595" s="287">
        <v>42958.0</v>
      </c>
      <c r="C595" s="288">
        <f t="shared" si="1"/>
        <v>223</v>
      </c>
      <c r="D595" s="289">
        <f t="shared" si="2"/>
        <v>7.31147541</v>
      </c>
      <c r="E595" s="290">
        <f t="shared" si="3"/>
        <v>8</v>
      </c>
      <c r="F595" s="290" t="s">
        <v>736</v>
      </c>
      <c r="G595" s="291">
        <v>0.007993081543113179</v>
      </c>
      <c r="H595" s="296">
        <v>0.0</v>
      </c>
      <c r="I595" s="293"/>
    </row>
    <row r="596">
      <c r="A596" t="s">
        <v>573</v>
      </c>
      <c r="B596" s="287">
        <v>42958.0</v>
      </c>
      <c r="C596" s="288">
        <f t="shared" si="1"/>
        <v>223</v>
      </c>
      <c r="D596" s="289">
        <f t="shared" si="2"/>
        <v>7.31147541</v>
      </c>
      <c r="E596" s="290">
        <f t="shared" si="3"/>
        <v>8</v>
      </c>
      <c r="F596" s="290" t="s">
        <v>736</v>
      </c>
      <c r="G596" s="291">
        <v>-0.005166394997054069</v>
      </c>
      <c r="H596" s="296">
        <v>0.0</v>
      </c>
      <c r="I596" s="293"/>
    </row>
    <row r="597">
      <c r="A597" t="s">
        <v>523</v>
      </c>
      <c r="B597" s="287">
        <v>42592.0</v>
      </c>
      <c r="C597" s="288">
        <f t="shared" si="1"/>
        <v>223</v>
      </c>
      <c r="D597" s="289">
        <f t="shared" si="2"/>
        <v>7.31147541</v>
      </c>
      <c r="E597" s="290">
        <f t="shared" si="3"/>
        <v>8</v>
      </c>
      <c r="F597" s="290" t="s">
        <v>736</v>
      </c>
      <c r="G597" s="291">
        <v>0.007122950288345087</v>
      </c>
      <c r="H597" s="296">
        <v>0.0</v>
      </c>
      <c r="I597" s="293"/>
    </row>
    <row r="598">
      <c r="A598" t="s">
        <v>725</v>
      </c>
      <c r="B598" s="287">
        <v>42227.0</v>
      </c>
      <c r="C598" s="288">
        <f t="shared" si="1"/>
        <v>223</v>
      </c>
      <c r="D598" s="289">
        <f t="shared" si="2"/>
        <v>7.31147541</v>
      </c>
      <c r="E598" s="290">
        <f t="shared" si="3"/>
        <v>8</v>
      </c>
      <c r="F598" s="290" t="s">
        <v>736</v>
      </c>
      <c r="G598" s="291">
        <v>0.018261200960013046</v>
      </c>
      <c r="H598" s="296">
        <v>1.0</v>
      </c>
      <c r="I598" s="293"/>
    </row>
    <row r="599">
      <c r="A599" t="s">
        <v>951</v>
      </c>
      <c r="B599" s="287">
        <v>42227.0</v>
      </c>
      <c r="C599" s="288">
        <f t="shared" si="1"/>
        <v>223</v>
      </c>
      <c r="D599" s="289">
        <f t="shared" si="2"/>
        <v>7.31147541</v>
      </c>
      <c r="E599" s="290">
        <f t="shared" si="3"/>
        <v>8</v>
      </c>
      <c r="F599" s="290" t="s">
        <v>736</v>
      </c>
      <c r="G599" s="291">
        <v>0.008394370988566324</v>
      </c>
      <c r="H599" s="296">
        <v>0.0</v>
      </c>
      <c r="I599" s="293"/>
    </row>
    <row r="600">
      <c r="A600" t="s">
        <v>952</v>
      </c>
      <c r="B600" s="287">
        <v>42227.0</v>
      </c>
      <c r="C600" s="288">
        <f t="shared" si="1"/>
        <v>223</v>
      </c>
      <c r="D600" s="289">
        <f t="shared" si="2"/>
        <v>7.31147541</v>
      </c>
      <c r="E600" s="290">
        <f t="shared" si="3"/>
        <v>8</v>
      </c>
      <c r="F600" s="290" t="s">
        <v>736</v>
      </c>
      <c r="G600" s="291">
        <v>0.02275766939842927</v>
      </c>
      <c r="H600" s="296">
        <v>1.0</v>
      </c>
      <c r="I600" s="293"/>
    </row>
    <row r="601">
      <c r="A601" t="s">
        <v>742</v>
      </c>
      <c r="B601" s="287">
        <v>42227.0</v>
      </c>
      <c r="C601" s="288">
        <f t="shared" si="1"/>
        <v>223</v>
      </c>
      <c r="D601" s="289">
        <f t="shared" si="2"/>
        <v>7.31147541</v>
      </c>
      <c r="E601" s="290">
        <f t="shared" si="3"/>
        <v>8</v>
      </c>
      <c r="F601" s="290" t="s">
        <v>736</v>
      </c>
      <c r="G601" s="291">
        <v>-0.010130548361016567</v>
      </c>
      <c r="H601" s="296">
        <v>-1.0</v>
      </c>
      <c r="I601" s="293"/>
    </row>
    <row r="602">
      <c r="A602" t="s">
        <v>845</v>
      </c>
      <c r="B602" s="287">
        <v>42959.0</v>
      </c>
      <c r="C602" s="288">
        <f t="shared" si="1"/>
        <v>224</v>
      </c>
      <c r="D602" s="289">
        <f t="shared" si="2"/>
        <v>7.344262295</v>
      </c>
      <c r="E602" s="290">
        <f t="shared" si="3"/>
        <v>8</v>
      </c>
      <c r="F602" s="290" t="s">
        <v>736</v>
      </c>
      <c r="G602" s="291">
        <v>0.01636165952383195</v>
      </c>
      <c r="H602" s="296">
        <v>1.0</v>
      </c>
      <c r="I602" s="293"/>
    </row>
    <row r="603">
      <c r="A603" t="s">
        <v>722</v>
      </c>
      <c r="B603" s="287">
        <v>42593.0</v>
      </c>
      <c r="C603" s="288">
        <f t="shared" si="1"/>
        <v>224</v>
      </c>
      <c r="D603" s="289">
        <f t="shared" si="2"/>
        <v>7.344262295</v>
      </c>
      <c r="E603" s="290">
        <f t="shared" si="3"/>
        <v>8</v>
      </c>
      <c r="F603" s="290" t="s">
        <v>736</v>
      </c>
      <c r="G603" s="291">
        <v>-0.018841509315353</v>
      </c>
      <c r="H603" s="296">
        <v>-1.0</v>
      </c>
      <c r="I603" s="293"/>
    </row>
    <row r="604">
      <c r="A604" t="s">
        <v>731</v>
      </c>
      <c r="B604" s="287">
        <v>42228.0</v>
      </c>
      <c r="C604" s="288">
        <f t="shared" si="1"/>
        <v>224</v>
      </c>
      <c r="D604" s="289">
        <f t="shared" si="2"/>
        <v>7.344262295</v>
      </c>
      <c r="E604" s="290">
        <f t="shared" si="3"/>
        <v>8</v>
      </c>
      <c r="F604" s="290" t="s">
        <v>736</v>
      </c>
      <c r="G604" s="291">
        <v>9.479210081096978E-4</v>
      </c>
      <c r="H604" s="296">
        <v>0.0</v>
      </c>
      <c r="I604" s="293"/>
    </row>
    <row r="605">
      <c r="A605" t="s">
        <v>777</v>
      </c>
      <c r="B605" s="287">
        <v>42228.0</v>
      </c>
      <c r="C605" s="288">
        <f t="shared" si="1"/>
        <v>224</v>
      </c>
      <c r="D605" s="289">
        <f t="shared" si="2"/>
        <v>7.344262295</v>
      </c>
      <c r="E605" s="290">
        <f t="shared" si="3"/>
        <v>8</v>
      </c>
      <c r="F605" s="290" t="s">
        <v>736</v>
      </c>
      <c r="G605" s="291">
        <v>-0.03670897165898046</v>
      </c>
      <c r="H605" s="296">
        <v>-1.0</v>
      </c>
      <c r="I605" s="293"/>
    </row>
    <row r="606">
      <c r="A606" t="s">
        <v>953</v>
      </c>
      <c r="B606" s="287">
        <v>42228.0</v>
      </c>
      <c r="C606" s="288">
        <f t="shared" si="1"/>
        <v>224</v>
      </c>
      <c r="D606" s="289">
        <f t="shared" si="2"/>
        <v>7.344262295</v>
      </c>
      <c r="E606" s="290">
        <f t="shared" si="3"/>
        <v>8</v>
      </c>
      <c r="F606" s="290" t="s">
        <v>736</v>
      </c>
      <c r="G606" s="291">
        <v>-0.028601386381121863</v>
      </c>
      <c r="H606" s="296">
        <v>-1.0</v>
      </c>
      <c r="I606" s="293"/>
    </row>
    <row r="607">
      <c r="A607" t="s">
        <v>719</v>
      </c>
      <c r="B607" s="287">
        <v>42228.0</v>
      </c>
      <c r="C607" s="288">
        <f t="shared" si="1"/>
        <v>224</v>
      </c>
      <c r="D607" s="289">
        <f t="shared" si="2"/>
        <v>7.344262295</v>
      </c>
      <c r="E607" s="290">
        <f t="shared" si="3"/>
        <v>8</v>
      </c>
      <c r="F607" s="290" t="s">
        <v>736</v>
      </c>
      <c r="G607" s="291">
        <v>-0.00674248381158471</v>
      </c>
      <c r="H607" s="296">
        <v>0.0</v>
      </c>
      <c r="I607" s="293"/>
    </row>
    <row r="608">
      <c r="A608" t="s">
        <v>954</v>
      </c>
      <c r="B608" s="287">
        <v>42960.0</v>
      </c>
      <c r="C608" s="288">
        <f t="shared" si="1"/>
        <v>225</v>
      </c>
      <c r="D608" s="289">
        <f t="shared" si="2"/>
        <v>7.37704918</v>
      </c>
      <c r="E608" s="290">
        <f t="shared" si="3"/>
        <v>8</v>
      </c>
      <c r="F608" s="290" t="s">
        <v>736</v>
      </c>
      <c r="G608" s="291">
        <v>0.028437222989948774</v>
      </c>
      <c r="H608" s="296">
        <v>1.0</v>
      </c>
      <c r="I608" s="293"/>
    </row>
    <row r="609">
      <c r="A609" t="s">
        <v>523</v>
      </c>
      <c r="B609" s="287">
        <v>42960.0</v>
      </c>
      <c r="C609" s="288">
        <f t="shared" si="1"/>
        <v>225</v>
      </c>
      <c r="D609" s="289">
        <f t="shared" si="2"/>
        <v>7.37704918</v>
      </c>
      <c r="E609" s="290">
        <f t="shared" si="3"/>
        <v>8</v>
      </c>
      <c r="F609" s="290" t="s">
        <v>736</v>
      </c>
      <c r="G609" s="291">
        <v>0.011048517791749868</v>
      </c>
      <c r="H609" s="296">
        <v>1.0</v>
      </c>
      <c r="I609" s="293"/>
    </row>
    <row r="610">
      <c r="A610" t="s">
        <v>711</v>
      </c>
      <c r="B610" s="287">
        <v>42594.0</v>
      </c>
      <c r="C610" s="288">
        <f t="shared" si="1"/>
        <v>225</v>
      </c>
      <c r="D610" s="289">
        <f t="shared" si="2"/>
        <v>7.37704918</v>
      </c>
      <c r="E610" s="290">
        <f t="shared" si="3"/>
        <v>8</v>
      </c>
      <c r="F610" s="290" t="s">
        <v>736</v>
      </c>
      <c r="G610" s="291">
        <v>-0.01190369970135563</v>
      </c>
      <c r="H610" s="296">
        <v>-1.0</v>
      </c>
      <c r="I610" s="293"/>
    </row>
    <row r="611">
      <c r="A611" t="s">
        <v>718</v>
      </c>
      <c r="B611" s="287">
        <v>42229.0</v>
      </c>
      <c r="C611" s="288">
        <f t="shared" si="1"/>
        <v>225</v>
      </c>
      <c r="D611" s="289">
        <f t="shared" si="2"/>
        <v>7.37704918</v>
      </c>
      <c r="E611" s="290">
        <f t="shared" si="3"/>
        <v>8</v>
      </c>
      <c r="F611" s="290" t="s">
        <v>736</v>
      </c>
      <c r="G611" s="291">
        <v>-0.003637713003044496</v>
      </c>
      <c r="H611" s="296">
        <v>0.0</v>
      </c>
      <c r="I611" s="293"/>
    </row>
    <row r="612">
      <c r="A612" t="s">
        <v>277</v>
      </c>
      <c r="B612" s="287">
        <v>42229.0</v>
      </c>
      <c r="C612" s="288">
        <f t="shared" si="1"/>
        <v>225</v>
      </c>
      <c r="D612" s="289">
        <f t="shared" si="2"/>
        <v>7.37704918</v>
      </c>
      <c r="E612" s="290">
        <f t="shared" si="3"/>
        <v>8</v>
      </c>
      <c r="F612" s="290" t="s">
        <v>736</v>
      </c>
      <c r="G612" s="291">
        <v>-0.0024110546528643972</v>
      </c>
      <c r="H612" s="296">
        <v>0.0</v>
      </c>
      <c r="I612" s="293"/>
    </row>
    <row r="613">
      <c r="A613" t="s">
        <v>955</v>
      </c>
      <c r="B613" s="287">
        <v>42229.0</v>
      </c>
      <c r="C613" s="288">
        <f t="shared" si="1"/>
        <v>225</v>
      </c>
      <c r="D613" s="289">
        <f t="shared" si="2"/>
        <v>7.37704918</v>
      </c>
      <c r="E613" s="290">
        <f t="shared" si="3"/>
        <v>8</v>
      </c>
      <c r="F613" s="290" t="s">
        <v>736</v>
      </c>
      <c r="G613" s="291">
        <v>1.0897221025674142E-4</v>
      </c>
      <c r="H613" s="296">
        <v>0.0</v>
      </c>
      <c r="I613" s="293"/>
    </row>
    <row r="614">
      <c r="A614" t="s">
        <v>346</v>
      </c>
      <c r="B614" s="287">
        <v>42595.0</v>
      </c>
      <c r="C614" s="288">
        <f t="shared" si="1"/>
        <v>226</v>
      </c>
      <c r="D614" s="289">
        <f t="shared" si="2"/>
        <v>7.409836066</v>
      </c>
      <c r="E614" s="290">
        <f t="shared" si="3"/>
        <v>8</v>
      </c>
      <c r="F614" s="290" t="s">
        <v>736</v>
      </c>
      <c r="G614" s="291">
        <v>0.016558220026313353</v>
      </c>
      <c r="H614" s="296">
        <v>1.0</v>
      </c>
      <c r="I614" s="293"/>
    </row>
    <row r="615">
      <c r="A615" t="s">
        <v>956</v>
      </c>
      <c r="B615" s="287">
        <v>42230.0</v>
      </c>
      <c r="C615" s="288">
        <f t="shared" si="1"/>
        <v>226</v>
      </c>
      <c r="D615" s="289">
        <f t="shared" si="2"/>
        <v>7.409836066</v>
      </c>
      <c r="E615" s="290">
        <f t="shared" si="3"/>
        <v>8</v>
      </c>
      <c r="F615" s="290" t="s">
        <v>736</v>
      </c>
      <c r="G615" s="291">
        <v>-0.007664541703654493</v>
      </c>
      <c r="H615" s="296">
        <v>0.0</v>
      </c>
      <c r="I615" s="293"/>
    </row>
    <row r="616">
      <c r="A616" t="s">
        <v>957</v>
      </c>
      <c r="B616" s="287">
        <v>42230.0</v>
      </c>
      <c r="C616" s="288">
        <f t="shared" si="1"/>
        <v>226</v>
      </c>
      <c r="D616" s="289">
        <f t="shared" si="2"/>
        <v>7.409836066</v>
      </c>
      <c r="E616" s="290">
        <f t="shared" si="3"/>
        <v>8</v>
      </c>
      <c r="F616" s="290" t="s">
        <v>736</v>
      </c>
      <c r="G616" s="291">
        <v>-0.004572203948990716</v>
      </c>
      <c r="H616" s="296">
        <v>0.0</v>
      </c>
      <c r="I616" s="293"/>
    </row>
    <row r="617">
      <c r="A617" t="s">
        <v>759</v>
      </c>
      <c r="B617" s="287">
        <v>42230.0</v>
      </c>
      <c r="C617" s="288">
        <f t="shared" si="1"/>
        <v>226</v>
      </c>
      <c r="D617" s="289">
        <f t="shared" si="2"/>
        <v>7.409836066</v>
      </c>
      <c r="E617" s="290">
        <f t="shared" si="3"/>
        <v>8</v>
      </c>
      <c r="F617" s="290" t="s">
        <v>736</v>
      </c>
      <c r="G617" s="291">
        <v>0.015322998103405316</v>
      </c>
      <c r="H617" s="296">
        <v>1.0</v>
      </c>
      <c r="I617" s="293"/>
    </row>
    <row r="618">
      <c r="A618" t="s">
        <v>869</v>
      </c>
      <c r="B618" s="287">
        <v>42962.0</v>
      </c>
      <c r="C618" s="288">
        <f t="shared" si="1"/>
        <v>227</v>
      </c>
      <c r="D618" s="289">
        <f t="shared" si="2"/>
        <v>7.442622951</v>
      </c>
      <c r="E618" s="290">
        <f t="shared" si="3"/>
        <v>8</v>
      </c>
      <c r="F618" s="290" t="s">
        <v>736</v>
      </c>
      <c r="G618" s="291">
        <v>0.007735825466853474</v>
      </c>
      <c r="H618" s="296">
        <v>0.0</v>
      </c>
      <c r="I618" s="293"/>
    </row>
    <row r="619">
      <c r="A619" t="s">
        <v>958</v>
      </c>
      <c r="B619" s="287">
        <v>42962.0</v>
      </c>
      <c r="C619" s="288">
        <f t="shared" si="1"/>
        <v>227</v>
      </c>
      <c r="D619" s="289">
        <f t="shared" si="2"/>
        <v>7.442622951</v>
      </c>
      <c r="E619" s="290">
        <f t="shared" si="3"/>
        <v>8</v>
      </c>
      <c r="F619" s="290" t="s">
        <v>736</v>
      </c>
      <c r="G619" s="291">
        <v>-0.0013581822761470352</v>
      </c>
      <c r="H619" s="296">
        <v>0.0</v>
      </c>
      <c r="I619" s="293"/>
    </row>
    <row r="620">
      <c r="A620" t="s">
        <v>808</v>
      </c>
      <c r="B620" s="287">
        <v>42596.0</v>
      </c>
      <c r="C620" s="288">
        <f t="shared" si="1"/>
        <v>227</v>
      </c>
      <c r="D620" s="289">
        <f t="shared" si="2"/>
        <v>7.442622951</v>
      </c>
      <c r="E620" s="290">
        <f t="shared" si="3"/>
        <v>8</v>
      </c>
      <c r="F620" s="290" t="s">
        <v>736</v>
      </c>
      <c r="G620" s="291">
        <v>0.013729037380087239</v>
      </c>
      <c r="H620" s="296">
        <v>1.0</v>
      </c>
      <c r="I620" s="293"/>
    </row>
    <row r="621">
      <c r="A621" t="s">
        <v>959</v>
      </c>
      <c r="B621" s="287">
        <v>42231.0</v>
      </c>
      <c r="C621" s="288">
        <f t="shared" si="1"/>
        <v>227</v>
      </c>
      <c r="D621" s="289">
        <f t="shared" si="2"/>
        <v>7.442622951</v>
      </c>
      <c r="E621" s="290">
        <f t="shared" si="3"/>
        <v>8</v>
      </c>
      <c r="F621" s="290" t="s">
        <v>736</v>
      </c>
      <c r="G621" s="291">
        <v>-0.058903592082193645</v>
      </c>
      <c r="H621" s="296">
        <v>-1.0</v>
      </c>
      <c r="I621" s="293"/>
    </row>
    <row r="622">
      <c r="A622" t="s">
        <v>304</v>
      </c>
      <c r="B622" s="287">
        <v>42231.0</v>
      </c>
      <c r="C622" s="288">
        <f t="shared" si="1"/>
        <v>227</v>
      </c>
      <c r="D622" s="289">
        <f t="shared" si="2"/>
        <v>7.442622951</v>
      </c>
      <c r="E622" s="290">
        <f t="shared" si="3"/>
        <v>8</v>
      </c>
      <c r="F622" s="290" t="s">
        <v>736</v>
      </c>
      <c r="G622" s="291">
        <v>0.01743439125391466</v>
      </c>
      <c r="H622" s="296">
        <v>1.0</v>
      </c>
      <c r="I622" s="293"/>
    </row>
    <row r="623">
      <c r="A623" t="s">
        <v>760</v>
      </c>
      <c r="B623" s="287">
        <v>42231.0</v>
      </c>
      <c r="C623" s="288">
        <f t="shared" si="1"/>
        <v>227</v>
      </c>
      <c r="D623" s="289">
        <f t="shared" si="2"/>
        <v>7.442622951</v>
      </c>
      <c r="E623" s="290">
        <f t="shared" si="3"/>
        <v>8</v>
      </c>
      <c r="F623" s="290" t="s">
        <v>736</v>
      </c>
      <c r="G623" s="291">
        <v>0.00720848335774138</v>
      </c>
      <c r="H623" s="296">
        <v>0.0</v>
      </c>
      <c r="I623" s="293"/>
    </row>
    <row r="624">
      <c r="A624" t="s">
        <v>960</v>
      </c>
      <c r="B624" s="287">
        <v>42963.0</v>
      </c>
      <c r="C624" s="288">
        <f t="shared" si="1"/>
        <v>228</v>
      </c>
      <c r="D624" s="289">
        <f t="shared" si="2"/>
        <v>7.475409836</v>
      </c>
      <c r="E624" s="290">
        <f t="shared" si="3"/>
        <v>8</v>
      </c>
      <c r="F624" s="290" t="s">
        <v>736</v>
      </c>
      <c r="G624" s="291">
        <v>0.012590310597536236</v>
      </c>
      <c r="H624" s="296">
        <v>1.0</v>
      </c>
      <c r="I624" s="293"/>
    </row>
    <row r="625">
      <c r="A625" t="s">
        <v>855</v>
      </c>
      <c r="B625" s="287">
        <v>42963.0</v>
      </c>
      <c r="C625" s="288">
        <f t="shared" si="1"/>
        <v>228</v>
      </c>
      <c r="D625" s="289">
        <f t="shared" si="2"/>
        <v>7.475409836</v>
      </c>
      <c r="E625" s="290">
        <f t="shared" si="3"/>
        <v>8</v>
      </c>
      <c r="F625" s="290" t="s">
        <v>736</v>
      </c>
      <c r="G625" s="291">
        <v>-0.007850439119833408</v>
      </c>
      <c r="H625" s="296">
        <v>0.0</v>
      </c>
      <c r="I625" s="293"/>
    </row>
    <row r="626">
      <c r="A626" t="s">
        <v>961</v>
      </c>
      <c r="B626" s="287">
        <v>42597.0</v>
      </c>
      <c r="C626" s="288">
        <f t="shared" si="1"/>
        <v>228</v>
      </c>
      <c r="D626" s="289">
        <f t="shared" si="2"/>
        <v>7.475409836</v>
      </c>
      <c r="E626" s="290">
        <f t="shared" si="3"/>
        <v>8</v>
      </c>
      <c r="F626" s="290" t="s">
        <v>736</v>
      </c>
      <c r="G626" s="291">
        <v>0.004777693804682959</v>
      </c>
      <c r="H626" s="296">
        <v>0.0</v>
      </c>
      <c r="I626" s="293"/>
    </row>
    <row r="627">
      <c r="A627" t="s">
        <v>127</v>
      </c>
      <c r="B627" s="287">
        <v>42232.0</v>
      </c>
      <c r="C627" s="288">
        <f t="shared" si="1"/>
        <v>228</v>
      </c>
      <c r="D627" s="289">
        <f t="shared" si="2"/>
        <v>7.475409836</v>
      </c>
      <c r="E627" s="290">
        <f t="shared" si="3"/>
        <v>8</v>
      </c>
      <c r="F627" s="290" t="s">
        <v>736</v>
      </c>
      <c r="G627" s="291">
        <v>-0.07924062338271676</v>
      </c>
      <c r="H627" s="296">
        <v>-1.0</v>
      </c>
      <c r="I627" s="293"/>
    </row>
    <row r="628">
      <c r="A628" t="s">
        <v>962</v>
      </c>
      <c r="B628" s="287">
        <v>42964.0</v>
      </c>
      <c r="C628" s="288">
        <f t="shared" si="1"/>
        <v>229</v>
      </c>
      <c r="D628" s="289">
        <f t="shared" si="2"/>
        <v>7.508196721</v>
      </c>
      <c r="E628" s="290">
        <f t="shared" si="3"/>
        <v>8</v>
      </c>
      <c r="F628" s="290" t="s">
        <v>736</v>
      </c>
      <c r="G628" s="291">
        <v>-0.0034697153465450548</v>
      </c>
      <c r="H628" s="296">
        <v>0.0</v>
      </c>
      <c r="I628" s="293"/>
    </row>
    <row r="629">
      <c r="A629" t="s">
        <v>747</v>
      </c>
      <c r="B629" s="287">
        <v>42233.0</v>
      </c>
      <c r="C629" s="288">
        <f t="shared" si="1"/>
        <v>229</v>
      </c>
      <c r="D629" s="289">
        <f t="shared" si="2"/>
        <v>7.508196721</v>
      </c>
      <c r="E629" s="290">
        <f t="shared" si="3"/>
        <v>8</v>
      </c>
      <c r="F629" s="290" t="s">
        <v>736</v>
      </c>
      <c r="G629" s="291">
        <v>-0.027600473010352844</v>
      </c>
      <c r="H629" s="296">
        <v>-1.0</v>
      </c>
      <c r="I629" s="293"/>
    </row>
    <row r="630">
      <c r="A630" t="s">
        <v>808</v>
      </c>
      <c r="B630" s="287">
        <v>42233.0</v>
      </c>
      <c r="C630" s="288">
        <f t="shared" si="1"/>
        <v>229</v>
      </c>
      <c r="D630" s="289">
        <f t="shared" si="2"/>
        <v>7.508196721</v>
      </c>
      <c r="E630" s="290">
        <f t="shared" si="3"/>
        <v>8</v>
      </c>
      <c r="F630" s="290" t="s">
        <v>736</v>
      </c>
      <c r="G630" s="291">
        <v>-0.03356907227293582</v>
      </c>
      <c r="H630" s="296">
        <v>-1.0</v>
      </c>
      <c r="I630" s="293"/>
    </row>
    <row r="631">
      <c r="A631" t="s">
        <v>756</v>
      </c>
      <c r="B631" s="287">
        <v>42965.0</v>
      </c>
      <c r="C631" s="288">
        <f t="shared" si="1"/>
        <v>230</v>
      </c>
      <c r="D631" s="289">
        <f t="shared" si="2"/>
        <v>7.540983607</v>
      </c>
      <c r="E631" s="290">
        <f t="shared" si="3"/>
        <v>8</v>
      </c>
      <c r="F631" s="290" t="s">
        <v>736</v>
      </c>
      <c r="G631" s="291">
        <v>-0.003946190416558415</v>
      </c>
      <c r="H631" s="296">
        <v>0.0</v>
      </c>
      <c r="I631" s="293"/>
    </row>
    <row r="632">
      <c r="A632" t="s">
        <v>187</v>
      </c>
      <c r="B632" s="287">
        <v>42965.0</v>
      </c>
      <c r="C632" s="288">
        <f t="shared" si="1"/>
        <v>230</v>
      </c>
      <c r="D632" s="289">
        <f t="shared" si="2"/>
        <v>7.540983607</v>
      </c>
      <c r="E632" s="290">
        <f t="shared" si="3"/>
        <v>8</v>
      </c>
      <c r="F632" s="290" t="s">
        <v>736</v>
      </c>
      <c r="G632" s="291">
        <v>-7.617397923243008E-4</v>
      </c>
      <c r="H632" s="296">
        <v>0.0</v>
      </c>
      <c r="I632" s="293"/>
    </row>
    <row r="633">
      <c r="A633" t="s">
        <v>769</v>
      </c>
      <c r="B633" s="287">
        <v>42599.0</v>
      </c>
      <c r="C633" s="288">
        <f t="shared" si="1"/>
        <v>230</v>
      </c>
      <c r="D633" s="289">
        <f t="shared" si="2"/>
        <v>7.540983607</v>
      </c>
      <c r="E633" s="290">
        <f t="shared" si="3"/>
        <v>8</v>
      </c>
      <c r="F633" s="290" t="s">
        <v>736</v>
      </c>
      <c r="G633" s="291">
        <v>0.021660847372766745</v>
      </c>
      <c r="H633" s="296">
        <v>1.0</v>
      </c>
      <c r="I633" s="293"/>
    </row>
    <row r="634">
      <c r="A634" t="s">
        <v>940</v>
      </c>
      <c r="B634" s="287">
        <v>42599.0</v>
      </c>
      <c r="C634" s="288">
        <f t="shared" si="1"/>
        <v>230</v>
      </c>
      <c r="D634" s="289">
        <f t="shared" si="2"/>
        <v>7.540983607</v>
      </c>
      <c r="E634" s="290">
        <f t="shared" si="3"/>
        <v>8</v>
      </c>
      <c r="F634" s="290" t="s">
        <v>736</v>
      </c>
      <c r="G634" s="291">
        <v>0.014923058892266639</v>
      </c>
      <c r="H634" s="296">
        <v>1.0</v>
      </c>
      <c r="I634" s="293"/>
    </row>
    <row r="635">
      <c r="A635" t="s">
        <v>770</v>
      </c>
      <c r="B635" s="287">
        <v>42234.0</v>
      </c>
      <c r="C635" s="288">
        <f t="shared" si="1"/>
        <v>230</v>
      </c>
      <c r="D635" s="289">
        <f t="shared" si="2"/>
        <v>7.540983607</v>
      </c>
      <c r="E635" s="290">
        <f t="shared" si="3"/>
        <v>8</v>
      </c>
      <c r="F635" s="290" t="s">
        <v>736</v>
      </c>
      <c r="G635" s="291">
        <v>-0.017634865766417707</v>
      </c>
      <c r="H635" s="296">
        <v>-1.0</v>
      </c>
      <c r="I635" s="293"/>
    </row>
    <row r="636">
      <c r="A636" t="s">
        <v>963</v>
      </c>
      <c r="B636" s="287">
        <v>42234.0</v>
      </c>
      <c r="C636" s="288">
        <f t="shared" si="1"/>
        <v>230</v>
      </c>
      <c r="D636" s="289">
        <f t="shared" si="2"/>
        <v>7.540983607</v>
      </c>
      <c r="E636" s="290">
        <f t="shared" si="3"/>
        <v>8</v>
      </c>
      <c r="F636" s="290" t="s">
        <v>736</v>
      </c>
      <c r="G636" s="291">
        <v>0.02349426135235899</v>
      </c>
      <c r="H636" s="296">
        <v>1.0</v>
      </c>
      <c r="I636" s="293"/>
    </row>
    <row r="637">
      <c r="A637" t="s">
        <v>861</v>
      </c>
      <c r="B637" s="287">
        <v>42235.0</v>
      </c>
      <c r="C637" s="288">
        <f t="shared" si="1"/>
        <v>231</v>
      </c>
      <c r="D637" s="289">
        <f t="shared" si="2"/>
        <v>7.573770492</v>
      </c>
      <c r="E637" s="290">
        <f t="shared" si="3"/>
        <v>8</v>
      </c>
      <c r="F637" s="290" t="s">
        <v>736</v>
      </c>
      <c r="G637" s="291">
        <v>0.01463045385373285</v>
      </c>
      <c r="H637" s="296">
        <v>1.0</v>
      </c>
      <c r="I637" s="293"/>
    </row>
    <row r="638">
      <c r="A638" t="s">
        <v>953</v>
      </c>
      <c r="B638" s="287">
        <v>42967.0</v>
      </c>
      <c r="C638" s="288">
        <f t="shared" si="1"/>
        <v>232</v>
      </c>
      <c r="D638" s="289">
        <f t="shared" si="2"/>
        <v>7.606557377</v>
      </c>
      <c r="E638" s="290">
        <f t="shared" si="3"/>
        <v>8</v>
      </c>
      <c r="F638" s="290" t="s">
        <v>736</v>
      </c>
      <c r="G638" s="291">
        <v>0.02358919886134503</v>
      </c>
      <c r="H638" s="296">
        <v>1.0</v>
      </c>
      <c r="I638" s="293"/>
    </row>
    <row r="639">
      <c r="A639" t="s">
        <v>759</v>
      </c>
      <c r="B639" s="287">
        <v>42601.0</v>
      </c>
      <c r="C639" s="288">
        <f t="shared" si="1"/>
        <v>232</v>
      </c>
      <c r="D639" s="289">
        <f t="shared" si="2"/>
        <v>7.606557377</v>
      </c>
      <c r="E639" s="290">
        <f t="shared" si="3"/>
        <v>8</v>
      </c>
      <c r="F639" s="290" t="s">
        <v>736</v>
      </c>
      <c r="G639" s="291">
        <v>0.010430319109520192</v>
      </c>
      <c r="H639" s="296">
        <v>1.0</v>
      </c>
      <c r="I639" s="293"/>
    </row>
    <row r="640">
      <c r="A640" t="s">
        <v>964</v>
      </c>
      <c r="B640" s="287">
        <v>42601.0</v>
      </c>
      <c r="C640" s="288">
        <f t="shared" si="1"/>
        <v>232</v>
      </c>
      <c r="D640" s="289">
        <f t="shared" si="2"/>
        <v>7.606557377</v>
      </c>
      <c r="E640" s="290">
        <f t="shared" si="3"/>
        <v>8</v>
      </c>
      <c r="F640" s="290" t="s">
        <v>736</v>
      </c>
      <c r="G640" s="291">
        <v>0.015258803727774328</v>
      </c>
      <c r="H640" s="296">
        <v>1.0</v>
      </c>
      <c r="I640" s="293"/>
    </row>
    <row r="641">
      <c r="A641" t="s">
        <v>965</v>
      </c>
      <c r="B641" s="287">
        <v>42236.0</v>
      </c>
      <c r="C641" s="288">
        <f t="shared" si="1"/>
        <v>232</v>
      </c>
      <c r="D641" s="289">
        <f t="shared" si="2"/>
        <v>7.606557377</v>
      </c>
      <c r="E641" s="290">
        <f t="shared" si="3"/>
        <v>8</v>
      </c>
      <c r="F641" s="290" t="s">
        <v>736</v>
      </c>
      <c r="G641" s="291">
        <v>-0.044671286315748016</v>
      </c>
      <c r="H641" s="296">
        <v>-1.0</v>
      </c>
      <c r="I641" s="293"/>
    </row>
    <row r="642">
      <c r="A642" t="s">
        <v>716</v>
      </c>
      <c r="B642" s="287">
        <v>42236.0</v>
      </c>
      <c r="C642" s="288">
        <f t="shared" si="1"/>
        <v>232</v>
      </c>
      <c r="D642" s="289">
        <f t="shared" si="2"/>
        <v>7.606557377</v>
      </c>
      <c r="E642" s="290">
        <f t="shared" si="3"/>
        <v>8</v>
      </c>
      <c r="F642" s="290" t="s">
        <v>736</v>
      </c>
      <c r="G642" s="291">
        <v>-0.002005933123002235</v>
      </c>
      <c r="H642" s="296">
        <v>0.0</v>
      </c>
      <c r="I642" s="293"/>
    </row>
    <row r="643">
      <c r="A643" t="s">
        <v>951</v>
      </c>
      <c r="B643" s="287">
        <v>42968.0</v>
      </c>
      <c r="C643" s="288">
        <f t="shared" si="1"/>
        <v>233</v>
      </c>
      <c r="D643" s="289">
        <f t="shared" si="2"/>
        <v>7.639344262</v>
      </c>
      <c r="E643" s="290">
        <f t="shared" si="3"/>
        <v>8</v>
      </c>
      <c r="F643" s="290" t="s">
        <v>736</v>
      </c>
      <c r="G643" s="291">
        <v>-0.012987597848249766</v>
      </c>
      <c r="H643" s="296">
        <v>-1.0</v>
      </c>
      <c r="I643" s="293"/>
    </row>
    <row r="644">
      <c r="A644" t="s">
        <v>966</v>
      </c>
      <c r="B644" s="287">
        <v>42968.0</v>
      </c>
      <c r="C644" s="288">
        <f t="shared" si="1"/>
        <v>233</v>
      </c>
      <c r="D644" s="289">
        <f t="shared" si="2"/>
        <v>7.639344262</v>
      </c>
      <c r="E644" s="290">
        <f t="shared" si="3"/>
        <v>8</v>
      </c>
      <c r="F644" s="290" t="s">
        <v>736</v>
      </c>
      <c r="G644" s="291">
        <v>0.0376910987833875</v>
      </c>
      <c r="H644" s="296">
        <v>1.0</v>
      </c>
      <c r="I644" s="293"/>
    </row>
    <row r="645">
      <c r="A645" t="s">
        <v>967</v>
      </c>
      <c r="B645" s="297">
        <v>42968.0</v>
      </c>
      <c r="C645" s="288">
        <f t="shared" si="1"/>
        <v>233</v>
      </c>
      <c r="D645" s="289">
        <f t="shared" si="2"/>
        <v>7.639344262</v>
      </c>
      <c r="E645" s="290">
        <f t="shared" si="3"/>
        <v>8</v>
      </c>
      <c r="F645" s="290" t="s">
        <v>736</v>
      </c>
      <c r="G645" s="291">
        <v>-0.005632205603517737</v>
      </c>
      <c r="H645" s="296">
        <v>0.0</v>
      </c>
      <c r="I645" s="293"/>
    </row>
    <row r="646">
      <c r="A646" t="s">
        <v>232</v>
      </c>
      <c r="B646" s="287">
        <v>42968.0</v>
      </c>
      <c r="C646" s="288">
        <f t="shared" si="1"/>
        <v>233</v>
      </c>
      <c r="D646" s="289">
        <f t="shared" si="2"/>
        <v>7.639344262</v>
      </c>
      <c r="E646" s="290">
        <f t="shared" si="3"/>
        <v>8</v>
      </c>
      <c r="F646" s="290" t="s">
        <v>736</v>
      </c>
      <c r="G646" s="291">
        <v>0.0016840283755343854</v>
      </c>
      <c r="H646" s="296">
        <v>0.0</v>
      </c>
      <c r="I646" s="293"/>
    </row>
    <row r="647">
      <c r="A647" t="s">
        <v>968</v>
      </c>
      <c r="B647" s="287">
        <v>42969.0</v>
      </c>
      <c r="C647" s="288">
        <f t="shared" si="1"/>
        <v>234</v>
      </c>
      <c r="D647" s="289">
        <f t="shared" si="2"/>
        <v>7.672131148</v>
      </c>
      <c r="E647" s="290">
        <f t="shared" si="3"/>
        <v>8</v>
      </c>
      <c r="F647" s="290" t="s">
        <v>736</v>
      </c>
      <c r="G647" s="291">
        <v>2.0089638632536655E-5</v>
      </c>
      <c r="H647" s="296">
        <v>0.0</v>
      </c>
      <c r="I647" s="293"/>
    </row>
    <row r="648">
      <c r="A648" t="s">
        <v>714</v>
      </c>
      <c r="B648" s="287">
        <v>42969.0</v>
      </c>
      <c r="C648" s="288">
        <f t="shared" si="1"/>
        <v>234</v>
      </c>
      <c r="D648" s="289">
        <f t="shared" si="2"/>
        <v>7.672131148</v>
      </c>
      <c r="E648" s="290">
        <f t="shared" si="3"/>
        <v>8</v>
      </c>
      <c r="F648" s="290" t="s">
        <v>736</v>
      </c>
      <c r="G648" s="291">
        <v>-0.007892746536731332</v>
      </c>
      <c r="H648" s="296">
        <v>0.0</v>
      </c>
      <c r="I648" s="293"/>
    </row>
    <row r="649">
      <c r="A649" t="s">
        <v>969</v>
      </c>
      <c r="B649" s="287">
        <v>42603.0</v>
      </c>
      <c r="C649" s="288">
        <f t="shared" si="1"/>
        <v>234</v>
      </c>
      <c r="D649" s="289">
        <f t="shared" si="2"/>
        <v>7.672131148</v>
      </c>
      <c r="E649" s="290">
        <f t="shared" si="3"/>
        <v>8</v>
      </c>
      <c r="F649" s="290" t="s">
        <v>736</v>
      </c>
      <c r="G649" s="291">
        <v>-0.02311853187635493</v>
      </c>
      <c r="H649" s="296">
        <v>-1.0</v>
      </c>
      <c r="I649" s="293"/>
    </row>
    <row r="650">
      <c r="A650" t="s">
        <v>715</v>
      </c>
      <c r="B650" s="287">
        <v>42238.0</v>
      </c>
      <c r="C650" s="288">
        <f t="shared" si="1"/>
        <v>234</v>
      </c>
      <c r="D650" s="289">
        <f t="shared" si="2"/>
        <v>7.672131148</v>
      </c>
      <c r="E650" s="290">
        <f t="shared" si="3"/>
        <v>8</v>
      </c>
      <c r="F650" s="290" t="s">
        <v>736</v>
      </c>
      <c r="G650" s="291">
        <v>-0.014661461363885686</v>
      </c>
      <c r="H650" s="296">
        <v>-1.0</v>
      </c>
      <c r="I650" s="293"/>
    </row>
    <row r="651">
      <c r="A651" t="s">
        <v>900</v>
      </c>
      <c r="B651" s="287">
        <v>42970.0</v>
      </c>
      <c r="C651" s="288">
        <f t="shared" si="1"/>
        <v>235</v>
      </c>
      <c r="D651" s="289">
        <f t="shared" si="2"/>
        <v>7.704918033</v>
      </c>
      <c r="E651" s="290">
        <f t="shared" si="3"/>
        <v>8</v>
      </c>
      <c r="F651" s="290" t="s">
        <v>736</v>
      </c>
      <c r="G651" s="291">
        <v>0.0058632864573611165</v>
      </c>
      <c r="H651" s="296">
        <v>0.0</v>
      </c>
      <c r="I651" s="293"/>
    </row>
    <row r="652">
      <c r="A652" t="s">
        <v>970</v>
      </c>
      <c r="B652" s="287">
        <v>42970.0</v>
      </c>
      <c r="C652" s="288">
        <f t="shared" si="1"/>
        <v>235</v>
      </c>
      <c r="D652" s="289">
        <f t="shared" si="2"/>
        <v>7.704918033</v>
      </c>
      <c r="E652" s="290">
        <f t="shared" si="3"/>
        <v>8</v>
      </c>
      <c r="F652" s="290" t="s">
        <v>736</v>
      </c>
      <c r="G652" s="291">
        <v>0.012299721774857497</v>
      </c>
      <c r="H652" s="296">
        <v>1.0</v>
      </c>
      <c r="I652" s="293"/>
    </row>
    <row r="653">
      <c r="A653" t="s">
        <v>766</v>
      </c>
      <c r="B653" s="287">
        <v>42604.0</v>
      </c>
      <c r="C653" s="288">
        <f t="shared" si="1"/>
        <v>235</v>
      </c>
      <c r="D653" s="289">
        <f t="shared" si="2"/>
        <v>7.704918033</v>
      </c>
      <c r="E653" s="290">
        <f t="shared" si="3"/>
        <v>8</v>
      </c>
      <c r="F653" s="290" t="s">
        <v>736</v>
      </c>
      <c r="G653" s="291">
        <v>0.005151416035577783</v>
      </c>
      <c r="H653" s="296">
        <v>0.0</v>
      </c>
      <c r="I653" s="293"/>
    </row>
    <row r="654">
      <c r="A654" t="s">
        <v>777</v>
      </c>
      <c r="B654" s="287">
        <v>42604.0</v>
      </c>
      <c r="C654" s="288">
        <f t="shared" si="1"/>
        <v>235</v>
      </c>
      <c r="D654" s="289">
        <f t="shared" si="2"/>
        <v>7.704918033</v>
      </c>
      <c r="E654" s="290">
        <f t="shared" si="3"/>
        <v>8</v>
      </c>
      <c r="F654" s="290" t="s">
        <v>736</v>
      </c>
      <c r="G654" s="291">
        <v>0.018794939170930003</v>
      </c>
      <c r="H654" s="296">
        <v>1.0</v>
      </c>
      <c r="I654" s="293"/>
    </row>
    <row r="655">
      <c r="A655" t="s">
        <v>971</v>
      </c>
      <c r="B655" s="287">
        <v>42971.0</v>
      </c>
      <c r="C655" s="288">
        <f t="shared" si="1"/>
        <v>236</v>
      </c>
      <c r="D655" s="289">
        <f t="shared" si="2"/>
        <v>7.737704918</v>
      </c>
      <c r="E655" s="290">
        <f t="shared" si="3"/>
        <v>8</v>
      </c>
      <c r="F655" s="290" t="s">
        <v>736</v>
      </c>
      <c r="G655" s="291">
        <v>0.07054334741392732</v>
      </c>
      <c r="H655" s="296">
        <v>1.0</v>
      </c>
      <c r="I655" s="293"/>
    </row>
    <row r="656">
      <c r="A656" t="s">
        <v>972</v>
      </c>
      <c r="B656" s="287">
        <v>42971.0</v>
      </c>
      <c r="C656" s="288">
        <f t="shared" si="1"/>
        <v>236</v>
      </c>
      <c r="D656" s="289">
        <f t="shared" si="2"/>
        <v>7.737704918</v>
      </c>
      <c r="E656" s="290">
        <f t="shared" si="3"/>
        <v>8</v>
      </c>
      <c r="F656" s="290" t="s">
        <v>736</v>
      </c>
      <c r="G656" s="291">
        <v>0.003298711580699387</v>
      </c>
      <c r="H656" s="296">
        <v>0.0</v>
      </c>
      <c r="I656" s="293"/>
    </row>
    <row r="657">
      <c r="A657" t="s">
        <v>547</v>
      </c>
      <c r="B657" s="287">
        <v>42971.0</v>
      </c>
      <c r="C657" s="288">
        <f t="shared" si="1"/>
        <v>236</v>
      </c>
      <c r="D657" s="289">
        <f t="shared" si="2"/>
        <v>7.737704918</v>
      </c>
      <c r="E657" s="290">
        <f t="shared" si="3"/>
        <v>8</v>
      </c>
      <c r="F657" s="290" t="s">
        <v>736</v>
      </c>
      <c r="G657" s="291">
        <v>-0.0016274136936506034</v>
      </c>
      <c r="H657" s="296">
        <v>0.0</v>
      </c>
      <c r="I657" s="293"/>
    </row>
    <row r="658">
      <c r="A658" t="s">
        <v>756</v>
      </c>
      <c r="B658" s="287">
        <v>42605.0</v>
      </c>
      <c r="C658" s="288">
        <f t="shared" si="1"/>
        <v>236</v>
      </c>
      <c r="D658" s="289">
        <f t="shared" si="2"/>
        <v>7.737704918</v>
      </c>
      <c r="E658" s="290">
        <f t="shared" si="3"/>
        <v>8</v>
      </c>
      <c r="F658" s="290" t="s">
        <v>736</v>
      </c>
      <c r="G658" s="291">
        <v>0.01940842748156657</v>
      </c>
      <c r="H658" s="296">
        <v>1.0</v>
      </c>
      <c r="I658" s="293"/>
    </row>
    <row r="659">
      <c r="A659" t="s">
        <v>973</v>
      </c>
      <c r="B659" s="287">
        <v>42605.0</v>
      </c>
      <c r="C659" s="288">
        <f t="shared" si="1"/>
        <v>236</v>
      </c>
      <c r="D659" s="289">
        <f t="shared" si="2"/>
        <v>7.737704918</v>
      </c>
      <c r="E659" s="290">
        <f t="shared" si="3"/>
        <v>8</v>
      </c>
      <c r="F659" s="290" t="s">
        <v>736</v>
      </c>
      <c r="G659" s="291">
        <v>0.0073646753116531904</v>
      </c>
      <c r="H659" s="296">
        <v>0.0</v>
      </c>
      <c r="I659" s="293"/>
    </row>
    <row r="660">
      <c r="A660" t="s">
        <v>790</v>
      </c>
      <c r="B660" s="287">
        <v>42240.0</v>
      </c>
      <c r="C660" s="288">
        <f t="shared" si="1"/>
        <v>236</v>
      </c>
      <c r="D660" s="289">
        <f t="shared" si="2"/>
        <v>7.737704918</v>
      </c>
      <c r="E660" s="290">
        <f t="shared" si="3"/>
        <v>8</v>
      </c>
      <c r="F660" s="290" t="s">
        <v>736</v>
      </c>
      <c r="G660" s="291">
        <v>-0.008937838987087887</v>
      </c>
      <c r="H660" s="296">
        <v>0.0</v>
      </c>
      <c r="I660" s="293"/>
    </row>
    <row r="661">
      <c r="A661" t="s">
        <v>974</v>
      </c>
      <c r="B661" s="287">
        <v>42240.0</v>
      </c>
      <c r="C661" s="288">
        <f t="shared" si="1"/>
        <v>236</v>
      </c>
      <c r="D661" s="289">
        <f t="shared" si="2"/>
        <v>7.737704918</v>
      </c>
      <c r="E661" s="290">
        <f t="shared" si="3"/>
        <v>8</v>
      </c>
      <c r="F661" s="290" t="s">
        <v>736</v>
      </c>
      <c r="G661" s="291">
        <v>0.026200601308835947</v>
      </c>
      <c r="H661" s="296">
        <v>1.0</v>
      </c>
      <c r="I661" s="293"/>
    </row>
    <row r="662">
      <c r="A662" t="s">
        <v>751</v>
      </c>
      <c r="B662" s="287">
        <v>42972.0</v>
      </c>
      <c r="C662" s="288">
        <f t="shared" si="1"/>
        <v>237</v>
      </c>
      <c r="D662" s="289">
        <f t="shared" si="2"/>
        <v>7.770491803</v>
      </c>
      <c r="E662" s="290">
        <f t="shared" si="3"/>
        <v>8</v>
      </c>
      <c r="F662" s="290" t="s">
        <v>736</v>
      </c>
      <c r="G662" s="291">
        <v>-0.01968396326772681</v>
      </c>
      <c r="H662" s="296">
        <v>-1.0</v>
      </c>
      <c r="I662" s="293"/>
    </row>
    <row r="663">
      <c r="A663" t="s">
        <v>751</v>
      </c>
      <c r="B663" s="287">
        <v>42972.0</v>
      </c>
      <c r="C663" s="288">
        <f t="shared" si="1"/>
        <v>237</v>
      </c>
      <c r="D663" s="289">
        <f t="shared" si="2"/>
        <v>7.770491803</v>
      </c>
      <c r="E663" s="290">
        <f t="shared" si="3"/>
        <v>8</v>
      </c>
      <c r="F663" s="290" t="s">
        <v>736</v>
      </c>
      <c r="G663" s="291">
        <v>-0.03458865758575502</v>
      </c>
      <c r="H663" s="296">
        <v>-1.0</v>
      </c>
      <c r="I663" s="293"/>
    </row>
    <row r="664">
      <c r="A664" t="s">
        <v>975</v>
      </c>
      <c r="B664" s="287">
        <v>42972.0</v>
      </c>
      <c r="C664" s="288">
        <f t="shared" si="1"/>
        <v>237</v>
      </c>
      <c r="D664" s="289">
        <f t="shared" si="2"/>
        <v>7.770491803</v>
      </c>
      <c r="E664" s="290">
        <f t="shared" si="3"/>
        <v>8</v>
      </c>
      <c r="F664" s="290" t="s">
        <v>736</v>
      </c>
      <c r="G664" s="291">
        <v>0.027624376485177238</v>
      </c>
      <c r="H664" s="296">
        <v>1.0</v>
      </c>
      <c r="I664" s="293"/>
    </row>
    <row r="665">
      <c r="A665" t="s">
        <v>976</v>
      </c>
      <c r="B665" s="287">
        <v>42972.0</v>
      </c>
      <c r="C665" s="288">
        <f t="shared" si="1"/>
        <v>237</v>
      </c>
      <c r="D665" s="289">
        <f t="shared" si="2"/>
        <v>7.770491803</v>
      </c>
      <c r="E665" s="290">
        <f t="shared" si="3"/>
        <v>8</v>
      </c>
      <c r="F665" s="290" t="s">
        <v>736</v>
      </c>
      <c r="G665" s="291">
        <v>0.0275447609883952</v>
      </c>
      <c r="H665" s="296">
        <v>1.0</v>
      </c>
      <c r="I665" s="293"/>
    </row>
    <row r="666">
      <c r="A666" t="s">
        <v>734</v>
      </c>
      <c r="B666" s="287">
        <v>42606.0</v>
      </c>
      <c r="C666" s="288">
        <f t="shared" si="1"/>
        <v>237</v>
      </c>
      <c r="D666" s="289">
        <f t="shared" si="2"/>
        <v>7.770491803</v>
      </c>
      <c r="E666" s="290">
        <f t="shared" si="3"/>
        <v>8</v>
      </c>
      <c r="F666" s="290" t="s">
        <v>736</v>
      </c>
      <c r="G666" s="291">
        <v>-0.004678777538297152</v>
      </c>
      <c r="H666" s="296">
        <v>0.0</v>
      </c>
      <c r="I666" s="293"/>
    </row>
    <row r="667">
      <c r="A667" t="s">
        <v>977</v>
      </c>
      <c r="B667" s="287">
        <v>42241.0</v>
      </c>
      <c r="C667" s="288">
        <f t="shared" si="1"/>
        <v>237</v>
      </c>
      <c r="D667" s="289">
        <f t="shared" si="2"/>
        <v>7.770491803</v>
      </c>
      <c r="E667" s="290">
        <f t="shared" si="3"/>
        <v>8</v>
      </c>
      <c r="F667" s="290" t="s">
        <v>736</v>
      </c>
      <c r="G667" s="291">
        <v>-0.05629736323036616</v>
      </c>
      <c r="H667" s="296">
        <v>-1.0</v>
      </c>
      <c r="I667" s="293"/>
    </row>
    <row r="668">
      <c r="A668" t="s">
        <v>742</v>
      </c>
      <c r="B668" s="287">
        <v>42607.0</v>
      </c>
      <c r="C668" s="288">
        <f t="shared" si="1"/>
        <v>238</v>
      </c>
      <c r="D668" s="289">
        <f t="shared" si="2"/>
        <v>7.803278689</v>
      </c>
      <c r="E668" s="290">
        <f t="shared" si="3"/>
        <v>8</v>
      </c>
      <c r="F668" s="290" t="s">
        <v>736</v>
      </c>
      <c r="G668" s="291">
        <v>-0.00492688838641131</v>
      </c>
      <c r="H668" s="296">
        <v>0.0</v>
      </c>
      <c r="I668" s="293"/>
    </row>
    <row r="669">
      <c r="A669" t="s">
        <v>855</v>
      </c>
      <c r="B669" s="287">
        <v>42242.0</v>
      </c>
      <c r="C669" s="288">
        <f t="shared" si="1"/>
        <v>238</v>
      </c>
      <c r="D669" s="289">
        <f t="shared" si="2"/>
        <v>7.803278689</v>
      </c>
      <c r="E669" s="290">
        <f t="shared" si="3"/>
        <v>8</v>
      </c>
      <c r="F669" s="290" t="s">
        <v>736</v>
      </c>
      <c r="G669" s="291">
        <v>0.00926900106797568</v>
      </c>
      <c r="H669" s="296">
        <v>0.0</v>
      </c>
      <c r="I669" s="293"/>
    </row>
    <row r="670">
      <c r="A670" t="s">
        <v>925</v>
      </c>
      <c r="B670" s="287">
        <v>42974.0</v>
      </c>
      <c r="C670" s="288">
        <f t="shared" si="1"/>
        <v>239</v>
      </c>
      <c r="D670" s="289">
        <f t="shared" si="2"/>
        <v>7.836065574</v>
      </c>
      <c r="E670" s="290">
        <f t="shared" si="3"/>
        <v>8</v>
      </c>
      <c r="F670" s="290" t="s">
        <v>736</v>
      </c>
      <c r="G670" s="291">
        <v>0.010767643024729767</v>
      </c>
      <c r="H670" s="296">
        <v>1.0</v>
      </c>
      <c r="I670" s="293"/>
    </row>
    <row r="671">
      <c r="A671" t="s">
        <v>108</v>
      </c>
      <c r="B671" s="287">
        <v>42974.0</v>
      </c>
      <c r="C671" s="288">
        <f t="shared" si="1"/>
        <v>239</v>
      </c>
      <c r="D671" s="289">
        <f t="shared" si="2"/>
        <v>7.836065574</v>
      </c>
      <c r="E671" s="290">
        <f t="shared" si="3"/>
        <v>8</v>
      </c>
      <c r="F671" s="290" t="s">
        <v>736</v>
      </c>
      <c r="G671" s="291">
        <v>-0.0033917114363494205</v>
      </c>
      <c r="H671" s="296">
        <v>0.0</v>
      </c>
      <c r="I671" s="293"/>
    </row>
    <row r="672">
      <c r="A672" t="s">
        <v>978</v>
      </c>
      <c r="B672" s="287">
        <v>42974.0</v>
      </c>
      <c r="C672" s="288">
        <f t="shared" si="1"/>
        <v>239</v>
      </c>
      <c r="D672" s="289">
        <f t="shared" si="2"/>
        <v>7.836065574</v>
      </c>
      <c r="E672" s="290">
        <f t="shared" si="3"/>
        <v>8</v>
      </c>
      <c r="F672" s="290" t="s">
        <v>736</v>
      </c>
      <c r="G672" s="291">
        <v>0.029041583055711917</v>
      </c>
      <c r="H672" s="296">
        <v>1.0</v>
      </c>
      <c r="I672" s="293"/>
    </row>
    <row r="673">
      <c r="A673" t="s">
        <v>427</v>
      </c>
      <c r="B673" s="287">
        <v>42975.0</v>
      </c>
      <c r="C673" s="288">
        <f t="shared" si="1"/>
        <v>240</v>
      </c>
      <c r="D673" s="289">
        <f t="shared" si="2"/>
        <v>7.868852459</v>
      </c>
      <c r="E673" s="290">
        <f t="shared" si="3"/>
        <v>8</v>
      </c>
      <c r="F673" s="290" t="s">
        <v>736</v>
      </c>
      <c r="G673" s="291">
        <v>0.003291795491578431</v>
      </c>
      <c r="H673" s="296">
        <v>0.0</v>
      </c>
      <c r="I673" s="293"/>
    </row>
    <row r="674">
      <c r="A674" t="s">
        <v>812</v>
      </c>
      <c r="B674" s="287">
        <v>42975.0</v>
      </c>
      <c r="C674" s="288">
        <f t="shared" si="1"/>
        <v>240</v>
      </c>
      <c r="D674" s="289">
        <f t="shared" si="2"/>
        <v>7.868852459</v>
      </c>
      <c r="E674" s="290">
        <f t="shared" si="3"/>
        <v>8</v>
      </c>
      <c r="F674" s="290" t="s">
        <v>736</v>
      </c>
      <c r="G674" s="291">
        <v>0.012464123627641932</v>
      </c>
      <c r="H674" s="296">
        <v>1.0</v>
      </c>
      <c r="I674" s="293"/>
    </row>
    <row r="675">
      <c r="A675" t="s">
        <v>723</v>
      </c>
      <c r="B675" s="287">
        <v>42609.0</v>
      </c>
      <c r="C675" s="288">
        <f t="shared" si="1"/>
        <v>240</v>
      </c>
      <c r="D675" s="289">
        <f t="shared" si="2"/>
        <v>7.868852459</v>
      </c>
      <c r="E675" s="290">
        <f t="shared" si="3"/>
        <v>8</v>
      </c>
      <c r="F675" s="290" t="s">
        <v>736</v>
      </c>
      <c r="G675" s="291">
        <v>0.021472919783138034</v>
      </c>
      <c r="H675" s="296">
        <v>1.0</v>
      </c>
      <c r="I675" s="293"/>
    </row>
    <row r="676">
      <c r="A676" t="s">
        <v>573</v>
      </c>
      <c r="B676" s="287">
        <v>42244.0</v>
      </c>
      <c r="C676" s="288">
        <f t="shared" si="1"/>
        <v>240</v>
      </c>
      <c r="D676" s="289">
        <f t="shared" si="2"/>
        <v>7.868852459</v>
      </c>
      <c r="E676" s="290">
        <f t="shared" si="3"/>
        <v>8</v>
      </c>
      <c r="F676" s="290" t="s">
        <v>736</v>
      </c>
      <c r="G676" s="291">
        <v>-0.00938220543598034</v>
      </c>
      <c r="H676" s="296">
        <v>0.0</v>
      </c>
      <c r="I676" s="293"/>
    </row>
    <row r="677">
      <c r="A677" t="s">
        <v>761</v>
      </c>
      <c r="B677" s="287">
        <v>42976.0</v>
      </c>
      <c r="C677" s="288">
        <f t="shared" si="1"/>
        <v>241</v>
      </c>
      <c r="D677" s="289">
        <f t="shared" si="2"/>
        <v>7.901639344</v>
      </c>
      <c r="E677" s="290">
        <f t="shared" si="3"/>
        <v>8</v>
      </c>
      <c r="F677" s="290" t="s">
        <v>736</v>
      </c>
      <c r="G677" s="291">
        <v>0.002214021770411856</v>
      </c>
      <c r="H677" s="296">
        <v>0.0</v>
      </c>
      <c r="I677" s="293"/>
    </row>
    <row r="678">
      <c r="A678" t="s">
        <v>809</v>
      </c>
      <c r="B678" s="287">
        <v>42611.0</v>
      </c>
      <c r="C678" s="288">
        <f t="shared" si="1"/>
        <v>242</v>
      </c>
      <c r="D678" s="289">
        <f t="shared" si="2"/>
        <v>7.93442623</v>
      </c>
      <c r="E678" s="290">
        <f t="shared" si="3"/>
        <v>8</v>
      </c>
      <c r="F678" s="290" t="s">
        <v>736</v>
      </c>
      <c r="G678" s="291">
        <v>0.028723905175750852</v>
      </c>
      <c r="H678" s="296">
        <v>1.0</v>
      </c>
      <c r="I678" s="293"/>
    </row>
    <row r="679">
      <c r="A679" t="s">
        <v>713</v>
      </c>
      <c r="B679" s="287">
        <v>42246.0</v>
      </c>
      <c r="C679" s="288">
        <f t="shared" si="1"/>
        <v>242</v>
      </c>
      <c r="D679" s="289">
        <f t="shared" si="2"/>
        <v>7.93442623</v>
      </c>
      <c r="E679" s="290">
        <f t="shared" si="3"/>
        <v>8</v>
      </c>
      <c r="F679" s="290" t="s">
        <v>736</v>
      </c>
      <c r="G679" s="291">
        <v>-0.03750065364442434</v>
      </c>
      <c r="H679" s="296">
        <v>-1.0</v>
      </c>
      <c r="I679" s="293"/>
    </row>
    <row r="680">
      <c r="A680" t="s">
        <v>979</v>
      </c>
      <c r="B680" s="287">
        <v>42246.0</v>
      </c>
      <c r="C680" s="288">
        <f t="shared" si="1"/>
        <v>242</v>
      </c>
      <c r="D680" s="289">
        <f t="shared" si="2"/>
        <v>7.93442623</v>
      </c>
      <c r="E680" s="290">
        <f t="shared" si="3"/>
        <v>8</v>
      </c>
      <c r="F680" s="290" t="s">
        <v>736</v>
      </c>
      <c r="G680" s="291">
        <v>-0.07390838823678536</v>
      </c>
      <c r="H680" s="296">
        <v>-1.0</v>
      </c>
      <c r="I680" s="293"/>
    </row>
    <row r="681">
      <c r="A681" t="s">
        <v>890</v>
      </c>
      <c r="B681" s="287">
        <v>42978.0</v>
      </c>
      <c r="C681" s="288">
        <f t="shared" si="1"/>
        <v>243</v>
      </c>
      <c r="D681" s="289">
        <f t="shared" si="2"/>
        <v>7.967213115</v>
      </c>
      <c r="E681" s="290">
        <f t="shared" si="3"/>
        <v>8</v>
      </c>
      <c r="F681" s="290" t="s">
        <v>736</v>
      </c>
      <c r="G681" s="291">
        <v>-0.006826226749905628</v>
      </c>
      <c r="H681" s="296">
        <v>0.0</v>
      </c>
      <c r="I681" s="293"/>
    </row>
    <row r="682">
      <c r="A682" t="s">
        <v>980</v>
      </c>
      <c r="B682" s="287">
        <v>42978.0</v>
      </c>
      <c r="C682" s="288">
        <f t="shared" si="1"/>
        <v>243</v>
      </c>
      <c r="D682" s="289">
        <f t="shared" si="2"/>
        <v>7.967213115</v>
      </c>
      <c r="E682" s="290">
        <f t="shared" si="3"/>
        <v>8</v>
      </c>
      <c r="F682" s="290" t="s">
        <v>736</v>
      </c>
      <c r="G682" s="291">
        <v>0.029062731732666602</v>
      </c>
      <c r="H682" s="296">
        <v>1.0</v>
      </c>
      <c r="I682" s="293"/>
    </row>
    <row r="683">
      <c r="A683" t="s">
        <v>760</v>
      </c>
      <c r="B683" s="287">
        <v>42612.0</v>
      </c>
      <c r="C683" s="288">
        <f t="shared" si="1"/>
        <v>243</v>
      </c>
      <c r="D683" s="289">
        <f t="shared" si="2"/>
        <v>7.967213115</v>
      </c>
      <c r="E683" s="290">
        <f t="shared" si="3"/>
        <v>8</v>
      </c>
      <c r="F683" s="290" t="s">
        <v>736</v>
      </c>
      <c r="G683" s="291">
        <v>0.022466430580349472</v>
      </c>
      <c r="H683" s="296">
        <v>1.0</v>
      </c>
      <c r="I683" s="293"/>
    </row>
    <row r="684">
      <c r="A684" t="s">
        <v>881</v>
      </c>
      <c r="B684" s="287">
        <v>42612.0</v>
      </c>
      <c r="C684" s="288">
        <f t="shared" si="1"/>
        <v>243</v>
      </c>
      <c r="D684" s="289">
        <f t="shared" si="2"/>
        <v>7.967213115</v>
      </c>
      <c r="E684" s="290">
        <f t="shared" si="3"/>
        <v>8</v>
      </c>
      <c r="F684" s="290" t="s">
        <v>736</v>
      </c>
      <c r="G684" s="291">
        <v>0.012906866176564002</v>
      </c>
      <c r="H684" s="296">
        <v>1.0</v>
      </c>
      <c r="I684" s="293"/>
    </row>
    <row r="685">
      <c r="A685" t="s">
        <v>724</v>
      </c>
      <c r="B685" s="287">
        <v>42247.0</v>
      </c>
      <c r="C685" s="288">
        <f t="shared" si="1"/>
        <v>243</v>
      </c>
      <c r="D685" s="289">
        <f t="shared" si="2"/>
        <v>7.967213115</v>
      </c>
      <c r="E685" s="290">
        <f t="shared" si="3"/>
        <v>8</v>
      </c>
      <c r="F685" s="290" t="s">
        <v>736</v>
      </c>
      <c r="G685" s="291">
        <v>0.008601810930201848</v>
      </c>
      <c r="H685" s="296">
        <v>0.0</v>
      </c>
      <c r="I685" s="293"/>
    </row>
    <row r="686">
      <c r="A686" t="s">
        <v>705</v>
      </c>
      <c r="B686" s="287">
        <v>42247.0</v>
      </c>
      <c r="C686" s="288">
        <f t="shared" si="1"/>
        <v>243</v>
      </c>
      <c r="D686" s="289">
        <f t="shared" si="2"/>
        <v>7.967213115</v>
      </c>
      <c r="E686" s="290">
        <f t="shared" si="3"/>
        <v>8</v>
      </c>
      <c r="F686" s="290" t="s">
        <v>736</v>
      </c>
      <c r="G686" s="291">
        <v>-0.016762154660123985</v>
      </c>
      <c r="H686" s="296">
        <v>-1.0</v>
      </c>
      <c r="I686" s="293"/>
    </row>
    <row r="687">
      <c r="A687" t="s">
        <v>910</v>
      </c>
      <c r="B687" s="287">
        <v>42979.0</v>
      </c>
      <c r="C687" s="288">
        <f t="shared" si="1"/>
        <v>244</v>
      </c>
      <c r="D687" s="289">
        <f t="shared" si="2"/>
        <v>8</v>
      </c>
      <c r="E687" s="290">
        <f t="shared" si="3"/>
        <v>8</v>
      </c>
      <c r="F687" s="290" t="s">
        <v>736</v>
      </c>
      <c r="G687" s="291">
        <v>-2.326918480805018E-4</v>
      </c>
      <c r="H687" s="296">
        <v>0.0</v>
      </c>
      <c r="I687" s="293"/>
    </row>
    <row r="688">
      <c r="A688" t="s">
        <v>868</v>
      </c>
      <c r="B688" s="287">
        <v>42248.0</v>
      </c>
      <c r="C688" s="288">
        <f t="shared" si="1"/>
        <v>244</v>
      </c>
      <c r="D688" s="289">
        <f t="shared" si="2"/>
        <v>8</v>
      </c>
      <c r="E688" s="290">
        <f t="shared" si="3"/>
        <v>8</v>
      </c>
      <c r="F688" s="290" t="s">
        <v>736</v>
      </c>
      <c r="G688" s="291">
        <v>-0.006374578480279558</v>
      </c>
      <c r="H688" s="296">
        <v>0.0</v>
      </c>
      <c r="I688" s="293"/>
    </row>
    <row r="689">
      <c r="A689" t="s">
        <v>981</v>
      </c>
      <c r="B689" s="287">
        <v>42980.0</v>
      </c>
      <c r="C689" s="288">
        <f t="shared" si="1"/>
        <v>245</v>
      </c>
      <c r="D689" s="289">
        <f t="shared" si="2"/>
        <v>8.032786885</v>
      </c>
      <c r="E689" s="290">
        <f t="shared" si="3"/>
        <v>9</v>
      </c>
      <c r="F689" s="290" t="s">
        <v>738</v>
      </c>
      <c r="G689" s="291">
        <v>0.015596891538101398</v>
      </c>
      <c r="H689" s="296">
        <v>1.0</v>
      </c>
      <c r="I689" s="293"/>
    </row>
    <row r="690">
      <c r="A690" t="s">
        <v>798</v>
      </c>
      <c r="B690" s="287">
        <v>42614.0</v>
      </c>
      <c r="C690" s="288">
        <f t="shared" si="1"/>
        <v>245</v>
      </c>
      <c r="D690" s="289">
        <f t="shared" si="2"/>
        <v>8.032786885</v>
      </c>
      <c r="E690" s="290">
        <f t="shared" si="3"/>
        <v>9</v>
      </c>
      <c r="F690" s="290" t="s">
        <v>738</v>
      </c>
      <c r="G690" s="291">
        <v>-0.02273727660967584</v>
      </c>
      <c r="H690" s="296">
        <v>-1.0</v>
      </c>
      <c r="I690" s="293"/>
    </row>
    <row r="691">
      <c r="A691" t="s">
        <v>982</v>
      </c>
      <c r="B691" s="287">
        <v>42249.0</v>
      </c>
      <c r="C691" s="288">
        <f t="shared" si="1"/>
        <v>245</v>
      </c>
      <c r="D691" s="289">
        <f t="shared" si="2"/>
        <v>8.032786885</v>
      </c>
      <c r="E691" s="290">
        <f t="shared" si="3"/>
        <v>9</v>
      </c>
      <c r="F691" s="290" t="s">
        <v>738</v>
      </c>
      <c r="G691" s="291">
        <v>0.0043035424460982075</v>
      </c>
      <c r="H691" s="296">
        <v>0.0</v>
      </c>
      <c r="I691" s="293"/>
    </row>
    <row r="692">
      <c r="A692" t="s">
        <v>983</v>
      </c>
      <c r="B692" s="287">
        <v>42249.0</v>
      </c>
      <c r="C692" s="288">
        <f t="shared" si="1"/>
        <v>245</v>
      </c>
      <c r="D692" s="289">
        <f t="shared" si="2"/>
        <v>8.032786885</v>
      </c>
      <c r="E692" s="290">
        <f t="shared" si="3"/>
        <v>9</v>
      </c>
      <c r="F692" s="290" t="s">
        <v>738</v>
      </c>
      <c r="G692" s="291">
        <v>-0.01985826610537622</v>
      </c>
      <c r="H692" s="296">
        <v>-1.0</v>
      </c>
      <c r="I692" s="293"/>
    </row>
    <row r="693">
      <c r="A693" t="s">
        <v>734</v>
      </c>
      <c r="B693" s="287">
        <v>42981.0</v>
      </c>
      <c r="C693" s="288">
        <f t="shared" si="1"/>
        <v>246</v>
      </c>
      <c r="D693" s="289">
        <f t="shared" si="2"/>
        <v>8.06557377</v>
      </c>
      <c r="E693" s="290">
        <f t="shared" si="3"/>
        <v>9</v>
      </c>
      <c r="F693" s="290" t="s">
        <v>738</v>
      </c>
      <c r="G693" s="291">
        <v>-0.014799758757324755</v>
      </c>
      <c r="H693" s="296">
        <v>-1.0</v>
      </c>
      <c r="I693" s="293"/>
    </row>
    <row r="694">
      <c r="A694" t="s">
        <v>984</v>
      </c>
      <c r="B694" s="287">
        <v>42982.0</v>
      </c>
      <c r="C694" s="288">
        <f t="shared" si="1"/>
        <v>247</v>
      </c>
      <c r="D694" s="289">
        <f t="shared" si="2"/>
        <v>8.098360656</v>
      </c>
      <c r="E694" s="290">
        <f t="shared" si="3"/>
        <v>9</v>
      </c>
      <c r="F694" s="290" t="s">
        <v>738</v>
      </c>
      <c r="G694" s="291">
        <v>0.016322727909021895</v>
      </c>
      <c r="H694" s="296">
        <v>1.0</v>
      </c>
      <c r="I694" s="293"/>
    </row>
    <row r="695">
      <c r="A695" t="s">
        <v>214</v>
      </c>
      <c r="B695" s="287">
        <v>42982.0</v>
      </c>
      <c r="C695" s="288">
        <f t="shared" si="1"/>
        <v>247</v>
      </c>
      <c r="D695" s="289">
        <f t="shared" si="2"/>
        <v>8.098360656</v>
      </c>
      <c r="E695" s="290">
        <f t="shared" si="3"/>
        <v>9</v>
      </c>
      <c r="F695" s="290" t="s">
        <v>738</v>
      </c>
      <c r="G695" s="291">
        <v>0.010547855111043614</v>
      </c>
      <c r="H695" s="296">
        <v>1.0</v>
      </c>
      <c r="I695" s="293"/>
    </row>
    <row r="696">
      <c r="A696" t="s">
        <v>745</v>
      </c>
      <c r="B696" s="287">
        <v>42616.0</v>
      </c>
      <c r="C696" s="288">
        <f t="shared" si="1"/>
        <v>247</v>
      </c>
      <c r="D696" s="289">
        <f t="shared" si="2"/>
        <v>8.098360656</v>
      </c>
      <c r="E696" s="290">
        <f t="shared" si="3"/>
        <v>9</v>
      </c>
      <c r="F696" s="290" t="s">
        <v>738</v>
      </c>
      <c r="G696" s="291">
        <v>0.008931238174041511</v>
      </c>
      <c r="H696" s="296">
        <v>0.0</v>
      </c>
      <c r="I696" s="293"/>
    </row>
    <row r="697">
      <c r="A697" t="s">
        <v>819</v>
      </c>
      <c r="B697" s="287">
        <v>42616.0</v>
      </c>
      <c r="C697" s="288">
        <f t="shared" si="1"/>
        <v>247</v>
      </c>
      <c r="D697" s="289">
        <f t="shared" si="2"/>
        <v>8.098360656</v>
      </c>
      <c r="E697" s="290">
        <f t="shared" si="3"/>
        <v>9</v>
      </c>
      <c r="F697" s="290" t="s">
        <v>738</v>
      </c>
      <c r="G697" s="291">
        <v>-4.551479796277569E-5</v>
      </c>
      <c r="H697" s="296">
        <v>0.0</v>
      </c>
      <c r="I697" s="293"/>
    </row>
    <row r="698">
      <c r="A698" t="s">
        <v>727</v>
      </c>
      <c r="B698" s="287">
        <v>42251.0</v>
      </c>
      <c r="C698" s="288">
        <f t="shared" si="1"/>
        <v>247</v>
      </c>
      <c r="D698" s="289">
        <f t="shared" si="2"/>
        <v>8.098360656</v>
      </c>
      <c r="E698" s="290">
        <f t="shared" si="3"/>
        <v>9</v>
      </c>
      <c r="F698" s="290" t="s">
        <v>738</v>
      </c>
      <c r="G698" s="291">
        <v>-0.005947290846152087</v>
      </c>
      <c r="H698" s="296">
        <v>0.0</v>
      </c>
      <c r="I698" s="293"/>
    </row>
    <row r="699">
      <c r="A699" t="s">
        <v>985</v>
      </c>
      <c r="B699" s="287">
        <v>42251.0</v>
      </c>
      <c r="C699" s="288">
        <f t="shared" si="1"/>
        <v>247</v>
      </c>
      <c r="D699" s="289">
        <f t="shared" si="2"/>
        <v>8.098360656</v>
      </c>
      <c r="E699" s="290">
        <f t="shared" si="3"/>
        <v>9</v>
      </c>
      <c r="F699" s="290" t="s">
        <v>738</v>
      </c>
      <c r="G699" s="291">
        <v>-0.001283199946885305</v>
      </c>
      <c r="H699" s="296">
        <v>0.0</v>
      </c>
      <c r="I699" s="293"/>
    </row>
    <row r="700">
      <c r="A700" t="s">
        <v>986</v>
      </c>
      <c r="B700" s="287">
        <v>42983.0</v>
      </c>
      <c r="C700" s="288">
        <f t="shared" si="1"/>
        <v>248</v>
      </c>
      <c r="D700" s="289">
        <f t="shared" si="2"/>
        <v>8.131147541</v>
      </c>
      <c r="E700" s="290">
        <f t="shared" si="3"/>
        <v>9</v>
      </c>
      <c r="F700" s="290" t="s">
        <v>738</v>
      </c>
      <c r="G700" s="291">
        <v>0.03392314613894598</v>
      </c>
      <c r="H700" s="296">
        <v>1.0</v>
      </c>
      <c r="I700" s="293"/>
    </row>
    <row r="701">
      <c r="A701" t="s">
        <v>987</v>
      </c>
      <c r="B701" s="287">
        <v>42983.0</v>
      </c>
      <c r="C701" s="288">
        <f t="shared" si="1"/>
        <v>248</v>
      </c>
      <c r="D701" s="289">
        <f t="shared" si="2"/>
        <v>8.131147541</v>
      </c>
      <c r="E701" s="290">
        <f t="shared" si="3"/>
        <v>9</v>
      </c>
      <c r="F701" s="290" t="s">
        <v>738</v>
      </c>
      <c r="G701" s="291">
        <v>0.022407683444649718</v>
      </c>
      <c r="H701" s="296">
        <v>1.0</v>
      </c>
      <c r="I701" s="293"/>
    </row>
    <row r="702">
      <c r="A702" t="s">
        <v>988</v>
      </c>
      <c r="B702" s="287">
        <v>42252.0</v>
      </c>
      <c r="C702" s="288">
        <f t="shared" si="1"/>
        <v>248</v>
      </c>
      <c r="D702" s="289">
        <f t="shared" si="2"/>
        <v>8.131147541</v>
      </c>
      <c r="E702" s="290">
        <f t="shared" si="3"/>
        <v>9</v>
      </c>
      <c r="F702" s="290" t="s">
        <v>738</v>
      </c>
      <c r="G702" s="291">
        <v>0.025733919880701173</v>
      </c>
      <c r="H702" s="296">
        <v>1.0</v>
      </c>
      <c r="I702" s="293"/>
    </row>
    <row r="703">
      <c r="A703" t="s">
        <v>989</v>
      </c>
      <c r="B703" s="287">
        <v>42984.0</v>
      </c>
      <c r="C703" s="288">
        <f t="shared" si="1"/>
        <v>249</v>
      </c>
      <c r="D703" s="289">
        <f t="shared" si="2"/>
        <v>8.163934426</v>
      </c>
      <c r="E703" s="290">
        <f t="shared" si="3"/>
        <v>9</v>
      </c>
      <c r="F703" s="290" t="s">
        <v>738</v>
      </c>
      <c r="G703" s="291">
        <v>0.033872704669961506</v>
      </c>
      <c r="H703" s="296">
        <v>1.0</v>
      </c>
      <c r="I703" s="293"/>
    </row>
    <row r="704">
      <c r="A704" t="s">
        <v>990</v>
      </c>
      <c r="B704" s="287">
        <v>42984.0</v>
      </c>
      <c r="C704" s="288">
        <f t="shared" si="1"/>
        <v>249</v>
      </c>
      <c r="D704" s="289">
        <f t="shared" si="2"/>
        <v>8.163934426</v>
      </c>
      <c r="E704" s="290">
        <f t="shared" si="3"/>
        <v>9</v>
      </c>
      <c r="F704" s="290" t="s">
        <v>738</v>
      </c>
      <c r="G704" s="291">
        <v>-0.053351094673996236</v>
      </c>
      <c r="H704" s="296">
        <v>-1.0</v>
      </c>
      <c r="I704" s="293"/>
    </row>
    <row r="705">
      <c r="A705" t="s">
        <v>769</v>
      </c>
      <c r="B705" s="287">
        <v>42618.0</v>
      </c>
      <c r="C705" s="288">
        <f t="shared" si="1"/>
        <v>249</v>
      </c>
      <c r="D705" s="289">
        <f t="shared" si="2"/>
        <v>8.163934426</v>
      </c>
      <c r="E705" s="290">
        <f t="shared" si="3"/>
        <v>9</v>
      </c>
      <c r="F705" s="290" t="s">
        <v>738</v>
      </c>
      <c r="G705" s="291">
        <v>0.02348936954101577</v>
      </c>
      <c r="H705" s="296">
        <v>1.0</v>
      </c>
      <c r="I705" s="293"/>
    </row>
    <row r="706">
      <c r="A706" t="s">
        <v>991</v>
      </c>
      <c r="B706" s="287">
        <v>42619.0</v>
      </c>
      <c r="C706" s="288">
        <f t="shared" si="1"/>
        <v>250</v>
      </c>
      <c r="D706" s="289">
        <f t="shared" si="2"/>
        <v>8.196721311</v>
      </c>
      <c r="E706" s="290">
        <f t="shared" si="3"/>
        <v>9</v>
      </c>
      <c r="F706" s="290" t="s">
        <v>738</v>
      </c>
      <c r="G706" s="291">
        <v>0.028935458296345473</v>
      </c>
      <c r="H706" s="296">
        <v>1.0</v>
      </c>
      <c r="I706" s="293"/>
    </row>
    <row r="707">
      <c r="A707" t="s">
        <v>803</v>
      </c>
      <c r="B707" s="287">
        <v>42619.0</v>
      </c>
      <c r="C707" s="288">
        <f t="shared" si="1"/>
        <v>250</v>
      </c>
      <c r="D707" s="289">
        <f t="shared" si="2"/>
        <v>8.196721311</v>
      </c>
      <c r="E707" s="290">
        <f t="shared" si="3"/>
        <v>9</v>
      </c>
      <c r="F707" s="290" t="s">
        <v>738</v>
      </c>
      <c r="G707" s="291">
        <v>-0.014448753536914105</v>
      </c>
      <c r="H707" s="296">
        <v>-1.0</v>
      </c>
      <c r="I707" s="293"/>
    </row>
    <row r="708">
      <c r="A708" t="s">
        <v>716</v>
      </c>
      <c r="B708" s="287">
        <v>42619.0</v>
      </c>
      <c r="C708" s="288">
        <f t="shared" si="1"/>
        <v>250</v>
      </c>
      <c r="D708" s="289">
        <f t="shared" si="2"/>
        <v>8.196721311</v>
      </c>
      <c r="E708" s="290">
        <f t="shared" si="3"/>
        <v>9</v>
      </c>
      <c r="F708" s="290" t="s">
        <v>738</v>
      </c>
      <c r="G708" s="291">
        <v>0.021144198626911193</v>
      </c>
      <c r="H708" s="296">
        <v>1.0</v>
      </c>
      <c r="I708" s="293"/>
    </row>
    <row r="709">
      <c r="A709" t="s">
        <v>573</v>
      </c>
      <c r="B709" s="287">
        <v>42619.0</v>
      </c>
      <c r="C709" s="288">
        <f t="shared" si="1"/>
        <v>250</v>
      </c>
      <c r="D709" s="289">
        <f t="shared" si="2"/>
        <v>8.196721311</v>
      </c>
      <c r="E709" s="290">
        <f t="shared" si="3"/>
        <v>9</v>
      </c>
      <c r="F709" s="290" t="s">
        <v>738</v>
      </c>
      <c r="G709" s="291">
        <v>-0.008016245741872652</v>
      </c>
      <c r="H709" s="296">
        <v>0.0</v>
      </c>
      <c r="I709" s="293"/>
    </row>
    <row r="710">
      <c r="A710" t="s">
        <v>980</v>
      </c>
      <c r="B710" s="287">
        <v>42986.0</v>
      </c>
      <c r="C710" s="288">
        <f t="shared" si="1"/>
        <v>251</v>
      </c>
      <c r="D710" s="289">
        <f t="shared" si="2"/>
        <v>8.229508197</v>
      </c>
      <c r="E710" s="290">
        <f t="shared" si="3"/>
        <v>9</v>
      </c>
      <c r="F710" s="290" t="s">
        <v>738</v>
      </c>
      <c r="G710" s="291">
        <v>0.01558763876048963</v>
      </c>
      <c r="H710" s="296">
        <v>1.0</v>
      </c>
      <c r="I710" s="293"/>
    </row>
    <row r="711">
      <c r="A711" t="s">
        <v>834</v>
      </c>
      <c r="B711" s="287">
        <v>42986.0</v>
      </c>
      <c r="C711" s="288">
        <f t="shared" si="1"/>
        <v>251</v>
      </c>
      <c r="D711" s="289">
        <f t="shared" si="2"/>
        <v>8.229508197</v>
      </c>
      <c r="E711" s="290">
        <f t="shared" si="3"/>
        <v>9</v>
      </c>
      <c r="F711" s="290" t="s">
        <v>738</v>
      </c>
      <c r="G711" s="291">
        <v>0.006647874305629409</v>
      </c>
      <c r="H711" s="296">
        <v>0.0</v>
      </c>
      <c r="I711" s="293"/>
    </row>
    <row r="712">
      <c r="A712" t="s">
        <v>992</v>
      </c>
      <c r="B712" s="287">
        <v>42986.0</v>
      </c>
      <c r="C712" s="288">
        <f t="shared" si="1"/>
        <v>251</v>
      </c>
      <c r="D712" s="289">
        <f t="shared" si="2"/>
        <v>8.229508197</v>
      </c>
      <c r="E712" s="290">
        <f t="shared" si="3"/>
        <v>9</v>
      </c>
      <c r="F712" s="290" t="s">
        <v>738</v>
      </c>
      <c r="G712" s="291">
        <v>0.013057965475671729</v>
      </c>
      <c r="H712" s="296">
        <v>1.0</v>
      </c>
      <c r="I712" s="293"/>
    </row>
    <row r="713">
      <c r="A713" t="s">
        <v>993</v>
      </c>
      <c r="B713" s="287">
        <v>42620.0</v>
      </c>
      <c r="C713" s="288">
        <f t="shared" si="1"/>
        <v>251</v>
      </c>
      <c r="D713" s="289">
        <f t="shared" si="2"/>
        <v>8.229508197</v>
      </c>
      <c r="E713" s="290">
        <f t="shared" si="3"/>
        <v>9</v>
      </c>
      <c r="F713" s="290" t="s">
        <v>738</v>
      </c>
      <c r="G713" s="291">
        <v>0.016340800701268976</v>
      </c>
      <c r="H713" s="296">
        <v>1.0</v>
      </c>
      <c r="I713" s="293"/>
    </row>
    <row r="714">
      <c r="A714" t="s">
        <v>779</v>
      </c>
      <c r="B714" s="287">
        <v>42620.0</v>
      </c>
      <c r="C714" s="288">
        <f t="shared" si="1"/>
        <v>251</v>
      </c>
      <c r="D714" s="289">
        <f t="shared" si="2"/>
        <v>8.229508197</v>
      </c>
      <c r="E714" s="290">
        <f t="shared" si="3"/>
        <v>9</v>
      </c>
      <c r="F714" s="290" t="s">
        <v>738</v>
      </c>
      <c r="G714" s="291">
        <v>0.030835708904194736</v>
      </c>
      <c r="H714" s="296">
        <v>1.0</v>
      </c>
      <c r="I714" s="293"/>
    </row>
    <row r="715">
      <c r="A715" t="s">
        <v>711</v>
      </c>
      <c r="B715" s="287">
        <v>42620.0</v>
      </c>
      <c r="C715" s="288">
        <f t="shared" si="1"/>
        <v>251</v>
      </c>
      <c r="D715" s="289">
        <f t="shared" si="2"/>
        <v>8.229508197</v>
      </c>
      <c r="E715" s="290">
        <f t="shared" si="3"/>
        <v>9</v>
      </c>
      <c r="F715" s="290" t="s">
        <v>738</v>
      </c>
      <c r="G715" s="291">
        <v>-0.006217242968000414</v>
      </c>
      <c r="H715" s="296">
        <v>0.0</v>
      </c>
      <c r="I715" s="293"/>
    </row>
    <row r="716">
      <c r="A716" t="s">
        <v>994</v>
      </c>
      <c r="B716" s="287">
        <v>42620.0</v>
      </c>
      <c r="C716" s="288">
        <f t="shared" si="1"/>
        <v>251</v>
      </c>
      <c r="D716" s="289">
        <f t="shared" si="2"/>
        <v>8.229508197</v>
      </c>
      <c r="E716" s="290">
        <f t="shared" si="3"/>
        <v>9</v>
      </c>
      <c r="F716" s="290" t="s">
        <v>738</v>
      </c>
      <c r="G716" s="291">
        <v>-0.004925853268035518</v>
      </c>
      <c r="H716" s="296">
        <v>0.0</v>
      </c>
      <c r="I716" s="293"/>
    </row>
    <row r="717">
      <c r="A717" t="s">
        <v>304</v>
      </c>
      <c r="B717" s="287">
        <v>42255.0</v>
      </c>
      <c r="C717" s="288">
        <f t="shared" si="1"/>
        <v>251</v>
      </c>
      <c r="D717" s="289">
        <f t="shared" si="2"/>
        <v>8.229508197</v>
      </c>
      <c r="E717" s="290">
        <f t="shared" si="3"/>
        <v>9</v>
      </c>
      <c r="F717" s="290" t="s">
        <v>738</v>
      </c>
      <c r="G717" s="291">
        <v>0.017670521934452066</v>
      </c>
      <c r="H717" s="296">
        <v>1.0</v>
      </c>
      <c r="I717" s="293"/>
    </row>
    <row r="718">
      <c r="A718" t="s">
        <v>781</v>
      </c>
      <c r="B718" s="287">
        <v>42987.0</v>
      </c>
      <c r="C718" s="288">
        <f t="shared" si="1"/>
        <v>252</v>
      </c>
      <c r="D718" s="289">
        <f t="shared" si="2"/>
        <v>8.262295082</v>
      </c>
      <c r="E718" s="290">
        <f t="shared" si="3"/>
        <v>9</v>
      </c>
      <c r="F718" s="290" t="s">
        <v>738</v>
      </c>
      <c r="G718" s="291">
        <v>3.8385160781695404E-5</v>
      </c>
      <c r="H718" s="296">
        <v>0.0</v>
      </c>
      <c r="I718" s="293"/>
    </row>
    <row r="719">
      <c r="A719" t="s">
        <v>921</v>
      </c>
      <c r="B719" s="297">
        <v>42987.0</v>
      </c>
      <c r="C719" s="288">
        <f t="shared" si="1"/>
        <v>252</v>
      </c>
      <c r="D719" s="289">
        <f t="shared" si="2"/>
        <v>8.262295082</v>
      </c>
      <c r="E719" s="290">
        <f t="shared" si="3"/>
        <v>9</v>
      </c>
      <c r="F719" s="290" t="s">
        <v>738</v>
      </c>
      <c r="G719" s="291">
        <v>0.009927121236761538</v>
      </c>
      <c r="H719" s="296">
        <v>0.0</v>
      </c>
      <c r="I719" s="293"/>
    </row>
    <row r="720">
      <c r="A720" t="s">
        <v>995</v>
      </c>
      <c r="B720" s="287">
        <v>42621.0</v>
      </c>
      <c r="C720" s="288">
        <f t="shared" si="1"/>
        <v>252</v>
      </c>
      <c r="D720" s="289">
        <f t="shared" si="2"/>
        <v>8.262295082</v>
      </c>
      <c r="E720" s="290">
        <f t="shared" si="3"/>
        <v>9</v>
      </c>
      <c r="F720" s="290" t="s">
        <v>738</v>
      </c>
      <c r="G720" s="291">
        <v>0.0015941315753381646</v>
      </c>
      <c r="H720" s="296">
        <v>0.0</v>
      </c>
      <c r="I720" s="293"/>
    </row>
    <row r="721">
      <c r="A721" t="s">
        <v>318</v>
      </c>
      <c r="B721" s="287">
        <v>42621.0</v>
      </c>
      <c r="C721" s="288">
        <f t="shared" si="1"/>
        <v>252</v>
      </c>
      <c r="D721" s="289">
        <f t="shared" si="2"/>
        <v>8.262295082</v>
      </c>
      <c r="E721" s="290">
        <f t="shared" si="3"/>
        <v>9</v>
      </c>
      <c r="F721" s="290" t="s">
        <v>738</v>
      </c>
      <c r="G721" s="291">
        <v>-0.003970008951646786</v>
      </c>
      <c r="H721" s="296">
        <v>0.0</v>
      </c>
      <c r="I721" s="293"/>
    </row>
    <row r="722">
      <c r="A722" t="s">
        <v>318</v>
      </c>
      <c r="B722" s="287">
        <v>42256.0</v>
      </c>
      <c r="C722" s="288">
        <f t="shared" si="1"/>
        <v>252</v>
      </c>
      <c r="D722" s="289">
        <f t="shared" si="2"/>
        <v>8.262295082</v>
      </c>
      <c r="E722" s="290">
        <f t="shared" si="3"/>
        <v>9</v>
      </c>
      <c r="F722" s="290" t="s">
        <v>738</v>
      </c>
      <c r="G722" s="291">
        <v>0.0047305781555812</v>
      </c>
      <c r="H722" s="296">
        <v>0.0</v>
      </c>
      <c r="I722" s="293"/>
    </row>
    <row r="723">
      <c r="A723" t="s">
        <v>996</v>
      </c>
      <c r="B723" s="287">
        <v>42256.0</v>
      </c>
      <c r="C723" s="288">
        <f t="shared" si="1"/>
        <v>252</v>
      </c>
      <c r="D723" s="289">
        <f t="shared" si="2"/>
        <v>8.262295082</v>
      </c>
      <c r="E723" s="290">
        <f t="shared" si="3"/>
        <v>9</v>
      </c>
      <c r="F723" s="290" t="s">
        <v>738</v>
      </c>
      <c r="G723" s="291">
        <v>-0.011800178578149856</v>
      </c>
      <c r="H723" s="296">
        <v>-1.0</v>
      </c>
      <c r="I723" s="293"/>
    </row>
    <row r="724">
      <c r="A724" t="s">
        <v>997</v>
      </c>
      <c r="B724" s="287">
        <v>42988.0</v>
      </c>
      <c r="C724" s="288">
        <f t="shared" si="1"/>
        <v>253</v>
      </c>
      <c r="D724" s="289">
        <f t="shared" si="2"/>
        <v>8.295081967</v>
      </c>
      <c r="E724" s="290">
        <f t="shared" si="3"/>
        <v>9</v>
      </c>
      <c r="F724" s="290" t="s">
        <v>738</v>
      </c>
      <c r="G724" s="291">
        <v>0.012310329547094434</v>
      </c>
      <c r="H724" s="296">
        <v>1.0</v>
      </c>
      <c r="I724" s="293"/>
    </row>
    <row r="725">
      <c r="A725" t="s">
        <v>998</v>
      </c>
      <c r="B725" s="287">
        <v>42988.0</v>
      </c>
      <c r="C725" s="288">
        <f t="shared" si="1"/>
        <v>253</v>
      </c>
      <c r="D725" s="289">
        <f t="shared" si="2"/>
        <v>8.295081967</v>
      </c>
      <c r="E725" s="290">
        <f t="shared" si="3"/>
        <v>9</v>
      </c>
      <c r="F725" s="290" t="s">
        <v>738</v>
      </c>
      <c r="G725" s="291">
        <v>-0.016890111100091643</v>
      </c>
      <c r="H725" s="296">
        <v>-1.0</v>
      </c>
      <c r="I725" s="293"/>
    </row>
    <row r="726">
      <c r="A726" t="s">
        <v>108</v>
      </c>
      <c r="B726" s="287">
        <v>42622.0</v>
      </c>
      <c r="C726" s="288">
        <f t="shared" si="1"/>
        <v>253</v>
      </c>
      <c r="D726" s="289">
        <f t="shared" si="2"/>
        <v>8.295081967</v>
      </c>
      <c r="E726" s="290">
        <f t="shared" si="3"/>
        <v>9</v>
      </c>
      <c r="F726" s="290" t="s">
        <v>738</v>
      </c>
      <c r="G726" s="291">
        <v>-0.027775530971194895</v>
      </c>
      <c r="H726" s="296">
        <v>-1.0</v>
      </c>
      <c r="I726" s="293"/>
    </row>
    <row r="727">
      <c r="A727" t="s">
        <v>999</v>
      </c>
      <c r="B727" s="287">
        <v>42989.0</v>
      </c>
      <c r="C727" s="288">
        <f t="shared" si="1"/>
        <v>254</v>
      </c>
      <c r="D727" s="289">
        <f t="shared" si="2"/>
        <v>8.327868852</v>
      </c>
      <c r="E727" s="290">
        <f t="shared" si="3"/>
        <v>9</v>
      </c>
      <c r="F727" s="290" t="s">
        <v>738</v>
      </c>
      <c r="G727" s="291">
        <v>0.0057820414671829745</v>
      </c>
      <c r="H727" s="296">
        <v>0.0</v>
      </c>
      <c r="I727" s="293"/>
    </row>
    <row r="728">
      <c r="A728" t="s">
        <v>814</v>
      </c>
      <c r="B728" s="287">
        <v>42623.0</v>
      </c>
      <c r="C728" s="288">
        <f t="shared" si="1"/>
        <v>254</v>
      </c>
      <c r="D728" s="289">
        <f t="shared" si="2"/>
        <v>8.327868852</v>
      </c>
      <c r="E728" s="290">
        <f t="shared" si="3"/>
        <v>9</v>
      </c>
      <c r="F728" s="290" t="s">
        <v>738</v>
      </c>
      <c r="G728" s="291">
        <v>0.025165727973059604</v>
      </c>
      <c r="H728" s="296">
        <v>1.0</v>
      </c>
      <c r="I728" s="293"/>
    </row>
    <row r="729">
      <c r="A729" t="s">
        <v>573</v>
      </c>
      <c r="B729" s="287">
        <v>42258.0</v>
      </c>
      <c r="C729" s="288">
        <f t="shared" si="1"/>
        <v>254</v>
      </c>
      <c r="D729" s="289">
        <f t="shared" si="2"/>
        <v>8.327868852</v>
      </c>
      <c r="E729" s="290">
        <f t="shared" si="3"/>
        <v>9</v>
      </c>
      <c r="F729" s="290" t="s">
        <v>738</v>
      </c>
      <c r="G729" s="291">
        <v>-0.012856828333147274</v>
      </c>
      <c r="H729" s="296">
        <v>-1.0</v>
      </c>
      <c r="I729" s="293"/>
    </row>
    <row r="730">
      <c r="A730" t="s">
        <v>905</v>
      </c>
      <c r="B730" s="287">
        <v>42990.0</v>
      </c>
      <c r="C730" s="288">
        <f t="shared" si="1"/>
        <v>255</v>
      </c>
      <c r="D730" s="289">
        <f t="shared" si="2"/>
        <v>8.360655738</v>
      </c>
      <c r="E730" s="290">
        <f t="shared" si="3"/>
        <v>9</v>
      </c>
      <c r="F730" s="290" t="s">
        <v>738</v>
      </c>
      <c r="G730" s="291">
        <v>-0.004506064793853959</v>
      </c>
      <c r="H730" s="296">
        <v>0.0</v>
      </c>
      <c r="I730" s="293"/>
    </row>
    <row r="731">
      <c r="A731" t="s">
        <v>801</v>
      </c>
      <c r="B731" s="287">
        <v>42624.0</v>
      </c>
      <c r="C731" s="288">
        <f t="shared" si="1"/>
        <v>255</v>
      </c>
      <c r="D731" s="289">
        <f t="shared" si="2"/>
        <v>8.360655738</v>
      </c>
      <c r="E731" s="290">
        <f t="shared" si="3"/>
        <v>9</v>
      </c>
      <c r="F731" s="290" t="s">
        <v>738</v>
      </c>
      <c r="G731" s="291">
        <v>0.03535436046082574</v>
      </c>
      <c r="H731" s="296">
        <v>1.0</v>
      </c>
      <c r="I731" s="293"/>
    </row>
    <row r="732">
      <c r="A732" t="s">
        <v>751</v>
      </c>
      <c r="B732" s="287">
        <v>42624.0</v>
      </c>
      <c r="C732" s="288">
        <f t="shared" si="1"/>
        <v>255</v>
      </c>
      <c r="D732" s="289">
        <f t="shared" si="2"/>
        <v>8.360655738</v>
      </c>
      <c r="E732" s="290">
        <f t="shared" si="3"/>
        <v>9</v>
      </c>
      <c r="F732" s="290" t="s">
        <v>738</v>
      </c>
      <c r="G732" s="291">
        <v>0.007858955717973237</v>
      </c>
      <c r="H732" s="296">
        <v>0.0</v>
      </c>
      <c r="I732" s="293"/>
    </row>
    <row r="733">
      <c r="A733" t="s">
        <v>722</v>
      </c>
      <c r="B733" s="287">
        <v>42625.0</v>
      </c>
      <c r="C733" s="288">
        <f t="shared" si="1"/>
        <v>256</v>
      </c>
      <c r="D733" s="289">
        <f t="shared" si="2"/>
        <v>8.393442623</v>
      </c>
      <c r="E733" s="290">
        <f t="shared" si="3"/>
        <v>9</v>
      </c>
      <c r="F733" s="290" t="s">
        <v>738</v>
      </c>
      <c r="G733" s="291">
        <v>-0.008388353365232804</v>
      </c>
      <c r="H733" s="296">
        <v>0.0</v>
      </c>
      <c r="I733" s="293"/>
    </row>
    <row r="734">
      <c r="A734" t="s">
        <v>1000</v>
      </c>
      <c r="B734" s="287">
        <v>42625.0</v>
      </c>
      <c r="C734" s="288">
        <f t="shared" si="1"/>
        <v>256</v>
      </c>
      <c r="D734" s="289">
        <f t="shared" si="2"/>
        <v>8.393442623</v>
      </c>
      <c r="E734" s="290">
        <f t="shared" si="3"/>
        <v>9</v>
      </c>
      <c r="F734" s="290" t="s">
        <v>738</v>
      </c>
      <c r="G734" s="291">
        <v>0.013989204202360717</v>
      </c>
      <c r="H734" s="296">
        <v>1.0</v>
      </c>
      <c r="I734" s="293"/>
    </row>
    <row r="735">
      <c r="A735" t="s">
        <v>808</v>
      </c>
      <c r="B735" s="287">
        <v>42625.0</v>
      </c>
      <c r="C735" s="288">
        <f t="shared" si="1"/>
        <v>256</v>
      </c>
      <c r="D735" s="289">
        <f t="shared" si="2"/>
        <v>8.393442623</v>
      </c>
      <c r="E735" s="290">
        <f t="shared" si="3"/>
        <v>9</v>
      </c>
      <c r="F735" s="290" t="s">
        <v>738</v>
      </c>
      <c r="G735" s="291">
        <v>0.019798728514394237</v>
      </c>
      <c r="H735" s="296">
        <v>1.0</v>
      </c>
      <c r="I735" s="293"/>
    </row>
    <row r="736">
      <c r="A736" t="s">
        <v>108</v>
      </c>
      <c r="B736" s="287">
        <v>42260.0</v>
      </c>
      <c r="C736" s="288">
        <f t="shared" si="1"/>
        <v>256</v>
      </c>
      <c r="D736" s="289">
        <f t="shared" si="2"/>
        <v>8.393442623</v>
      </c>
      <c r="E736" s="290">
        <f t="shared" si="3"/>
        <v>9</v>
      </c>
      <c r="F736" s="290" t="s">
        <v>738</v>
      </c>
      <c r="G736" s="291">
        <v>-0.026927066480040285</v>
      </c>
      <c r="H736" s="296">
        <v>-1.0</v>
      </c>
      <c r="I736" s="293"/>
    </row>
    <row r="737">
      <c r="A737" t="s">
        <v>573</v>
      </c>
      <c r="B737" s="287">
        <v>42992.0</v>
      </c>
      <c r="C737" s="288">
        <f t="shared" si="1"/>
        <v>257</v>
      </c>
      <c r="D737" s="289">
        <f t="shared" si="2"/>
        <v>8.426229508</v>
      </c>
      <c r="E737" s="290">
        <f t="shared" si="3"/>
        <v>9</v>
      </c>
      <c r="F737" s="290" t="s">
        <v>738</v>
      </c>
      <c r="G737" s="291">
        <v>-0.005021390296682027</v>
      </c>
      <c r="H737" s="296">
        <v>0.0</v>
      </c>
      <c r="I737" s="293"/>
    </row>
    <row r="738">
      <c r="A738" t="s">
        <v>1001</v>
      </c>
      <c r="B738" s="287">
        <v>42626.0</v>
      </c>
      <c r="C738" s="288">
        <f t="shared" si="1"/>
        <v>257</v>
      </c>
      <c r="D738" s="289">
        <f t="shared" si="2"/>
        <v>8.426229508</v>
      </c>
      <c r="E738" s="290">
        <f t="shared" si="3"/>
        <v>9</v>
      </c>
      <c r="F738" s="290" t="s">
        <v>738</v>
      </c>
      <c r="G738" s="291">
        <v>-0.0034262687403252556</v>
      </c>
      <c r="H738" s="296">
        <v>0.0</v>
      </c>
      <c r="I738" s="293"/>
    </row>
    <row r="739">
      <c r="A739" t="s">
        <v>1002</v>
      </c>
      <c r="B739" s="287">
        <v>42261.0</v>
      </c>
      <c r="C739" s="288">
        <f t="shared" si="1"/>
        <v>257</v>
      </c>
      <c r="D739" s="289">
        <f t="shared" si="2"/>
        <v>8.426229508</v>
      </c>
      <c r="E739" s="290">
        <f t="shared" si="3"/>
        <v>9</v>
      </c>
      <c r="F739" s="290" t="s">
        <v>738</v>
      </c>
      <c r="G739" s="291">
        <v>-0.011268907312102394</v>
      </c>
      <c r="H739" s="296">
        <v>-1.0</v>
      </c>
      <c r="I739" s="293"/>
    </row>
    <row r="740">
      <c r="A740" t="s">
        <v>1003</v>
      </c>
      <c r="B740" s="287">
        <v>42261.0</v>
      </c>
      <c r="C740" s="288">
        <f t="shared" si="1"/>
        <v>257</v>
      </c>
      <c r="D740" s="289">
        <f t="shared" si="2"/>
        <v>8.426229508</v>
      </c>
      <c r="E740" s="290">
        <f t="shared" si="3"/>
        <v>9</v>
      </c>
      <c r="F740" s="290" t="s">
        <v>738</v>
      </c>
      <c r="G740" s="291">
        <v>0.009858014005723503</v>
      </c>
      <c r="H740" s="296">
        <v>0.0</v>
      </c>
      <c r="I740" s="293"/>
    </row>
    <row r="741">
      <c r="A741" t="s">
        <v>933</v>
      </c>
      <c r="B741" s="287">
        <v>42993.0</v>
      </c>
      <c r="C741" s="288">
        <f t="shared" si="1"/>
        <v>258</v>
      </c>
      <c r="D741" s="289">
        <f t="shared" si="2"/>
        <v>8.459016393</v>
      </c>
      <c r="E741" s="290">
        <f t="shared" si="3"/>
        <v>9</v>
      </c>
      <c r="F741" s="290" t="s">
        <v>738</v>
      </c>
      <c r="G741" s="291">
        <v>0.019776252205741973</v>
      </c>
      <c r="H741" s="296">
        <v>1.0</v>
      </c>
      <c r="I741" s="293"/>
    </row>
    <row r="742">
      <c r="A742" t="s">
        <v>1004</v>
      </c>
      <c r="B742" s="287">
        <v>42627.0</v>
      </c>
      <c r="C742" s="288">
        <f t="shared" si="1"/>
        <v>258</v>
      </c>
      <c r="D742" s="289">
        <f t="shared" si="2"/>
        <v>8.459016393</v>
      </c>
      <c r="E742" s="290">
        <f t="shared" si="3"/>
        <v>9</v>
      </c>
      <c r="F742" s="290" t="s">
        <v>738</v>
      </c>
      <c r="G742" s="291">
        <v>9.59901725596235E-4</v>
      </c>
      <c r="H742" s="296">
        <v>0.0</v>
      </c>
      <c r="I742" s="293"/>
    </row>
    <row r="743">
      <c r="A743" t="s">
        <v>214</v>
      </c>
      <c r="B743" s="287">
        <v>42262.0</v>
      </c>
      <c r="C743" s="288">
        <f t="shared" si="1"/>
        <v>258</v>
      </c>
      <c r="D743" s="289">
        <f t="shared" si="2"/>
        <v>8.459016393</v>
      </c>
      <c r="E743" s="290">
        <f t="shared" si="3"/>
        <v>9</v>
      </c>
      <c r="F743" s="290" t="s">
        <v>738</v>
      </c>
      <c r="G743" s="291">
        <v>-0.005006335879620183</v>
      </c>
      <c r="H743" s="296">
        <v>0.0</v>
      </c>
      <c r="I743" s="293"/>
    </row>
    <row r="744">
      <c r="A744" t="s">
        <v>277</v>
      </c>
      <c r="B744" s="287">
        <v>42262.0</v>
      </c>
      <c r="C744" s="288">
        <f t="shared" si="1"/>
        <v>258</v>
      </c>
      <c r="D744" s="289">
        <f t="shared" si="2"/>
        <v>8.459016393</v>
      </c>
      <c r="E744" s="290">
        <f t="shared" si="3"/>
        <v>9</v>
      </c>
      <c r="F744" s="290" t="s">
        <v>738</v>
      </c>
      <c r="G744" s="291">
        <v>-0.036015696701393485</v>
      </c>
      <c r="H744" s="296">
        <v>-1.0</v>
      </c>
      <c r="I744" s="293"/>
    </row>
    <row r="745">
      <c r="A745" t="s">
        <v>1005</v>
      </c>
      <c r="B745" s="287">
        <v>42994.0</v>
      </c>
      <c r="C745" s="288">
        <f t="shared" si="1"/>
        <v>259</v>
      </c>
      <c r="D745" s="289">
        <f t="shared" si="2"/>
        <v>8.491803279</v>
      </c>
      <c r="E745" s="290">
        <f t="shared" si="3"/>
        <v>9</v>
      </c>
      <c r="F745" s="290" t="s">
        <v>738</v>
      </c>
      <c r="G745" s="291">
        <v>0.011309835371106636</v>
      </c>
      <c r="H745" s="296">
        <v>1.0</v>
      </c>
      <c r="I745" s="293"/>
    </row>
    <row r="746">
      <c r="A746" t="s">
        <v>427</v>
      </c>
      <c r="B746" s="287">
        <v>42628.0</v>
      </c>
      <c r="C746" s="288">
        <f t="shared" si="1"/>
        <v>259</v>
      </c>
      <c r="D746" s="289">
        <f t="shared" si="2"/>
        <v>8.491803279</v>
      </c>
      <c r="E746" s="290">
        <f t="shared" si="3"/>
        <v>9</v>
      </c>
      <c r="F746" s="290" t="s">
        <v>738</v>
      </c>
      <c r="G746" s="291">
        <v>1.2466653720366594E-4</v>
      </c>
      <c r="H746" s="296">
        <v>0.0</v>
      </c>
      <c r="I746" s="293"/>
    </row>
    <row r="747">
      <c r="A747" t="s">
        <v>722</v>
      </c>
      <c r="B747" s="287">
        <v>42263.0</v>
      </c>
      <c r="C747" s="288">
        <f t="shared" si="1"/>
        <v>259</v>
      </c>
      <c r="D747" s="289">
        <f t="shared" si="2"/>
        <v>8.491803279</v>
      </c>
      <c r="E747" s="290">
        <f t="shared" si="3"/>
        <v>9</v>
      </c>
      <c r="F747" s="290" t="s">
        <v>738</v>
      </c>
      <c r="G747" s="291">
        <v>-0.033533794388828864</v>
      </c>
      <c r="H747" s="296">
        <v>-1.0</v>
      </c>
      <c r="I747" s="293"/>
    </row>
    <row r="748">
      <c r="A748" t="s">
        <v>108</v>
      </c>
      <c r="B748" s="287">
        <v>42264.0</v>
      </c>
      <c r="C748" s="288">
        <f t="shared" si="1"/>
        <v>260</v>
      </c>
      <c r="D748" s="289">
        <f t="shared" si="2"/>
        <v>8.524590164</v>
      </c>
      <c r="E748" s="290">
        <f t="shared" si="3"/>
        <v>9</v>
      </c>
      <c r="F748" s="290" t="s">
        <v>738</v>
      </c>
      <c r="G748" s="291">
        <v>-0.026675399925195076</v>
      </c>
      <c r="H748" s="296">
        <v>-1.0</v>
      </c>
      <c r="I748" s="293"/>
    </row>
    <row r="749">
      <c r="A749" t="s">
        <v>108</v>
      </c>
      <c r="B749" s="287">
        <v>42264.0</v>
      </c>
      <c r="C749" s="288">
        <f t="shared" si="1"/>
        <v>260</v>
      </c>
      <c r="D749" s="289">
        <f t="shared" si="2"/>
        <v>8.524590164</v>
      </c>
      <c r="E749" s="290">
        <f t="shared" si="3"/>
        <v>9</v>
      </c>
      <c r="F749" s="290" t="s">
        <v>738</v>
      </c>
      <c r="G749" s="291">
        <v>-0.02402816487796411</v>
      </c>
      <c r="H749" s="296">
        <v>-1.0</v>
      </c>
      <c r="I749" s="293"/>
    </row>
    <row r="750">
      <c r="A750" t="s">
        <v>108</v>
      </c>
      <c r="B750" s="287">
        <v>42264.0</v>
      </c>
      <c r="C750" s="288">
        <f t="shared" si="1"/>
        <v>260</v>
      </c>
      <c r="D750" s="289">
        <f t="shared" si="2"/>
        <v>8.524590164</v>
      </c>
      <c r="E750" s="290">
        <f t="shared" si="3"/>
        <v>9</v>
      </c>
      <c r="F750" s="290" t="s">
        <v>738</v>
      </c>
      <c r="G750" s="291">
        <v>-0.02377891678154309</v>
      </c>
      <c r="H750" s="296">
        <v>-1.0</v>
      </c>
      <c r="I750" s="293"/>
    </row>
    <row r="751">
      <c r="A751" t="s">
        <v>304</v>
      </c>
      <c r="B751" s="287">
        <v>42264.0</v>
      </c>
      <c r="C751" s="288">
        <f t="shared" si="1"/>
        <v>260</v>
      </c>
      <c r="D751" s="289">
        <f t="shared" si="2"/>
        <v>8.524590164</v>
      </c>
      <c r="E751" s="290">
        <f t="shared" si="3"/>
        <v>9</v>
      </c>
      <c r="F751" s="290" t="s">
        <v>738</v>
      </c>
      <c r="G751" s="291">
        <v>0.01878796071635902</v>
      </c>
      <c r="H751" s="296">
        <v>1.0</v>
      </c>
      <c r="I751" s="293"/>
    </row>
    <row r="752">
      <c r="A752" t="s">
        <v>900</v>
      </c>
      <c r="B752" s="287">
        <v>41900.0</v>
      </c>
      <c r="C752" s="288">
        <f t="shared" si="1"/>
        <v>261</v>
      </c>
      <c r="D752" s="289">
        <f t="shared" si="2"/>
        <v>8.557377049</v>
      </c>
      <c r="E752" s="290">
        <f t="shared" si="3"/>
        <v>9</v>
      </c>
      <c r="F752" s="290" t="s">
        <v>738</v>
      </c>
      <c r="G752" s="291">
        <v>0.021632992626098302</v>
      </c>
      <c r="H752" s="296">
        <v>1.0</v>
      </c>
      <c r="I752" s="293"/>
    </row>
    <row r="753">
      <c r="A753" t="s">
        <v>746</v>
      </c>
      <c r="B753" s="287">
        <v>41900.0</v>
      </c>
      <c r="C753" s="288">
        <f t="shared" si="1"/>
        <v>261</v>
      </c>
      <c r="D753" s="289">
        <f t="shared" si="2"/>
        <v>8.557377049</v>
      </c>
      <c r="E753" s="290">
        <f t="shared" si="3"/>
        <v>9</v>
      </c>
      <c r="F753" s="290" t="s">
        <v>738</v>
      </c>
      <c r="G753" s="291">
        <v>0.018360987746035784</v>
      </c>
      <c r="H753" s="296">
        <v>1.0</v>
      </c>
      <c r="I753" s="293"/>
    </row>
    <row r="754">
      <c r="A754" t="s">
        <v>753</v>
      </c>
      <c r="B754" s="287">
        <v>41900.0</v>
      </c>
      <c r="C754" s="288">
        <f t="shared" si="1"/>
        <v>261</v>
      </c>
      <c r="D754" s="289">
        <f t="shared" si="2"/>
        <v>8.557377049</v>
      </c>
      <c r="E754" s="290">
        <f t="shared" si="3"/>
        <v>9</v>
      </c>
      <c r="F754" s="290" t="s">
        <v>738</v>
      </c>
      <c r="G754" s="291">
        <v>-0.00782182455610092</v>
      </c>
      <c r="H754" s="296">
        <v>0.0</v>
      </c>
      <c r="I754" s="293"/>
    </row>
    <row r="755">
      <c r="A755" t="s">
        <v>93</v>
      </c>
      <c r="B755" s="287">
        <v>41900.0</v>
      </c>
      <c r="C755" s="288">
        <f t="shared" si="1"/>
        <v>261</v>
      </c>
      <c r="D755" s="289">
        <f t="shared" si="2"/>
        <v>8.557377049</v>
      </c>
      <c r="E755" s="290">
        <f t="shared" si="3"/>
        <v>9</v>
      </c>
      <c r="F755" s="290" t="s">
        <v>738</v>
      </c>
      <c r="G755" s="291">
        <v>0.004511850016528207</v>
      </c>
      <c r="H755" s="296">
        <v>0.0</v>
      </c>
      <c r="I755" s="293"/>
    </row>
    <row r="756">
      <c r="A756" t="s">
        <v>1006</v>
      </c>
      <c r="B756" s="287">
        <v>41900.0</v>
      </c>
      <c r="C756" s="288">
        <f t="shared" si="1"/>
        <v>261</v>
      </c>
      <c r="D756" s="289">
        <f t="shared" si="2"/>
        <v>8.557377049</v>
      </c>
      <c r="E756" s="290">
        <f t="shared" si="3"/>
        <v>9</v>
      </c>
      <c r="F756" s="290" t="s">
        <v>738</v>
      </c>
      <c r="G756" s="291">
        <v>-0.00519286375736272</v>
      </c>
      <c r="H756" s="296">
        <v>0.0</v>
      </c>
      <c r="I756" s="293"/>
    </row>
    <row r="757">
      <c r="A757" t="s">
        <v>953</v>
      </c>
      <c r="B757" s="287">
        <v>41900.0</v>
      </c>
      <c r="C757" s="288">
        <f t="shared" si="1"/>
        <v>261</v>
      </c>
      <c r="D757" s="289">
        <f t="shared" si="2"/>
        <v>8.557377049</v>
      </c>
      <c r="E757" s="290">
        <f t="shared" si="3"/>
        <v>9</v>
      </c>
      <c r="F757" s="290" t="s">
        <v>738</v>
      </c>
      <c r="G757" s="291">
        <v>-2.984718279051002E-4</v>
      </c>
      <c r="H757" s="296">
        <v>0.0</v>
      </c>
      <c r="I757" s="293"/>
    </row>
    <row r="758">
      <c r="A758" t="s">
        <v>766</v>
      </c>
      <c r="B758" s="287">
        <v>42997.0</v>
      </c>
      <c r="C758" s="288">
        <f t="shared" si="1"/>
        <v>262</v>
      </c>
      <c r="D758" s="289">
        <f t="shared" si="2"/>
        <v>8.590163934</v>
      </c>
      <c r="E758" s="290">
        <f t="shared" si="3"/>
        <v>9</v>
      </c>
      <c r="F758" s="290" t="s">
        <v>738</v>
      </c>
      <c r="G758" s="291">
        <v>-0.015249541474439243</v>
      </c>
      <c r="H758" s="296">
        <v>-1.0</v>
      </c>
      <c r="I758" s="293"/>
    </row>
    <row r="759">
      <c r="A759" t="s">
        <v>277</v>
      </c>
      <c r="B759" s="287">
        <v>42997.0</v>
      </c>
      <c r="C759" s="288">
        <f t="shared" si="1"/>
        <v>262</v>
      </c>
      <c r="D759" s="289">
        <f t="shared" si="2"/>
        <v>8.590163934</v>
      </c>
      <c r="E759" s="290">
        <f t="shared" si="3"/>
        <v>9</v>
      </c>
      <c r="F759" s="290" t="s">
        <v>738</v>
      </c>
      <c r="G759" s="291">
        <v>0.007974256006988312</v>
      </c>
      <c r="H759" s="296">
        <v>0.0</v>
      </c>
      <c r="I759" s="293"/>
    </row>
    <row r="760">
      <c r="A760" t="s">
        <v>1007</v>
      </c>
      <c r="B760" s="287">
        <v>42266.0</v>
      </c>
      <c r="C760" s="288">
        <f t="shared" si="1"/>
        <v>262</v>
      </c>
      <c r="D760" s="289">
        <f t="shared" si="2"/>
        <v>8.590163934</v>
      </c>
      <c r="E760" s="290">
        <f t="shared" si="3"/>
        <v>9</v>
      </c>
      <c r="F760" s="290" t="s">
        <v>738</v>
      </c>
      <c r="G760" s="291">
        <v>0.001092757739138528</v>
      </c>
      <c r="H760" s="296">
        <v>0.0</v>
      </c>
      <c r="I760" s="293"/>
    </row>
    <row r="761">
      <c r="A761" t="s">
        <v>787</v>
      </c>
      <c r="B761" s="287">
        <v>42266.0</v>
      </c>
      <c r="C761" s="288">
        <f t="shared" si="1"/>
        <v>262</v>
      </c>
      <c r="D761" s="289">
        <f t="shared" si="2"/>
        <v>8.590163934</v>
      </c>
      <c r="E761" s="290">
        <f t="shared" si="3"/>
        <v>9</v>
      </c>
      <c r="F761" s="290" t="s">
        <v>738</v>
      </c>
      <c r="G761" s="291">
        <v>0.01041169977671752</v>
      </c>
      <c r="H761" s="296">
        <v>1.0</v>
      </c>
      <c r="I761" s="293"/>
    </row>
    <row r="762">
      <c r="A762" t="s">
        <v>427</v>
      </c>
      <c r="B762" s="287">
        <v>41901.0</v>
      </c>
      <c r="C762" s="288">
        <f t="shared" si="1"/>
        <v>262</v>
      </c>
      <c r="D762" s="289">
        <f t="shared" si="2"/>
        <v>8.590163934</v>
      </c>
      <c r="E762" s="290">
        <f t="shared" si="3"/>
        <v>9</v>
      </c>
      <c r="F762" s="290" t="s">
        <v>738</v>
      </c>
      <c r="G762" s="291">
        <v>0.013556036569979169</v>
      </c>
      <c r="H762" s="296">
        <v>1.0</v>
      </c>
      <c r="I762" s="293"/>
    </row>
    <row r="763">
      <c r="A763" t="s">
        <v>749</v>
      </c>
      <c r="B763" s="287">
        <v>41901.0</v>
      </c>
      <c r="C763" s="288">
        <f t="shared" si="1"/>
        <v>262</v>
      </c>
      <c r="D763" s="289">
        <f t="shared" si="2"/>
        <v>8.590163934</v>
      </c>
      <c r="E763" s="290">
        <f t="shared" si="3"/>
        <v>9</v>
      </c>
      <c r="F763" s="290" t="s">
        <v>738</v>
      </c>
      <c r="G763" s="291">
        <v>0.022292186501084443</v>
      </c>
      <c r="H763" s="296">
        <v>1.0</v>
      </c>
      <c r="I763" s="293"/>
    </row>
    <row r="764">
      <c r="A764" t="s">
        <v>715</v>
      </c>
      <c r="B764" s="287">
        <v>42998.0</v>
      </c>
      <c r="C764" s="288">
        <f t="shared" si="1"/>
        <v>263</v>
      </c>
      <c r="D764" s="289">
        <f t="shared" si="2"/>
        <v>8.62295082</v>
      </c>
      <c r="E764" s="290">
        <f t="shared" si="3"/>
        <v>9</v>
      </c>
      <c r="F764" s="290" t="s">
        <v>738</v>
      </c>
      <c r="G764" s="291">
        <v>0.018016136542417405</v>
      </c>
      <c r="H764" s="296">
        <v>1.0</v>
      </c>
      <c r="I764" s="293"/>
    </row>
    <row r="765">
      <c r="A765" t="s">
        <v>523</v>
      </c>
      <c r="B765" s="287">
        <v>42632.0</v>
      </c>
      <c r="C765" s="288">
        <f t="shared" si="1"/>
        <v>263</v>
      </c>
      <c r="D765" s="289">
        <f t="shared" si="2"/>
        <v>8.62295082</v>
      </c>
      <c r="E765" s="290">
        <f t="shared" si="3"/>
        <v>9</v>
      </c>
      <c r="F765" s="290" t="s">
        <v>738</v>
      </c>
      <c r="G765" s="291">
        <v>0.009028763509893789</v>
      </c>
      <c r="H765" s="296">
        <v>0.0</v>
      </c>
      <c r="I765" s="293"/>
    </row>
    <row r="766">
      <c r="A766" t="s">
        <v>734</v>
      </c>
      <c r="B766" s="287">
        <v>42267.0</v>
      </c>
      <c r="C766" s="288">
        <f t="shared" si="1"/>
        <v>263</v>
      </c>
      <c r="D766" s="289">
        <f t="shared" si="2"/>
        <v>8.62295082</v>
      </c>
      <c r="E766" s="290">
        <f t="shared" si="3"/>
        <v>9</v>
      </c>
      <c r="F766" s="290" t="s">
        <v>738</v>
      </c>
      <c r="G766" s="291">
        <v>-0.006938669696315403</v>
      </c>
      <c r="H766" s="296">
        <v>0.0</v>
      </c>
      <c r="I766" s="293"/>
    </row>
    <row r="767">
      <c r="A767" t="s">
        <v>850</v>
      </c>
      <c r="B767" s="287">
        <v>41902.0</v>
      </c>
      <c r="C767" s="288">
        <f t="shared" si="1"/>
        <v>263</v>
      </c>
      <c r="D767" s="289">
        <f t="shared" si="2"/>
        <v>8.62295082</v>
      </c>
      <c r="E767" s="290">
        <f t="shared" si="3"/>
        <v>9</v>
      </c>
      <c r="F767" s="290" t="s">
        <v>738</v>
      </c>
      <c r="G767" s="291">
        <v>0.003794659345424334</v>
      </c>
      <c r="H767" s="296">
        <v>0.0</v>
      </c>
      <c r="I767" s="293"/>
    </row>
    <row r="768">
      <c r="A768" t="s">
        <v>769</v>
      </c>
      <c r="B768" s="287">
        <v>42633.0</v>
      </c>
      <c r="C768" s="288">
        <f t="shared" si="1"/>
        <v>264</v>
      </c>
      <c r="D768" s="289">
        <f t="shared" si="2"/>
        <v>8.655737705</v>
      </c>
      <c r="E768" s="290">
        <f t="shared" si="3"/>
        <v>9</v>
      </c>
      <c r="F768" s="290" t="s">
        <v>738</v>
      </c>
      <c r="G768" s="291">
        <v>0.03089994915770866</v>
      </c>
      <c r="H768" s="296">
        <v>1.0</v>
      </c>
      <c r="I768" s="293"/>
    </row>
    <row r="769">
      <c r="A769" t="s">
        <v>1008</v>
      </c>
      <c r="B769" s="287">
        <v>42268.0</v>
      </c>
      <c r="C769" s="288">
        <f t="shared" si="1"/>
        <v>264</v>
      </c>
      <c r="D769" s="289">
        <f t="shared" si="2"/>
        <v>8.655737705</v>
      </c>
      <c r="E769" s="290">
        <f t="shared" si="3"/>
        <v>9</v>
      </c>
      <c r="F769" s="290" t="s">
        <v>738</v>
      </c>
      <c r="G769" s="291">
        <v>-0.039726472974287996</v>
      </c>
      <c r="H769" s="296">
        <v>-1.0</v>
      </c>
      <c r="I769" s="293"/>
    </row>
    <row r="770">
      <c r="A770" t="s">
        <v>1009</v>
      </c>
      <c r="B770" s="287">
        <v>42268.0</v>
      </c>
      <c r="C770" s="288">
        <f t="shared" si="1"/>
        <v>264</v>
      </c>
      <c r="D770" s="289">
        <f t="shared" si="2"/>
        <v>8.655737705</v>
      </c>
      <c r="E770" s="290">
        <f t="shared" si="3"/>
        <v>9</v>
      </c>
      <c r="F770" s="290" t="s">
        <v>738</v>
      </c>
      <c r="G770" s="291">
        <v>-0.03304333739978649</v>
      </c>
      <c r="H770" s="296">
        <v>-1.0</v>
      </c>
      <c r="I770" s="293"/>
    </row>
    <row r="771">
      <c r="A771" t="s">
        <v>719</v>
      </c>
      <c r="B771" s="287">
        <v>41903.0</v>
      </c>
      <c r="C771" s="288">
        <f t="shared" si="1"/>
        <v>264</v>
      </c>
      <c r="D771" s="289">
        <f t="shared" si="2"/>
        <v>8.655737705</v>
      </c>
      <c r="E771" s="290">
        <f t="shared" si="3"/>
        <v>9</v>
      </c>
      <c r="F771" s="290" t="s">
        <v>738</v>
      </c>
      <c r="G771" s="291">
        <v>0.006900343519871455</v>
      </c>
      <c r="H771" s="296">
        <v>0.0</v>
      </c>
      <c r="I771" s="293"/>
    </row>
    <row r="772">
      <c r="A772" t="s">
        <v>744</v>
      </c>
      <c r="B772" s="287">
        <v>41903.0</v>
      </c>
      <c r="C772" s="288">
        <f t="shared" si="1"/>
        <v>264</v>
      </c>
      <c r="D772" s="289">
        <f t="shared" si="2"/>
        <v>8.655737705</v>
      </c>
      <c r="E772" s="290">
        <f t="shared" si="3"/>
        <v>9</v>
      </c>
      <c r="F772" s="290" t="s">
        <v>738</v>
      </c>
      <c r="G772" s="291">
        <v>0.014911639246115493</v>
      </c>
      <c r="H772" s="296">
        <v>1.0</v>
      </c>
      <c r="I772" s="293"/>
    </row>
    <row r="773">
      <c r="A773" t="s">
        <v>711</v>
      </c>
      <c r="B773" s="287">
        <v>43000.0</v>
      </c>
      <c r="C773" s="288">
        <f t="shared" si="1"/>
        <v>265</v>
      </c>
      <c r="D773" s="289">
        <f t="shared" si="2"/>
        <v>8.68852459</v>
      </c>
      <c r="E773" s="290">
        <f t="shared" si="3"/>
        <v>9</v>
      </c>
      <c r="F773" s="290" t="s">
        <v>738</v>
      </c>
      <c r="G773" s="291">
        <v>-0.006774640000766219</v>
      </c>
      <c r="H773" s="296">
        <v>0.0</v>
      </c>
      <c r="I773" s="293"/>
    </row>
    <row r="774">
      <c r="A774" t="s">
        <v>808</v>
      </c>
      <c r="B774" s="287">
        <v>42634.0</v>
      </c>
      <c r="C774" s="288">
        <f t="shared" si="1"/>
        <v>265</v>
      </c>
      <c r="D774" s="289">
        <f t="shared" si="2"/>
        <v>8.68852459</v>
      </c>
      <c r="E774" s="290">
        <f t="shared" si="3"/>
        <v>9</v>
      </c>
      <c r="F774" s="290" t="s">
        <v>738</v>
      </c>
      <c r="G774" s="291">
        <v>0.022665053356331732</v>
      </c>
      <c r="H774" s="296">
        <v>1.0</v>
      </c>
      <c r="I774" s="293"/>
    </row>
    <row r="775">
      <c r="A775" t="s">
        <v>790</v>
      </c>
      <c r="B775" s="287">
        <v>42269.0</v>
      </c>
      <c r="C775" s="288">
        <f t="shared" si="1"/>
        <v>265</v>
      </c>
      <c r="D775" s="289">
        <f t="shared" si="2"/>
        <v>8.68852459</v>
      </c>
      <c r="E775" s="290">
        <f t="shared" si="3"/>
        <v>9</v>
      </c>
      <c r="F775" s="290" t="s">
        <v>738</v>
      </c>
      <c r="G775" s="291">
        <v>-0.015762863193839127</v>
      </c>
      <c r="H775" s="296">
        <v>-1.0</v>
      </c>
      <c r="I775" s="293"/>
    </row>
    <row r="776">
      <c r="A776" t="s">
        <v>1010</v>
      </c>
      <c r="B776" s="287">
        <v>41904.0</v>
      </c>
      <c r="C776" s="288">
        <f t="shared" si="1"/>
        <v>265</v>
      </c>
      <c r="D776" s="289">
        <f t="shared" si="2"/>
        <v>8.68852459</v>
      </c>
      <c r="E776" s="290">
        <f t="shared" si="3"/>
        <v>9</v>
      </c>
      <c r="F776" s="290" t="s">
        <v>738</v>
      </c>
      <c r="G776" s="291">
        <v>-0.01667712682606526</v>
      </c>
      <c r="H776" s="296">
        <v>-1.0</v>
      </c>
      <c r="I776" s="293"/>
    </row>
    <row r="777">
      <c r="A777" t="s">
        <v>994</v>
      </c>
      <c r="B777" s="287">
        <v>41904.0</v>
      </c>
      <c r="C777" s="288">
        <f t="shared" si="1"/>
        <v>265</v>
      </c>
      <c r="D777" s="289">
        <f t="shared" si="2"/>
        <v>8.68852459</v>
      </c>
      <c r="E777" s="290">
        <f t="shared" si="3"/>
        <v>9</v>
      </c>
      <c r="F777" s="290" t="s">
        <v>738</v>
      </c>
      <c r="G777" s="291">
        <v>0.004662355048088651</v>
      </c>
      <c r="H777" s="296">
        <v>0.0</v>
      </c>
      <c r="I777" s="293"/>
    </row>
    <row r="778">
      <c r="A778" t="s">
        <v>1011</v>
      </c>
      <c r="B778" s="287">
        <v>41905.0</v>
      </c>
      <c r="C778" s="288">
        <f t="shared" si="1"/>
        <v>266</v>
      </c>
      <c r="D778" s="289">
        <f t="shared" si="2"/>
        <v>8.721311475</v>
      </c>
      <c r="E778" s="290">
        <f t="shared" si="3"/>
        <v>9</v>
      </c>
      <c r="F778" s="290" t="s">
        <v>738</v>
      </c>
      <c r="G778" s="291">
        <v>0.0018286700206396889</v>
      </c>
      <c r="H778" s="296">
        <v>0.0</v>
      </c>
      <c r="I778" s="293"/>
    </row>
    <row r="779">
      <c r="A779" t="s">
        <v>1012</v>
      </c>
      <c r="B779" s="287">
        <v>43002.0</v>
      </c>
      <c r="C779" s="288">
        <f t="shared" si="1"/>
        <v>267</v>
      </c>
      <c r="D779" s="289">
        <f t="shared" si="2"/>
        <v>8.754098361</v>
      </c>
      <c r="E779" s="290">
        <f t="shared" si="3"/>
        <v>9</v>
      </c>
      <c r="F779" s="290" t="s">
        <v>738</v>
      </c>
      <c r="G779" s="291">
        <v>0.018767667977155345</v>
      </c>
      <c r="H779" s="296">
        <v>1.0</v>
      </c>
      <c r="I779" s="293"/>
    </row>
    <row r="780">
      <c r="A780" t="s">
        <v>781</v>
      </c>
      <c r="B780" s="287">
        <v>43002.0</v>
      </c>
      <c r="C780" s="288">
        <f t="shared" si="1"/>
        <v>267</v>
      </c>
      <c r="D780" s="289">
        <f t="shared" si="2"/>
        <v>8.754098361</v>
      </c>
      <c r="E780" s="290">
        <f t="shared" si="3"/>
        <v>9</v>
      </c>
      <c r="F780" s="290" t="s">
        <v>738</v>
      </c>
      <c r="G780" s="291">
        <v>-0.0015662717603505127</v>
      </c>
      <c r="H780" s="296">
        <v>0.0</v>
      </c>
      <c r="I780" s="293"/>
    </row>
    <row r="781">
      <c r="A781" t="s">
        <v>700</v>
      </c>
      <c r="B781" s="287">
        <v>42636.0</v>
      </c>
      <c r="C781" s="288">
        <f t="shared" si="1"/>
        <v>267</v>
      </c>
      <c r="D781" s="289">
        <f t="shared" si="2"/>
        <v>8.754098361</v>
      </c>
      <c r="E781" s="290">
        <f t="shared" si="3"/>
        <v>9</v>
      </c>
      <c r="F781" s="290" t="s">
        <v>738</v>
      </c>
      <c r="G781" s="291">
        <v>0.011397662173545875</v>
      </c>
      <c r="H781" s="296">
        <v>1.0</v>
      </c>
      <c r="I781" s="293"/>
    </row>
    <row r="782">
      <c r="A782" t="s">
        <v>1013</v>
      </c>
      <c r="B782" s="287">
        <v>42636.0</v>
      </c>
      <c r="C782" s="288">
        <f t="shared" si="1"/>
        <v>267</v>
      </c>
      <c r="D782" s="289">
        <f t="shared" si="2"/>
        <v>8.754098361</v>
      </c>
      <c r="E782" s="290">
        <f t="shared" si="3"/>
        <v>9</v>
      </c>
      <c r="F782" s="290" t="s">
        <v>738</v>
      </c>
      <c r="G782" s="291">
        <v>0.02030721124938195</v>
      </c>
      <c r="H782" s="296">
        <v>1.0</v>
      </c>
      <c r="I782" s="293"/>
    </row>
    <row r="783">
      <c r="A783" t="s">
        <v>712</v>
      </c>
      <c r="B783" s="287">
        <v>41906.0</v>
      </c>
      <c r="C783" s="288">
        <f t="shared" si="1"/>
        <v>267</v>
      </c>
      <c r="D783" s="289">
        <f t="shared" si="2"/>
        <v>8.754098361</v>
      </c>
      <c r="E783" s="290">
        <f t="shared" si="3"/>
        <v>9</v>
      </c>
      <c r="F783" s="290" t="s">
        <v>738</v>
      </c>
      <c r="G783" s="291">
        <v>0.005588253845407953</v>
      </c>
      <c r="H783" s="296">
        <v>0.0</v>
      </c>
      <c r="I783" s="293"/>
    </row>
    <row r="784">
      <c r="A784" t="s">
        <v>904</v>
      </c>
      <c r="B784" s="287">
        <v>41906.0</v>
      </c>
      <c r="C784" s="288">
        <f t="shared" si="1"/>
        <v>267</v>
      </c>
      <c r="D784" s="289">
        <f t="shared" si="2"/>
        <v>8.754098361</v>
      </c>
      <c r="E784" s="290">
        <f t="shared" si="3"/>
        <v>9</v>
      </c>
      <c r="F784" s="290" t="s">
        <v>738</v>
      </c>
      <c r="G784" s="291">
        <v>0.012110466198033798</v>
      </c>
      <c r="H784" s="296">
        <v>1.0</v>
      </c>
      <c r="I784" s="293"/>
    </row>
    <row r="785">
      <c r="A785" t="s">
        <v>727</v>
      </c>
      <c r="B785" s="287">
        <v>41906.0</v>
      </c>
      <c r="C785" s="288">
        <f t="shared" si="1"/>
        <v>267</v>
      </c>
      <c r="D785" s="289">
        <f t="shared" si="2"/>
        <v>8.754098361</v>
      </c>
      <c r="E785" s="290">
        <f t="shared" si="3"/>
        <v>9</v>
      </c>
      <c r="F785" s="290" t="s">
        <v>738</v>
      </c>
      <c r="G785" s="291">
        <v>-0.009934309914071404</v>
      </c>
      <c r="H785" s="296">
        <v>0.0</v>
      </c>
      <c r="I785" s="293"/>
    </row>
    <row r="786">
      <c r="A786" t="s">
        <v>811</v>
      </c>
      <c r="B786" s="287">
        <v>41906.0</v>
      </c>
      <c r="C786" s="288">
        <f t="shared" si="1"/>
        <v>267</v>
      </c>
      <c r="D786" s="289">
        <f t="shared" si="2"/>
        <v>8.754098361</v>
      </c>
      <c r="E786" s="290">
        <f t="shared" si="3"/>
        <v>9</v>
      </c>
      <c r="F786" s="290" t="s">
        <v>738</v>
      </c>
      <c r="G786" s="291">
        <v>-0.00805475959961166</v>
      </c>
      <c r="H786" s="296">
        <v>0.0</v>
      </c>
      <c r="I786" s="293"/>
    </row>
    <row r="787">
      <c r="A787" t="s">
        <v>963</v>
      </c>
      <c r="B787" s="287">
        <v>41906.0</v>
      </c>
      <c r="C787" s="288">
        <f t="shared" si="1"/>
        <v>267</v>
      </c>
      <c r="D787" s="289">
        <f t="shared" si="2"/>
        <v>8.754098361</v>
      </c>
      <c r="E787" s="290">
        <f t="shared" si="3"/>
        <v>9</v>
      </c>
      <c r="F787" s="290" t="s">
        <v>738</v>
      </c>
      <c r="G787" s="291">
        <v>0.011360662786202846</v>
      </c>
      <c r="H787" s="296">
        <v>1.0</v>
      </c>
      <c r="I787" s="293"/>
    </row>
    <row r="788">
      <c r="A788" t="s">
        <v>731</v>
      </c>
      <c r="B788" s="287">
        <v>41906.0</v>
      </c>
      <c r="C788" s="288">
        <f t="shared" si="1"/>
        <v>267</v>
      </c>
      <c r="D788" s="289">
        <f t="shared" si="2"/>
        <v>8.754098361</v>
      </c>
      <c r="E788" s="290">
        <f t="shared" si="3"/>
        <v>9</v>
      </c>
      <c r="F788" s="290" t="s">
        <v>738</v>
      </c>
      <c r="G788" s="291">
        <v>0.020896564471088563</v>
      </c>
      <c r="H788" s="296">
        <v>1.0</v>
      </c>
      <c r="I788" s="293"/>
    </row>
    <row r="789">
      <c r="A789" t="s">
        <v>705</v>
      </c>
      <c r="B789" s="287">
        <v>41906.0</v>
      </c>
      <c r="C789" s="288">
        <f t="shared" si="1"/>
        <v>267</v>
      </c>
      <c r="D789" s="289">
        <f t="shared" si="2"/>
        <v>8.754098361</v>
      </c>
      <c r="E789" s="290">
        <f t="shared" si="3"/>
        <v>9</v>
      </c>
      <c r="F789" s="290" t="s">
        <v>738</v>
      </c>
      <c r="G789" s="291">
        <v>0.0023813691852523355</v>
      </c>
      <c r="H789" s="296">
        <v>0.0</v>
      </c>
      <c r="I789" s="293"/>
    </row>
    <row r="790">
      <c r="A790" t="s">
        <v>1014</v>
      </c>
      <c r="B790" s="287">
        <v>43003.0</v>
      </c>
      <c r="C790" s="288">
        <f t="shared" si="1"/>
        <v>268</v>
      </c>
      <c r="D790" s="289">
        <f t="shared" si="2"/>
        <v>8.786885246</v>
      </c>
      <c r="E790" s="290">
        <f t="shared" si="3"/>
        <v>9</v>
      </c>
      <c r="F790" s="290" t="s">
        <v>738</v>
      </c>
      <c r="G790" s="291">
        <v>0.013931318389216019</v>
      </c>
      <c r="H790" s="296">
        <v>1.0</v>
      </c>
      <c r="I790" s="293"/>
    </row>
    <row r="791">
      <c r="A791" t="s">
        <v>108</v>
      </c>
      <c r="B791" s="287">
        <v>42637.0</v>
      </c>
      <c r="C791" s="288">
        <f t="shared" si="1"/>
        <v>268</v>
      </c>
      <c r="D791" s="289">
        <f t="shared" si="2"/>
        <v>8.786885246</v>
      </c>
      <c r="E791" s="290">
        <f t="shared" si="3"/>
        <v>9</v>
      </c>
      <c r="F791" s="290" t="s">
        <v>738</v>
      </c>
      <c r="G791" s="291">
        <v>-0.0300296132214094</v>
      </c>
      <c r="H791" s="296">
        <v>-1.0</v>
      </c>
      <c r="I791" s="293"/>
    </row>
    <row r="792">
      <c r="A792" t="s">
        <v>965</v>
      </c>
      <c r="B792" s="287">
        <v>42272.0</v>
      </c>
      <c r="C792" s="288">
        <f t="shared" si="1"/>
        <v>268</v>
      </c>
      <c r="D792" s="289">
        <f t="shared" si="2"/>
        <v>8.786885246</v>
      </c>
      <c r="E792" s="290">
        <f t="shared" si="3"/>
        <v>9</v>
      </c>
      <c r="F792" s="290" t="s">
        <v>738</v>
      </c>
      <c r="G792" s="291">
        <v>-0.04142115327020102</v>
      </c>
      <c r="H792" s="296">
        <v>-1.0</v>
      </c>
      <c r="I792" s="293"/>
    </row>
    <row r="793">
      <c r="A793" t="s">
        <v>304</v>
      </c>
      <c r="B793" s="287">
        <v>42272.0</v>
      </c>
      <c r="C793" s="288">
        <f t="shared" si="1"/>
        <v>268</v>
      </c>
      <c r="D793" s="289">
        <f t="shared" si="2"/>
        <v>8.786885246</v>
      </c>
      <c r="E793" s="290">
        <f t="shared" si="3"/>
        <v>9</v>
      </c>
      <c r="F793" s="290" t="s">
        <v>738</v>
      </c>
      <c r="G793" s="291">
        <v>0.0234535178730938</v>
      </c>
      <c r="H793" s="296">
        <v>1.0</v>
      </c>
      <c r="I793" s="293"/>
    </row>
    <row r="794">
      <c r="A794" t="s">
        <v>1015</v>
      </c>
      <c r="B794" s="287">
        <v>41907.0</v>
      </c>
      <c r="C794" s="288">
        <f t="shared" si="1"/>
        <v>268</v>
      </c>
      <c r="D794" s="289">
        <f t="shared" si="2"/>
        <v>8.786885246</v>
      </c>
      <c r="E794" s="290">
        <f t="shared" si="3"/>
        <v>9</v>
      </c>
      <c r="F794" s="290" t="s">
        <v>738</v>
      </c>
      <c r="G794" s="291">
        <v>0.018739166245663963</v>
      </c>
      <c r="H794" s="296">
        <v>1.0</v>
      </c>
      <c r="I794" s="293"/>
    </row>
    <row r="795">
      <c r="A795" t="s">
        <v>951</v>
      </c>
      <c r="B795" s="287">
        <v>41907.0</v>
      </c>
      <c r="C795" s="288">
        <f t="shared" si="1"/>
        <v>268</v>
      </c>
      <c r="D795" s="289">
        <f t="shared" si="2"/>
        <v>8.786885246</v>
      </c>
      <c r="E795" s="290">
        <f t="shared" si="3"/>
        <v>9</v>
      </c>
      <c r="F795" s="290" t="s">
        <v>738</v>
      </c>
      <c r="G795" s="291">
        <v>0.00447097294631793</v>
      </c>
      <c r="H795" s="296">
        <v>0.0</v>
      </c>
      <c r="I795" s="293"/>
    </row>
    <row r="796">
      <c r="A796" t="s">
        <v>718</v>
      </c>
      <c r="B796" s="287">
        <v>41907.0</v>
      </c>
      <c r="C796" s="288">
        <f t="shared" si="1"/>
        <v>268</v>
      </c>
      <c r="D796" s="289">
        <f t="shared" si="2"/>
        <v>8.786885246</v>
      </c>
      <c r="E796" s="290">
        <f t="shared" si="3"/>
        <v>9</v>
      </c>
      <c r="F796" s="290" t="s">
        <v>738</v>
      </c>
      <c r="G796" s="291">
        <v>9.468270361642217E-4</v>
      </c>
      <c r="H796" s="296">
        <v>0.0</v>
      </c>
      <c r="I796" s="293"/>
    </row>
    <row r="797">
      <c r="A797" t="s">
        <v>747</v>
      </c>
      <c r="B797" s="287">
        <v>41907.0</v>
      </c>
      <c r="C797" s="288">
        <f t="shared" si="1"/>
        <v>268</v>
      </c>
      <c r="D797" s="289">
        <f t="shared" si="2"/>
        <v>8.786885246</v>
      </c>
      <c r="E797" s="290">
        <f t="shared" si="3"/>
        <v>9</v>
      </c>
      <c r="F797" s="290" t="s">
        <v>738</v>
      </c>
      <c r="G797" s="291">
        <v>-0.003263091798686779</v>
      </c>
      <c r="H797" s="296">
        <v>0.0</v>
      </c>
      <c r="I797" s="293"/>
    </row>
    <row r="798">
      <c r="A798" t="s">
        <v>771</v>
      </c>
      <c r="B798" s="287">
        <v>43004.0</v>
      </c>
      <c r="C798" s="288">
        <f t="shared" si="1"/>
        <v>269</v>
      </c>
      <c r="D798" s="289">
        <f t="shared" si="2"/>
        <v>8.819672131</v>
      </c>
      <c r="E798" s="290">
        <f t="shared" si="3"/>
        <v>9</v>
      </c>
      <c r="F798" s="290" t="s">
        <v>738</v>
      </c>
      <c r="G798" s="291">
        <v>-0.01652997256258215</v>
      </c>
      <c r="H798" s="296">
        <v>-1.0</v>
      </c>
      <c r="I798" s="293"/>
    </row>
    <row r="799">
      <c r="A799" t="s">
        <v>108</v>
      </c>
      <c r="B799" s="287">
        <v>42638.0</v>
      </c>
      <c r="C799" s="288">
        <f t="shared" si="1"/>
        <v>269</v>
      </c>
      <c r="D799" s="289">
        <f t="shared" si="2"/>
        <v>8.819672131</v>
      </c>
      <c r="E799" s="290">
        <f t="shared" si="3"/>
        <v>9</v>
      </c>
      <c r="F799" s="290" t="s">
        <v>738</v>
      </c>
      <c r="G799" s="291">
        <v>-0.02492082086619518</v>
      </c>
      <c r="H799" s="296">
        <v>-1.0</v>
      </c>
      <c r="I799" s="293"/>
    </row>
    <row r="800">
      <c r="A800" t="s">
        <v>981</v>
      </c>
      <c r="B800" s="287">
        <v>41908.0</v>
      </c>
      <c r="C800" s="288">
        <f t="shared" si="1"/>
        <v>269</v>
      </c>
      <c r="D800" s="289">
        <f t="shared" si="2"/>
        <v>8.819672131</v>
      </c>
      <c r="E800" s="290">
        <f t="shared" si="3"/>
        <v>9</v>
      </c>
      <c r="F800" s="290" t="s">
        <v>738</v>
      </c>
      <c r="G800" s="291">
        <v>0.0029281861488378302</v>
      </c>
      <c r="H800" s="296">
        <v>0.0</v>
      </c>
      <c r="I800" s="293"/>
    </row>
    <row r="801">
      <c r="A801" t="s">
        <v>1016</v>
      </c>
      <c r="B801" s="287">
        <v>41908.0</v>
      </c>
      <c r="C801" s="288">
        <f t="shared" si="1"/>
        <v>269</v>
      </c>
      <c r="D801" s="289">
        <f t="shared" si="2"/>
        <v>8.819672131</v>
      </c>
      <c r="E801" s="290">
        <f t="shared" si="3"/>
        <v>9</v>
      </c>
      <c r="F801" s="290" t="s">
        <v>738</v>
      </c>
      <c r="G801" s="291">
        <v>-0.004771060635761271</v>
      </c>
      <c r="H801" s="296">
        <v>0.0</v>
      </c>
      <c r="I801" s="293"/>
    </row>
    <row r="802">
      <c r="A802" t="s">
        <v>1017</v>
      </c>
      <c r="B802" s="287">
        <v>41908.0</v>
      </c>
      <c r="C802" s="288">
        <f t="shared" si="1"/>
        <v>269</v>
      </c>
      <c r="D802" s="289">
        <f t="shared" si="2"/>
        <v>8.819672131</v>
      </c>
      <c r="E802" s="290">
        <f t="shared" si="3"/>
        <v>9</v>
      </c>
      <c r="F802" s="290" t="s">
        <v>738</v>
      </c>
      <c r="G802" s="291">
        <v>0.006540390543083308</v>
      </c>
      <c r="H802" s="296">
        <v>0.0</v>
      </c>
      <c r="I802" s="293"/>
    </row>
    <row r="803">
      <c r="A803" t="s">
        <v>852</v>
      </c>
      <c r="B803" s="287">
        <v>41908.0</v>
      </c>
      <c r="C803" s="288">
        <f t="shared" si="1"/>
        <v>269</v>
      </c>
      <c r="D803" s="289">
        <f t="shared" si="2"/>
        <v>8.819672131</v>
      </c>
      <c r="E803" s="290">
        <f t="shared" si="3"/>
        <v>9</v>
      </c>
      <c r="F803" s="290" t="s">
        <v>738</v>
      </c>
      <c r="G803" s="291">
        <v>-0.013851482208250165</v>
      </c>
      <c r="H803" s="296">
        <v>-1.0</v>
      </c>
      <c r="I803" s="293"/>
    </row>
    <row r="804">
      <c r="A804" t="s">
        <v>1018</v>
      </c>
      <c r="B804" s="287">
        <v>41908.0</v>
      </c>
      <c r="C804" s="288">
        <f t="shared" si="1"/>
        <v>269</v>
      </c>
      <c r="D804" s="289">
        <f t="shared" si="2"/>
        <v>8.819672131</v>
      </c>
      <c r="E804" s="290">
        <f t="shared" si="3"/>
        <v>9</v>
      </c>
      <c r="F804" s="290" t="s">
        <v>738</v>
      </c>
      <c r="G804" s="291">
        <v>0.011807130419186906</v>
      </c>
      <c r="H804" s="296">
        <v>1.0</v>
      </c>
      <c r="I804" s="293"/>
    </row>
    <row r="805">
      <c r="A805" t="s">
        <v>837</v>
      </c>
      <c r="B805" s="287">
        <v>41908.0</v>
      </c>
      <c r="C805" s="288">
        <f t="shared" si="1"/>
        <v>269</v>
      </c>
      <c r="D805" s="289">
        <f t="shared" si="2"/>
        <v>8.819672131</v>
      </c>
      <c r="E805" s="290">
        <f t="shared" si="3"/>
        <v>9</v>
      </c>
      <c r="F805" s="290" t="s">
        <v>738</v>
      </c>
      <c r="G805" s="291">
        <v>0.007472532894728934</v>
      </c>
      <c r="H805" s="296">
        <v>0.0</v>
      </c>
      <c r="I805" s="293"/>
    </row>
    <row r="806">
      <c r="A806" t="s">
        <v>576</v>
      </c>
      <c r="B806" s="287">
        <v>43005.0</v>
      </c>
      <c r="C806" s="288">
        <f t="shared" si="1"/>
        <v>270</v>
      </c>
      <c r="D806" s="289">
        <f t="shared" si="2"/>
        <v>8.852459016</v>
      </c>
      <c r="E806" s="290">
        <f t="shared" si="3"/>
        <v>9</v>
      </c>
      <c r="F806" s="290" t="s">
        <v>738</v>
      </c>
      <c r="G806" s="291">
        <v>0.018555290019061643</v>
      </c>
      <c r="H806" s="296">
        <v>1.0</v>
      </c>
      <c r="I806" s="293"/>
    </row>
    <row r="807">
      <c r="A807" t="s">
        <v>716</v>
      </c>
      <c r="B807" s="287">
        <v>42639.0</v>
      </c>
      <c r="C807" s="288">
        <f t="shared" si="1"/>
        <v>270</v>
      </c>
      <c r="D807" s="289">
        <f t="shared" si="2"/>
        <v>8.852459016</v>
      </c>
      <c r="E807" s="290">
        <f t="shared" si="3"/>
        <v>9</v>
      </c>
      <c r="F807" s="290" t="s">
        <v>738</v>
      </c>
      <c r="G807" s="291">
        <v>0.006813545333510751</v>
      </c>
      <c r="H807" s="296">
        <v>0.0</v>
      </c>
      <c r="I807" s="293"/>
    </row>
    <row r="808">
      <c r="A808" t="s">
        <v>771</v>
      </c>
      <c r="B808" s="287">
        <v>42639.0</v>
      </c>
      <c r="C808" s="288">
        <f t="shared" si="1"/>
        <v>270</v>
      </c>
      <c r="D808" s="289">
        <f t="shared" si="2"/>
        <v>8.852459016</v>
      </c>
      <c r="E808" s="290">
        <f t="shared" si="3"/>
        <v>9</v>
      </c>
      <c r="F808" s="290" t="s">
        <v>738</v>
      </c>
      <c r="G808" s="291">
        <v>-0.004108957829427218</v>
      </c>
      <c r="H808" s="296">
        <v>0.0</v>
      </c>
      <c r="I808" s="293"/>
    </row>
    <row r="809">
      <c r="A809" t="s">
        <v>189</v>
      </c>
      <c r="B809" s="287">
        <v>42639.0</v>
      </c>
      <c r="C809" s="288">
        <f t="shared" si="1"/>
        <v>270</v>
      </c>
      <c r="D809" s="289">
        <f t="shared" si="2"/>
        <v>8.852459016</v>
      </c>
      <c r="E809" s="290">
        <f t="shared" si="3"/>
        <v>9</v>
      </c>
      <c r="F809" s="290" t="s">
        <v>738</v>
      </c>
      <c r="G809" s="291">
        <v>-0.026145603593276223</v>
      </c>
      <c r="H809" s="296">
        <v>-1.0</v>
      </c>
      <c r="I809" s="293"/>
    </row>
    <row r="810">
      <c r="A810" t="s">
        <v>214</v>
      </c>
      <c r="B810" s="287">
        <v>42274.0</v>
      </c>
      <c r="C810" s="288">
        <f t="shared" si="1"/>
        <v>270</v>
      </c>
      <c r="D810" s="289">
        <f t="shared" si="2"/>
        <v>8.852459016</v>
      </c>
      <c r="E810" s="290">
        <f t="shared" si="3"/>
        <v>9</v>
      </c>
      <c r="F810" s="290" t="s">
        <v>738</v>
      </c>
      <c r="G810" s="291">
        <v>-0.006526729772390327</v>
      </c>
      <c r="H810" s="296">
        <v>0.0</v>
      </c>
      <c r="I810" s="293"/>
    </row>
    <row r="811">
      <c r="A811" t="s">
        <v>214</v>
      </c>
      <c r="B811" s="287">
        <v>42274.0</v>
      </c>
      <c r="C811" s="288">
        <f t="shared" si="1"/>
        <v>270</v>
      </c>
      <c r="D811" s="289">
        <f t="shared" si="2"/>
        <v>8.852459016</v>
      </c>
      <c r="E811" s="290">
        <f t="shared" si="3"/>
        <v>9</v>
      </c>
      <c r="F811" s="290" t="s">
        <v>738</v>
      </c>
      <c r="G811" s="291">
        <v>-0.006198246861567225</v>
      </c>
      <c r="H811" s="296">
        <v>0.0</v>
      </c>
      <c r="I811" s="293"/>
    </row>
    <row r="812">
      <c r="A812" t="s">
        <v>760</v>
      </c>
      <c r="B812" s="287">
        <v>41909.0</v>
      </c>
      <c r="C812" s="288">
        <f t="shared" si="1"/>
        <v>270</v>
      </c>
      <c r="D812" s="289">
        <f t="shared" si="2"/>
        <v>8.852459016</v>
      </c>
      <c r="E812" s="290">
        <f t="shared" si="3"/>
        <v>9</v>
      </c>
      <c r="F812" s="290" t="s">
        <v>738</v>
      </c>
      <c r="G812" s="291">
        <v>0.00682753726587193</v>
      </c>
      <c r="H812" s="296">
        <v>0.0</v>
      </c>
      <c r="I812" s="293"/>
    </row>
    <row r="813">
      <c r="A813" t="s">
        <v>754</v>
      </c>
      <c r="B813" s="287">
        <v>41909.0</v>
      </c>
      <c r="C813" s="288">
        <f t="shared" si="1"/>
        <v>270</v>
      </c>
      <c r="D813" s="289">
        <f t="shared" si="2"/>
        <v>8.852459016</v>
      </c>
      <c r="E813" s="290">
        <f t="shared" si="3"/>
        <v>9</v>
      </c>
      <c r="F813" s="290" t="s">
        <v>738</v>
      </c>
      <c r="G813" s="291">
        <v>0.008005924130025766</v>
      </c>
      <c r="H813" s="296">
        <v>0.0</v>
      </c>
      <c r="I813" s="293"/>
    </row>
    <row r="814">
      <c r="A814" t="s">
        <v>737</v>
      </c>
      <c r="B814" s="287">
        <v>41909.0</v>
      </c>
      <c r="C814" s="288">
        <f t="shared" si="1"/>
        <v>270</v>
      </c>
      <c r="D814" s="289">
        <f t="shared" si="2"/>
        <v>8.852459016</v>
      </c>
      <c r="E814" s="290">
        <f t="shared" si="3"/>
        <v>9</v>
      </c>
      <c r="F814" s="290" t="s">
        <v>738</v>
      </c>
      <c r="G814" s="291">
        <v>-0.006085438345176053</v>
      </c>
      <c r="H814" s="296">
        <v>0.0</v>
      </c>
      <c r="I814" s="293"/>
    </row>
    <row r="815">
      <c r="A815" t="s">
        <v>1019</v>
      </c>
      <c r="B815" s="287">
        <v>43006.0</v>
      </c>
      <c r="C815" s="288">
        <f t="shared" si="1"/>
        <v>271</v>
      </c>
      <c r="D815" s="289">
        <f t="shared" si="2"/>
        <v>8.885245902</v>
      </c>
      <c r="E815" s="290">
        <f t="shared" si="3"/>
        <v>9</v>
      </c>
      <c r="F815" s="290" t="s">
        <v>738</v>
      </c>
      <c r="G815" s="291">
        <v>0.016406694898747243</v>
      </c>
      <c r="H815" s="296">
        <v>1.0</v>
      </c>
      <c r="I815" s="293"/>
    </row>
    <row r="816">
      <c r="A816" t="s">
        <v>277</v>
      </c>
      <c r="B816" s="287">
        <v>42640.0</v>
      </c>
      <c r="C816" s="288">
        <f t="shared" si="1"/>
        <v>271</v>
      </c>
      <c r="D816" s="289">
        <f t="shared" si="2"/>
        <v>8.885245902</v>
      </c>
      <c r="E816" s="290">
        <f t="shared" si="3"/>
        <v>9</v>
      </c>
      <c r="F816" s="290" t="s">
        <v>738</v>
      </c>
      <c r="G816" s="291">
        <v>0.013160800363611558</v>
      </c>
      <c r="H816" s="296">
        <v>1.0</v>
      </c>
      <c r="I816" s="293"/>
    </row>
    <row r="817">
      <c r="A817" t="s">
        <v>838</v>
      </c>
      <c r="B817" s="287">
        <v>41910.0</v>
      </c>
      <c r="C817" s="288">
        <f t="shared" si="1"/>
        <v>271</v>
      </c>
      <c r="D817" s="289">
        <f t="shared" si="2"/>
        <v>8.885245902</v>
      </c>
      <c r="E817" s="290">
        <f t="shared" si="3"/>
        <v>9</v>
      </c>
      <c r="F817" s="290" t="s">
        <v>738</v>
      </c>
      <c r="G817" s="291">
        <v>-0.010198782945382012</v>
      </c>
      <c r="H817" s="296">
        <v>-1.0</v>
      </c>
      <c r="I817" s="293"/>
    </row>
    <row r="818">
      <c r="A818" t="s">
        <v>938</v>
      </c>
      <c r="B818" s="287">
        <v>43007.0</v>
      </c>
      <c r="C818" s="288">
        <f t="shared" si="1"/>
        <v>272</v>
      </c>
      <c r="D818" s="289">
        <f t="shared" si="2"/>
        <v>8.918032787</v>
      </c>
      <c r="E818" s="290">
        <f t="shared" si="3"/>
        <v>9</v>
      </c>
      <c r="F818" s="290" t="s">
        <v>738</v>
      </c>
      <c r="G818" s="291">
        <v>-0.03536786215416632</v>
      </c>
      <c r="H818" s="296">
        <v>-1.0</v>
      </c>
      <c r="I818" s="293"/>
    </row>
    <row r="819">
      <c r="A819" t="s">
        <v>108</v>
      </c>
      <c r="B819" s="287">
        <v>43008.0</v>
      </c>
      <c r="C819" s="288">
        <f t="shared" si="1"/>
        <v>273</v>
      </c>
      <c r="D819" s="289">
        <f t="shared" si="2"/>
        <v>8.950819672</v>
      </c>
      <c r="E819" s="290">
        <f t="shared" si="3"/>
        <v>9</v>
      </c>
      <c r="F819" s="290" t="s">
        <v>738</v>
      </c>
      <c r="G819" s="291">
        <v>-5.435700021364509E-4</v>
      </c>
      <c r="H819" s="296">
        <v>0.0</v>
      </c>
      <c r="I819" s="293"/>
    </row>
    <row r="820">
      <c r="A820" t="s">
        <v>1020</v>
      </c>
      <c r="B820" s="287">
        <v>42642.0</v>
      </c>
      <c r="C820" s="288">
        <f t="shared" si="1"/>
        <v>273</v>
      </c>
      <c r="D820" s="289">
        <f t="shared" si="2"/>
        <v>8.950819672</v>
      </c>
      <c r="E820" s="290">
        <f t="shared" si="3"/>
        <v>9</v>
      </c>
      <c r="F820" s="290" t="s">
        <v>738</v>
      </c>
      <c r="G820" s="291">
        <v>0.014199628108462314</v>
      </c>
      <c r="H820" s="296">
        <v>1.0</v>
      </c>
      <c r="I820" s="293"/>
    </row>
    <row r="821">
      <c r="A821" t="s">
        <v>427</v>
      </c>
      <c r="B821" s="287">
        <v>42277.0</v>
      </c>
      <c r="C821" s="288">
        <f t="shared" si="1"/>
        <v>273</v>
      </c>
      <c r="D821" s="289">
        <f t="shared" si="2"/>
        <v>8.950819672</v>
      </c>
      <c r="E821" s="290">
        <f t="shared" si="3"/>
        <v>9</v>
      </c>
      <c r="F821" s="290" t="s">
        <v>738</v>
      </c>
      <c r="G821" s="291">
        <v>-0.010730306158870828</v>
      </c>
      <c r="H821" s="296">
        <v>-1.0</v>
      </c>
      <c r="I821" s="293"/>
    </row>
    <row r="822">
      <c r="A822" t="s">
        <v>713</v>
      </c>
      <c r="B822" s="287">
        <v>41912.0</v>
      </c>
      <c r="C822" s="288">
        <f t="shared" si="1"/>
        <v>273</v>
      </c>
      <c r="D822" s="289">
        <f t="shared" si="2"/>
        <v>8.950819672</v>
      </c>
      <c r="E822" s="290">
        <f t="shared" si="3"/>
        <v>9</v>
      </c>
      <c r="F822" s="290" t="s">
        <v>738</v>
      </c>
      <c r="G822" s="291">
        <v>0.012938345317013544</v>
      </c>
      <c r="H822" s="296">
        <v>1.0</v>
      </c>
      <c r="I822" s="293"/>
    </row>
    <row r="823">
      <c r="A823" t="s">
        <v>756</v>
      </c>
      <c r="B823" s="287">
        <v>42278.0</v>
      </c>
      <c r="C823" s="288">
        <f t="shared" si="1"/>
        <v>274</v>
      </c>
      <c r="D823" s="289">
        <f t="shared" si="2"/>
        <v>8.983606557</v>
      </c>
      <c r="E823" s="290">
        <f t="shared" si="3"/>
        <v>9</v>
      </c>
      <c r="F823" s="290" t="s">
        <v>738</v>
      </c>
      <c r="G823" s="291">
        <v>-0.005065253026337646</v>
      </c>
      <c r="H823" s="296">
        <v>0.0</v>
      </c>
      <c r="I823" s="293"/>
    </row>
    <row r="824">
      <c r="A824" t="s">
        <v>1021</v>
      </c>
      <c r="B824" s="287">
        <v>42278.0</v>
      </c>
      <c r="C824" s="288">
        <f t="shared" si="1"/>
        <v>274</v>
      </c>
      <c r="D824" s="289">
        <f t="shared" si="2"/>
        <v>8.983606557</v>
      </c>
      <c r="E824" s="290">
        <f t="shared" si="3"/>
        <v>9</v>
      </c>
      <c r="F824" s="290" t="s">
        <v>738</v>
      </c>
      <c r="G824" s="291">
        <v>0.003444384240644416</v>
      </c>
      <c r="H824" s="296">
        <v>0.0</v>
      </c>
      <c r="I824" s="293"/>
    </row>
    <row r="825">
      <c r="A825" t="s">
        <v>845</v>
      </c>
      <c r="B825" s="287">
        <v>42278.0</v>
      </c>
      <c r="C825" s="288">
        <f t="shared" si="1"/>
        <v>274</v>
      </c>
      <c r="D825" s="289">
        <f t="shared" si="2"/>
        <v>8.983606557</v>
      </c>
      <c r="E825" s="290">
        <f t="shared" si="3"/>
        <v>9</v>
      </c>
      <c r="F825" s="290" t="s">
        <v>738</v>
      </c>
      <c r="G825" s="291">
        <v>-0.01005188958310499</v>
      </c>
      <c r="H825" s="296">
        <v>-1.0</v>
      </c>
      <c r="I825" s="293"/>
    </row>
    <row r="826">
      <c r="A826" t="s">
        <v>820</v>
      </c>
      <c r="B826" s="287">
        <v>41913.0</v>
      </c>
      <c r="C826" s="288">
        <f t="shared" si="1"/>
        <v>274</v>
      </c>
      <c r="D826" s="289">
        <f t="shared" si="2"/>
        <v>8.983606557</v>
      </c>
      <c r="E826" s="290">
        <f t="shared" si="3"/>
        <v>9</v>
      </c>
      <c r="F826" s="290" t="s">
        <v>738</v>
      </c>
      <c r="G826" s="291">
        <v>-0.009786808463089991</v>
      </c>
      <c r="H826" s="296">
        <v>0.0</v>
      </c>
      <c r="I826" s="293"/>
    </row>
    <row r="827">
      <c r="A827" t="s">
        <v>798</v>
      </c>
      <c r="B827" s="287">
        <v>42644.0</v>
      </c>
      <c r="C827" s="288">
        <f t="shared" si="1"/>
        <v>275</v>
      </c>
      <c r="D827" s="289">
        <f t="shared" si="2"/>
        <v>9.016393443</v>
      </c>
      <c r="E827" s="290">
        <f t="shared" si="3"/>
        <v>10</v>
      </c>
      <c r="F827" s="290" t="s">
        <v>739</v>
      </c>
      <c r="G827" s="291">
        <v>0.005719072695120508</v>
      </c>
      <c r="H827" s="296">
        <v>0.0</v>
      </c>
      <c r="I827" s="293"/>
    </row>
    <row r="828">
      <c r="A828" t="s">
        <v>1022</v>
      </c>
      <c r="B828" s="287">
        <v>42644.0</v>
      </c>
      <c r="C828" s="288">
        <f t="shared" si="1"/>
        <v>275</v>
      </c>
      <c r="D828" s="289">
        <f t="shared" si="2"/>
        <v>9.016393443</v>
      </c>
      <c r="E828" s="290">
        <f t="shared" si="3"/>
        <v>10</v>
      </c>
      <c r="F828" s="290" t="s">
        <v>739</v>
      </c>
      <c r="G828" s="291">
        <v>-0.01964137396344856</v>
      </c>
      <c r="H828" s="296">
        <v>-1.0</v>
      </c>
      <c r="I828" s="293"/>
    </row>
    <row r="829">
      <c r="A829" t="s">
        <v>902</v>
      </c>
      <c r="B829" s="287">
        <v>42279.0</v>
      </c>
      <c r="C829" s="288">
        <f t="shared" si="1"/>
        <v>275</v>
      </c>
      <c r="D829" s="289">
        <f t="shared" si="2"/>
        <v>9.016393443</v>
      </c>
      <c r="E829" s="290">
        <f t="shared" si="3"/>
        <v>10</v>
      </c>
      <c r="F829" s="290" t="s">
        <v>739</v>
      </c>
      <c r="G829" s="291">
        <v>0.006253592046144507</v>
      </c>
      <c r="H829" s="296">
        <v>0.0</v>
      </c>
      <c r="I829" s="293"/>
    </row>
    <row r="830">
      <c r="A830" t="s">
        <v>742</v>
      </c>
      <c r="B830" s="287">
        <v>42280.0</v>
      </c>
      <c r="C830" s="288">
        <f t="shared" si="1"/>
        <v>276</v>
      </c>
      <c r="D830" s="289">
        <f t="shared" si="2"/>
        <v>9.049180328</v>
      </c>
      <c r="E830" s="290">
        <f t="shared" si="3"/>
        <v>10</v>
      </c>
      <c r="F830" s="290" t="s">
        <v>739</v>
      </c>
      <c r="G830" s="291">
        <v>-0.02058725202383005</v>
      </c>
      <c r="H830" s="296">
        <v>-1.0</v>
      </c>
      <c r="I830" s="293"/>
    </row>
    <row r="831">
      <c r="A831" t="s">
        <v>1023</v>
      </c>
      <c r="B831" s="287">
        <v>43012.0</v>
      </c>
      <c r="C831" s="288">
        <f t="shared" si="1"/>
        <v>277</v>
      </c>
      <c r="D831" s="289">
        <f t="shared" si="2"/>
        <v>9.081967213</v>
      </c>
      <c r="E831" s="290">
        <f t="shared" si="3"/>
        <v>10</v>
      </c>
      <c r="F831" s="290" t="s">
        <v>739</v>
      </c>
      <c r="G831" s="291">
        <v>0.026032529438821284</v>
      </c>
      <c r="H831" s="296">
        <v>1.0</v>
      </c>
      <c r="I831" s="293"/>
    </row>
    <row r="832">
      <c r="A832" t="s">
        <v>761</v>
      </c>
      <c r="B832" s="287">
        <v>42646.0</v>
      </c>
      <c r="C832" s="288">
        <f t="shared" si="1"/>
        <v>277</v>
      </c>
      <c r="D832" s="289">
        <f t="shared" si="2"/>
        <v>9.081967213</v>
      </c>
      <c r="E832" s="290">
        <f t="shared" si="3"/>
        <v>10</v>
      </c>
      <c r="F832" s="290" t="s">
        <v>739</v>
      </c>
      <c r="G832" s="291">
        <v>0.00581812042697738</v>
      </c>
      <c r="H832" s="296">
        <v>0.0</v>
      </c>
      <c r="I832" s="293"/>
    </row>
    <row r="833">
      <c r="A833" t="s">
        <v>1024</v>
      </c>
      <c r="B833" s="287">
        <v>42281.0</v>
      </c>
      <c r="C833" s="288">
        <f t="shared" si="1"/>
        <v>277</v>
      </c>
      <c r="D833" s="289">
        <f t="shared" si="2"/>
        <v>9.081967213</v>
      </c>
      <c r="E833" s="290">
        <f t="shared" si="3"/>
        <v>10</v>
      </c>
      <c r="F833" s="290" t="s">
        <v>739</v>
      </c>
      <c r="G833" s="291">
        <v>0.019370269721229683</v>
      </c>
      <c r="H833" s="296">
        <v>1.0</v>
      </c>
      <c r="I833" s="293"/>
    </row>
    <row r="834">
      <c r="A834" t="s">
        <v>1025</v>
      </c>
      <c r="B834" s="287">
        <v>41916.0</v>
      </c>
      <c r="C834" s="288">
        <f t="shared" si="1"/>
        <v>277</v>
      </c>
      <c r="D834" s="289">
        <f t="shared" si="2"/>
        <v>9.081967213</v>
      </c>
      <c r="E834" s="290">
        <f t="shared" si="3"/>
        <v>10</v>
      </c>
      <c r="F834" s="290" t="s">
        <v>739</v>
      </c>
      <c r="G834" s="291">
        <v>0.018718379032003463</v>
      </c>
      <c r="H834" s="296">
        <v>1.0</v>
      </c>
      <c r="I834" s="293"/>
    </row>
    <row r="835">
      <c r="A835" t="s">
        <v>750</v>
      </c>
      <c r="B835" s="287">
        <v>41916.0</v>
      </c>
      <c r="C835" s="288">
        <f t="shared" si="1"/>
        <v>277</v>
      </c>
      <c r="D835" s="289">
        <f t="shared" si="2"/>
        <v>9.081967213</v>
      </c>
      <c r="E835" s="290">
        <f t="shared" si="3"/>
        <v>10</v>
      </c>
      <c r="F835" s="290" t="s">
        <v>739</v>
      </c>
      <c r="G835" s="291">
        <v>0.01018674591379265</v>
      </c>
      <c r="H835" s="296">
        <v>1.0</v>
      </c>
      <c r="I835" s="293"/>
    </row>
    <row r="836">
      <c r="A836" t="s">
        <v>804</v>
      </c>
      <c r="B836" s="287">
        <v>43013.0</v>
      </c>
      <c r="C836" s="288">
        <f t="shared" si="1"/>
        <v>278</v>
      </c>
      <c r="D836" s="289">
        <f t="shared" si="2"/>
        <v>9.114754098</v>
      </c>
      <c r="E836" s="290">
        <f t="shared" si="3"/>
        <v>10</v>
      </c>
      <c r="F836" s="290" t="s">
        <v>739</v>
      </c>
      <c r="G836" s="291">
        <v>0.05020188665613845</v>
      </c>
      <c r="H836" s="296">
        <v>1.0</v>
      </c>
      <c r="I836" s="293"/>
    </row>
    <row r="837">
      <c r="A837" t="s">
        <v>951</v>
      </c>
      <c r="B837" s="287">
        <v>43013.0</v>
      </c>
      <c r="C837" s="288">
        <f t="shared" si="1"/>
        <v>278</v>
      </c>
      <c r="D837" s="289">
        <f t="shared" si="2"/>
        <v>9.114754098</v>
      </c>
      <c r="E837" s="290">
        <f t="shared" si="3"/>
        <v>10</v>
      </c>
      <c r="F837" s="290" t="s">
        <v>739</v>
      </c>
      <c r="G837" s="291">
        <v>0.003836522912710749</v>
      </c>
      <c r="H837" s="296">
        <v>0.0</v>
      </c>
      <c r="I837" s="293"/>
    </row>
    <row r="838">
      <c r="A838" t="s">
        <v>1026</v>
      </c>
      <c r="B838" s="287">
        <v>43013.0</v>
      </c>
      <c r="C838" s="288">
        <f t="shared" si="1"/>
        <v>278</v>
      </c>
      <c r="D838" s="289">
        <f t="shared" si="2"/>
        <v>9.114754098</v>
      </c>
      <c r="E838" s="290">
        <f t="shared" si="3"/>
        <v>10</v>
      </c>
      <c r="F838" s="290" t="s">
        <v>739</v>
      </c>
      <c r="G838" s="291">
        <v>-0.008846353861909906</v>
      </c>
      <c r="H838" s="296">
        <v>0.0</v>
      </c>
      <c r="I838" s="293"/>
    </row>
    <row r="839">
      <c r="A839" t="s">
        <v>715</v>
      </c>
      <c r="B839" s="287">
        <v>42647.0</v>
      </c>
      <c r="C839" s="288">
        <f t="shared" si="1"/>
        <v>278</v>
      </c>
      <c r="D839" s="289">
        <f t="shared" si="2"/>
        <v>9.114754098</v>
      </c>
      <c r="E839" s="290">
        <f t="shared" si="3"/>
        <v>10</v>
      </c>
      <c r="F839" s="290" t="s">
        <v>739</v>
      </c>
      <c r="G839" s="291">
        <v>0.009970469163917306</v>
      </c>
      <c r="H839" s="296">
        <v>0.0</v>
      </c>
      <c r="I839" s="293"/>
    </row>
    <row r="840">
      <c r="A840" t="s">
        <v>834</v>
      </c>
      <c r="B840" s="287">
        <v>42282.0</v>
      </c>
      <c r="C840" s="288">
        <f t="shared" si="1"/>
        <v>278</v>
      </c>
      <c r="D840" s="289">
        <f t="shared" si="2"/>
        <v>9.114754098</v>
      </c>
      <c r="E840" s="290">
        <f t="shared" si="3"/>
        <v>10</v>
      </c>
      <c r="F840" s="290" t="s">
        <v>739</v>
      </c>
      <c r="G840" s="291">
        <v>-0.02444101446991287</v>
      </c>
      <c r="H840" s="296">
        <v>-1.0</v>
      </c>
      <c r="I840" s="293"/>
    </row>
    <row r="841">
      <c r="A841" t="s">
        <v>766</v>
      </c>
      <c r="B841" s="287">
        <v>41917.0</v>
      </c>
      <c r="C841" s="288">
        <f t="shared" si="1"/>
        <v>278</v>
      </c>
      <c r="D841" s="289">
        <f t="shared" si="2"/>
        <v>9.114754098</v>
      </c>
      <c r="E841" s="290">
        <f t="shared" si="3"/>
        <v>10</v>
      </c>
      <c r="F841" s="290" t="s">
        <v>739</v>
      </c>
      <c r="G841" s="291">
        <v>-1.9286375736271566E-4</v>
      </c>
      <c r="H841" s="296">
        <v>0.0</v>
      </c>
      <c r="I841" s="293"/>
    </row>
    <row r="842">
      <c r="A842" t="s">
        <v>1014</v>
      </c>
      <c r="B842" s="287">
        <v>43014.0</v>
      </c>
      <c r="C842" s="288">
        <f t="shared" si="1"/>
        <v>279</v>
      </c>
      <c r="D842" s="289">
        <f t="shared" si="2"/>
        <v>9.147540984</v>
      </c>
      <c r="E842" s="290">
        <f t="shared" si="3"/>
        <v>10</v>
      </c>
      <c r="F842" s="290" t="s">
        <v>739</v>
      </c>
      <c r="G842" s="291">
        <v>0.028681608556264226</v>
      </c>
      <c r="H842" s="296">
        <v>1.0</v>
      </c>
      <c r="I842" s="293"/>
    </row>
    <row r="843">
      <c r="A843" t="s">
        <v>723</v>
      </c>
      <c r="B843" s="287">
        <v>43014.0</v>
      </c>
      <c r="C843" s="288">
        <f t="shared" si="1"/>
        <v>279</v>
      </c>
      <c r="D843" s="289">
        <f t="shared" si="2"/>
        <v>9.147540984</v>
      </c>
      <c r="E843" s="290">
        <f t="shared" si="3"/>
        <v>10</v>
      </c>
      <c r="F843" s="290" t="s">
        <v>739</v>
      </c>
      <c r="G843" s="291">
        <v>0.02002774233278748</v>
      </c>
      <c r="H843" s="296">
        <v>1.0</v>
      </c>
      <c r="I843" s="293"/>
    </row>
    <row r="844">
      <c r="A844" t="s">
        <v>769</v>
      </c>
      <c r="B844" s="287">
        <v>42648.0</v>
      </c>
      <c r="C844" s="288">
        <f t="shared" si="1"/>
        <v>279</v>
      </c>
      <c r="D844" s="289">
        <f t="shared" si="2"/>
        <v>9.147540984</v>
      </c>
      <c r="E844" s="290">
        <f t="shared" si="3"/>
        <v>10</v>
      </c>
      <c r="F844" s="290" t="s">
        <v>739</v>
      </c>
      <c r="G844" s="291">
        <v>0.026596271989695608</v>
      </c>
      <c r="H844" s="296">
        <v>1.0</v>
      </c>
      <c r="I844" s="293"/>
    </row>
    <row r="845">
      <c r="A845" t="s">
        <v>1027</v>
      </c>
      <c r="B845" s="287">
        <v>42283.0</v>
      </c>
      <c r="C845" s="288">
        <f t="shared" si="1"/>
        <v>279</v>
      </c>
      <c r="D845" s="289">
        <f t="shared" si="2"/>
        <v>9.147540984</v>
      </c>
      <c r="E845" s="290">
        <f t="shared" si="3"/>
        <v>10</v>
      </c>
      <c r="F845" s="290" t="s">
        <v>739</v>
      </c>
      <c r="G845" s="291">
        <v>-0.002138441369985422</v>
      </c>
      <c r="H845" s="296">
        <v>0.0</v>
      </c>
      <c r="I845" s="293"/>
    </row>
    <row r="846">
      <c r="A846" t="s">
        <v>742</v>
      </c>
      <c r="B846" s="287">
        <v>41918.0</v>
      </c>
      <c r="C846" s="288">
        <f t="shared" si="1"/>
        <v>279</v>
      </c>
      <c r="D846" s="289">
        <f t="shared" si="2"/>
        <v>9.147540984</v>
      </c>
      <c r="E846" s="290">
        <f t="shared" si="3"/>
        <v>10</v>
      </c>
      <c r="F846" s="290" t="s">
        <v>739</v>
      </c>
      <c r="G846" s="291">
        <v>0.014918909149214787</v>
      </c>
      <c r="H846" s="296">
        <v>1.0</v>
      </c>
      <c r="I846" s="293"/>
    </row>
    <row r="847">
      <c r="A847" t="s">
        <v>821</v>
      </c>
      <c r="B847" s="287">
        <v>41918.0</v>
      </c>
      <c r="C847" s="288">
        <f t="shared" si="1"/>
        <v>279</v>
      </c>
      <c r="D847" s="289">
        <f t="shared" si="2"/>
        <v>9.147540984</v>
      </c>
      <c r="E847" s="290">
        <f t="shared" si="3"/>
        <v>10</v>
      </c>
      <c r="F847" s="290" t="s">
        <v>739</v>
      </c>
      <c r="G847" s="291">
        <v>-0.009478386118697224</v>
      </c>
      <c r="H847" s="296">
        <v>0.0</v>
      </c>
      <c r="I847" s="293"/>
    </row>
    <row r="848">
      <c r="A848" t="s">
        <v>770</v>
      </c>
      <c r="B848" s="287">
        <v>41918.0</v>
      </c>
      <c r="C848" s="288">
        <f t="shared" si="1"/>
        <v>279</v>
      </c>
      <c r="D848" s="289">
        <f t="shared" si="2"/>
        <v>9.147540984</v>
      </c>
      <c r="E848" s="290">
        <f t="shared" si="3"/>
        <v>10</v>
      </c>
      <c r="F848" s="290" t="s">
        <v>739</v>
      </c>
      <c r="G848" s="291">
        <v>0.0054130278571606905</v>
      </c>
      <c r="H848" s="296">
        <v>0.0</v>
      </c>
      <c r="I848" s="293"/>
    </row>
    <row r="849">
      <c r="A849" t="s">
        <v>1028</v>
      </c>
      <c r="B849" s="287">
        <v>43015.0</v>
      </c>
      <c r="C849" s="288">
        <f t="shared" si="1"/>
        <v>280</v>
      </c>
      <c r="D849" s="289">
        <f t="shared" si="2"/>
        <v>9.180327869</v>
      </c>
      <c r="E849" s="290">
        <f t="shared" si="3"/>
        <v>10</v>
      </c>
      <c r="F849" s="290" t="s">
        <v>739</v>
      </c>
      <c r="G849" s="291">
        <v>0.004895020835347874</v>
      </c>
      <c r="H849" s="296">
        <v>0.0</v>
      </c>
      <c r="I849" s="293"/>
    </row>
    <row r="850">
      <c r="A850" t="s">
        <v>1029</v>
      </c>
      <c r="B850" s="287">
        <v>43015.0</v>
      </c>
      <c r="C850" s="288">
        <f t="shared" si="1"/>
        <v>280</v>
      </c>
      <c r="D850" s="289">
        <f t="shared" si="2"/>
        <v>9.180327869</v>
      </c>
      <c r="E850" s="290">
        <f t="shared" si="3"/>
        <v>10</v>
      </c>
      <c r="F850" s="290" t="s">
        <v>739</v>
      </c>
      <c r="G850" s="291">
        <v>0.021417797639454617</v>
      </c>
      <c r="H850" s="296">
        <v>1.0</v>
      </c>
      <c r="I850" s="293"/>
    </row>
    <row r="851">
      <c r="A851" t="s">
        <v>833</v>
      </c>
      <c r="B851" s="287">
        <v>42649.0</v>
      </c>
      <c r="C851" s="288">
        <f t="shared" si="1"/>
        <v>280</v>
      </c>
      <c r="D851" s="289">
        <f t="shared" si="2"/>
        <v>9.180327869</v>
      </c>
      <c r="E851" s="290">
        <f t="shared" si="3"/>
        <v>10</v>
      </c>
      <c r="F851" s="290" t="s">
        <v>739</v>
      </c>
      <c r="G851" s="291">
        <v>-0.030489670452905515</v>
      </c>
      <c r="H851" s="296">
        <v>-1.0</v>
      </c>
      <c r="I851" s="293"/>
    </row>
    <row r="852">
      <c r="A852" t="s">
        <v>573</v>
      </c>
      <c r="B852" s="287">
        <v>42649.0</v>
      </c>
      <c r="C852" s="288">
        <f t="shared" si="1"/>
        <v>280</v>
      </c>
      <c r="D852" s="289">
        <f t="shared" si="2"/>
        <v>9.180327869</v>
      </c>
      <c r="E852" s="290">
        <f t="shared" si="3"/>
        <v>10</v>
      </c>
      <c r="F852" s="290" t="s">
        <v>739</v>
      </c>
      <c r="G852" s="291">
        <v>-0.011434463145386653</v>
      </c>
      <c r="H852" s="296">
        <v>-1.0</v>
      </c>
      <c r="I852" s="293"/>
    </row>
    <row r="853">
      <c r="A853" t="s">
        <v>1030</v>
      </c>
      <c r="B853" s="287">
        <v>43016.0</v>
      </c>
      <c r="C853" s="288">
        <f t="shared" si="1"/>
        <v>281</v>
      </c>
      <c r="D853" s="289">
        <f t="shared" si="2"/>
        <v>9.213114754</v>
      </c>
      <c r="E853" s="290">
        <f t="shared" si="3"/>
        <v>10</v>
      </c>
      <c r="F853" s="290" t="s">
        <v>739</v>
      </c>
      <c r="G853" s="291">
        <v>-0.027742077215545335</v>
      </c>
      <c r="H853" s="296">
        <v>-1.0</v>
      </c>
      <c r="I853" s="293"/>
    </row>
    <row r="854">
      <c r="A854" t="s">
        <v>711</v>
      </c>
      <c r="B854" s="287">
        <v>42650.0</v>
      </c>
      <c r="C854" s="288">
        <f t="shared" si="1"/>
        <v>281</v>
      </c>
      <c r="D854" s="289">
        <f t="shared" si="2"/>
        <v>9.213114754</v>
      </c>
      <c r="E854" s="290">
        <f t="shared" si="3"/>
        <v>10</v>
      </c>
      <c r="F854" s="290" t="s">
        <v>739</v>
      </c>
      <c r="G854" s="291">
        <v>-0.0013823907521494094</v>
      </c>
      <c r="H854" s="296">
        <v>0.0</v>
      </c>
      <c r="I854" s="293"/>
    </row>
    <row r="855">
      <c r="A855" t="s">
        <v>723</v>
      </c>
      <c r="B855" s="287">
        <v>42650.0</v>
      </c>
      <c r="C855" s="288">
        <f t="shared" si="1"/>
        <v>281</v>
      </c>
      <c r="D855" s="289">
        <f t="shared" si="2"/>
        <v>9.213114754</v>
      </c>
      <c r="E855" s="290">
        <f t="shared" si="3"/>
        <v>10</v>
      </c>
      <c r="F855" s="290" t="s">
        <v>739</v>
      </c>
      <c r="G855" s="291">
        <v>0.020208229231649888</v>
      </c>
      <c r="H855" s="296">
        <v>1.0</v>
      </c>
      <c r="I855" s="293"/>
    </row>
    <row r="856">
      <c r="A856" t="s">
        <v>834</v>
      </c>
      <c r="B856" s="287">
        <v>42285.0</v>
      </c>
      <c r="C856" s="288">
        <f t="shared" si="1"/>
        <v>281</v>
      </c>
      <c r="D856" s="289">
        <f t="shared" si="2"/>
        <v>9.213114754</v>
      </c>
      <c r="E856" s="290">
        <f t="shared" si="3"/>
        <v>10</v>
      </c>
      <c r="F856" s="290" t="s">
        <v>739</v>
      </c>
      <c r="G856" s="291">
        <v>-0.024110928518393138</v>
      </c>
      <c r="H856" s="296">
        <v>-1.0</v>
      </c>
      <c r="I856" s="293"/>
    </row>
    <row r="857">
      <c r="A857" t="s">
        <v>748</v>
      </c>
      <c r="B857" s="287">
        <v>41920.0</v>
      </c>
      <c r="C857" s="288">
        <f t="shared" si="1"/>
        <v>281</v>
      </c>
      <c r="D857" s="289">
        <f t="shared" si="2"/>
        <v>9.213114754</v>
      </c>
      <c r="E857" s="290">
        <f t="shared" si="3"/>
        <v>10</v>
      </c>
      <c r="F857" s="290" t="s">
        <v>739</v>
      </c>
      <c r="G857" s="291">
        <v>0.02380985993634055</v>
      </c>
      <c r="H857" s="296">
        <v>1.0</v>
      </c>
      <c r="I857" s="293"/>
    </row>
    <row r="858">
      <c r="A858" t="s">
        <v>1031</v>
      </c>
      <c r="B858" s="287">
        <v>41920.0</v>
      </c>
      <c r="C858" s="288">
        <f t="shared" si="1"/>
        <v>281</v>
      </c>
      <c r="D858" s="289">
        <f t="shared" si="2"/>
        <v>9.213114754</v>
      </c>
      <c r="E858" s="290">
        <f t="shared" si="3"/>
        <v>10</v>
      </c>
      <c r="F858" s="290" t="s">
        <v>739</v>
      </c>
      <c r="G858" s="291">
        <v>-0.005595521947764581</v>
      </c>
      <c r="H858" s="296">
        <v>0.0</v>
      </c>
      <c r="I858" s="293"/>
    </row>
    <row r="859">
      <c r="A859" t="s">
        <v>781</v>
      </c>
      <c r="B859" s="287">
        <v>42651.0</v>
      </c>
      <c r="C859" s="288">
        <f t="shared" si="1"/>
        <v>282</v>
      </c>
      <c r="D859" s="289">
        <f t="shared" si="2"/>
        <v>9.245901639</v>
      </c>
      <c r="E859" s="290">
        <f t="shared" si="3"/>
        <v>10</v>
      </c>
      <c r="F859" s="290" t="s">
        <v>739</v>
      </c>
      <c r="G859" s="291">
        <v>0.00207215110459702</v>
      </c>
      <c r="H859" s="296">
        <v>0.0</v>
      </c>
      <c r="I859" s="293"/>
    </row>
    <row r="860">
      <c r="A860" t="s">
        <v>715</v>
      </c>
      <c r="B860" s="287">
        <v>41921.0</v>
      </c>
      <c r="C860" s="288">
        <f t="shared" si="1"/>
        <v>282</v>
      </c>
      <c r="D860" s="289">
        <f t="shared" si="2"/>
        <v>9.245901639</v>
      </c>
      <c r="E860" s="290">
        <f t="shared" si="3"/>
        <v>10</v>
      </c>
      <c r="F860" s="290" t="s">
        <v>739</v>
      </c>
      <c r="G860" s="291">
        <v>-0.009086756383484662</v>
      </c>
      <c r="H860" s="296">
        <v>0.0</v>
      </c>
      <c r="I860" s="293"/>
    </row>
    <row r="861">
      <c r="A861" t="s">
        <v>1032</v>
      </c>
      <c r="B861" s="287">
        <v>43018.0</v>
      </c>
      <c r="C861" s="288">
        <f t="shared" si="1"/>
        <v>283</v>
      </c>
      <c r="D861" s="289">
        <f t="shared" si="2"/>
        <v>9.278688525</v>
      </c>
      <c r="E861" s="290">
        <f t="shared" si="3"/>
        <v>10</v>
      </c>
      <c r="F861" s="290" t="s">
        <v>739</v>
      </c>
      <c r="G861" s="291">
        <v>0.008861446179990629</v>
      </c>
      <c r="H861" s="296">
        <v>0.0</v>
      </c>
      <c r="I861" s="293"/>
    </row>
    <row r="862">
      <c r="A862" t="s">
        <v>1033</v>
      </c>
      <c r="B862" s="287">
        <v>43018.0</v>
      </c>
      <c r="C862" s="288">
        <f t="shared" si="1"/>
        <v>283</v>
      </c>
      <c r="D862" s="289">
        <f t="shared" si="2"/>
        <v>9.278688525</v>
      </c>
      <c r="E862" s="290">
        <f t="shared" si="3"/>
        <v>10</v>
      </c>
      <c r="F862" s="290" t="s">
        <v>739</v>
      </c>
      <c r="G862" s="291">
        <v>-0.009111415998679817</v>
      </c>
      <c r="H862" s="296">
        <v>0.0</v>
      </c>
      <c r="I862" s="293"/>
    </row>
    <row r="863">
      <c r="A863" t="s">
        <v>400</v>
      </c>
      <c r="B863" s="287">
        <v>43018.0</v>
      </c>
      <c r="C863" s="288">
        <f t="shared" si="1"/>
        <v>283</v>
      </c>
      <c r="D863" s="289">
        <f t="shared" si="2"/>
        <v>9.278688525</v>
      </c>
      <c r="E863" s="290">
        <f t="shared" si="3"/>
        <v>10</v>
      </c>
      <c r="F863" s="290" t="s">
        <v>739</v>
      </c>
      <c r="G863" s="291">
        <v>0.010758804796441424</v>
      </c>
      <c r="H863" s="296">
        <v>1.0</v>
      </c>
      <c r="I863" s="293"/>
    </row>
    <row r="864">
      <c r="A864" t="s">
        <v>808</v>
      </c>
      <c r="B864" s="287">
        <v>42653.0</v>
      </c>
      <c r="C864" s="288">
        <f t="shared" si="1"/>
        <v>284</v>
      </c>
      <c r="D864" s="289">
        <f t="shared" si="2"/>
        <v>9.31147541</v>
      </c>
      <c r="E864" s="290">
        <f t="shared" si="3"/>
        <v>10</v>
      </c>
      <c r="F864" s="290" t="s">
        <v>739</v>
      </c>
      <c r="G864" s="291">
        <v>0.025335089326672833</v>
      </c>
      <c r="H864" s="296">
        <v>1.0</v>
      </c>
      <c r="I864" s="293"/>
    </row>
    <row r="865">
      <c r="A865" t="s">
        <v>719</v>
      </c>
      <c r="B865" s="287">
        <v>42288.0</v>
      </c>
      <c r="C865" s="288">
        <f t="shared" si="1"/>
        <v>284</v>
      </c>
      <c r="D865" s="289">
        <f t="shared" si="2"/>
        <v>9.31147541</v>
      </c>
      <c r="E865" s="290">
        <f t="shared" si="3"/>
        <v>10</v>
      </c>
      <c r="F865" s="290" t="s">
        <v>739</v>
      </c>
      <c r="G865" s="291">
        <v>-0.010769421844418758</v>
      </c>
      <c r="H865" s="296">
        <v>-1.0</v>
      </c>
      <c r="I865" s="293"/>
    </row>
    <row r="866">
      <c r="A866" t="s">
        <v>777</v>
      </c>
      <c r="B866" s="287">
        <v>42288.0</v>
      </c>
      <c r="C866" s="288">
        <f t="shared" si="1"/>
        <v>284</v>
      </c>
      <c r="D866" s="289">
        <f t="shared" si="2"/>
        <v>9.31147541</v>
      </c>
      <c r="E866" s="290">
        <f t="shared" si="3"/>
        <v>10</v>
      </c>
      <c r="F866" s="290" t="s">
        <v>739</v>
      </c>
      <c r="G866" s="291">
        <v>-0.03773238798091594</v>
      </c>
      <c r="H866" s="296">
        <v>-1.0</v>
      </c>
      <c r="I866" s="293"/>
    </row>
    <row r="867">
      <c r="A867" t="s">
        <v>1034</v>
      </c>
      <c r="B867" s="287">
        <v>42288.0</v>
      </c>
      <c r="C867" s="288">
        <f t="shared" si="1"/>
        <v>284</v>
      </c>
      <c r="D867" s="289">
        <f t="shared" si="2"/>
        <v>9.31147541</v>
      </c>
      <c r="E867" s="290">
        <f t="shared" si="3"/>
        <v>10</v>
      </c>
      <c r="F867" s="290" t="s">
        <v>739</v>
      </c>
      <c r="G867" s="291">
        <v>0.013736967897325703</v>
      </c>
      <c r="H867" s="296">
        <v>1.0</v>
      </c>
      <c r="I867" s="293"/>
    </row>
    <row r="868">
      <c r="A868" t="s">
        <v>277</v>
      </c>
      <c r="B868" s="287">
        <v>42654.0</v>
      </c>
      <c r="C868" s="288">
        <f t="shared" si="1"/>
        <v>285</v>
      </c>
      <c r="D868" s="289">
        <f t="shared" si="2"/>
        <v>9.344262295</v>
      </c>
      <c r="E868" s="290">
        <f t="shared" si="3"/>
        <v>10</v>
      </c>
      <c r="F868" s="290" t="s">
        <v>739</v>
      </c>
      <c r="G868" s="291">
        <v>0.013611903653986346</v>
      </c>
      <c r="H868" s="296">
        <v>1.0</v>
      </c>
      <c r="I868" s="293"/>
    </row>
    <row r="869">
      <c r="A869" t="s">
        <v>808</v>
      </c>
      <c r="B869" s="287">
        <v>42654.0</v>
      </c>
      <c r="C869" s="288">
        <f t="shared" si="1"/>
        <v>285</v>
      </c>
      <c r="D869" s="289">
        <f t="shared" si="2"/>
        <v>9.344262295</v>
      </c>
      <c r="E869" s="290">
        <f t="shared" si="3"/>
        <v>10</v>
      </c>
      <c r="F869" s="290" t="s">
        <v>739</v>
      </c>
      <c r="G869" s="291">
        <v>0.027889103705847518</v>
      </c>
      <c r="H869" s="296">
        <v>1.0</v>
      </c>
      <c r="I869" s="293"/>
    </row>
    <row r="870">
      <c r="A870" t="s">
        <v>400</v>
      </c>
      <c r="B870" s="287">
        <v>42654.0</v>
      </c>
      <c r="C870" s="288">
        <f t="shared" si="1"/>
        <v>285</v>
      </c>
      <c r="D870" s="289">
        <f t="shared" si="2"/>
        <v>9.344262295</v>
      </c>
      <c r="E870" s="290">
        <f t="shared" si="3"/>
        <v>10</v>
      </c>
      <c r="F870" s="290" t="s">
        <v>739</v>
      </c>
      <c r="G870" s="291">
        <v>0.0289814959261957</v>
      </c>
      <c r="H870" s="296">
        <v>1.0</v>
      </c>
      <c r="I870" s="293"/>
    </row>
    <row r="871">
      <c r="A871" t="s">
        <v>1035</v>
      </c>
      <c r="B871" s="287">
        <v>42289.0</v>
      </c>
      <c r="C871" s="288">
        <f t="shared" si="1"/>
        <v>285</v>
      </c>
      <c r="D871" s="289">
        <f t="shared" si="2"/>
        <v>9.344262295</v>
      </c>
      <c r="E871" s="290">
        <f t="shared" si="3"/>
        <v>10</v>
      </c>
      <c r="F871" s="290" t="s">
        <v>739</v>
      </c>
      <c r="G871" s="291">
        <v>0.021485908046180002</v>
      </c>
      <c r="H871" s="296">
        <v>1.0</v>
      </c>
      <c r="I871" s="293"/>
    </row>
    <row r="872">
      <c r="A872" t="s">
        <v>714</v>
      </c>
      <c r="B872" s="287">
        <v>42289.0</v>
      </c>
      <c r="C872" s="288">
        <f t="shared" si="1"/>
        <v>285</v>
      </c>
      <c r="D872" s="289">
        <f t="shared" si="2"/>
        <v>9.344262295</v>
      </c>
      <c r="E872" s="290">
        <f t="shared" si="3"/>
        <v>10</v>
      </c>
      <c r="F872" s="290" t="s">
        <v>739</v>
      </c>
      <c r="G872" s="291">
        <v>-0.002540851098243202</v>
      </c>
      <c r="H872" s="296">
        <v>0.0</v>
      </c>
      <c r="I872" s="293"/>
    </row>
    <row r="873">
      <c r="A873" t="s">
        <v>1036</v>
      </c>
      <c r="B873" s="287">
        <v>43021.0</v>
      </c>
      <c r="C873" s="288">
        <f t="shared" si="1"/>
        <v>286</v>
      </c>
      <c r="D873" s="289">
        <f t="shared" si="2"/>
        <v>9.37704918</v>
      </c>
      <c r="E873" s="290">
        <f t="shared" si="3"/>
        <v>10</v>
      </c>
      <c r="F873" s="290" t="s">
        <v>739</v>
      </c>
      <c r="G873" s="291">
        <v>0.05142404730177119</v>
      </c>
      <c r="H873" s="296">
        <v>1.0</v>
      </c>
      <c r="I873" s="293"/>
    </row>
    <row r="874">
      <c r="A874" t="s">
        <v>845</v>
      </c>
      <c r="B874" s="287">
        <v>43021.0</v>
      </c>
      <c r="C874" s="288">
        <f t="shared" si="1"/>
        <v>286</v>
      </c>
      <c r="D874" s="289">
        <f t="shared" si="2"/>
        <v>9.37704918</v>
      </c>
      <c r="E874" s="290">
        <f t="shared" si="3"/>
        <v>10</v>
      </c>
      <c r="F874" s="290" t="s">
        <v>739</v>
      </c>
      <c r="G874" s="291">
        <v>0.014668076954802989</v>
      </c>
      <c r="H874" s="296">
        <v>1.0</v>
      </c>
      <c r="I874" s="293"/>
    </row>
    <row r="875">
      <c r="A875" t="s">
        <v>808</v>
      </c>
      <c r="B875" s="287">
        <v>42655.0</v>
      </c>
      <c r="C875" s="288">
        <f t="shared" si="1"/>
        <v>286</v>
      </c>
      <c r="D875" s="289">
        <f t="shared" si="2"/>
        <v>9.37704918</v>
      </c>
      <c r="E875" s="290">
        <f t="shared" si="3"/>
        <v>10</v>
      </c>
      <c r="F875" s="290" t="s">
        <v>739</v>
      </c>
      <c r="G875" s="291">
        <v>0.023350083888901585</v>
      </c>
      <c r="H875" s="296">
        <v>1.0</v>
      </c>
      <c r="I875" s="293"/>
    </row>
    <row r="876">
      <c r="A876" t="s">
        <v>911</v>
      </c>
      <c r="B876" s="287">
        <v>42655.0</v>
      </c>
      <c r="C876" s="288">
        <f t="shared" si="1"/>
        <v>286</v>
      </c>
      <c r="D876" s="289">
        <f t="shared" si="2"/>
        <v>9.37704918</v>
      </c>
      <c r="E876" s="290">
        <f t="shared" si="3"/>
        <v>10</v>
      </c>
      <c r="F876" s="290" t="s">
        <v>739</v>
      </c>
      <c r="G876" s="291">
        <v>-0.04644648482801461</v>
      </c>
      <c r="H876" s="296">
        <v>-1.0</v>
      </c>
      <c r="I876" s="293"/>
    </row>
    <row r="877">
      <c r="A877" t="s">
        <v>1037</v>
      </c>
      <c r="B877" s="287">
        <v>42655.0</v>
      </c>
      <c r="C877" s="288">
        <f t="shared" si="1"/>
        <v>286</v>
      </c>
      <c r="D877" s="289">
        <f t="shared" si="2"/>
        <v>9.37704918</v>
      </c>
      <c r="E877" s="290">
        <f t="shared" si="3"/>
        <v>10</v>
      </c>
      <c r="F877" s="290" t="s">
        <v>739</v>
      </c>
      <c r="G877" s="291">
        <v>-0.057671805037178836</v>
      </c>
      <c r="H877" s="296">
        <v>-1.0</v>
      </c>
      <c r="I877" s="293"/>
    </row>
    <row r="878">
      <c r="A878" t="s">
        <v>1038</v>
      </c>
      <c r="B878" s="287">
        <v>42290.0</v>
      </c>
      <c r="C878" s="288">
        <f t="shared" si="1"/>
        <v>286</v>
      </c>
      <c r="D878" s="289">
        <f t="shared" si="2"/>
        <v>9.37704918</v>
      </c>
      <c r="E878" s="290">
        <f t="shared" si="3"/>
        <v>10</v>
      </c>
      <c r="F878" s="290" t="s">
        <v>739</v>
      </c>
      <c r="G878" s="291">
        <v>0.004648277084447594</v>
      </c>
      <c r="H878" s="296">
        <v>0.0</v>
      </c>
      <c r="I878" s="293"/>
    </row>
    <row r="879">
      <c r="A879" t="s">
        <v>905</v>
      </c>
      <c r="B879" s="287">
        <v>43022.0</v>
      </c>
      <c r="C879" s="288">
        <f t="shared" si="1"/>
        <v>287</v>
      </c>
      <c r="D879" s="289">
        <f t="shared" si="2"/>
        <v>9.409836066</v>
      </c>
      <c r="E879" s="290">
        <f t="shared" si="3"/>
        <v>10</v>
      </c>
      <c r="F879" s="290" t="s">
        <v>739</v>
      </c>
      <c r="G879" s="291">
        <v>-0.0025474959742177727</v>
      </c>
      <c r="H879" s="296">
        <v>0.0</v>
      </c>
      <c r="I879" s="293"/>
    </row>
    <row r="880">
      <c r="A880" t="s">
        <v>1028</v>
      </c>
      <c r="B880" s="287">
        <v>43022.0</v>
      </c>
      <c r="C880" s="288">
        <f t="shared" si="1"/>
        <v>287</v>
      </c>
      <c r="D880" s="289">
        <f t="shared" si="2"/>
        <v>9.409836066</v>
      </c>
      <c r="E880" s="290">
        <f t="shared" si="3"/>
        <v>10</v>
      </c>
      <c r="F880" s="290" t="s">
        <v>739</v>
      </c>
      <c r="G880" s="291">
        <v>0.0014779759848205787</v>
      </c>
      <c r="H880" s="296">
        <v>0.0</v>
      </c>
      <c r="I880" s="293"/>
    </row>
    <row r="881">
      <c r="A881" t="s">
        <v>761</v>
      </c>
      <c r="B881" s="287">
        <v>42656.0</v>
      </c>
      <c r="C881" s="288">
        <f t="shared" si="1"/>
        <v>287</v>
      </c>
      <c r="D881" s="289">
        <f t="shared" si="2"/>
        <v>9.409836066</v>
      </c>
      <c r="E881" s="290">
        <f t="shared" si="3"/>
        <v>10</v>
      </c>
      <c r="F881" s="290" t="s">
        <v>739</v>
      </c>
      <c r="G881" s="291">
        <v>-0.0017539911405244357</v>
      </c>
      <c r="H881" s="296">
        <v>0.0</v>
      </c>
      <c r="I881" s="293"/>
    </row>
    <row r="882">
      <c r="A882" t="s">
        <v>813</v>
      </c>
      <c r="B882" s="287">
        <v>41926.0</v>
      </c>
      <c r="C882" s="288">
        <f t="shared" si="1"/>
        <v>287</v>
      </c>
      <c r="D882" s="289">
        <f t="shared" si="2"/>
        <v>9.409836066</v>
      </c>
      <c r="E882" s="290">
        <f t="shared" si="3"/>
        <v>10</v>
      </c>
      <c r="F882" s="290" t="s">
        <v>739</v>
      </c>
      <c r="G882" s="291">
        <v>0.0014795870653090404</v>
      </c>
      <c r="H882" s="296">
        <v>0.0</v>
      </c>
      <c r="I882" s="293"/>
    </row>
    <row r="883">
      <c r="A883" t="s">
        <v>346</v>
      </c>
      <c r="B883" s="287">
        <v>43023.0</v>
      </c>
      <c r="C883" s="288">
        <f t="shared" si="1"/>
        <v>288</v>
      </c>
      <c r="D883" s="289">
        <f t="shared" si="2"/>
        <v>9.442622951</v>
      </c>
      <c r="E883" s="290">
        <f t="shared" si="3"/>
        <v>10</v>
      </c>
      <c r="F883" s="290" t="s">
        <v>739</v>
      </c>
      <c r="G883" s="291">
        <v>0.009908200472861117</v>
      </c>
      <c r="H883" s="296">
        <v>0.0</v>
      </c>
      <c r="I883" s="293"/>
    </row>
    <row r="884">
      <c r="A884" t="s">
        <v>1039</v>
      </c>
      <c r="B884" s="287">
        <v>42292.0</v>
      </c>
      <c r="C884" s="288">
        <f t="shared" si="1"/>
        <v>288</v>
      </c>
      <c r="D884" s="289">
        <f t="shared" si="2"/>
        <v>9.442622951</v>
      </c>
      <c r="E884" s="290">
        <f t="shared" si="3"/>
        <v>10</v>
      </c>
      <c r="F884" s="290" t="s">
        <v>739</v>
      </c>
      <c r="G884" s="291">
        <v>-0.04002982731687954</v>
      </c>
      <c r="H884" s="296">
        <v>-1.0</v>
      </c>
      <c r="I884" s="293"/>
    </row>
    <row r="885">
      <c r="A885" t="s">
        <v>1040</v>
      </c>
      <c r="B885" s="287">
        <v>43024.0</v>
      </c>
      <c r="C885" s="288">
        <f t="shared" si="1"/>
        <v>289</v>
      </c>
      <c r="D885" s="289">
        <f t="shared" si="2"/>
        <v>9.475409836</v>
      </c>
      <c r="E885" s="290">
        <f t="shared" si="3"/>
        <v>10</v>
      </c>
      <c r="F885" s="290" t="s">
        <v>739</v>
      </c>
      <c r="G885" s="291">
        <v>0.0264972019198233</v>
      </c>
      <c r="H885" s="296">
        <v>1.0</v>
      </c>
      <c r="I885" s="293"/>
    </row>
    <row r="886">
      <c r="A886" t="s">
        <v>1041</v>
      </c>
      <c r="B886" s="287">
        <v>43024.0</v>
      </c>
      <c r="C886" s="288">
        <f t="shared" si="1"/>
        <v>289</v>
      </c>
      <c r="D886" s="289">
        <f t="shared" si="2"/>
        <v>9.475409836</v>
      </c>
      <c r="E886" s="290">
        <f t="shared" si="3"/>
        <v>10</v>
      </c>
      <c r="F886" s="290" t="s">
        <v>739</v>
      </c>
      <c r="G886" s="291">
        <v>0.0035796735173042604</v>
      </c>
      <c r="H886" s="296">
        <v>0.0</v>
      </c>
      <c r="I886" s="293"/>
    </row>
    <row r="887">
      <c r="A887" t="s">
        <v>1042</v>
      </c>
      <c r="B887" s="287">
        <v>42658.0</v>
      </c>
      <c r="C887" s="288">
        <f t="shared" si="1"/>
        <v>289</v>
      </c>
      <c r="D887" s="289">
        <f t="shared" si="2"/>
        <v>9.475409836</v>
      </c>
      <c r="E887" s="290">
        <f t="shared" si="3"/>
        <v>10</v>
      </c>
      <c r="F887" s="290" t="s">
        <v>739</v>
      </c>
      <c r="G887" s="291">
        <v>7.997414409350867E-4</v>
      </c>
      <c r="H887" s="296">
        <v>0.0</v>
      </c>
      <c r="I887" s="293"/>
    </row>
    <row r="888">
      <c r="A888" t="s">
        <v>781</v>
      </c>
      <c r="B888" s="287">
        <v>42658.0</v>
      </c>
      <c r="C888" s="288">
        <f t="shared" si="1"/>
        <v>289</v>
      </c>
      <c r="D888" s="289">
        <f t="shared" si="2"/>
        <v>9.475409836</v>
      </c>
      <c r="E888" s="290">
        <f t="shared" si="3"/>
        <v>10</v>
      </c>
      <c r="F888" s="290" t="s">
        <v>739</v>
      </c>
      <c r="G888" s="291">
        <v>0.005424708855095273</v>
      </c>
      <c r="H888" s="296">
        <v>0.0</v>
      </c>
      <c r="I888" s="293"/>
    </row>
    <row r="889">
      <c r="A889" t="s">
        <v>1042</v>
      </c>
      <c r="B889" s="287">
        <v>42659.0</v>
      </c>
      <c r="C889" s="288">
        <f t="shared" si="1"/>
        <v>290</v>
      </c>
      <c r="D889" s="289">
        <f t="shared" si="2"/>
        <v>9.508196721</v>
      </c>
      <c r="E889" s="290">
        <f t="shared" si="3"/>
        <v>10</v>
      </c>
      <c r="F889" s="290" t="s">
        <v>739</v>
      </c>
      <c r="G889" s="291">
        <v>0.012946055247793797</v>
      </c>
      <c r="H889" s="296">
        <v>1.0</v>
      </c>
      <c r="I889" s="293"/>
    </row>
    <row r="890">
      <c r="A890" t="s">
        <v>796</v>
      </c>
      <c r="B890" s="287">
        <v>42659.0</v>
      </c>
      <c r="C890" s="288">
        <f t="shared" si="1"/>
        <v>290</v>
      </c>
      <c r="D890" s="289">
        <f t="shared" si="2"/>
        <v>9.508196721</v>
      </c>
      <c r="E890" s="290">
        <f t="shared" si="3"/>
        <v>10</v>
      </c>
      <c r="F890" s="290" t="s">
        <v>739</v>
      </c>
      <c r="G890" s="291">
        <v>0.023319987825769828</v>
      </c>
      <c r="H890" s="296">
        <v>1.0</v>
      </c>
      <c r="I890" s="293"/>
    </row>
    <row r="891">
      <c r="A891" t="s">
        <v>700</v>
      </c>
      <c r="B891" s="287">
        <v>43026.0</v>
      </c>
      <c r="C891" s="288">
        <f t="shared" si="1"/>
        <v>291</v>
      </c>
      <c r="D891" s="289">
        <f t="shared" si="2"/>
        <v>9.540983607</v>
      </c>
      <c r="E891" s="290">
        <f t="shared" si="3"/>
        <v>10</v>
      </c>
      <c r="F891" s="290" t="s">
        <v>739</v>
      </c>
      <c r="G891" s="291">
        <v>0.013798124734728745</v>
      </c>
      <c r="H891" s="296">
        <v>1.0</v>
      </c>
      <c r="I891" s="293"/>
    </row>
    <row r="892">
      <c r="A892" t="s">
        <v>803</v>
      </c>
      <c r="B892" s="287">
        <v>43026.0</v>
      </c>
      <c r="C892" s="288">
        <f t="shared" si="1"/>
        <v>291</v>
      </c>
      <c r="D892" s="289">
        <f t="shared" si="2"/>
        <v>9.540983607</v>
      </c>
      <c r="E892" s="290">
        <f t="shared" si="3"/>
        <v>10</v>
      </c>
      <c r="F892" s="290" t="s">
        <v>739</v>
      </c>
      <c r="G892" s="291">
        <v>-0.0015967066733879598</v>
      </c>
      <c r="H892" s="296">
        <v>0.0</v>
      </c>
      <c r="I892" s="293"/>
    </row>
    <row r="893">
      <c r="A893" t="s">
        <v>277</v>
      </c>
      <c r="B893" s="287">
        <v>42295.0</v>
      </c>
      <c r="C893" s="288">
        <f t="shared" si="1"/>
        <v>291</v>
      </c>
      <c r="D893" s="289">
        <f t="shared" si="2"/>
        <v>9.540983607</v>
      </c>
      <c r="E893" s="290">
        <f t="shared" si="3"/>
        <v>10</v>
      </c>
      <c r="F893" s="290" t="s">
        <v>739</v>
      </c>
      <c r="G893" s="291">
        <v>-0.037312252506560006</v>
      </c>
      <c r="H893" s="296">
        <v>-1.0</v>
      </c>
      <c r="I893" s="293"/>
    </row>
    <row r="894">
      <c r="A894" t="s">
        <v>1043</v>
      </c>
      <c r="B894" s="287">
        <v>42295.0</v>
      </c>
      <c r="C894" s="288">
        <f t="shared" si="1"/>
        <v>291</v>
      </c>
      <c r="D894" s="289">
        <f t="shared" si="2"/>
        <v>9.540983607</v>
      </c>
      <c r="E894" s="290">
        <f t="shared" si="3"/>
        <v>10</v>
      </c>
      <c r="F894" s="290" t="s">
        <v>739</v>
      </c>
      <c r="G894" s="291">
        <v>-0.004072740400751673</v>
      </c>
      <c r="H894" s="296">
        <v>0.0</v>
      </c>
      <c r="I894" s="293"/>
    </row>
    <row r="895">
      <c r="A895" t="s">
        <v>808</v>
      </c>
      <c r="B895" s="287">
        <v>42661.0</v>
      </c>
      <c r="C895" s="288">
        <f t="shared" si="1"/>
        <v>292</v>
      </c>
      <c r="D895" s="289">
        <f t="shared" si="2"/>
        <v>9.573770492</v>
      </c>
      <c r="E895" s="290">
        <f t="shared" si="3"/>
        <v>10</v>
      </c>
      <c r="F895" s="290" t="s">
        <v>739</v>
      </c>
      <c r="G895" s="291">
        <v>0.030560637555926196</v>
      </c>
      <c r="H895" s="296">
        <v>1.0</v>
      </c>
      <c r="I895" s="293"/>
    </row>
    <row r="896">
      <c r="A896" t="s">
        <v>1044</v>
      </c>
      <c r="B896" s="287">
        <v>42296.0</v>
      </c>
      <c r="C896" s="288">
        <f t="shared" si="1"/>
        <v>292</v>
      </c>
      <c r="D896" s="289">
        <f t="shared" si="2"/>
        <v>9.573770492</v>
      </c>
      <c r="E896" s="290">
        <f t="shared" si="3"/>
        <v>10</v>
      </c>
      <c r="F896" s="290" t="s">
        <v>739</v>
      </c>
      <c r="G896" s="291">
        <v>0.015055307159370312</v>
      </c>
      <c r="H896" s="296">
        <v>1.0</v>
      </c>
      <c r="I896" s="293"/>
    </row>
    <row r="897">
      <c r="A897" t="s">
        <v>1045</v>
      </c>
      <c r="B897" s="287">
        <v>42297.0</v>
      </c>
      <c r="C897" s="288">
        <f t="shared" si="1"/>
        <v>293</v>
      </c>
      <c r="D897" s="289">
        <f t="shared" si="2"/>
        <v>9.606557377</v>
      </c>
      <c r="E897" s="290">
        <f t="shared" si="3"/>
        <v>10</v>
      </c>
      <c r="F897" s="290" t="s">
        <v>739</v>
      </c>
      <c r="G897" s="291">
        <v>0.009470379544375573</v>
      </c>
      <c r="H897" s="296">
        <v>0.0</v>
      </c>
      <c r="I897" s="293"/>
    </row>
    <row r="898">
      <c r="A898" t="s">
        <v>1046</v>
      </c>
      <c r="B898" s="287">
        <v>42297.0</v>
      </c>
      <c r="C898" s="288">
        <f t="shared" si="1"/>
        <v>293</v>
      </c>
      <c r="D898" s="289">
        <f t="shared" si="2"/>
        <v>9.606557377</v>
      </c>
      <c r="E898" s="290">
        <f t="shared" si="3"/>
        <v>10</v>
      </c>
      <c r="F898" s="290" t="s">
        <v>739</v>
      </c>
      <c r="G898" s="291">
        <v>-0.02628265128477869</v>
      </c>
      <c r="H898" s="296">
        <v>-1.0</v>
      </c>
      <c r="I898" s="293"/>
    </row>
    <row r="899">
      <c r="A899" t="s">
        <v>723</v>
      </c>
      <c r="B899" s="287">
        <v>42297.0</v>
      </c>
      <c r="C899" s="288">
        <f t="shared" si="1"/>
        <v>293</v>
      </c>
      <c r="D899" s="289">
        <f t="shared" si="2"/>
        <v>9.606557377</v>
      </c>
      <c r="E899" s="290">
        <f t="shared" si="3"/>
        <v>10</v>
      </c>
      <c r="F899" s="290" t="s">
        <v>739</v>
      </c>
      <c r="G899" s="291">
        <v>0.008791503568658543</v>
      </c>
      <c r="H899" s="296">
        <v>0.0</v>
      </c>
      <c r="I899" s="293"/>
    </row>
    <row r="900">
      <c r="A900" t="s">
        <v>808</v>
      </c>
      <c r="B900" s="287">
        <v>42297.0</v>
      </c>
      <c r="C900" s="288">
        <f t="shared" si="1"/>
        <v>293</v>
      </c>
      <c r="D900" s="289">
        <f t="shared" si="2"/>
        <v>9.606557377</v>
      </c>
      <c r="E900" s="290">
        <f t="shared" si="3"/>
        <v>10</v>
      </c>
      <c r="F900" s="290" t="s">
        <v>739</v>
      </c>
      <c r="G900" s="291">
        <v>-0.04850897165898049</v>
      </c>
      <c r="H900" s="296">
        <v>-1.0</v>
      </c>
      <c r="I900" s="293"/>
    </row>
    <row r="901">
      <c r="A901" t="s">
        <v>1047</v>
      </c>
      <c r="B901" s="287">
        <v>42663.0</v>
      </c>
      <c r="C901" s="288">
        <f t="shared" si="1"/>
        <v>294</v>
      </c>
      <c r="D901" s="289">
        <f t="shared" si="2"/>
        <v>9.639344262</v>
      </c>
      <c r="E901" s="290">
        <f t="shared" si="3"/>
        <v>10</v>
      </c>
      <c r="F901" s="290" t="s">
        <v>739</v>
      </c>
      <c r="G901" s="291">
        <v>0.001986566231718001</v>
      </c>
      <c r="H901" s="296">
        <v>0.0</v>
      </c>
      <c r="I901" s="293"/>
    </row>
    <row r="902">
      <c r="A902" t="s">
        <v>1048</v>
      </c>
      <c r="B902" s="287">
        <v>42663.0</v>
      </c>
      <c r="C902" s="288">
        <f t="shared" si="1"/>
        <v>294</v>
      </c>
      <c r="D902" s="289">
        <f t="shared" si="2"/>
        <v>9.639344262</v>
      </c>
      <c r="E902" s="290">
        <f t="shared" si="3"/>
        <v>10</v>
      </c>
      <c r="F902" s="290" t="s">
        <v>739</v>
      </c>
      <c r="G902" s="291">
        <v>0.036244490060982404</v>
      </c>
      <c r="H902" s="296">
        <v>1.0</v>
      </c>
      <c r="I902" s="293"/>
    </row>
    <row r="903">
      <c r="A903" t="s">
        <v>1049</v>
      </c>
      <c r="B903" s="287">
        <v>42663.0</v>
      </c>
      <c r="C903" s="288">
        <f t="shared" si="1"/>
        <v>294</v>
      </c>
      <c r="D903" s="289">
        <f t="shared" si="2"/>
        <v>9.639344262</v>
      </c>
      <c r="E903" s="290">
        <f t="shared" si="3"/>
        <v>10</v>
      </c>
      <c r="F903" s="290" t="s">
        <v>739</v>
      </c>
      <c r="G903" s="291">
        <v>0.045187273290099195</v>
      </c>
      <c r="H903" s="296">
        <v>1.0</v>
      </c>
      <c r="I903" s="293"/>
    </row>
    <row r="904">
      <c r="A904" t="s">
        <v>1050</v>
      </c>
      <c r="B904" s="287">
        <v>42663.0</v>
      </c>
      <c r="C904" s="288">
        <f t="shared" si="1"/>
        <v>294</v>
      </c>
      <c r="D904" s="289">
        <f t="shared" si="2"/>
        <v>9.639344262</v>
      </c>
      <c r="E904" s="290">
        <f t="shared" si="3"/>
        <v>10</v>
      </c>
      <c r="F904" s="290" t="s">
        <v>739</v>
      </c>
      <c r="G904" s="291">
        <v>0.02344905456429469</v>
      </c>
      <c r="H904" s="296">
        <v>1.0</v>
      </c>
      <c r="I904" s="293"/>
    </row>
    <row r="905">
      <c r="A905" t="s">
        <v>1051</v>
      </c>
      <c r="B905" s="287">
        <v>42298.0</v>
      </c>
      <c r="C905" s="288">
        <f t="shared" si="1"/>
        <v>294</v>
      </c>
      <c r="D905" s="289">
        <f t="shared" si="2"/>
        <v>9.639344262</v>
      </c>
      <c r="E905" s="290">
        <f t="shared" si="3"/>
        <v>10</v>
      </c>
      <c r="F905" s="290" t="s">
        <v>739</v>
      </c>
      <c r="G905" s="291">
        <v>-0.03509524280496268</v>
      </c>
      <c r="H905" s="296">
        <v>-1.0</v>
      </c>
      <c r="I905" s="293"/>
    </row>
    <row r="906">
      <c r="A906" t="s">
        <v>1052</v>
      </c>
      <c r="B906" s="287">
        <v>42298.0</v>
      </c>
      <c r="C906" s="288">
        <f t="shared" si="1"/>
        <v>294</v>
      </c>
      <c r="D906" s="289">
        <f t="shared" si="2"/>
        <v>9.639344262</v>
      </c>
      <c r="E906" s="290">
        <f t="shared" si="3"/>
        <v>10</v>
      </c>
      <c r="F906" s="290" t="s">
        <v>739</v>
      </c>
      <c r="G906" s="291">
        <v>-0.07226789329180516</v>
      </c>
      <c r="H906" s="296">
        <v>-1.0</v>
      </c>
      <c r="I906" s="293"/>
    </row>
    <row r="907">
      <c r="A907" t="s">
        <v>803</v>
      </c>
      <c r="B907" s="287">
        <v>42298.0</v>
      </c>
      <c r="C907" s="288">
        <f t="shared" si="1"/>
        <v>294</v>
      </c>
      <c r="D907" s="289">
        <f t="shared" si="2"/>
        <v>9.639344262</v>
      </c>
      <c r="E907" s="290">
        <f t="shared" si="3"/>
        <v>10</v>
      </c>
      <c r="F907" s="290" t="s">
        <v>739</v>
      </c>
      <c r="G907" s="291">
        <v>-0.021105884033894573</v>
      </c>
      <c r="H907" s="296">
        <v>-1.0</v>
      </c>
      <c r="I907" s="293"/>
    </row>
    <row r="908">
      <c r="A908" t="s">
        <v>715</v>
      </c>
      <c r="B908" s="287">
        <v>42298.0</v>
      </c>
      <c r="C908" s="288">
        <f t="shared" si="1"/>
        <v>294</v>
      </c>
      <c r="D908" s="289">
        <f t="shared" si="2"/>
        <v>9.639344262</v>
      </c>
      <c r="E908" s="290">
        <f t="shared" si="3"/>
        <v>10</v>
      </c>
      <c r="F908" s="290" t="s">
        <v>739</v>
      </c>
      <c r="G908" s="291">
        <v>-0.022362813793290748</v>
      </c>
      <c r="H908" s="296">
        <v>-1.0</v>
      </c>
      <c r="I908" s="293"/>
    </row>
    <row r="909">
      <c r="A909" t="s">
        <v>1053</v>
      </c>
      <c r="B909" s="287">
        <v>42298.0</v>
      </c>
      <c r="C909" s="288">
        <f t="shared" si="1"/>
        <v>294</v>
      </c>
      <c r="D909" s="289">
        <f t="shared" si="2"/>
        <v>9.639344262</v>
      </c>
      <c r="E909" s="290">
        <f t="shared" si="3"/>
        <v>10</v>
      </c>
      <c r="F909" s="290" t="s">
        <v>739</v>
      </c>
      <c r="G909" s="291">
        <v>0.006446135525346786</v>
      </c>
      <c r="H909" s="296">
        <v>0.0</v>
      </c>
      <c r="I909" s="293"/>
    </row>
    <row r="910">
      <c r="A910" t="s">
        <v>214</v>
      </c>
      <c r="B910" s="287">
        <v>42298.0</v>
      </c>
      <c r="C910" s="288">
        <f t="shared" si="1"/>
        <v>294</v>
      </c>
      <c r="D910" s="289">
        <f t="shared" si="2"/>
        <v>9.639344262</v>
      </c>
      <c r="E910" s="290">
        <f t="shared" si="3"/>
        <v>10</v>
      </c>
      <c r="F910" s="290" t="s">
        <v>739</v>
      </c>
      <c r="G910" s="291">
        <v>-0.009239623785020079</v>
      </c>
      <c r="H910" s="296">
        <v>0.0</v>
      </c>
      <c r="I910" s="293"/>
    </row>
    <row r="911">
      <c r="A911" t="s">
        <v>1054</v>
      </c>
      <c r="B911" s="287">
        <v>42298.0</v>
      </c>
      <c r="C911" s="288">
        <f t="shared" si="1"/>
        <v>294</v>
      </c>
      <c r="D911" s="289">
        <f t="shared" si="2"/>
        <v>9.639344262</v>
      </c>
      <c r="E911" s="290">
        <f t="shared" si="3"/>
        <v>10</v>
      </c>
      <c r="F911" s="290" t="s">
        <v>739</v>
      </c>
      <c r="G911" s="291">
        <v>-0.009000112128061621</v>
      </c>
      <c r="H911" s="296">
        <v>0.0</v>
      </c>
      <c r="I911" s="293"/>
    </row>
    <row r="912">
      <c r="A912" t="s">
        <v>1055</v>
      </c>
      <c r="B912" s="287">
        <v>42298.0</v>
      </c>
      <c r="C912" s="288">
        <f t="shared" si="1"/>
        <v>294</v>
      </c>
      <c r="D912" s="289">
        <f t="shared" si="2"/>
        <v>9.639344262</v>
      </c>
      <c r="E912" s="290">
        <f t="shared" si="3"/>
        <v>10</v>
      </c>
      <c r="F912" s="290" t="s">
        <v>739</v>
      </c>
      <c r="G912" s="291">
        <v>-0.009599037272437494</v>
      </c>
      <c r="H912" s="296">
        <v>0.0</v>
      </c>
      <c r="I912" s="293"/>
    </row>
    <row r="913">
      <c r="A913" t="s">
        <v>1056</v>
      </c>
      <c r="B913" s="287">
        <v>42299.0</v>
      </c>
      <c r="C913" s="288">
        <f t="shared" si="1"/>
        <v>295</v>
      </c>
      <c r="D913" s="289">
        <f t="shared" si="2"/>
        <v>9.672131148</v>
      </c>
      <c r="E913" s="290">
        <f t="shared" si="3"/>
        <v>10</v>
      </c>
      <c r="F913" s="290" t="s">
        <v>739</v>
      </c>
      <c r="G913" s="291">
        <v>-0.00937645254787356</v>
      </c>
      <c r="H913" s="296">
        <v>0.0</v>
      </c>
      <c r="I913" s="293"/>
    </row>
    <row r="914">
      <c r="A914" t="s">
        <v>1057</v>
      </c>
      <c r="B914" s="287">
        <v>42299.0</v>
      </c>
      <c r="C914" s="288">
        <f t="shared" si="1"/>
        <v>295</v>
      </c>
      <c r="D914" s="289">
        <f t="shared" si="2"/>
        <v>9.672131148</v>
      </c>
      <c r="E914" s="290">
        <f t="shared" si="3"/>
        <v>10</v>
      </c>
      <c r="F914" s="290" t="s">
        <v>739</v>
      </c>
      <c r="G914" s="291">
        <v>0.014895085270292374</v>
      </c>
      <c r="H914" s="296">
        <v>1.0</v>
      </c>
      <c r="I914" s="293"/>
    </row>
    <row r="915">
      <c r="A915" t="s">
        <v>573</v>
      </c>
      <c r="B915" s="287">
        <v>42299.0</v>
      </c>
      <c r="C915" s="288">
        <f t="shared" si="1"/>
        <v>295</v>
      </c>
      <c r="D915" s="289">
        <f t="shared" si="2"/>
        <v>9.672131148</v>
      </c>
      <c r="E915" s="290">
        <f t="shared" si="3"/>
        <v>10</v>
      </c>
      <c r="F915" s="290" t="s">
        <v>739</v>
      </c>
      <c r="G915" s="291">
        <v>-0.015540604401371616</v>
      </c>
      <c r="H915" s="296">
        <v>-1.0</v>
      </c>
      <c r="I915" s="293"/>
    </row>
    <row r="916">
      <c r="A916" t="s">
        <v>277</v>
      </c>
      <c r="B916" s="287">
        <v>43031.0</v>
      </c>
      <c r="C916" s="288">
        <f t="shared" si="1"/>
        <v>296</v>
      </c>
      <c r="D916" s="289">
        <f t="shared" si="2"/>
        <v>9.704918033</v>
      </c>
      <c r="E916" s="290">
        <f t="shared" si="3"/>
        <v>10</v>
      </c>
      <c r="F916" s="290" t="s">
        <v>739</v>
      </c>
      <c r="G916" s="291">
        <v>0.006416011580630876</v>
      </c>
      <c r="H916" s="296">
        <v>0.0</v>
      </c>
      <c r="I916" s="293"/>
    </row>
    <row r="917">
      <c r="A917" t="s">
        <v>760</v>
      </c>
      <c r="B917" s="287">
        <v>42300.0</v>
      </c>
      <c r="C917" s="288">
        <f t="shared" si="1"/>
        <v>296</v>
      </c>
      <c r="D917" s="289">
        <f t="shared" si="2"/>
        <v>9.704918033</v>
      </c>
      <c r="E917" s="290">
        <f t="shared" si="3"/>
        <v>10</v>
      </c>
      <c r="F917" s="290" t="s">
        <v>739</v>
      </c>
      <c r="G917" s="291">
        <v>0.007194806292591505</v>
      </c>
      <c r="H917" s="296">
        <v>0.0</v>
      </c>
      <c r="I917" s="293"/>
    </row>
    <row r="918">
      <c r="A918" t="s">
        <v>751</v>
      </c>
      <c r="B918" s="287">
        <v>42300.0</v>
      </c>
      <c r="C918" s="288">
        <f t="shared" si="1"/>
        <v>296</v>
      </c>
      <c r="D918" s="289">
        <f t="shared" si="2"/>
        <v>9.704918033</v>
      </c>
      <c r="E918" s="290">
        <f t="shared" si="3"/>
        <v>10</v>
      </c>
      <c r="F918" s="290" t="s">
        <v>739</v>
      </c>
      <c r="G918" s="291">
        <v>-0.015748583964422136</v>
      </c>
      <c r="H918" s="296">
        <v>-1.0</v>
      </c>
      <c r="I918" s="293"/>
    </row>
    <row r="919">
      <c r="A919" t="s">
        <v>1058</v>
      </c>
      <c r="B919" s="287">
        <v>42300.0</v>
      </c>
      <c r="C919" s="288">
        <f t="shared" si="1"/>
        <v>296</v>
      </c>
      <c r="D919" s="289">
        <f t="shared" si="2"/>
        <v>9.704918033</v>
      </c>
      <c r="E919" s="290">
        <f t="shared" si="3"/>
        <v>10</v>
      </c>
      <c r="F919" s="290" t="s">
        <v>739</v>
      </c>
      <c r="G919" s="291">
        <v>0.024292574109301746</v>
      </c>
      <c r="H919" s="296">
        <v>1.0</v>
      </c>
      <c r="I919" s="293"/>
    </row>
    <row r="920">
      <c r="A920" t="s">
        <v>700</v>
      </c>
      <c r="B920" s="287">
        <v>42666.0</v>
      </c>
      <c r="C920" s="288">
        <f t="shared" si="1"/>
        <v>297</v>
      </c>
      <c r="D920" s="289">
        <f t="shared" si="2"/>
        <v>9.737704918</v>
      </c>
      <c r="E920" s="290">
        <f t="shared" si="3"/>
        <v>10</v>
      </c>
      <c r="F920" s="290" t="s">
        <v>739</v>
      </c>
      <c r="G920" s="291">
        <v>0.010021182857484878</v>
      </c>
      <c r="H920" s="296">
        <v>1.0</v>
      </c>
      <c r="I920" s="293"/>
    </row>
    <row r="921">
      <c r="A921" t="s">
        <v>713</v>
      </c>
      <c r="B921" s="287">
        <v>42666.0</v>
      </c>
      <c r="C921" s="288">
        <f t="shared" si="1"/>
        <v>297</v>
      </c>
      <c r="D921" s="289">
        <f t="shared" si="2"/>
        <v>9.737704918</v>
      </c>
      <c r="E921" s="290">
        <f t="shared" si="3"/>
        <v>10</v>
      </c>
      <c r="F921" s="290" t="s">
        <v>739</v>
      </c>
      <c r="G921" s="291">
        <v>-0.0025122121980517553</v>
      </c>
      <c r="H921" s="296">
        <v>0.0</v>
      </c>
      <c r="I921" s="293"/>
    </row>
    <row r="922">
      <c r="A922" t="s">
        <v>1059</v>
      </c>
      <c r="B922" s="287">
        <v>42666.0</v>
      </c>
      <c r="C922" s="288">
        <f t="shared" si="1"/>
        <v>297</v>
      </c>
      <c r="D922" s="289">
        <f t="shared" si="2"/>
        <v>9.737704918</v>
      </c>
      <c r="E922" s="290">
        <f t="shared" si="3"/>
        <v>10</v>
      </c>
      <c r="F922" s="290" t="s">
        <v>739</v>
      </c>
      <c r="G922" s="291">
        <v>-0.024817504398184087</v>
      </c>
      <c r="H922" s="296">
        <v>-1.0</v>
      </c>
      <c r="I922" s="293"/>
    </row>
    <row r="923">
      <c r="A923" t="s">
        <v>834</v>
      </c>
      <c r="B923" s="287">
        <v>42301.0</v>
      </c>
      <c r="C923" s="288">
        <f t="shared" si="1"/>
        <v>297</v>
      </c>
      <c r="D923" s="289">
        <f t="shared" si="2"/>
        <v>9.737704918</v>
      </c>
      <c r="E923" s="290">
        <f t="shared" si="3"/>
        <v>10</v>
      </c>
      <c r="F923" s="290" t="s">
        <v>739</v>
      </c>
      <c r="G923" s="291">
        <v>-0.02125461307317389</v>
      </c>
      <c r="H923" s="296">
        <v>-1.0</v>
      </c>
      <c r="I923" s="293"/>
    </row>
    <row r="924">
      <c r="A924" t="s">
        <v>108</v>
      </c>
      <c r="B924" s="287">
        <v>42301.0</v>
      </c>
      <c r="C924" s="288">
        <f t="shared" si="1"/>
        <v>297</v>
      </c>
      <c r="D924" s="289">
        <f t="shared" si="2"/>
        <v>9.737704918</v>
      </c>
      <c r="E924" s="290">
        <f t="shared" si="3"/>
        <v>10</v>
      </c>
      <c r="F924" s="290" t="s">
        <v>739</v>
      </c>
      <c r="G924" s="291">
        <v>-0.013955774035699142</v>
      </c>
      <c r="H924" s="296">
        <v>-1.0</v>
      </c>
      <c r="I924" s="293"/>
    </row>
    <row r="925">
      <c r="A925" t="s">
        <v>108</v>
      </c>
      <c r="B925" s="287">
        <v>42301.0</v>
      </c>
      <c r="C925" s="288">
        <f t="shared" si="1"/>
        <v>297</v>
      </c>
      <c r="D925" s="289">
        <f t="shared" si="2"/>
        <v>9.737704918</v>
      </c>
      <c r="E925" s="290">
        <f t="shared" si="3"/>
        <v>10</v>
      </c>
      <c r="F925" s="290" t="s">
        <v>739</v>
      </c>
      <c r="G925" s="291">
        <v>-0.013856492912929008</v>
      </c>
      <c r="H925" s="296">
        <v>-1.0</v>
      </c>
      <c r="I925" s="293"/>
    </row>
    <row r="926">
      <c r="A926" t="s">
        <v>108</v>
      </c>
      <c r="B926" s="287">
        <v>42301.0</v>
      </c>
      <c r="C926" s="288">
        <f t="shared" si="1"/>
        <v>297</v>
      </c>
      <c r="D926" s="289">
        <f t="shared" si="2"/>
        <v>9.737704918</v>
      </c>
      <c r="E926" s="290">
        <f t="shared" si="3"/>
        <v>10</v>
      </c>
      <c r="F926" s="290" t="s">
        <v>739</v>
      </c>
      <c r="G926" s="291">
        <v>-0.011160055787193923</v>
      </c>
      <c r="H926" s="296">
        <v>-1.0</v>
      </c>
      <c r="I926" s="293"/>
    </row>
    <row r="927">
      <c r="A927" t="s">
        <v>725</v>
      </c>
      <c r="B927" s="287">
        <v>42301.0</v>
      </c>
      <c r="C927" s="288">
        <f t="shared" si="1"/>
        <v>297</v>
      </c>
      <c r="D927" s="289">
        <f t="shared" si="2"/>
        <v>9.737704918</v>
      </c>
      <c r="E927" s="290">
        <f t="shared" si="3"/>
        <v>10</v>
      </c>
      <c r="F927" s="290" t="s">
        <v>739</v>
      </c>
      <c r="G927" s="291">
        <v>0.009291081604422935</v>
      </c>
      <c r="H927" s="296">
        <v>0.0</v>
      </c>
      <c r="I927" s="293"/>
    </row>
    <row r="928">
      <c r="A928" t="s">
        <v>744</v>
      </c>
      <c r="B928" s="287">
        <v>42301.0</v>
      </c>
      <c r="C928" s="288">
        <f t="shared" si="1"/>
        <v>297</v>
      </c>
      <c r="D928" s="289">
        <f t="shared" si="2"/>
        <v>9.737704918</v>
      </c>
      <c r="E928" s="290">
        <f t="shared" si="3"/>
        <v>10</v>
      </c>
      <c r="F928" s="290" t="s">
        <v>739</v>
      </c>
      <c r="G928" s="291">
        <v>-0.008783200672571767</v>
      </c>
      <c r="H928" s="296">
        <v>0.0</v>
      </c>
      <c r="I928" s="293"/>
    </row>
    <row r="929">
      <c r="A929" t="s">
        <v>902</v>
      </c>
      <c r="B929" s="287">
        <v>42667.0</v>
      </c>
      <c r="C929" s="288">
        <f t="shared" si="1"/>
        <v>298</v>
      </c>
      <c r="D929" s="289">
        <f t="shared" si="2"/>
        <v>9.770491803</v>
      </c>
      <c r="E929" s="290">
        <f t="shared" si="3"/>
        <v>10</v>
      </c>
      <c r="F929" s="290" t="s">
        <v>739</v>
      </c>
      <c r="G929" s="291">
        <v>0.0027687171274628497</v>
      </c>
      <c r="H929" s="296">
        <v>0.0</v>
      </c>
      <c r="I929" s="293"/>
    </row>
    <row r="930">
      <c r="A930" t="s">
        <v>1060</v>
      </c>
      <c r="B930" s="287">
        <v>42302.0</v>
      </c>
      <c r="C930" s="288">
        <f t="shared" si="1"/>
        <v>298</v>
      </c>
      <c r="D930" s="289">
        <f t="shared" si="2"/>
        <v>9.770491803</v>
      </c>
      <c r="E930" s="290">
        <f t="shared" si="3"/>
        <v>10</v>
      </c>
      <c r="F930" s="290" t="s">
        <v>739</v>
      </c>
      <c r="G930" s="291">
        <v>-0.12892244403226316</v>
      </c>
      <c r="H930" s="296">
        <v>-1.0</v>
      </c>
      <c r="I930" s="293"/>
    </row>
    <row r="931">
      <c r="A931" t="s">
        <v>845</v>
      </c>
      <c r="B931" s="287">
        <v>42668.0</v>
      </c>
      <c r="C931" s="288">
        <f t="shared" si="1"/>
        <v>299</v>
      </c>
      <c r="D931" s="289">
        <f t="shared" si="2"/>
        <v>9.803278689</v>
      </c>
      <c r="E931" s="290">
        <f t="shared" si="3"/>
        <v>10</v>
      </c>
      <c r="F931" s="290" t="s">
        <v>739</v>
      </c>
      <c r="G931" s="291">
        <v>0.005148279948025025</v>
      </c>
      <c r="H931" s="296">
        <v>0.0</v>
      </c>
      <c r="I931" s="293"/>
    </row>
    <row r="932">
      <c r="A932" t="s">
        <v>808</v>
      </c>
      <c r="B932" s="287">
        <v>42668.0</v>
      </c>
      <c r="C932" s="288">
        <f t="shared" si="1"/>
        <v>299</v>
      </c>
      <c r="D932" s="289">
        <f t="shared" si="2"/>
        <v>9.803278689</v>
      </c>
      <c r="E932" s="290">
        <f t="shared" si="3"/>
        <v>10</v>
      </c>
      <c r="F932" s="290" t="s">
        <v>739</v>
      </c>
      <c r="G932" s="291">
        <v>0.026014753495220644</v>
      </c>
      <c r="H932" s="296">
        <v>1.0</v>
      </c>
      <c r="I932" s="293"/>
    </row>
    <row r="933">
      <c r="A933" t="s">
        <v>843</v>
      </c>
      <c r="B933" s="287">
        <v>42668.0</v>
      </c>
      <c r="C933" s="288">
        <f t="shared" si="1"/>
        <v>299</v>
      </c>
      <c r="D933" s="289">
        <f t="shared" si="2"/>
        <v>9.803278689</v>
      </c>
      <c r="E933" s="290">
        <f t="shared" si="3"/>
        <v>10</v>
      </c>
      <c r="F933" s="290" t="s">
        <v>739</v>
      </c>
      <c r="G933" s="291">
        <v>0.02876513091308175</v>
      </c>
      <c r="H933" s="296">
        <v>1.0</v>
      </c>
      <c r="I933" s="293"/>
    </row>
    <row r="934">
      <c r="A934" t="s">
        <v>1061</v>
      </c>
      <c r="B934" s="287">
        <v>42303.0</v>
      </c>
      <c r="C934" s="288">
        <f t="shared" si="1"/>
        <v>299</v>
      </c>
      <c r="D934" s="289">
        <f t="shared" si="2"/>
        <v>9.803278689</v>
      </c>
      <c r="E934" s="290">
        <f t="shared" si="3"/>
        <v>10</v>
      </c>
      <c r="F934" s="290" t="s">
        <v>739</v>
      </c>
      <c r="G934" s="291">
        <v>-0.013082647778064893</v>
      </c>
      <c r="H934" s="296">
        <v>-1.0</v>
      </c>
      <c r="I934" s="293"/>
    </row>
    <row r="935">
      <c r="A935" t="s">
        <v>834</v>
      </c>
      <c r="B935" s="287">
        <v>42303.0</v>
      </c>
      <c r="C935" s="288">
        <f t="shared" si="1"/>
        <v>299</v>
      </c>
      <c r="D935" s="289">
        <f t="shared" si="2"/>
        <v>9.803278689</v>
      </c>
      <c r="E935" s="290">
        <f t="shared" si="3"/>
        <v>10</v>
      </c>
      <c r="F935" s="290" t="s">
        <v>739</v>
      </c>
      <c r="G935" s="291">
        <v>0.004059542628689794</v>
      </c>
      <c r="H935" s="296">
        <v>0.0</v>
      </c>
      <c r="I935" s="293"/>
    </row>
    <row r="936">
      <c r="A936" t="s">
        <v>1032</v>
      </c>
      <c r="B936" s="287">
        <v>43035.0</v>
      </c>
      <c r="C936" s="288">
        <f t="shared" si="1"/>
        <v>300</v>
      </c>
      <c r="D936" s="289">
        <f t="shared" si="2"/>
        <v>9.836065574</v>
      </c>
      <c r="E936" s="290">
        <f t="shared" si="3"/>
        <v>10</v>
      </c>
      <c r="F936" s="290" t="s">
        <v>739</v>
      </c>
      <c r="G936" s="291">
        <v>0.0032328002003554346</v>
      </c>
      <c r="H936" s="296">
        <v>0.0</v>
      </c>
      <c r="I936" s="293"/>
    </row>
    <row r="937">
      <c r="A937" t="s">
        <v>1062</v>
      </c>
      <c r="B937" s="287">
        <v>42304.0</v>
      </c>
      <c r="C937" s="288">
        <f t="shared" si="1"/>
        <v>300</v>
      </c>
      <c r="D937" s="289">
        <f t="shared" si="2"/>
        <v>9.836065574</v>
      </c>
      <c r="E937" s="290">
        <f t="shared" si="3"/>
        <v>10</v>
      </c>
      <c r="F937" s="290" t="s">
        <v>739</v>
      </c>
      <c r="G937" s="291">
        <v>0.0328449114693703</v>
      </c>
      <c r="H937" s="296">
        <v>1.0</v>
      </c>
      <c r="I937" s="293"/>
    </row>
    <row r="938">
      <c r="A938" t="s">
        <v>814</v>
      </c>
      <c r="B938" s="287">
        <v>42304.0</v>
      </c>
      <c r="C938" s="288">
        <f t="shared" si="1"/>
        <v>300</v>
      </c>
      <c r="D938" s="289">
        <f t="shared" si="2"/>
        <v>9.836065574</v>
      </c>
      <c r="E938" s="290">
        <f t="shared" si="3"/>
        <v>10</v>
      </c>
      <c r="F938" s="290" t="s">
        <v>739</v>
      </c>
      <c r="G938" s="291">
        <v>0.011820345180178049</v>
      </c>
      <c r="H938" s="296">
        <v>1.0</v>
      </c>
      <c r="I938" s="293"/>
    </row>
    <row r="939">
      <c r="A939" t="s">
        <v>834</v>
      </c>
      <c r="B939" s="287">
        <v>43036.0</v>
      </c>
      <c r="C939" s="288">
        <f t="shared" si="1"/>
        <v>301</v>
      </c>
      <c r="D939" s="289">
        <f t="shared" si="2"/>
        <v>9.868852459</v>
      </c>
      <c r="E939" s="290">
        <f t="shared" si="3"/>
        <v>10</v>
      </c>
      <c r="F939" s="290" t="s">
        <v>739</v>
      </c>
      <c r="G939" s="291">
        <v>0.007807179174443957</v>
      </c>
      <c r="H939" s="296">
        <v>0.0</v>
      </c>
      <c r="I939" s="293"/>
    </row>
    <row r="940">
      <c r="A940" t="s">
        <v>808</v>
      </c>
      <c r="B940" s="287">
        <v>42670.0</v>
      </c>
      <c r="C940" s="288">
        <f t="shared" si="1"/>
        <v>301</v>
      </c>
      <c r="D940" s="289">
        <f t="shared" si="2"/>
        <v>9.868852459</v>
      </c>
      <c r="E940" s="290">
        <f t="shared" si="3"/>
        <v>10</v>
      </c>
      <c r="F940" s="290" t="s">
        <v>739</v>
      </c>
      <c r="G940" s="291">
        <v>0.02635576534774764</v>
      </c>
      <c r="H940" s="296">
        <v>1.0</v>
      </c>
      <c r="I940" s="293"/>
    </row>
    <row r="941">
      <c r="A941" t="s">
        <v>957</v>
      </c>
      <c r="B941" s="287">
        <v>42670.0</v>
      </c>
      <c r="C941" s="288">
        <f t="shared" si="1"/>
        <v>301</v>
      </c>
      <c r="D941" s="289">
        <f t="shared" si="2"/>
        <v>9.868852459</v>
      </c>
      <c r="E941" s="290">
        <f t="shared" si="3"/>
        <v>10</v>
      </c>
      <c r="F941" s="290" t="s">
        <v>739</v>
      </c>
      <c r="G941" s="291">
        <v>0.02352736562100155</v>
      </c>
      <c r="H941" s="296">
        <v>1.0</v>
      </c>
      <c r="I941" s="293"/>
    </row>
    <row r="942">
      <c r="A942" t="s">
        <v>1005</v>
      </c>
      <c r="B942" s="287">
        <v>43037.0</v>
      </c>
      <c r="C942" s="288">
        <f t="shared" si="1"/>
        <v>302</v>
      </c>
      <c r="D942" s="289">
        <f t="shared" si="2"/>
        <v>9.901639344</v>
      </c>
      <c r="E942" s="290">
        <f t="shared" si="3"/>
        <v>10</v>
      </c>
      <c r="F942" s="290" t="s">
        <v>739</v>
      </c>
      <c r="G942" s="291">
        <v>0.01004277769766404</v>
      </c>
      <c r="H942" s="296">
        <v>1.0</v>
      </c>
      <c r="I942" s="293"/>
    </row>
    <row r="943">
      <c r="A943" t="s">
        <v>1063</v>
      </c>
      <c r="B943" s="287">
        <v>42671.0</v>
      </c>
      <c r="C943" s="288">
        <f t="shared" si="1"/>
        <v>302</v>
      </c>
      <c r="D943" s="289">
        <f t="shared" si="2"/>
        <v>9.901639344</v>
      </c>
      <c r="E943" s="290">
        <f t="shared" si="3"/>
        <v>10</v>
      </c>
      <c r="F943" s="290" t="s">
        <v>739</v>
      </c>
      <c r="G943" s="291">
        <v>-9.146344409978191E-4</v>
      </c>
      <c r="H943" s="296">
        <v>0.0</v>
      </c>
      <c r="I943" s="293"/>
    </row>
    <row r="944">
      <c r="A944" t="s">
        <v>1064</v>
      </c>
      <c r="B944" s="287">
        <v>43038.0</v>
      </c>
      <c r="C944" s="288">
        <f t="shared" si="1"/>
        <v>303</v>
      </c>
      <c r="D944" s="289">
        <f t="shared" si="2"/>
        <v>9.93442623</v>
      </c>
      <c r="E944" s="290">
        <f t="shared" si="3"/>
        <v>10</v>
      </c>
      <c r="F944" s="290" t="s">
        <v>739</v>
      </c>
      <c r="G944" s="291">
        <v>0.011948623092289501</v>
      </c>
      <c r="H944" s="296">
        <v>1.0</v>
      </c>
      <c r="I944" s="293"/>
    </row>
    <row r="945">
      <c r="A945" t="s">
        <v>921</v>
      </c>
      <c r="B945" s="287">
        <v>42672.0</v>
      </c>
      <c r="C945" s="288">
        <f t="shared" si="1"/>
        <v>303</v>
      </c>
      <c r="D945" s="289">
        <f t="shared" si="2"/>
        <v>9.93442623</v>
      </c>
      <c r="E945" s="290">
        <f t="shared" si="3"/>
        <v>10</v>
      </c>
      <c r="F945" s="290" t="s">
        <v>739</v>
      </c>
      <c r="G945" s="291">
        <v>0.028519732004950393</v>
      </c>
      <c r="H945" s="296">
        <v>1.0</v>
      </c>
      <c r="I945" s="293"/>
    </row>
    <row r="946">
      <c r="A946" t="s">
        <v>108</v>
      </c>
      <c r="B946" s="287">
        <v>42672.0</v>
      </c>
      <c r="C946" s="288">
        <f t="shared" si="1"/>
        <v>303</v>
      </c>
      <c r="D946" s="289">
        <f t="shared" si="2"/>
        <v>9.93442623</v>
      </c>
      <c r="E946" s="290">
        <f t="shared" si="3"/>
        <v>10</v>
      </c>
      <c r="F946" s="290" t="s">
        <v>739</v>
      </c>
      <c r="G946" s="291">
        <v>-0.024209879693954273</v>
      </c>
      <c r="H946" s="296">
        <v>-1.0</v>
      </c>
      <c r="I946" s="293"/>
    </row>
    <row r="947">
      <c r="A947" t="s">
        <v>1027</v>
      </c>
      <c r="B947" s="287">
        <v>42307.0</v>
      </c>
      <c r="C947" s="288">
        <f t="shared" si="1"/>
        <v>303</v>
      </c>
      <c r="D947" s="289">
        <f t="shared" si="2"/>
        <v>9.93442623</v>
      </c>
      <c r="E947" s="290">
        <f t="shared" si="3"/>
        <v>10</v>
      </c>
      <c r="F947" s="290" t="s">
        <v>739</v>
      </c>
      <c r="G947" s="291">
        <v>-0.009201558213117855</v>
      </c>
      <c r="H947" s="296">
        <v>0.0</v>
      </c>
      <c r="I947" s="293"/>
    </row>
    <row r="948">
      <c r="A948" t="s">
        <v>808</v>
      </c>
      <c r="B948" s="287">
        <v>42307.0</v>
      </c>
      <c r="C948" s="288">
        <f t="shared" si="1"/>
        <v>303</v>
      </c>
      <c r="D948" s="289">
        <f t="shared" si="2"/>
        <v>9.93442623</v>
      </c>
      <c r="E948" s="290">
        <f t="shared" si="3"/>
        <v>10</v>
      </c>
      <c r="F948" s="290" t="s">
        <v>739</v>
      </c>
      <c r="G948" s="291">
        <v>-0.04699503797342275</v>
      </c>
      <c r="H948" s="296">
        <v>-1.0</v>
      </c>
      <c r="I948" s="293"/>
    </row>
    <row r="949">
      <c r="A949" t="s">
        <v>742</v>
      </c>
      <c r="B949" s="287">
        <v>41942.0</v>
      </c>
      <c r="C949" s="288">
        <f t="shared" si="1"/>
        <v>303</v>
      </c>
      <c r="D949" s="289">
        <f t="shared" si="2"/>
        <v>9.93442623</v>
      </c>
      <c r="E949" s="290">
        <f t="shared" si="3"/>
        <v>10</v>
      </c>
      <c r="F949" s="290" t="s">
        <v>739</v>
      </c>
      <c r="G949" s="291">
        <v>0.0082271710200158</v>
      </c>
      <c r="H949" s="296">
        <v>0.0</v>
      </c>
      <c r="I949" s="293"/>
    </row>
    <row r="950">
      <c r="A950" t="s">
        <v>1063</v>
      </c>
      <c r="B950" s="287">
        <v>42673.0</v>
      </c>
      <c r="C950" s="288">
        <f t="shared" si="1"/>
        <v>304</v>
      </c>
      <c r="D950" s="289">
        <f t="shared" si="2"/>
        <v>9.967213115</v>
      </c>
      <c r="E950" s="290">
        <f t="shared" si="3"/>
        <v>10</v>
      </c>
      <c r="F950" s="290" t="s">
        <v>739</v>
      </c>
      <c r="G950" s="291">
        <v>0.038721274163039276</v>
      </c>
      <c r="H950" s="296">
        <v>1.0</v>
      </c>
      <c r="I950" s="293"/>
    </row>
    <row r="951">
      <c r="A951" t="s">
        <v>472</v>
      </c>
      <c r="B951" s="287">
        <v>43040.0</v>
      </c>
      <c r="C951" s="288">
        <f t="shared" si="1"/>
        <v>305</v>
      </c>
      <c r="D951" s="289">
        <f t="shared" si="2"/>
        <v>10</v>
      </c>
      <c r="E951" s="290">
        <f t="shared" si="3"/>
        <v>10</v>
      </c>
      <c r="F951" s="290" t="s">
        <v>739</v>
      </c>
      <c r="G951" s="291">
        <v>-0.03675148327886191</v>
      </c>
      <c r="H951" s="296">
        <v>-1.0</v>
      </c>
      <c r="I951" s="293"/>
    </row>
    <row r="952">
      <c r="A952" t="s">
        <v>1065</v>
      </c>
      <c r="B952" s="287">
        <v>43040.0</v>
      </c>
      <c r="C952" s="288">
        <f t="shared" si="1"/>
        <v>305</v>
      </c>
      <c r="D952" s="289">
        <f t="shared" si="2"/>
        <v>10</v>
      </c>
      <c r="E952" s="290">
        <f t="shared" si="3"/>
        <v>10</v>
      </c>
      <c r="F952" s="290" t="s">
        <v>739</v>
      </c>
      <c r="G952" s="291">
        <v>0.004180550046314457</v>
      </c>
      <c r="H952" s="296">
        <v>0.0</v>
      </c>
      <c r="I952" s="293"/>
    </row>
    <row r="953">
      <c r="A953" t="s">
        <v>1066</v>
      </c>
      <c r="B953" s="287">
        <v>42674.0</v>
      </c>
      <c r="C953" s="288">
        <f t="shared" si="1"/>
        <v>305</v>
      </c>
      <c r="D953" s="289">
        <f t="shared" si="2"/>
        <v>10</v>
      </c>
      <c r="E953" s="290">
        <f t="shared" si="3"/>
        <v>10</v>
      </c>
      <c r="F953" s="290" t="s">
        <v>739</v>
      </c>
      <c r="G953" s="291">
        <v>0.02833707364776894</v>
      </c>
      <c r="H953" s="296">
        <v>1.0</v>
      </c>
      <c r="I953" s="293"/>
    </row>
    <row r="954">
      <c r="A954" t="s">
        <v>722</v>
      </c>
      <c r="B954" s="287">
        <v>41944.0</v>
      </c>
      <c r="C954" s="288">
        <f t="shared" si="1"/>
        <v>305</v>
      </c>
      <c r="D954" s="289">
        <f t="shared" si="2"/>
        <v>10</v>
      </c>
      <c r="E954" s="290">
        <f t="shared" si="3"/>
        <v>10</v>
      </c>
      <c r="F954" s="290" t="s">
        <v>739</v>
      </c>
      <c r="G954" s="291">
        <v>-0.006121099315084422</v>
      </c>
      <c r="H954" s="296">
        <v>0.0</v>
      </c>
      <c r="I954" s="293"/>
    </row>
    <row r="955">
      <c r="A955" t="s">
        <v>974</v>
      </c>
      <c r="B955" s="287">
        <v>42310.0</v>
      </c>
      <c r="C955" s="288">
        <f t="shared" si="1"/>
        <v>306</v>
      </c>
      <c r="D955" s="289">
        <f t="shared" si="2"/>
        <v>10.03278689</v>
      </c>
      <c r="E955" s="290">
        <f t="shared" si="3"/>
        <v>11</v>
      </c>
      <c r="F955" s="290" t="s">
        <v>741</v>
      </c>
      <c r="G955" s="291">
        <v>-0.017749103846323333</v>
      </c>
      <c r="H955" s="296">
        <v>-1.0</v>
      </c>
      <c r="I955" s="293"/>
    </row>
    <row r="956">
      <c r="A956" t="s">
        <v>573</v>
      </c>
      <c r="B956" s="287">
        <v>43042.0</v>
      </c>
      <c r="C956" s="288">
        <f t="shared" si="1"/>
        <v>307</v>
      </c>
      <c r="D956" s="289">
        <f t="shared" si="2"/>
        <v>10.06557377</v>
      </c>
      <c r="E956" s="290">
        <f t="shared" si="3"/>
        <v>11</v>
      </c>
      <c r="F956" s="290" t="s">
        <v>741</v>
      </c>
      <c r="G956" s="291">
        <v>-0.008468055328342494</v>
      </c>
      <c r="H956" s="296">
        <v>0.0</v>
      </c>
      <c r="I956" s="293"/>
    </row>
    <row r="957">
      <c r="A957" t="s">
        <v>1067</v>
      </c>
      <c r="B957" s="287">
        <v>42676.0</v>
      </c>
      <c r="C957" s="288">
        <f t="shared" si="1"/>
        <v>307</v>
      </c>
      <c r="D957" s="289">
        <f t="shared" si="2"/>
        <v>10.06557377</v>
      </c>
      <c r="E957" s="290">
        <f t="shared" si="3"/>
        <v>11</v>
      </c>
      <c r="F957" s="290" t="s">
        <v>741</v>
      </c>
      <c r="G957" s="291">
        <v>0.004368989363844111</v>
      </c>
      <c r="H957" s="296">
        <v>0.0</v>
      </c>
      <c r="I957" s="293"/>
    </row>
    <row r="958">
      <c r="A958" t="s">
        <v>711</v>
      </c>
      <c r="B958" s="287">
        <v>42676.0</v>
      </c>
      <c r="C958" s="288">
        <f t="shared" si="1"/>
        <v>307</v>
      </c>
      <c r="D958" s="289">
        <f t="shared" si="2"/>
        <v>10.06557377</v>
      </c>
      <c r="E958" s="290">
        <f t="shared" si="3"/>
        <v>11</v>
      </c>
      <c r="F958" s="290" t="s">
        <v>741</v>
      </c>
      <c r="G958" s="291">
        <v>0.009062286996955438</v>
      </c>
      <c r="H958" s="296">
        <v>0.0</v>
      </c>
      <c r="I958" s="293"/>
    </row>
    <row r="959">
      <c r="A959" t="s">
        <v>1068</v>
      </c>
      <c r="B959" s="287">
        <v>42676.0</v>
      </c>
      <c r="C959" s="288">
        <f t="shared" si="1"/>
        <v>307</v>
      </c>
      <c r="D959" s="289">
        <f t="shared" si="2"/>
        <v>10.06557377</v>
      </c>
      <c r="E959" s="290">
        <f t="shared" si="3"/>
        <v>11</v>
      </c>
      <c r="F959" s="290" t="s">
        <v>741</v>
      </c>
      <c r="G959" s="291">
        <v>0.016566271959003176</v>
      </c>
      <c r="H959" s="296">
        <v>1.0</v>
      </c>
      <c r="I959" s="293"/>
    </row>
    <row r="960">
      <c r="A960" t="s">
        <v>834</v>
      </c>
      <c r="B960" s="287">
        <v>42311.0</v>
      </c>
      <c r="C960" s="288">
        <f t="shared" si="1"/>
        <v>307</v>
      </c>
      <c r="D960" s="289">
        <f t="shared" si="2"/>
        <v>10.06557377</v>
      </c>
      <c r="E960" s="290">
        <f t="shared" si="3"/>
        <v>11</v>
      </c>
      <c r="F960" s="290" t="s">
        <v>741</v>
      </c>
      <c r="G960" s="291">
        <v>0.022024204572940187</v>
      </c>
      <c r="H960" s="296">
        <v>1.0</v>
      </c>
      <c r="I960" s="293"/>
    </row>
    <row r="961">
      <c r="A961" t="s">
        <v>781</v>
      </c>
      <c r="B961" s="287">
        <v>42677.0</v>
      </c>
      <c r="C961" s="288">
        <f t="shared" si="1"/>
        <v>308</v>
      </c>
      <c r="D961" s="289">
        <f t="shared" si="2"/>
        <v>10.09836066</v>
      </c>
      <c r="E961" s="290">
        <f t="shared" si="3"/>
        <v>11</v>
      </c>
      <c r="F961" s="290" t="s">
        <v>741</v>
      </c>
      <c r="G961" s="291">
        <v>0.013413975154292435</v>
      </c>
      <c r="H961" s="296">
        <v>1.0</v>
      </c>
      <c r="I961" s="293"/>
    </row>
    <row r="962">
      <c r="A962" t="s">
        <v>1069</v>
      </c>
      <c r="B962" s="287">
        <v>42677.0</v>
      </c>
      <c r="C962" s="288">
        <f t="shared" si="1"/>
        <v>308</v>
      </c>
      <c r="D962" s="289">
        <f t="shared" si="2"/>
        <v>10.09836066</v>
      </c>
      <c r="E962" s="290">
        <f t="shared" si="3"/>
        <v>11</v>
      </c>
      <c r="F962" s="290" t="s">
        <v>741</v>
      </c>
      <c r="G962" s="291">
        <v>0.0011111160191038527</v>
      </c>
      <c r="H962" s="296">
        <v>0.0</v>
      </c>
      <c r="I962" s="293"/>
    </row>
    <row r="963">
      <c r="A963" t="s">
        <v>992</v>
      </c>
      <c r="B963" s="287">
        <v>42677.0</v>
      </c>
      <c r="C963" s="288">
        <f t="shared" si="1"/>
        <v>308</v>
      </c>
      <c r="D963" s="289">
        <f t="shared" si="2"/>
        <v>10.09836066</v>
      </c>
      <c r="E963" s="290">
        <f t="shared" si="3"/>
        <v>11</v>
      </c>
      <c r="F963" s="290" t="s">
        <v>741</v>
      </c>
      <c r="G963" s="291">
        <v>0.014483056009151785</v>
      </c>
      <c r="H963" s="296">
        <v>1.0</v>
      </c>
      <c r="I963" s="293"/>
    </row>
    <row r="964">
      <c r="A964" t="s">
        <v>232</v>
      </c>
      <c r="B964" s="287">
        <v>42312.0</v>
      </c>
      <c r="C964" s="288">
        <f t="shared" si="1"/>
        <v>308</v>
      </c>
      <c r="D964" s="289">
        <f t="shared" si="2"/>
        <v>10.09836066</v>
      </c>
      <c r="E964" s="290">
        <f t="shared" si="3"/>
        <v>11</v>
      </c>
      <c r="F964" s="290" t="s">
        <v>741</v>
      </c>
      <c r="G964" s="291">
        <v>-0.0037642360770101524</v>
      </c>
      <c r="H964" s="296">
        <v>0.0</v>
      </c>
      <c r="I964" s="293"/>
    </row>
    <row r="965">
      <c r="A965" t="s">
        <v>918</v>
      </c>
      <c r="B965" s="287">
        <v>42678.0</v>
      </c>
      <c r="C965" s="288">
        <f t="shared" si="1"/>
        <v>309</v>
      </c>
      <c r="D965" s="289">
        <f t="shared" si="2"/>
        <v>10.13114754</v>
      </c>
      <c r="E965" s="290">
        <f t="shared" si="3"/>
        <v>11</v>
      </c>
      <c r="F965" s="290" t="s">
        <v>741</v>
      </c>
      <c r="G965" s="291">
        <v>0.011200791462315007</v>
      </c>
      <c r="H965" s="296">
        <v>1.0</v>
      </c>
      <c r="I965" s="293"/>
    </row>
    <row r="966">
      <c r="A966" t="s">
        <v>1070</v>
      </c>
      <c r="B966" s="287">
        <v>42678.0</v>
      </c>
      <c r="C966" s="288">
        <f t="shared" si="1"/>
        <v>309</v>
      </c>
      <c r="D966" s="289">
        <f t="shared" si="2"/>
        <v>10.13114754</v>
      </c>
      <c r="E966" s="290">
        <f t="shared" si="3"/>
        <v>11</v>
      </c>
      <c r="F966" s="290" t="s">
        <v>741</v>
      </c>
      <c r="G966" s="291">
        <v>0.009877693804682952</v>
      </c>
      <c r="H966" s="296">
        <v>0.0</v>
      </c>
      <c r="I966" s="293"/>
    </row>
    <row r="967">
      <c r="A967" t="s">
        <v>788</v>
      </c>
      <c r="B967" s="287">
        <v>42678.0</v>
      </c>
      <c r="C967" s="288">
        <f t="shared" si="1"/>
        <v>309</v>
      </c>
      <c r="D967" s="289">
        <f t="shared" si="2"/>
        <v>10.13114754</v>
      </c>
      <c r="E967" s="290">
        <f t="shared" si="3"/>
        <v>11</v>
      </c>
      <c r="F967" s="290" t="s">
        <v>741</v>
      </c>
      <c r="G967" s="291">
        <v>-0.012094679613126047</v>
      </c>
      <c r="H967" s="296">
        <v>-1.0</v>
      </c>
      <c r="I967" s="293"/>
    </row>
    <row r="968">
      <c r="A968" t="s">
        <v>232</v>
      </c>
      <c r="B968" s="287">
        <v>42678.0</v>
      </c>
      <c r="C968" s="288">
        <f t="shared" si="1"/>
        <v>309</v>
      </c>
      <c r="D968" s="289">
        <f t="shared" si="2"/>
        <v>10.13114754</v>
      </c>
      <c r="E968" s="290">
        <f t="shared" si="3"/>
        <v>11</v>
      </c>
      <c r="F968" s="290" t="s">
        <v>741</v>
      </c>
      <c r="G968" s="291">
        <v>0.0034444895892752347</v>
      </c>
      <c r="H968" s="296">
        <v>0.0</v>
      </c>
      <c r="I968" s="293"/>
    </row>
    <row r="969">
      <c r="A969" t="s">
        <v>1071</v>
      </c>
      <c r="B969" s="287">
        <v>42678.0</v>
      </c>
      <c r="C969" s="288">
        <f t="shared" si="1"/>
        <v>309</v>
      </c>
      <c r="D969" s="289">
        <f t="shared" si="2"/>
        <v>10.13114754</v>
      </c>
      <c r="E969" s="290">
        <f t="shared" si="3"/>
        <v>11</v>
      </c>
      <c r="F969" s="290" t="s">
        <v>741</v>
      </c>
      <c r="G969" s="291">
        <v>-0.0074471914549509854</v>
      </c>
      <c r="H969" s="296">
        <v>0.0</v>
      </c>
      <c r="I969" s="293"/>
    </row>
    <row r="970">
      <c r="A970" t="s">
        <v>523</v>
      </c>
      <c r="B970" s="287">
        <v>42313.0</v>
      </c>
      <c r="C970" s="288">
        <f t="shared" si="1"/>
        <v>309</v>
      </c>
      <c r="D970" s="289">
        <f t="shared" si="2"/>
        <v>10.13114754</v>
      </c>
      <c r="E970" s="290">
        <f t="shared" si="3"/>
        <v>11</v>
      </c>
      <c r="F970" s="290" t="s">
        <v>741</v>
      </c>
      <c r="G970" s="291">
        <v>0.001334350836609266</v>
      </c>
      <c r="H970" s="296">
        <v>0.0</v>
      </c>
      <c r="I970" s="293"/>
    </row>
    <row r="971">
      <c r="A971" t="s">
        <v>834</v>
      </c>
      <c r="B971" s="287">
        <v>42313.0</v>
      </c>
      <c r="C971" s="288">
        <f t="shared" si="1"/>
        <v>309</v>
      </c>
      <c r="D971" s="289">
        <f t="shared" si="2"/>
        <v>10.13114754</v>
      </c>
      <c r="E971" s="290">
        <f t="shared" si="3"/>
        <v>11</v>
      </c>
      <c r="F971" s="290" t="s">
        <v>741</v>
      </c>
      <c r="G971" s="291">
        <v>-0.016547526018801717</v>
      </c>
      <c r="H971" s="296">
        <v>-1.0</v>
      </c>
      <c r="I971" s="293"/>
    </row>
    <row r="972">
      <c r="A972" t="s">
        <v>1072</v>
      </c>
      <c r="B972" s="287">
        <v>42313.0</v>
      </c>
      <c r="C972" s="288">
        <f t="shared" si="1"/>
        <v>309</v>
      </c>
      <c r="D972" s="289">
        <f t="shared" si="2"/>
        <v>10.13114754</v>
      </c>
      <c r="E972" s="290">
        <f t="shared" si="3"/>
        <v>11</v>
      </c>
      <c r="F972" s="290" t="s">
        <v>741</v>
      </c>
      <c r="G972" s="291">
        <v>0.016802262494763798</v>
      </c>
      <c r="H972" s="296">
        <v>1.0</v>
      </c>
      <c r="I972" s="293"/>
    </row>
    <row r="973">
      <c r="A973" t="s">
        <v>1073</v>
      </c>
      <c r="B973" s="287">
        <v>43045.0</v>
      </c>
      <c r="C973" s="288">
        <f t="shared" si="1"/>
        <v>310</v>
      </c>
      <c r="D973" s="289">
        <f t="shared" si="2"/>
        <v>10.16393443</v>
      </c>
      <c r="E973" s="290">
        <f t="shared" si="3"/>
        <v>11</v>
      </c>
      <c r="F973" s="290" t="s">
        <v>741</v>
      </c>
      <c r="G973" s="291">
        <v>-0.016176789541101355</v>
      </c>
      <c r="H973" s="296">
        <v>-1.0</v>
      </c>
      <c r="I973" s="293"/>
    </row>
    <row r="974">
      <c r="A974" t="s">
        <v>108</v>
      </c>
      <c r="B974" s="287">
        <v>42314.0</v>
      </c>
      <c r="C974" s="288">
        <f t="shared" si="1"/>
        <v>310</v>
      </c>
      <c r="D974" s="289">
        <f t="shared" si="2"/>
        <v>10.16393443</v>
      </c>
      <c r="E974" s="290">
        <f t="shared" si="3"/>
        <v>11</v>
      </c>
      <c r="F974" s="290" t="s">
        <v>741</v>
      </c>
      <c r="G974" s="291">
        <v>-0.017699212806821962</v>
      </c>
      <c r="H974" s="296">
        <v>-1.0</v>
      </c>
      <c r="I974" s="293"/>
    </row>
    <row r="975">
      <c r="A975" t="s">
        <v>108</v>
      </c>
      <c r="B975" s="287">
        <v>42314.0</v>
      </c>
      <c r="C975" s="288">
        <f t="shared" si="1"/>
        <v>310</v>
      </c>
      <c r="D975" s="289">
        <f t="shared" si="2"/>
        <v>10.16393443</v>
      </c>
      <c r="E975" s="290">
        <f t="shared" si="3"/>
        <v>11</v>
      </c>
      <c r="F975" s="290" t="s">
        <v>741</v>
      </c>
      <c r="G975" s="291">
        <v>-0.015088236804219113</v>
      </c>
      <c r="H975" s="296">
        <v>-1.0</v>
      </c>
      <c r="I975" s="293"/>
    </row>
    <row r="976">
      <c r="A976" t="s">
        <v>1074</v>
      </c>
      <c r="B976" s="287">
        <v>42314.0</v>
      </c>
      <c r="C976" s="288">
        <f t="shared" si="1"/>
        <v>310</v>
      </c>
      <c r="D976" s="289">
        <f t="shared" si="2"/>
        <v>10.16393443</v>
      </c>
      <c r="E976" s="290">
        <f t="shared" si="3"/>
        <v>11</v>
      </c>
      <c r="F976" s="290" t="s">
        <v>741</v>
      </c>
      <c r="G976" s="291">
        <v>-0.04618469530389013</v>
      </c>
      <c r="H976" s="296">
        <v>-1.0</v>
      </c>
      <c r="I976" s="293"/>
    </row>
    <row r="977">
      <c r="A977" t="s">
        <v>721</v>
      </c>
      <c r="B977" s="287">
        <v>42680.0</v>
      </c>
      <c r="C977" s="288">
        <f t="shared" si="1"/>
        <v>311</v>
      </c>
      <c r="D977" s="289">
        <f t="shared" si="2"/>
        <v>10.19672131</v>
      </c>
      <c r="E977" s="290">
        <f t="shared" si="3"/>
        <v>11</v>
      </c>
      <c r="F977" s="290" t="s">
        <v>741</v>
      </c>
      <c r="G977" s="291">
        <v>-0.010426296609819974</v>
      </c>
      <c r="H977" s="296">
        <v>-1.0</v>
      </c>
      <c r="I977" s="293"/>
    </row>
    <row r="978">
      <c r="A978" t="s">
        <v>796</v>
      </c>
      <c r="B978" s="287">
        <v>42315.0</v>
      </c>
      <c r="C978" s="288">
        <f t="shared" si="1"/>
        <v>311</v>
      </c>
      <c r="D978" s="289">
        <f t="shared" si="2"/>
        <v>10.19672131</v>
      </c>
      <c r="E978" s="290">
        <f t="shared" si="3"/>
        <v>11</v>
      </c>
      <c r="F978" s="290" t="s">
        <v>741</v>
      </c>
      <c r="G978" s="291">
        <v>-7.202427164254566E-4</v>
      </c>
      <c r="H978" s="296">
        <v>0.0</v>
      </c>
      <c r="I978" s="293"/>
    </row>
    <row r="979">
      <c r="A979" t="s">
        <v>740</v>
      </c>
      <c r="B979" s="287">
        <v>41950.0</v>
      </c>
      <c r="C979" s="288">
        <f t="shared" si="1"/>
        <v>311</v>
      </c>
      <c r="D979" s="289">
        <f t="shared" si="2"/>
        <v>10.19672131</v>
      </c>
      <c r="E979" s="290">
        <f t="shared" si="3"/>
        <v>11</v>
      </c>
      <c r="F979" s="290" t="s">
        <v>741</v>
      </c>
      <c r="G979" s="291">
        <v>0.0037100950582522607</v>
      </c>
      <c r="H979" s="296">
        <v>0.0</v>
      </c>
      <c r="I979" s="293"/>
    </row>
    <row r="980">
      <c r="A980" t="s">
        <v>731</v>
      </c>
      <c r="B980" s="287">
        <v>41950.0</v>
      </c>
      <c r="C980" s="288">
        <f t="shared" si="1"/>
        <v>311</v>
      </c>
      <c r="D980" s="289">
        <f t="shared" si="2"/>
        <v>10.19672131</v>
      </c>
      <c r="E980" s="290">
        <f t="shared" si="3"/>
        <v>11</v>
      </c>
      <c r="F980" s="290" t="s">
        <v>741</v>
      </c>
      <c r="G980" s="291">
        <v>-4.6989765665006455E-4</v>
      </c>
      <c r="H980" s="296">
        <v>0.0</v>
      </c>
      <c r="I980" s="293"/>
    </row>
    <row r="981">
      <c r="A981" t="s">
        <v>1075</v>
      </c>
      <c r="B981" s="287">
        <v>43047.0</v>
      </c>
      <c r="C981" s="288">
        <f t="shared" si="1"/>
        <v>312</v>
      </c>
      <c r="D981" s="289">
        <f t="shared" si="2"/>
        <v>10.2295082</v>
      </c>
      <c r="E981" s="290">
        <f t="shared" si="3"/>
        <v>11</v>
      </c>
      <c r="F981" s="290" t="s">
        <v>741</v>
      </c>
      <c r="G981" s="291"/>
      <c r="H981" s="296" t="s">
        <v>1076</v>
      </c>
      <c r="I981" s="293"/>
    </row>
    <row r="982">
      <c r="A982" t="s">
        <v>760</v>
      </c>
      <c r="B982" s="287">
        <v>42681.0</v>
      </c>
      <c r="C982" s="288">
        <f t="shared" si="1"/>
        <v>312</v>
      </c>
      <c r="D982" s="289">
        <f t="shared" si="2"/>
        <v>10.2295082</v>
      </c>
      <c r="E982" s="290">
        <f t="shared" si="3"/>
        <v>11</v>
      </c>
      <c r="F982" s="290" t="s">
        <v>741</v>
      </c>
      <c r="G982" s="291">
        <v>0.013390838885285583</v>
      </c>
      <c r="H982" s="296">
        <v>1.0</v>
      </c>
      <c r="I982" s="293"/>
    </row>
    <row r="983">
      <c r="A983" t="s">
        <v>1077</v>
      </c>
      <c r="B983" s="287">
        <v>42316.0</v>
      </c>
      <c r="C983" s="288">
        <f t="shared" si="1"/>
        <v>312</v>
      </c>
      <c r="D983" s="289">
        <f t="shared" si="2"/>
        <v>10.2295082</v>
      </c>
      <c r="E983" s="290">
        <f t="shared" si="3"/>
        <v>11</v>
      </c>
      <c r="F983" s="290" t="s">
        <v>741</v>
      </c>
      <c r="G983" s="291">
        <v>-0.02486710716688345</v>
      </c>
      <c r="H983" s="296">
        <v>-1.0</v>
      </c>
      <c r="I983" s="293"/>
    </row>
    <row r="984">
      <c r="A984" t="s">
        <v>1078</v>
      </c>
      <c r="B984" s="287">
        <v>42316.0</v>
      </c>
      <c r="C984" s="288">
        <f t="shared" si="1"/>
        <v>312</v>
      </c>
      <c r="D984" s="289">
        <f t="shared" si="2"/>
        <v>10.2295082</v>
      </c>
      <c r="E984" s="290">
        <f t="shared" si="3"/>
        <v>11</v>
      </c>
      <c r="F984" s="290" t="s">
        <v>741</v>
      </c>
      <c r="G984" s="291">
        <v>0.009875770664341865</v>
      </c>
      <c r="H984" s="296">
        <v>0.0</v>
      </c>
      <c r="I984" s="293"/>
    </row>
    <row r="985">
      <c r="A985" s="275" t="s">
        <v>427</v>
      </c>
      <c r="B985" s="300">
        <v>43048.0</v>
      </c>
      <c r="C985" s="288">
        <f t="shared" si="1"/>
        <v>313</v>
      </c>
      <c r="D985" s="289">
        <f t="shared" si="2"/>
        <v>10.26229508</v>
      </c>
      <c r="E985" s="290">
        <f t="shared" si="3"/>
        <v>11</v>
      </c>
      <c r="F985" s="290" t="s">
        <v>741</v>
      </c>
      <c r="G985" s="291">
        <v>-0.01583823046643118</v>
      </c>
      <c r="H985" s="296">
        <v>-1.0</v>
      </c>
      <c r="I985" s="293"/>
    </row>
    <row r="986">
      <c r="A986" t="s">
        <v>1079</v>
      </c>
      <c r="B986" s="287">
        <v>42317.0</v>
      </c>
      <c r="C986" s="288">
        <f t="shared" si="1"/>
        <v>313</v>
      </c>
      <c r="D986" s="289">
        <f t="shared" si="2"/>
        <v>10.26229508</v>
      </c>
      <c r="E986" s="290">
        <f t="shared" si="3"/>
        <v>11</v>
      </c>
      <c r="F986" s="290" t="s">
        <v>741</v>
      </c>
      <c r="G986" s="291">
        <v>-0.038546178282246046</v>
      </c>
      <c r="H986" s="296">
        <v>-1.0</v>
      </c>
      <c r="I986" s="293"/>
    </row>
    <row r="987">
      <c r="A987" t="s">
        <v>1080</v>
      </c>
      <c r="B987" s="287">
        <v>42317.0</v>
      </c>
      <c r="C987" s="288">
        <f t="shared" si="1"/>
        <v>313</v>
      </c>
      <c r="D987" s="289">
        <f t="shared" si="2"/>
        <v>10.26229508</v>
      </c>
      <c r="E987" s="290">
        <f t="shared" si="3"/>
        <v>11</v>
      </c>
      <c r="F987" s="290" t="s">
        <v>741</v>
      </c>
      <c r="G987" s="291">
        <v>0.012092669899699482</v>
      </c>
      <c r="H987" s="296">
        <v>1.0</v>
      </c>
      <c r="I987" s="293"/>
    </row>
    <row r="988">
      <c r="A988" t="s">
        <v>1081</v>
      </c>
      <c r="B988" s="287">
        <v>42683.0</v>
      </c>
      <c r="C988" s="288">
        <f t="shared" si="1"/>
        <v>314</v>
      </c>
      <c r="D988" s="289">
        <f t="shared" si="2"/>
        <v>10.29508197</v>
      </c>
      <c r="E988" s="290">
        <f t="shared" si="3"/>
        <v>11</v>
      </c>
      <c r="F988" s="290" t="s">
        <v>741</v>
      </c>
      <c r="G988" s="291">
        <v>-0.01163751807195712</v>
      </c>
      <c r="H988" s="296">
        <v>-1.0</v>
      </c>
      <c r="I988" s="293"/>
    </row>
    <row r="989">
      <c r="A989" t="s">
        <v>1082</v>
      </c>
      <c r="B989" s="287">
        <v>42318.0</v>
      </c>
      <c r="C989" s="288">
        <f t="shared" si="1"/>
        <v>314</v>
      </c>
      <c r="D989" s="289">
        <f t="shared" si="2"/>
        <v>10.29508197</v>
      </c>
      <c r="E989" s="290">
        <f t="shared" si="3"/>
        <v>11</v>
      </c>
      <c r="F989" s="290" t="s">
        <v>741</v>
      </c>
      <c r="G989" s="291">
        <v>0.019682033328221604</v>
      </c>
      <c r="H989" s="296">
        <v>1.0</v>
      </c>
      <c r="I989" s="293"/>
    </row>
    <row r="990">
      <c r="A990" t="s">
        <v>723</v>
      </c>
      <c r="B990" s="287">
        <v>42318.0</v>
      </c>
      <c r="C990" s="288">
        <f t="shared" si="1"/>
        <v>314</v>
      </c>
      <c r="D990" s="289">
        <f t="shared" si="2"/>
        <v>10.29508197</v>
      </c>
      <c r="E990" s="290">
        <f t="shared" si="3"/>
        <v>11</v>
      </c>
      <c r="F990" s="290" t="s">
        <v>741</v>
      </c>
      <c r="G990" s="291">
        <v>0.029269565494628447</v>
      </c>
      <c r="H990" s="296">
        <v>1.0</v>
      </c>
      <c r="I990" s="293"/>
    </row>
    <row r="991">
      <c r="A991" t="s">
        <v>427</v>
      </c>
      <c r="B991" s="287">
        <v>41953.0</v>
      </c>
      <c r="C991" s="288">
        <f t="shared" si="1"/>
        <v>314</v>
      </c>
      <c r="D991" s="289">
        <f t="shared" si="2"/>
        <v>10.29508197</v>
      </c>
      <c r="E991" s="290">
        <f t="shared" si="3"/>
        <v>11</v>
      </c>
      <c r="F991" s="290" t="s">
        <v>741</v>
      </c>
      <c r="G991" s="291">
        <v>-6.694375383897722E-5</v>
      </c>
      <c r="H991" s="296">
        <v>0.0</v>
      </c>
      <c r="I991" s="293"/>
    </row>
    <row r="992">
      <c r="A992" t="s">
        <v>817</v>
      </c>
      <c r="B992" s="287">
        <v>42684.0</v>
      </c>
      <c r="C992" s="288">
        <f t="shared" si="1"/>
        <v>315</v>
      </c>
      <c r="D992" s="289">
        <f t="shared" si="2"/>
        <v>10.32786885</v>
      </c>
      <c r="E992" s="290">
        <f t="shared" si="3"/>
        <v>11</v>
      </c>
      <c r="F992" s="290" t="s">
        <v>741</v>
      </c>
      <c r="G992" s="291">
        <v>0.0037354583149152853</v>
      </c>
      <c r="H992" s="296">
        <v>0.0</v>
      </c>
      <c r="I992" s="293"/>
    </row>
    <row r="993">
      <c r="A993" t="s">
        <v>731</v>
      </c>
      <c r="B993" s="287">
        <v>42319.0</v>
      </c>
      <c r="C993" s="288">
        <f t="shared" si="1"/>
        <v>315</v>
      </c>
      <c r="D993" s="289">
        <f t="shared" si="2"/>
        <v>10.32786885</v>
      </c>
      <c r="E993" s="290">
        <f t="shared" si="3"/>
        <v>11</v>
      </c>
      <c r="F993" s="290" t="s">
        <v>741</v>
      </c>
      <c r="G993" s="291">
        <v>-7.605645066517397E-4</v>
      </c>
      <c r="H993" s="296">
        <v>0.0</v>
      </c>
      <c r="I993" s="293"/>
    </row>
    <row r="994">
      <c r="A994" t="s">
        <v>214</v>
      </c>
      <c r="B994" s="287">
        <v>42319.0</v>
      </c>
      <c r="C994" s="288">
        <f t="shared" si="1"/>
        <v>315</v>
      </c>
      <c r="D994" s="289">
        <f t="shared" si="2"/>
        <v>10.32786885</v>
      </c>
      <c r="E994" s="290">
        <f t="shared" si="3"/>
        <v>11</v>
      </c>
      <c r="F994" s="290" t="s">
        <v>741</v>
      </c>
      <c r="G994" s="291">
        <v>-0.00505433091206553</v>
      </c>
      <c r="H994" s="296">
        <v>0.0</v>
      </c>
      <c r="I994" s="293"/>
    </row>
    <row r="995">
      <c r="A995" t="s">
        <v>795</v>
      </c>
      <c r="B995" s="287">
        <v>42319.0</v>
      </c>
      <c r="C995" s="288">
        <f t="shared" si="1"/>
        <v>315</v>
      </c>
      <c r="D995" s="289">
        <f t="shared" si="2"/>
        <v>10.32786885</v>
      </c>
      <c r="E995" s="290">
        <f t="shared" si="3"/>
        <v>11</v>
      </c>
      <c r="F995" s="290" t="s">
        <v>741</v>
      </c>
      <c r="G995" s="291">
        <v>0.015527259599248389</v>
      </c>
      <c r="H995" s="296">
        <v>1.0</v>
      </c>
      <c r="I995" s="293"/>
    </row>
    <row r="996">
      <c r="A996" t="s">
        <v>1083</v>
      </c>
      <c r="B996" s="287">
        <v>42319.0</v>
      </c>
      <c r="C996" s="288">
        <f t="shared" si="1"/>
        <v>315</v>
      </c>
      <c r="D996" s="289">
        <f t="shared" si="2"/>
        <v>10.32786885</v>
      </c>
      <c r="E996" s="290">
        <f t="shared" si="3"/>
        <v>11</v>
      </c>
      <c r="F996" s="290" t="s">
        <v>741</v>
      </c>
      <c r="G996" s="291">
        <v>0.008259766844070593</v>
      </c>
      <c r="H996" s="296">
        <v>0.0</v>
      </c>
      <c r="I996" s="293"/>
    </row>
    <row r="997">
      <c r="A997" t="s">
        <v>1056</v>
      </c>
      <c r="B997" s="287">
        <v>41954.0</v>
      </c>
      <c r="C997" s="288">
        <f t="shared" si="1"/>
        <v>315</v>
      </c>
      <c r="D997" s="289">
        <f t="shared" si="2"/>
        <v>10.32786885</v>
      </c>
      <c r="E997" s="290">
        <f t="shared" si="3"/>
        <v>11</v>
      </c>
      <c r="F997" s="290" t="s">
        <v>741</v>
      </c>
      <c r="G997" s="291">
        <v>-0.010002817860502722</v>
      </c>
      <c r="H997" s="296">
        <v>-1.0</v>
      </c>
      <c r="I997" s="293"/>
    </row>
    <row r="998">
      <c r="A998" t="s">
        <v>855</v>
      </c>
      <c r="B998" s="287">
        <v>42685.0</v>
      </c>
      <c r="C998" s="288">
        <f t="shared" si="1"/>
        <v>316</v>
      </c>
      <c r="D998" s="289">
        <f t="shared" si="2"/>
        <v>10.36065574</v>
      </c>
      <c r="E998" s="290">
        <f t="shared" si="3"/>
        <v>11</v>
      </c>
      <c r="F998" s="290" t="s">
        <v>741</v>
      </c>
      <c r="G998" s="291">
        <v>0.0021719691604936697</v>
      </c>
      <c r="H998" s="296">
        <v>0.0</v>
      </c>
      <c r="I998" s="293"/>
    </row>
    <row r="999">
      <c r="A999" t="s">
        <v>761</v>
      </c>
      <c r="B999" s="287">
        <v>42685.0</v>
      </c>
      <c r="C999" s="288">
        <f t="shared" si="1"/>
        <v>316</v>
      </c>
      <c r="D999" s="289">
        <f t="shared" si="2"/>
        <v>10.36065574</v>
      </c>
      <c r="E999" s="290">
        <f t="shared" si="3"/>
        <v>11</v>
      </c>
      <c r="F999" s="290" t="s">
        <v>741</v>
      </c>
      <c r="G999" s="291">
        <v>0.011095588181941785</v>
      </c>
      <c r="H999" s="296">
        <v>1.0</v>
      </c>
      <c r="I999" s="293"/>
    </row>
    <row r="1000">
      <c r="A1000" t="s">
        <v>232</v>
      </c>
      <c r="B1000" s="287">
        <v>42685.0</v>
      </c>
      <c r="C1000" s="288">
        <f t="shared" si="1"/>
        <v>316</v>
      </c>
      <c r="D1000" s="289">
        <f t="shared" si="2"/>
        <v>10.36065574</v>
      </c>
      <c r="E1000" s="290">
        <f t="shared" si="3"/>
        <v>11</v>
      </c>
      <c r="F1000" s="290" t="s">
        <v>741</v>
      </c>
      <c r="G1000" s="291">
        <v>0.004335375285049348</v>
      </c>
      <c r="H1000" s="296">
        <v>0.0</v>
      </c>
      <c r="I1000" s="293"/>
    </row>
    <row r="1001">
      <c r="A1001" t="s">
        <v>744</v>
      </c>
      <c r="B1001" s="287">
        <v>42320.0</v>
      </c>
      <c r="C1001" s="288">
        <f t="shared" si="1"/>
        <v>316</v>
      </c>
      <c r="D1001" s="289">
        <f t="shared" si="2"/>
        <v>10.36065574</v>
      </c>
      <c r="E1001" s="290">
        <f t="shared" si="3"/>
        <v>11</v>
      </c>
      <c r="F1001" s="290" t="s">
        <v>741</v>
      </c>
      <c r="G1001" s="291">
        <v>0.06106598293082088</v>
      </c>
      <c r="H1001" s="296">
        <v>1.0</v>
      </c>
      <c r="I1001" s="293"/>
    </row>
    <row r="1002">
      <c r="A1002" t="s">
        <v>1084</v>
      </c>
      <c r="B1002" s="287">
        <v>42320.0</v>
      </c>
      <c r="C1002" s="288">
        <f t="shared" si="1"/>
        <v>316</v>
      </c>
      <c r="D1002" s="289">
        <f t="shared" si="2"/>
        <v>10.36065574</v>
      </c>
      <c r="E1002" s="290">
        <f t="shared" si="3"/>
        <v>11</v>
      </c>
      <c r="F1002" s="290" t="s">
        <v>741</v>
      </c>
      <c r="G1002" s="291">
        <v>0.001038154471758701</v>
      </c>
      <c r="H1002" s="296">
        <v>0.0</v>
      </c>
      <c r="I1002" s="293"/>
    </row>
    <row r="1003">
      <c r="A1003" t="s">
        <v>727</v>
      </c>
      <c r="B1003" s="287">
        <v>42320.0</v>
      </c>
      <c r="C1003" s="288">
        <f t="shared" si="1"/>
        <v>316</v>
      </c>
      <c r="D1003" s="289">
        <f t="shared" si="2"/>
        <v>10.36065574</v>
      </c>
      <c r="E1003" s="290">
        <f t="shared" si="3"/>
        <v>11</v>
      </c>
      <c r="F1003" s="290" t="s">
        <v>741</v>
      </c>
      <c r="G1003" s="291">
        <v>-0.016223527663605908</v>
      </c>
      <c r="H1003" s="296">
        <v>-1.0</v>
      </c>
      <c r="I1003" s="293"/>
    </row>
    <row r="1004">
      <c r="A1004" t="s">
        <v>934</v>
      </c>
      <c r="B1004" s="287">
        <v>42320.0</v>
      </c>
      <c r="C1004" s="288">
        <f t="shared" si="1"/>
        <v>316</v>
      </c>
      <c r="D1004" s="289">
        <f t="shared" si="2"/>
        <v>10.36065574</v>
      </c>
      <c r="E1004" s="290">
        <f t="shared" si="3"/>
        <v>11</v>
      </c>
      <c r="F1004" s="290" t="s">
        <v>741</v>
      </c>
      <c r="G1004" s="291">
        <v>-0.009586376375293693</v>
      </c>
      <c r="H1004" s="296">
        <v>0.0</v>
      </c>
      <c r="I1004" s="293"/>
    </row>
    <row r="1005">
      <c r="A1005" t="s">
        <v>981</v>
      </c>
      <c r="B1005" s="287">
        <v>42320.0</v>
      </c>
      <c r="C1005" s="288">
        <f t="shared" si="1"/>
        <v>316</v>
      </c>
      <c r="D1005" s="289">
        <f t="shared" si="2"/>
        <v>10.36065574</v>
      </c>
      <c r="E1005" s="290">
        <f t="shared" si="3"/>
        <v>11</v>
      </c>
      <c r="F1005" s="290" t="s">
        <v>741</v>
      </c>
      <c r="G1005" s="291">
        <v>-0.057729767317016845</v>
      </c>
      <c r="H1005" s="296">
        <v>-1.0</v>
      </c>
      <c r="I1005" s="293"/>
    </row>
    <row r="1006">
      <c r="A1006" t="s">
        <v>795</v>
      </c>
      <c r="B1006" s="287">
        <v>42686.0</v>
      </c>
      <c r="C1006" s="288">
        <f t="shared" si="1"/>
        <v>317</v>
      </c>
      <c r="D1006" s="289">
        <f t="shared" si="2"/>
        <v>10.39344262</v>
      </c>
      <c r="E1006" s="290">
        <f t="shared" si="3"/>
        <v>11</v>
      </c>
      <c r="F1006" s="290" t="s">
        <v>741</v>
      </c>
      <c r="G1006" s="291">
        <v>0.002637073647768995</v>
      </c>
      <c r="H1006" s="296">
        <v>0.0</v>
      </c>
      <c r="I1006" s="293"/>
    </row>
    <row r="1007">
      <c r="A1007" t="s">
        <v>715</v>
      </c>
      <c r="B1007" s="287">
        <v>42321.0</v>
      </c>
      <c r="C1007" s="288">
        <f t="shared" si="1"/>
        <v>317</v>
      </c>
      <c r="D1007" s="289">
        <f t="shared" si="2"/>
        <v>10.39344262</v>
      </c>
      <c r="E1007" s="290">
        <f t="shared" si="3"/>
        <v>11</v>
      </c>
      <c r="F1007" s="290" t="s">
        <v>741</v>
      </c>
      <c r="G1007" s="291">
        <v>-0.03196951654659186</v>
      </c>
      <c r="H1007" s="296">
        <v>-1.0</v>
      </c>
      <c r="I1007" s="293"/>
    </row>
    <row r="1008">
      <c r="A1008" t="s">
        <v>1085</v>
      </c>
      <c r="B1008" s="287">
        <v>41956.0</v>
      </c>
      <c r="C1008" s="288">
        <f t="shared" si="1"/>
        <v>317</v>
      </c>
      <c r="D1008" s="289">
        <f t="shared" si="2"/>
        <v>10.39344262</v>
      </c>
      <c r="E1008" s="290">
        <f t="shared" si="3"/>
        <v>11</v>
      </c>
      <c r="F1008" s="290" t="s">
        <v>741</v>
      </c>
      <c r="G1008" s="291">
        <v>-0.011124077778027486</v>
      </c>
      <c r="H1008" s="296">
        <v>-1.0</v>
      </c>
      <c r="I1008" s="293"/>
    </row>
    <row r="1009">
      <c r="A1009" t="s">
        <v>1086</v>
      </c>
      <c r="B1009" s="287">
        <v>42322.0</v>
      </c>
      <c r="C1009" s="288">
        <f t="shared" si="1"/>
        <v>318</v>
      </c>
      <c r="D1009" s="289">
        <f t="shared" si="2"/>
        <v>10.42622951</v>
      </c>
      <c r="E1009" s="290">
        <f t="shared" si="3"/>
        <v>11</v>
      </c>
      <c r="F1009" s="290" t="s">
        <v>741</v>
      </c>
      <c r="G1009" s="291">
        <v>-0.009073992298867628</v>
      </c>
      <c r="H1009" s="296">
        <v>0.0</v>
      </c>
      <c r="I1009" s="293"/>
    </row>
    <row r="1010">
      <c r="A1010" t="s">
        <v>850</v>
      </c>
      <c r="B1010" s="287">
        <v>41957.0</v>
      </c>
      <c r="C1010" s="288">
        <f t="shared" si="1"/>
        <v>318</v>
      </c>
      <c r="D1010" s="289">
        <f t="shared" si="2"/>
        <v>10.42622951</v>
      </c>
      <c r="E1010" s="290">
        <f t="shared" si="3"/>
        <v>11</v>
      </c>
      <c r="F1010" s="290" t="s">
        <v>741</v>
      </c>
      <c r="G1010" s="291">
        <v>-0.001708957829427149</v>
      </c>
      <c r="H1010" s="296">
        <v>0.0</v>
      </c>
      <c r="I1010" s="293"/>
    </row>
    <row r="1011">
      <c r="A1011" t="s">
        <v>700</v>
      </c>
      <c r="B1011" s="287">
        <v>42688.0</v>
      </c>
      <c r="C1011" s="288">
        <f t="shared" si="1"/>
        <v>319</v>
      </c>
      <c r="D1011" s="289">
        <f t="shared" si="2"/>
        <v>10.45901639</v>
      </c>
      <c r="E1011" s="290">
        <f t="shared" si="3"/>
        <v>11</v>
      </c>
      <c r="F1011" s="290" t="s">
        <v>741</v>
      </c>
      <c r="G1011" s="291">
        <v>0.007779815215305574</v>
      </c>
      <c r="H1011" s="296">
        <v>0.0</v>
      </c>
      <c r="I1011" s="293"/>
    </row>
    <row r="1012">
      <c r="A1012" t="s">
        <v>834</v>
      </c>
      <c r="B1012" s="287">
        <v>42324.0</v>
      </c>
      <c r="C1012" s="288">
        <f t="shared" si="1"/>
        <v>320</v>
      </c>
      <c r="D1012" s="289">
        <f t="shared" si="2"/>
        <v>10.49180328</v>
      </c>
      <c r="E1012" s="290">
        <f t="shared" si="3"/>
        <v>11</v>
      </c>
      <c r="F1012" s="290" t="s">
        <v>741</v>
      </c>
      <c r="G1012" s="291">
        <v>-0.020966827069478056</v>
      </c>
      <c r="H1012" s="296">
        <v>-1.0</v>
      </c>
      <c r="I1012" s="293"/>
    </row>
    <row r="1013">
      <c r="A1013" t="s">
        <v>93</v>
      </c>
      <c r="B1013" s="287">
        <v>41959.0</v>
      </c>
      <c r="C1013" s="288">
        <f t="shared" si="1"/>
        <v>320</v>
      </c>
      <c r="D1013" s="289">
        <f t="shared" si="2"/>
        <v>10.49180328</v>
      </c>
      <c r="E1013" s="290">
        <f t="shared" si="3"/>
        <v>11</v>
      </c>
      <c r="F1013" s="290" t="s">
        <v>741</v>
      </c>
      <c r="G1013" s="291">
        <v>-0.006796386959378231</v>
      </c>
      <c r="H1013" s="296">
        <v>0.0</v>
      </c>
      <c r="I1013" s="293"/>
    </row>
    <row r="1014">
      <c r="A1014" t="s">
        <v>769</v>
      </c>
      <c r="B1014" s="287">
        <v>42691.0</v>
      </c>
      <c r="C1014" s="288">
        <f t="shared" si="1"/>
        <v>322</v>
      </c>
      <c r="D1014" s="289">
        <f t="shared" si="2"/>
        <v>10.55737705</v>
      </c>
      <c r="E1014" s="290">
        <f t="shared" si="3"/>
        <v>11</v>
      </c>
      <c r="F1014" s="290" t="s">
        <v>741</v>
      </c>
      <c r="G1014" s="291">
        <v>0.029720679096075675</v>
      </c>
      <c r="H1014" s="296">
        <v>1.0</v>
      </c>
      <c r="I1014" s="293"/>
    </row>
    <row r="1015">
      <c r="A1015" t="s">
        <v>1087</v>
      </c>
      <c r="B1015" s="287">
        <v>42326.0</v>
      </c>
      <c r="C1015" s="288">
        <f t="shared" si="1"/>
        <v>322</v>
      </c>
      <c r="D1015" s="289">
        <f t="shared" si="2"/>
        <v>10.55737705</v>
      </c>
      <c r="E1015" s="290">
        <f t="shared" si="3"/>
        <v>11</v>
      </c>
      <c r="F1015" s="290" t="s">
        <v>741</v>
      </c>
      <c r="G1015" s="291">
        <v>-0.02843336368791427</v>
      </c>
      <c r="H1015" s="296">
        <v>-1.0</v>
      </c>
      <c r="I1015" s="293"/>
    </row>
    <row r="1016">
      <c r="A1016" t="s">
        <v>711</v>
      </c>
      <c r="B1016" s="287">
        <v>42692.0</v>
      </c>
      <c r="C1016" s="288">
        <f t="shared" si="1"/>
        <v>323</v>
      </c>
      <c r="D1016" s="289">
        <f t="shared" si="2"/>
        <v>10.59016393</v>
      </c>
      <c r="E1016" s="290">
        <f t="shared" si="3"/>
        <v>11</v>
      </c>
      <c r="F1016" s="290" t="s">
        <v>741</v>
      </c>
      <c r="G1016" s="291">
        <v>0.009667759878412507</v>
      </c>
      <c r="H1016" s="296">
        <v>0.0</v>
      </c>
      <c r="I1016" s="293"/>
    </row>
    <row r="1017">
      <c r="A1017" t="s">
        <v>808</v>
      </c>
      <c r="B1017" s="287">
        <v>42692.0</v>
      </c>
      <c r="C1017" s="288">
        <f t="shared" si="1"/>
        <v>323</v>
      </c>
      <c r="D1017" s="289">
        <f t="shared" si="2"/>
        <v>10.59016393</v>
      </c>
      <c r="E1017" s="290">
        <f t="shared" si="3"/>
        <v>11</v>
      </c>
      <c r="F1017" s="290" t="s">
        <v>741</v>
      </c>
      <c r="G1017" s="291">
        <v>0.02678126429010874</v>
      </c>
      <c r="H1017" s="296">
        <v>1.0</v>
      </c>
      <c r="I1017" s="293"/>
    </row>
    <row r="1018">
      <c r="A1018" t="s">
        <v>881</v>
      </c>
      <c r="B1018" s="287">
        <v>42693.0</v>
      </c>
      <c r="C1018" s="288">
        <f t="shared" si="1"/>
        <v>324</v>
      </c>
      <c r="D1018" s="289">
        <f t="shared" si="2"/>
        <v>10.62295082</v>
      </c>
      <c r="E1018" s="290">
        <f t="shared" si="3"/>
        <v>11</v>
      </c>
      <c r="F1018" s="290" t="s">
        <v>741</v>
      </c>
      <c r="G1018" s="291">
        <v>0.023162530909440315</v>
      </c>
      <c r="H1018" s="296">
        <v>1.0</v>
      </c>
      <c r="I1018" s="293"/>
    </row>
    <row r="1019">
      <c r="A1019" t="s">
        <v>1088</v>
      </c>
      <c r="B1019" s="287">
        <v>42328.0</v>
      </c>
      <c r="C1019" s="288">
        <f t="shared" si="1"/>
        <v>324</v>
      </c>
      <c r="D1019" s="289">
        <f t="shared" si="2"/>
        <v>10.62295082</v>
      </c>
      <c r="E1019" s="290">
        <f t="shared" si="3"/>
        <v>11</v>
      </c>
      <c r="F1019" s="290" t="s">
        <v>741</v>
      </c>
      <c r="G1019" s="291">
        <v>-7.018793598931872E-4</v>
      </c>
      <c r="H1019" s="296">
        <v>0.0</v>
      </c>
      <c r="I1019" s="293"/>
    </row>
    <row r="1020">
      <c r="A1020" t="s">
        <v>843</v>
      </c>
      <c r="B1020" s="287">
        <v>42328.0</v>
      </c>
      <c r="C1020" s="288">
        <f t="shared" si="1"/>
        <v>324</v>
      </c>
      <c r="D1020" s="289">
        <f t="shared" si="2"/>
        <v>10.62295082</v>
      </c>
      <c r="E1020" s="290">
        <f t="shared" si="3"/>
        <v>11</v>
      </c>
      <c r="F1020" s="290" t="s">
        <v>741</v>
      </c>
      <c r="G1020" s="291">
        <v>-0.009043950562782288</v>
      </c>
      <c r="H1020" s="296">
        <v>0.0</v>
      </c>
      <c r="I1020" s="293"/>
    </row>
    <row r="1021">
      <c r="A1021" t="s">
        <v>1089</v>
      </c>
      <c r="B1021" s="287">
        <v>42694.0</v>
      </c>
      <c r="C1021" s="288">
        <f t="shared" si="1"/>
        <v>325</v>
      </c>
      <c r="D1021" s="289">
        <f t="shared" si="2"/>
        <v>10.6557377</v>
      </c>
      <c r="E1021" s="290">
        <f t="shared" si="3"/>
        <v>11</v>
      </c>
      <c r="F1021" s="290" t="s">
        <v>741</v>
      </c>
      <c r="G1021" s="291">
        <v>-0.006556395399836545</v>
      </c>
      <c r="H1021" s="296">
        <v>0.0</v>
      </c>
      <c r="I1021" s="293"/>
    </row>
    <row r="1022">
      <c r="A1022" t="s">
        <v>742</v>
      </c>
      <c r="B1022" s="287">
        <v>41965.0</v>
      </c>
      <c r="C1022" s="288">
        <f t="shared" si="1"/>
        <v>326</v>
      </c>
      <c r="D1022" s="289">
        <f t="shared" si="2"/>
        <v>10.68852459</v>
      </c>
      <c r="E1022" s="290">
        <f t="shared" si="3"/>
        <v>11</v>
      </c>
      <c r="F1022" s="290" t="s">
        <v>741</v>
      </c>
      <c r="G1022" s="291">
        <v>0.009565066560259461</v>
      </c>
      <c r="H1022" s="296">
        <v>0.0</v>
      </c>
      <c r="I1022" s="293"/>
    </row>
    <row r="1023">
      <c r="A1023" t="s">
        <v>277</v>
      </c>
      <c r="B1023" s="287">
        <v>42331.0</v>
      </c>
      <c r="C1023" s="288">
        <f t="shared" si="1"/>
        <v>327</v>
      </c>
      <c r="D1023" s="289">
        <f t="shared" si="2"/>
        <v>10.72131148</v>
      </c>
      <c r="E1023" s="290">
        <f t="shared" si="3"/>
        <v>11</v>
      </c>
      <c r="F1023" s="290" t="s">
        <v>741</v>
      </c>
      <c r="G1023" s="291">
        <v>-0.030881852074200133</v>
      </c>
      <c r="H1023" s="296">
        <v>-1.0</v>
      </c>
      <c r="I1023" s="293"/>
    </row>
    <row r="1024">
      <c r="A1024" t="s">
        <v>1090</v>
      </c>
      <c r="B1024" s="287">
        <v>42697.0</v>
      </c>
      <c r="C1024" s="288">
        <f t="shared" si="1"/>
        <v>328</v>
      </c>
      <c r="D1024" s="289">
        <f t="shared" si="2"/>
        <v>10.75409836</v>
      </c>
      <c r="E1024" s="290">
        <f t="shared" si="3"/>
        <v>11</v>
      </c>
      <c r="F1024" s="290" t="s">
        <v>741</v>
      </c>
      <c r="G1024" s="291">
        <v>0.018838559849951975</v>
      </c>
      <c r="H1024" s="296">
        <v>1.0</v>
      </c>
      <c r="I1024" s="293"/>
    </row>
    <row r="1025">
      <c r="A1025" t="s">
        <v>781</v>
      </c>
      <c r="B1025" s="287">
        <v>42697.0</v>
      </c>
      <c r="C1025" s="288">
        <f t="shared" si="1"/>
        <v>328</v>
      </c>
      <c r="D1025" s="289">
        <f t="shared" si="2"/>
        <v>10.75409836</v>
      </c>
      <c r="E1025" s="290">
        <f t="shared" si="3"/>
        <v>11</v>
      </c>
      <c r="F1025" s="290" t="s">
        <v>741</v>
      </c>
      <c r="G1025" s="291">
        <v>9.754753244952674E-4</v>
      </c>
      <c r="H1025" s="296">
        <v>0.0</v>
      </c>
      <c r="I1025" s="293"/>
    </row>
    <row r="1026">
      <c r="A1026" t="s">
        <v>277</v>
      </c>
      <c r="B1026" s="287">
        <v>42697.0</v>
      </c>
      <c r="C1026" s="288">
        <f t="shared" si="1"/>
        <v>328</v>
      </c>
      <c r="D1026" s="289">
        <f t="shared" si="2"/>
        <v>10.75409836</v>
      </c>
      <c r="E1026" s="290">
        <f t="shared" si="3"/>
        <v>11</v>
      </c>
      <c r="F1026" s="290" t="s">
        <v>741</v>
      </c>
      <c r="G1026" s="291">
        <v>0.007524348833256034</v>
      </c>
      <c r="H1026" s="296">
        <v>0.0</v>
      </c>
      <c r="I1026" s="293"/>
    </row>
    <row r="1027">
      <c r="A1027" t="s">
        <v>720</v>
      </c>
      <c r="B1027" s="287">
        <v>42332.0</v>
      </c>
      <c r="C1027" s="288">
        <f t="shared" si="1"/>
        <v>328</v>
      </c>
      <c r="D1027" s="289">
        <f t="shared" si="2"/>
        <v>10.75409836</v>
      </c>
      <c r="E1027" s="290">
        <f t="shared" si="3"/>
        <v>11</v>
      </c>
      <c r="F1027" s="290" t="s">
        <v>741</v>
      </c>
      <c r="G1027" s="291">
        <v>-0.015804766502573786</v>
      </c>
      <c r="H1027" s="296">
        <v>-1.0</v>
      </c>
      <c r="I1027" s="293"/>
    </row>
    <row r="1028">
      <c r="A1028" t="s">
        <v>1091</v>
      </c>
      <c r="B1028" s="287">
        <v>42332.0</v>
      </c>
      <c r="C1028" s="288">
        <f t="shared" si="1"/>
        <v>328</v>
      </c>
      <c r="D1028" s="289">
        <f t="shared" si="2"/>
        <v>10.75409836</v>
      </c>
      <c r="E1028" s="290">
        <f t="shared" si="3"/>
        <v>11</v>
      </c>
      <c r="F1028" s="290" t="s">
        <v>741</v>
      </c>
      <c r="G1028" s="291">
        <v>-0.010875997486624489</v>
      </c>
      <c r="H1028" s="296">
        <v>-1.0</v>
      </c>
      <c r="I1028" s="293"/>
    </row>
    <row r="1029">
      <c r="A1029" t="s">
        <v>1092</v>
      </c>
      <c r="B1029" s="287">
        <v>41967.0</v>
      </c>
      <c r="C1029" s="288">
        <f t="shared" si="1"/>
        <v>328</v>
      </c>
      <c r="D1029" s="289">
        <f t="shared" si="2"/>
        <v>10.75409836</v>
      </c>
      <c r="E1029" s="290">
        <f t="shared" si="3"/>
        <v>11</v>
      </c>
      <c r="F1029" s="290" t="s">
        <v>741</v>
      </c>
      <c r="G1029" s="291">
        <v>-0.006639012253964238</v>
      </c>
      <c r="H1029" s="296">
        <v>0.0</v>
      </c>
      <c r="I1029" s="293"/>
    </row>
    <row r="1030">
      <c r="A1030" t="s">
        <v>700</v>
      </c>
      <c r="B1030" s="287">
        <v>42698.0</v>
      </c>
      <c r="C1030" s="288">
        <f t="shared" si="1"/>
        <v>329</v>
      </c>
      <c r="D1030" s="289">
        <f t="shared" si="2"/>
        <v>10.78688525</v>
      </c>
      <c r="E1030" s="290">
        <f t="shared" si="3"/>
        <v>11</v>
      </c>
      <c r="F1030" s="290" t="s">
        <v>741</v>
      </c>
      <c r="G1030" s="291">
        <v>0.005466902100507931</v>
      </c>
      <c r="H1030" s="296">
        <v>0.0</v>
      </c>
      <c r="I1030" s="293"/>
    </row>
    <row r="1031">
      <c r="A1031" t="s">
        <v>773</v>
      </c>
      <c r="B1031" s="287">
        <v>42698.0</v>
      </c>
      <c r="C1031" s="288">
        <f t="shared" si="1"/>
        <v>329</v>
      </c>
      <c r="D1031" s="289">
        <f t="shared" si="2"/>
        <v>10.78688525</v>
      </c>
      <c r="E1031" s="290">
        <f t="shared" si="3"/>
        <v>11</v>
      </c>
      <c r="F1031" s="290" t="s">
        <v>741</v>
      </c>
      <c r="G1031" s="291">
        <v>0.00565973727456659</v>
      </c>
      <c r="H1031" s="296">
        <v>0.0</v>
      </c>
      <c r="I1031" s="293"/>
    </row>
    <row r="1032">
      <c r="A1032" t="s">
        <v>723</v>
      </c>
      <c r="B1032" s="287">
        <v>42698.0</v>
      </c>
      <c r="C1032" s="288">
        <f t="shared" si="1"/>
        <v>329</v>
      </c>
      <c r="D1032" s="289">
        <f t="shared" si="2"/>
        <v>10.78688525</v>
      </c>
      <c r="E1032" s="290">
        <f t="shared" si="3"/>
        <v>11</v>
      </c>
      <c r="F1032" s="290" t="s">
        <v>741</v>
      </c>
      <c r="G1032" s="291">
        <v>0.022083984213177477</v>
      </c>
      <c r="H1032" s="296">
        <v>1.0</v>
      </c>
      <c r="I1032" s="293"/>
    </row>
    <row r="1033">
      <c r="A1033" t="s">
        <v>427</v>
      </c>
      <c r="B1033" s="287">
        <v>41968.0</v>
      </c>
      <c r="C1033" s="288">
        <f t="shared" si="1"/>
        <v>329</v>
      </c>
      <c r="D1033" s="289">
        <f t="shared" si="2"/>
        <v>10.78688525</v>
      </c>
      <c r="E1033" s="290">
        <f t="shared" si="3"/>
        <v>11</v>
      </c>
      <c r="F1033" s="290" t="s">
        <v>741</v>
      </c>
      <c r="G1033" s="291">
        <v>0.002759534526933227</v>
      </c>
      <c r="H1033" s="296">
        <v>0.0</v>
      </c>
      <c r="I1033" s="293"/>
    </row>
    <row r="1034">
      <c r="A1034" t="s">
        <v>1093</v>
      </c>
      <c r="B1034" s="287">
        <v>42699.0</v>
      </c>
      <c r="C1034" s="288">
        <f t="shared" si="1"/>
        <v>330</v>
      </c>
      <c r="D1034" s="289">
        <f t="shared" si="2"/>
        <v>10.81967213</v>
      </c>
      <c r="E1034" s="290">
        <f t="shared" si="3"/>
        <v>11</v>
      </c>
      <c r="F1034" s="290" t="s">
        <v>741</v>
      </c>
      <c r="G1034" s="291">
        <v>-0.030790856246583065</v>
      </c>
      <c r="H1034" s="296">
        <v>-1.0</v>
      </c>
      <c r="I1034" s="293"/>
    </row>
    <row r="1035">
      <c r="A1035" t="s">
        <v>1094</v>
      </c>
      <c r="B1035" s="287">
        <v>41969.0</v>
      </c>
      <c r="C1035" s="288">
        <f t="shared" si="1"/>
        <v>330</v>
      </c>
      <c r="D1035" s="289">
        <f t="shared" si="2"/>
        <v>10.81967213</v>
      </c>
      <c r="E1035" s="290">
        <f t="shared" si="3"/>
        <v>11</v>
      </c>
      <c r="F1035" s="290" t="s">
        <v>741</v>
      </c>
      <c r="G1035" s="291">
        <v>0.011015304696109895</v>
      </c>
      <c r="H1035" s="296">
        <v>1.0</v>
      </c>
      <c r="I1035" s="293"/>
    </row>
    <row r="1036">
      <c r="A1036" t="s">
        <v>1095</v>
      </c>
      <c r="B1036" s="287">
        <v>41970.0</v>
      </c>
      <c r="C1036" s="288">
        <f t="shared" si="1"/>
        <v>331</v>
      </c>
      <c r="D1036" s="289">
        <f t="shared" si="2"/>
        <v>10.85245902</v>
      </c>
      <c r="E1036" s="290">
        <f t="shared" si="3"/>
        <v>11</v>
      </c>
      <c r="F1036" s="290" t="s">
        <v>741</v>
      </c>
      <c r="G1036" s="291">
        <v>-0.0010473466293624556</v>
      </c>
      <c r="H1036" s="296">
        <v>0.0</v>
      </c>
      <c r="I1036" s="293"/>
    </row>
    <row r="1037">
      <c r="A1037" t="s">
        <v>700</v>
      </c>
      <c r="B1037" s="287">
        <v>42701.0</v>
      </c>
      <c r="C1037" s="288">
        <f t="shared" si="1"/>
        <v>332</v>
      </c>
      <c r="D1037" s="289">
        <f t="shared" si="2"/>
        <v>10.8852459</v>
      </c>
      <c r="E1037" s="290">
        <f t="shared" si="3"/>
        <v>11</v>
      </c>
      <c r="F1037" s="290" t="s">
        <v>741</v>
      </c>
      <c r="G1037" s="291">
        <v>0.005492004855660038</v>
      </c>
      <c r="H1037" s="296">
        <v>0.0</v>
      </c>
      <c r="I1037" s="293"/>
    </row>
    <row r="1038">
      <c r="A1038" t="s">
        <v>1042</v>
      </c>
      <c r="B1038" s="287">
        <v>42701.0</v>
      </c>
      <c r="C1038" s="288">
        <f t="shared" si="1"/>
        <v>332</v>
      </c>
      <c r="D1038" s="289">
        <f t="shared" si="2"/>
        <v>10.8852459</v>
      </c>
      <c r="E1038" s="290">
        <f t="shared" si="3"/>
        <v>11</v>
      </c>
      <c r="F1038" s="290" t="s">
        <v>741</v>
      </c>
      <c r="G1038" s="291">
        <v>0.00829104217057286</v>
      </c>
      <c r="H1038" s="296">
        <v>0.0</v>
      </c>
      <c r="I1038" s="293"/>
    </row>
    <row r="1039">
      <c r="A1039" t="s">
        <v>753</v>
      </c>
      <c r="B1039" s="287">
        <v>42701.0</v>
      </c>
      <c r="C1039" s="288">
        <f t="shared" si="1"/>
        <v>332</v>
      </c>
      <c r="D1039" s="289">
        <f t="shared" si="2"/>
        <v>10.8852459</v>
      </c>
      <c r="E1039" s="290">
        <f t="shared" si="3"/>
        <v>11</v>
      </c>
      <c r="F1039" s="290" t="s">
        <v>741</v>
      </c>
      <c r="G1039" s="291">
        <v>-0.0029957023072211264</v>
      </c>
      <c r="H1039" s="296">
        <v>0.0</v>
      </c>
      <c r="I1039" s="293"/>
    </row>
    <row r="1040">
      <c r="A1040" t="s">
        <v>523</v>
      </c>
      <c r="B1040" s="287">
        <v>42702.0</v>
      </c>
      <c r="C1040" s="288">
        <f t="shared" si="1"/>
        <v>333</v>
      </c>
      <c r="D1040" s="289">
        <f t="shared" si="2"/>
        <v>10.91803279</v>
      </c>
      <c r="E1040" s="290">
        <f t="shared" si="3"/>
        <v>11</v>
      </c>
      <c r="F1040" s="290" t="s">
        <v>741</v>
      </c>
      <c r="G1040" s="291">
        <v>0.009491739454982495</v>
      </c>
      <c r="H1040" s="296">
        <v>0.0</v>
      </c>
      <c r="I1040" s="293"/>
    </row>
    <row r="1041">
      <c r="A1041" t="s">
        <v>427</v>
      </c>
      <c r="B1041" s="287">
        <v>42702.0</v>
      </c>
      <c r="C1041" s="288">
        <f t="shared" si="1"/>
        <v>333</v>
      </c>
      <c r="D1041" s="289">
        <f t="shared" si="2"/>
        <v>10.91803279</v>
      </c>
      <c r="E1041" s="290">
        <f t="shared" si="3"/>
        <v>11</v>
      </c>
      <c r="F1041" s="290" t="s">
        <v>741</v>
      </c>
      <c r="G1041" s="291">
        <v>-0.018379810938871644</v>
      </c>
      <c r="H1041" s="296">
        <v>-1.0</v>
      </c>
      <c r="I1041" s="293"/>
    </row>
    <row r="1042">
      <c r="A1042" t="s">
        <v>214</v>
      </c>
      <c r="B1042" s="287">
        <v>42702.0</v>
      </c>
      <c r="C1042" s="288">
        <f t="shared" si="1"/>
        <v>333</v>
      </c>
      <c r="D1042" s="289">
        <f t="shared" si="2"/>
        <v>10.91803279</v>
      </c>
      <c r="E1042" s="290">
        <f t="shared" si="3"/>
        <v>11</v>
      </c>
      <c r="F1042" s="290" t="s">
        <v>741</v>
      </c>
      <c r="G1042" s="291">
        <v>0.0015098864304183834</v>
      </c>
      <c r="H1042" s="296">
        <v>0.0</v>
      </c>
      <c r="I1042" s="293"/>
    </row>
    <row r="1043">
      <c r="A1043" t="s">
        <v>808</v>
      </c>
      <c r="B1043" s="287">
        <v>42702.0</v>
      </c>
      <c r="C1043" s="288">
        <f t="shared" si="1"/>
        <v>333</v>
      </c>
      <c r="D1043" s="289">
        <f t="shared" si="2"/>
        <v>10.91803279</v>
      </c>
      <c r="E1043" s="290">
        <f t="shared" si="3"/>
        <v>11</v>
      </c>
      <c r="F1043" s="290" t="s">
        <v>741</v>
      </c>
      <c r="G1043" s="291">
        <v>0.015326636665930482</v>
      </c>
      <c r="H1043" s="296">
        <v>1.0</v>
      </c>
      <c r="I1043" s="293"/>
    </row>
    <row r="1044">
      <c r="A1044" t="s">
        <v>318</v>
      </c>
      <c r="B1044" s="287">
        <v>42702.0</v>
      </c>
      <c r="C1044" s="288">
        <f t="shared" si="1"/>
        <v>333</v>
      </c>
      <c r="D1044" s="289">
        <f t="shared" si="2"/>
        <v>10.91803279</v>
      </c>
      <c r="E1044" s="290">
        <f t="shared" si="3"/>
        <v>11</v>
      </c>
      <c r="F1044" s="290" t="s">
        <v>741</v>
      </c>
      <c r="G1044" s="291">
        <v>-0.03095289729588213</v>
      </c>
      <c r="H1044" s="296">
        <v>-1.0</v>
      </c>
      <c r="I1044" s="293"/>
    </row>
    <row r="1045">
      <c r="A1045" t="s">
        <v>1096</v>
      </c>
      <c r="B1045" s="287">
        <v>42337.0</v>
      </c>
      <c r="C1045" s="288">
        <f t="shared" si="1"/>
        <v>333</v>
      </c>
      <c r="D1045" s="289">
        <f t="shared" si="2"/>
        <v>10.91803279</v>
      </c>
      <c r="E1045" s="290">
        <f t="shared" si="3"/>
        <v>11</v>
      </c>
      <c r="F1045" s="290" t="s">
        <v>741</v>
      </c>
      <c r="G1045" s="291">
        <v>-0.028178639022909846</v>
      </c>
      <c r="H1045" s="296">
        <v>-1.0</v>
      </c>
      <c r="I1045" s="293"/>
    </row>
    <row r="1046">
      <c r="A1046" t="s">
        <v>573</v>
      </c>
      <c r="B1046" s="287">
        <v>42337.0</v>
      </c>
      <c r="C1046" s="288">
        <f t="shared" si="1"/>
        <v>333</v>
      </c>
      <c r="D1046" s="289">
        <f t="shared" si="2"/>
        <v>10.91803279</v>
      </c>
      <c r="E1046" s="290">
        <f t="shared" si="3"/>
        <v>11</v>
      </c>
      <c r="F1046" s="290" t="s">
        <v>741</v>
      </c>
      <c r="G1046" s="291">
        <v>-0.011512845055015264</v>
      </c>
      <c r="H1046" s="296">
        <v>-1.0</v>
      </c>
      <c r="I1046" s="293"/>
    </row>
    <row r="1047">
      <c r="A1047" t="s">
        <v>1097</v>
      </c>
      <c r="B1047" s="287">
        <v>42338.0</v>
      </c>
      <c r="C1047" s="288">
        <f t="shared" si="1"/>
        <v>334</v>
      </c>
      <c r="D1047" s="289">
        <f t="shared" si="2"/>
        <v>10.95081967</v>
      </c>
      <c r="E1047" s="290">
        <f t="shared" si="3"/>
        <v>11</v>
      </c>
      <c r="F1047" s="290" t="s">
        <v>741</v>
      </c>
      <c r="G1047" s="291">
        <v>-0.012456813759588292</v>
      </c>
      <c r="H1047" s="296">
        <v>-1.0</v>
      </c>
      <c r="I1047" s="293"/>
    </row>
    <row r="1048">
      <c r="A1048" t="s">
        <v>727</v>
      </c>
      <c r="B1048" s="287">
        <v>42338.0</v>
      </c>
      <c r="C1048" s="288">
        <f t="shared" si="1"/>
        <v>334</v>
      </c>
      <c r="D1048" s="289">
        <f t="shared" si="2"/>
        <v>10.95081967</v>
      </c>
      <c r="E1048" s="290">
        <f t="shared" si="3"/>
        <v>11</v>
      </c>
      <c r="F1048" s="290" t="s">
        <v>741</v>
      </c>
      <c r="G1048" s="291">
        <v>-0.009958154316591084</v>
      </c>
      <c r="H1048" s="296">
        <v>0.0</v>
      </c>
      <c r="I1048" s="293"/>
    </row>
    <row r="1049">
      <c r="A1049" t="s">
        <v>742</v>
      </c>
      <c r="B1049" s="287">
        <v>42338.0</v>
      </c>
      <c r="C1049" s="288">
        <f t="shared" si="1"/>
        <v>334</v>
      </c>
      <c r="D1049" s="289">
        <f t="shared" si="2"/>
        <v>10.95081967</v>
      </c>
      <c r="E1049" s="290">
        <f t="shared" si="3"/>
        <v>11</v>
      </c>
      <c r="F1049" s="290" t="s">
        <v>741</v>
      </c>
      <c r="G1049" s="291">
        <v>-0.015703395550209387</v>
      </c>
      <c r="H1049" s="296">
        <v>-1.0</v>
      </c>
      <c r="I1049" s="293"/>
    </row>
    <row r="1050">
      <c r="A1050" t="s">
        <v>734</v>
      </c>
      <c r="B1050" s="287">
        <v>42338.0</v>
      </c>
      <c r="C1050" s="288">
        <f t="shared" si="1"/>
        <v>334</v>
      </c>
      <c r="D1050" s="289">
        <f t="shared" si="2"/>
        <v>10.95081967</v>
      </c>
      <c r="E1050" s="290">
        <f t="shared" si="3"/>
        <v>11</v>
      </c>
      <c r="F1050" s="290" t="s">
        <v>741</v>
      </c>
      <c r="G1050" s="291">
        <v>-0.0014786267808726272</v>
      </c>
      <c r="H1050" s="296">
        <v>0.0</v>
      </c>
      <c r="I1050" s="293"/>
    </row>
    <row r="1051">
      <c r="A1051" t="s">
        <v>744</v>
      </c>
      <c r="B1051" s="287">
        <v>41973.0</v>
      </c>
      <c r="C1051" s="288">
        <f t="shared" si="1"/>
        <v>334</v>
      </c>
      <c r="D1051" s="289">
        <f t="shared" si="2"/>
        <v>10.95081967</v>
      </c>
      <c r="E1051" s="290">
        <f t="shared" si="3"/>
        <v>11</v>
      </c>
      <c r="F1051" s="290" t="s">
        <v>741</v>
      </c>
      <c r="G1051" s="291">
        <v>0.02305539676643642</v>
      </c>
      <c r="H1051" s="296">
        <v>1.0</v>
      </c>
      <c r="I1051" s="293"/>
    </row>
    <row r="1052">
      <c r="A1052" t="s">
        <v>400</v>
      </c>
      <c r="B1052" s="287">
        <v>42704.0</v>
      </c>
      <c r="C1052" s="288">
        <f t="shared" si="1"/>
        <v>335</v>
      </c>
      <c r="D1052" s="289">
        <f t="shared" si="2"/>
        <v>10.98360656</v>
      </c>
      <c r="E1052" s="290">
        <f t="shared" si="3"/>
        <v>11</v>
      </c>
      <c r="F1052" s="290" t="s">
        <v>741</v>
      </c>
      <c r="G1052" s="291">
        <v>0.03877297138986746</v>
      </c>
      <c r="H1052" s="296">
        <v>1.0</v>
      </c>
      <c r="I1052" s="293"/>
    </row>
    <row r="1053">
      <c r="A1053" t="s">
        <v>1098</v>
      </c>
      <c r="B1053" s="287">
        <v>42704.0</v>
      </c>
      <c r="C1053" s="288">
        <f t="shared" si="1"/>
        <v>335</v>
      </c>
      <c r="D1053" s="289">
        <f t="shared" si="2"/>
        <v>10.98360656</v>
      </c>
      <c r="E1053" s="290">
        <f t="shared" si="3"/>
        <v>11</v>
      </c>
      <c r="F1053" s="290" t="s">
        <v>741</v>
      </c>
      <c r="G1053" s="291">
        <v>0.030239365010359065</v>
      </c>
      <c r="H1053" s="296">
        <v>1.0</v>
      </c>
      <c r="I1053" s="293"/>
    </row>
    <row r="1054">
      <c r="A1054" t="s">
        <v>769</v>
      </c>
      <c r="B1054" s="287">
        <v>42705.0</v>
      </c>
      <c r="C1054" s="288">
        <f t="shared" si="1"/>
        <v>336</v>
      </c>
      <c r="D1054" s="289">
        <f t="shared" si="2"/>
        <v>11.01639344</v>
      </c>
      <c r="E1054" s="290">
        <f t="shared" si="3"/>
        <v>12</v>
      </c>
      <c r="F1054" s="290" t="s">
        <v>743</v>
      </c>
      <c r="G1054" s="291">
        <v>0.027864511992775842</v>
      </c>
      <c r="H1054" s="296">
        <v>1.0</v>
      </c>
      <c r="I1054" s="293"/>
    </row>
    <row r="1055">
      <c r="A1055" t="s">
        <v>769</v>
      </c>
      <c r="B1055" s="287">
        <v>42705.0</v>
      </c>
      <c r="C1055" s="288">
        <f t="shared" si="1"/>
        <v>336</v>
      </c>
      <c r="D1055" s="289">
        <f t="shared" si="2"/>
        <v>11.01639344</v>
      </c>
      <c r="E1055" s="290">
        <f t="shared" si="3"/>
        <v>12</v>
      </c>
      <c r="F1055" s="290" t="s">
        <v>743</v>
      </c>
      <c r="G1055" s="291">
        <v>0.029092180627315556</v>
      </c>
      <c r="H1055" s="296">
        <v>1.0</v>
      </c>
      <c r="I1055" s="293"/>
    </row>
    <row r="1056">
      <c r="A1056" t="s">
        <v>711</v>
      </c>
      <c r="B1056" s="287">
        <v>42706.0</v>
      </c>
      <c r="C1056" s="288">
        <f t="shared" si="1"/>
        <v>337</v>
      </c>
      <c r="D1056" s="289">
        <f t="shared" si="2"/>
        <v>11.04918033</v>
      </c>
      <c r="E1056" s="290">
        <f t="shared" si="3"/>
        <v>12</v>
      </c>
      <c r="F1056" s="290" t="s">
        <v>743</v>
      </c>
      <c r="G1056" s="291">
        <v>0.00995332100078894</v>
      </c>
      <c r="H1056" s="296">
        <v>0.0</v>
      </c>
      <c r="I1056" s="293"/>
    </row>
    <row r="1057">
      <c r="A1057" t="s">
        <v>723</v>
      </c>
      <c r="B1057" s="287">
        <v>42341.0</v>
      </c>
      <c r="C1057" s="288">
        <f t="shared" si="1"/>
        <v>337</v>
      </c>
      <c r="D1057" s="289">
        <f t="shared" si="2"/>
        <v>11.04918033</v>
      </c>
      <c r="E1057" s="290">
        <f t="shared" si="3"/>
        <v>12</v>
      </c>
      <c r="F1057" s="290" t="s">
        <v>743</v>
      </c>
      <c r="G1057" s="291">
        <v>0.019566408204735986</v>
      </c>
      <c r="H1057" s="296">
        <v>1.0</v>
      </c>
      <c r="I1057" s="293"/>
    </row>
    <row r="1058">
      <c r="A1058" t="s">
        <v>751</v>
      </c>
      <c r="B1058" s="287">
        <v>42707.0</v>
      </c>
      <c r="C1058" s="288">
        <f t="shared" si="1"/>
        <v>338</v>
      </c>
      <c r="D1058" s="289">
        <f t="shared" si="2"/>
        <v>11.08196721</v>
      </c>
      <c r="E1058" s="290">
        <f t="shared" si="3"/>
        <v>12</v>
      </c>
      <c r="F1058" s="290" t="s">
        <v>743</v>
      </c>
      <c r="G1058" s="291">
        <v>-0.012816642720794857</v>
      </c>
      <c r="H1058" s="296">
        <v>-1.0</v>
      </c>
      <c r="I1058" s="293"/>
    </row>
    <row r="1059">
      <c r="A1059" t="s">
        <v>1099</v>
      </c>
      <c r="B1059" s="287">
        <v>42342.0</v>
      </c>
      <c r="C1059" s="288">
        <f t="shared" si="1"/>
        <v>338</v>
      </c>
      <c r="D1059" s="289">
        <f t="shared" si="2"/>
        <v>11.08196721</v>
      </c>
      <c r="E1059" s="290">
        <f t="shared" si="3"/>
        <v>12</v>
      </c>
      <c r="F1059" s="290" t="s">
        <v>743</v>
      </c>
      <c r="G1059" s="291">
        <v>0.03001055240120898</v>
      </c>
      <c r="H1059" s="296">
        <v>1.0</v>
      </c>
      <c r="I1059" s="293"/>
    </row>
    <row r="1060">
      <c r="A1060" t="s">
        <v>1100</v>
      </c>
      <c r="B1060" s="287">
        <v>42342.0</v>
      </c>
      <c r="C1060" s="288">
        <f t="shared" si="1"/>
        <v>338</v>
      </c>
      <c r="D1060" s="289">
        <f t="shared" si="2"/>
        <v>11.08196721</v>
      </c>
      <c r="E1060" s="290">
        <f t="shared" si="3"/>
        <v>12</v>
      </c>
      <c r="F1060" s="290" t="s">
        <v>743</v>
      </c>
      <c r="G1060" s="291">
        <v>-0.012150378639061876</v>
      </c>
      <c r="H1060" s="296">
        <v>-1.0</v>
      </c>
      <c r="I1060" s="293"/>
    </row>
    <row r="1061">
      <c r="A1061" t="s">
        <v>803</v>
      </c>
      <c r="B1061" s="287">
        <v>42343.0</v>
      </c>
      <c r="C1061" s="288">
        <f t="shared" si="1"/>
        <v>339</v>
      </c>
      <c r="D1061" s="289">
        <f t="shared" si="2"/>
        <v>11.1147541</v>
      </c>
      <c r="E1061" s="290">
        <f t="shared" si="3"/>
        <v>12</v>
      </c>
      <c r="F1061" s="290" t="s">
        <v>743</v>
      </c>
      <c r="G1061" s="291">
        <v>-0.037537518071957154</v>
      </c>
      <c r="H1061" s="296">
        <v>-1.0</v>
      </c>
      <c r="I1061" s="293"/>
    </row>
    <row r="1062">
      <c r="A1062" t="s">
        <v>811</v>
      </c>
      <c r="B1062" s="287">
        <v>41978.0</v>
      </c>
      <c r="C1062" s="288">
        <f t="shared" si="1"/>
        <v>339</v>
      </c>
      <c r="D1062" s="289">
        <f t="shared" si="2"/>
        <v>11.1147541</v>
      </c>
      <c r="E1062" s="290">
        <f t="shared" si="3"/>
        <v>12</v>
      </c>
      <c r="F1062" s="290" t="s">
        <v>743</v>
      </c>
      <c r="G1062" s="291">
        <v>6.765345372847786E-4</v>
      </c>
      <c r="H1062" s="296">
        <v>0.0</v>
      </c>
      <c r="I1062" s="293"/>
    </row>
    <row r="1063">
      <c r="A1063" t="s">
        <v>700</v>
      </c>
      <c r="B1063" s="287">
        <v>42710.0</v>
      </c>
      <c r="C1063" s="288">
        <f t="shared" si="1"/>
        <v>341</v>
      </c>
      <c r="D1063" s="289">
        <f t="shared" si="2"/>
        <v>11.18032787</v>
      </c>
      <c r="E1063" s="290">
        <f t="shared" si="3"/>
        <v>12</v>
      </c>
      <c r="F1063" s="290" t="s">
        <v>743</v>
      </c>
      <c r="G1063" s="291">
        <v>0.005746060413663323</v>
      </c>
      <c r="H1063" s="296">
        <v>0.0</v>
      </c>
      <c r="I1063" s="293"/>
    </row>
    <row r="1064">
      <c r="A1064" t="s">
        <v>795</v>
      </c>
      <c r="B1064" s="287">
        <v>42345.0</v>
      </c>
      <c r="C1064" s="288">
        <f t="shared" si="1"/>
        <v>341</v>
      </c>
      <c r="D1064" s="289">
        <f t="shared" si="2"/>
        <v>11.18032787</v>
      </c>
      <c r="E1064" s="290">
        <f t="shared" si="3"/>
        <v>12</v>
      </c>
      <c r="F1064" s="290" t="s">
        <v>743</v>
      </c>
      <c r="G1064" s="291">
        <v>0.008769001067975624</v>
      </c>
      <c r="H1064" s="296">
        <v>0.0</v>
      </c>
      <c r="I1064" s="293"/>
    </row>
    <row r="1065">
      <c r="A1065" t="s">
        <v>957</v>
      </c>
      <c r="B1065" s="287">
        <v>42345.0</v>
      </c>
      <c r="C1065" s="288">
        <f t="shared" si="1"/>
        <v>341</v>
      </c>
      <c r="D1065" s="289">
        <f t="shared" si="2"/>
        <v>11.18032787</v>
      </c>
      <c r="E1065" s="290">
        <f t="shared" si="3"/>
        <v>12</v>
      </c>
      <c r="F1065" s="290" t="s">
        <v>743</v>
      </c>
      <c r="G1065" s="291">
        <v>0.004968852841006899</v>
      </c>
      <c r="H1065" s="296">
        <v>0.0</v>
      </c>
      <c r="I1065" s="293"/>
    </row>
    <row r="1066">
      <c r="A1066" t="s">
        <v>981</v>
      </c>
      <c r="B1066" s="287">
        <v>42347.0</v>
      </c>
      <c r="C1066" s="288">
        <f t="shared" si="1"/>
        <v>343</v>
      </c>
      <c r="D1066" s="289">
        <f t="shared" si="2"/>
        <v>11.24590164</v>
      </c>
      <c r="E1066" s="290">
        <f t="shared" si="3"/>
        <v>12</v>
      </c>
      <c r="F1066" s="290" t="s">
        <v>743</v>
      </c>
      <c r="G1066" s="291">
        <v>-0.008212194079737833</v>
      </c>
      <c r="H1066" s="296">
        <v>0.0</v>
      </c>
      <c r="I1066" s="293"/>
    </row>
    <row r="1067">
      <c r="A1067" t="s">
        <v>904</v>
      </c>
      <c r="B1067" s="287">
        <v>42347.0</v>
      </c>
      <c r="C1067" s="288">
        <f t="shared" si="1"/>
        <v>343</v>
      </c>
      <c r="D1067" s="289">
        <f t="shared" si="2"/>
        <v>11.24590164</v>
      </c>
      <c r="E1067" s="290">
        <f t="shared" si="3"/>
        <v>12</v>
      </c>
      <c r="F1067" s="290" t="s">
        <v>743</v>
      </c>
      <c r="G1067" s="291">
        <v>-0.014789732542374034</v>
      </c>
      <c r="H1067" s="296">
        <v>-1.0</v>
      </c>
      <c r="I1067" s="293"/>
    </row>
    <row r="1068">
      <c r="A1068" t="s">
        <v>1101</v>
      </c>
      <c r="B1068" s="287">
        <v>42347.0</v>
      </c>
      <c r="C1068" s="288">
        <f t="shared" si="1"/>
        <v>343</v>
      </c>
      <c r="D1068" s="289">
        <f t="shared" si="2"/>
        <v>11.24590164</v>
      </c>
      <c r="E1068" s="290">
        <f t="shared" si="3"/>
        <v>12</v>
      </c>
      <c r="F1068" s="290" t="s">
        <v>743</v>
      </c>
      <c r="G1068" s="291">
        <v>0.07571272944882723</v>
      </c>
      <c r="H1068" s="296">
        <v>1.0</v>
      </c>
      <c r="I1068" s="293"/>
    </row>
    <row r="1069">
      <c r="A1069" t="s">
        <v>1102</v>
      </c>
      <c r="B1069" s="287">
        <v>42347.0</v>
      </c>
      <c r="C1069" s="288">
        <f t="shared" si="1"/>
        <v>343</v>
      </c>
      <c r="D1069" s="289">
        <f t="shared" si="2"/>
        <v>11.24590164</v>
      </c>
      <c r="E1069" s="290">
        <f t="shared" si="3"/>
        <v>12</v>
      </c>
      <c r="F1069" s="290" t="s">
        <v>743</v>
      </c>
      <c r="G1069" s="291">
        <v>-0.0034481683437745936</v>
      </c>
      <c r="H1069" s="296">
        <v>0.0</v>
      </c>
      <c r="I1069" s="293"/>
    </row>
    <row r="1070">
      <c r="A1070" t="s">
        <v>1103</v>
      </c>
      <c r="B1070" s="287">
        <v>42347.0</v>
      </c>
      <c r="C1070" s="288">
        <f t="shared" si="1"/>
        <v>343</v>
      </c>
      <c r="D1070" s="289">
        <f t="shared" si="2"/>
        <v>11.24590164</v>
      </c>
      <c r="E1070" s="290">
        <f t="shared" si="3"/>
        <v>12</v>
      </c>
      <c r="F1070" s="290" t="s">
        <v>743</v>
      </c>
      <c r="G1070" s="291">
        <v>-0.011820406569372555</v>
      </c>
      <c r="H1070" s="296">
        <v>-1.0</v>
      </c>
      <c r="I1070" s="293"/>
    </row>
    <row r="1071">
      <c r="A1071" t="s">
        <v>1060</v>
      </c>
      <c r="B1071" s="287">
        <v>42347.0</v>
      </c>
      <c r="C1071" s="288">
        <f t="shared" si="1"/>
        <v>343</v>
      </c>
      <c r="D1071" s="289">
        <f t="shared" si="2"/>
        <v>11.24590164</v>
      </c>
      <c r="E1071" s="290">
        <f t="shared" si="3"/>
        <v>12</v>
      </c>
      <c r="F1071" s="290" t="s">
        <v>743</v>
      </c>
      <c r="G1071" s="291">
        <v>-0.1080197729517256</v>
      </c>
      <c r="H1071" s="296">
        <v>-1.0</v>
      </c>
      <c r="I1071" s="293"/>
    </row>
    <row r="1072">
      <c r="A1072" t="s">
        <v>979</v>
      </c>
      <c r="B1072" s="287">
        <v>42347.0</v>
      </c>
      <c r="C1072" s="288">
        <f t="shared" si="1"/>
        <v>343</v>
      </c>
      <c r="D1072" s="289">
        <f t="shared" si="2"/>
        <v>11.24590164</v>
      </c>
      <c r="E1072" s="290">
        <f t="shared" si="3"/>
        <v>12</v>
      </c>
      <c r="F1072" s="290" t="s">
        <v>743</v>
      </c>
      <c r="G1072" s="291">
        <v>-0.08691345815304086</v>
      </c>
      <c r="H1072" s="296">
        <v>-1.0</v>
      </c>
      <c r="I1072" s="293"/>
    </row>
    <row r="1073">
      <c r="A1073" t="s">
        <v>722</v>
      </c>
      <c r="B1073" s="287">
        <v>42713.0</v>
      </c>
      <c r="C1073" s="288">
        <f t="shared" si="1"/>
        <v>344</v>
      </c>
      <c r="D1073" s="289">
        <f t="shared" si="2"/>
        <v>11.27868852</v>
      </c>
      <c r="E1073" s="290">
        <f t="shared" si="3"/>
        <v>12</v>
      </c>
      <c r="F1073" s="290" t="s">
        <v>743</v>
      </c>
      <c r="G1073" s="291">
        <v>-0.0017728088062756164</v>
      </c>
      <c r="H1073" s="296">
        <v>0.0</v>
      </c>
      <c r="I1073" s="293"/>
    </row>
    <row r="1074">
      <c r="A1074" t="s">
        <v>781</v>
      </c>
      <c r="B1074" s="287">
        <v>42713.0</v>
      </c>
      <c r="C1074" s="288">
        <f t="shared" si="1"/>
        <v>344</v>
      </c>
      <c r="D1074" s="289">
        <f t="shared" si="2"/>
        <v>11.27868852</v>
      </c>
      <c r="E1074" s="290">
        <f t="shared" si="3"/>
        <v>12</v>
      </c>
      <c r="F1074" s="290" t="s">
        <v>743</v>
      </c>
      <c r="G1074" s="291">
        <v>-0.004508957829427174</v>
      </c>
      <c r="H1074" s="296">
        <v>0.0</v>
      </c>
      <c r="I1074" s="293"/>
    </row>
    <row r="1075">
      <c r="A1075" t="s">
        <v>776</v>
      </c>
      <c r="B1075" s="287">
        <v>42713.0</v>
      </c>
      <c r="C1075" s="288">
        <f t="shared" si="1"/>
        <v>344</v>
      </c>
      <c r="D1075" s="289">
        <f t="shared" si="2"/>
        <v>11.27868852</v>
      </c>
      <c r="E1075" s="290">
        <f t="shared" si="3"/>
        <v>12</v>
      </c>
      <c r="F1075" s="290" t="s">
        <v>743</v>
      </c>
      <c r="G1075" s="291">
        <v>0.014964465767652424</v>
      </c>
      <c r="H1075" s="296">
        <v>1.0</v>
      </c>
      <c r="I1075" s="293"/>
    </row>
    <row r="1076">
      <c r="A1076" t="s">
        <v>108</v>
      </c>
      <c r="B1076" s="287">
        <v>42713.0</v>
      </c>
      <c r="C1076" s="288">
        <f t="shared" si="1"/>
        <v>344</v>
      </c>
      <c r="D1076" s="289">
        <f t="shared" si="2"/>
        <v>11.27868852</v>
      </c>
      <c r="E1076" s="290">
        <f t="shared" si="3"/>
        <v>12</v>
      </c>
      <c r="F1076" s="290" t="s">
        <v>743</v>
      </c>
      <c r="G1076" s="291">
        <v>-0.015824731656935875</v>
      </c>
      <c r="H1076" s="296">
        <v>-1.0</v>
      </c>
      <c r="I1076" s="293"/>
    </row>
    <row r="1077">
      <c r="A1077" t="s">
        <v>1026</v>
      </c>
      <c r="B1077" s="287">
        <v>42348.0</v>
      </c>
      <c r="C1077" s="288">
        <f t="shared" si="1"/>
        <v>344</v>
      </c>
      <c r="D1077" s="289">
        <f t="shared" si="2"/>
        <v>11.27868852</v>
      </c>
      <c r="E1077" s="290">
        <f t="shared" si="3"/>
        <v>12</v>
      </c>
      <c r="F1077" s="290" t="s">
        <v>743</v>
      </c>
      <c r="G1077" s="291">
        <v>-0.013457995242766141</v>
      </c>
      <c r="H1077" s="296">
        <v>-1.0</v>
      </c>
      <c r="I1077" s="293"/>
    </row>
    <row r="1078">
      <c r="A1078" t="s">
        <v>719</v>
      </c>
      <c r="B1078" s="287">
        <v>42348.0</v>
      </c>
      <c r="C1078" s="288">
        <f t="shared" si="1"/>
        <v>344</v>
      </c>
      <c r="D1078" s="289">
        <f t="shared" si="2"/>
        <v>11.27868852</v>
      </c>
      <c r="E1078" s="290">
        <f t="shared" si="3"/>
        <v>12</v>
      </c>
      <c r="F1078" s="290" t="s">
        <v>743</v>
      </c>
      <c r="G1078" s="291">
        <v>-0.014431017791339262</v>
      </c>
      <c r="H1078" s="296">
        <v>-1.0</v>
      </c>
      <c r="I1078" s="293"/>
    </row>
    <row r="1079">
      <c r="A1079" t="s">
        <v>751</v>
      </c>
      <c r="B1079" s="287">
        <v>42348.0</v>
      </c>
      <c r="C1079" s="288">
        <f t="shared" si="1"/>
        <v>344</v>
      </c>
      <c r="D1079" s="289">
        <f t="shared" si="2"/>
        <v>11.27868852</v>
      </c>
      <c r="E1079" s="290">
        <f t="shared" si="3"/>
        <v>12</v>
      </c>
      <c r="F1079" s="290" t="s">
        <v>743</v>
      </c>
      <c r="G1079" s="291">
        <v>-0.04369317971917164</v>
      </c>
      <c r="H1079" s="296">
        <v>-1.0</v>
      </c>
      <c r="I1079" s="293"/>
    </row>
    <row r="1080">
      <c r="A1080" t="s">
        <v>780</v>
      </c>
      <c r="B1080" s="287">
        <v>42348.0</v>
      </c>
      <c r="C1080" s="288">
        <f t="shared" si="1"/>
        <v>344</v>
      </c>
      <c r="D1080" s="289">
        <f t="shared" si="2"/>
        <v>11.27868852</v>
      </c>
      <c r="E1080" s="290">
        <f t="shared" si="3"/>
        <v>12</v>
      </c>
      <c r="F1080" s="290" t="s">
        <v>743</v>
      </c>
      <c r="G1080" s="291">
        <v>-0.002610533140869009</v>
      </c>
      <c r="H1080" s="296">
        <v>0.0</v>
      </c>
      <c r="I1080" s="293"/>
    </row>
    <row r="1081">
      <c r="A1081" t="s">
        <v>1104</v>
      </c>
      <c r="B1081" s="287">
        <v>42348.0</v>
      </c>
      <c r="C1081" s="288">
        <f t="shared" si="1"/>
        <v>344</v>
      </c>
      <c r="D1081" s="289">
        <f t="shared" si="2"/>
        <v>11.27868852</v>
      </c>
      <c r="E1081" s="290">
        <f t="shared" si="3"/>
        <v>12</v>
      </c>
      <c r="F1081" s="290" t="s">
        <v>743</v>
      </c>
      <c r="G1081" s="291">
        <v>0.018479845020167973</v>
      </c>
      <c r="H1081" s="296">
        <v>1.0</v>
      </c>
      <c r="I1081" s="293"/>
    </row>
    <row r="1082">
      <c r="A1082" t="s">
        <v>974</v>
      </c>
      <c r="B1082" s="287">
        <v>42348.0</v>
      </c>
      <c r="C1082" s="288">
        <f t="shared" si="1"/>
        <v>344</v>
      </c>
      <c r="D1082" s="289">
        <f t="shared" si="2"/>
        <v>11.27868852</v>
      </c>
      <c r="E1082" s="290">
        <f t="shared" si="3"/>
        <v>12</v>
      </c>
      <c r="F1082" s="290" t="s">
        <v>743</v>
      </c>
      <c r="G1082" s="291">
        <v>-0.00694812846778714</v>
      </c>
      <c r="H1082" s="296">
        <v>0.0</v>
      </c>
      <c r="I1082" s="293"/>
    </row>
    <row r="1083">
      <c r="A1083" t="s">
        <v>921</v>
      </c>
      <c r="B1083" s="287">
        <v>42714.0</v>
      </c>
      <c r="C1083" s="288">
        <f t="shared" si="1"/>
        <v>345</v>
      </c>
      <c r="D1083" s="289">
        <f t="shared" si="2"/>
        <v>11.31147541</v>
      </c>
      <c r="E1083" s="290">
        <f t="shared" si="3"/>
        <v>12</v>
      </c>
      <c r="F1083" s="290" t="s">
        <v>743</v>
      </c>
      <c r="G1083" s="291">
        <v>0.021878079037955467</v>
      </c>
      <c r="H1083" s="296">
        <v>1.0</v>
      </c>
      <c r="I1083" s="293"/>
    </row>
    <row r="1084">
      <c r="A1084" t="s">
        <v>790</v>
      </c>
      <c r="B1084" s="287">
        <v>42349.0</v>
      </c>
      <c r="C1084" s="288">
        <f t="shared" si="1"/>
        <v>345</v>
      </c>
      <c r="D1084" s="289">
        <f t="shared" si="2"/>
        <v>11.31147541</v>
      </c>
      <c r="E1084" s="290">
        <f t="shared" si="3"/>
        <v>12</v>
      </c>
      <c r="F1084" s="290" t="s">
        <v>743</v>
      </c>
      <c r="G1084" s="291">
        <v>-0.028886376375293787</v>
      </c>
      <c r="H1084" s="296">
        <v>-1.0</v>
      </c>
      <c r="I1084" s="293"/>
    </row>
    <row r="1085">
      <c r="A1085" t="s">
        <v>1007</v>
      </c>
      <c r="B1085" s="287">
        <v>42349.0</v>
      </c>
      <c r="C1085" s="288">
        <f t="shared" si="1"/>
        <v>345</v>
      </c>
      <c r="D1085" s="289">
        <f t="shared" si="2"/>
        <v>11.31147541</v>
      </c>
      <c r="E1085" s="290">
        <f t="shared" si="3"/>
        <v>12</v>
      </c>
      <c r="F1085" s="290" t="s">
        <v>743</v>
      </c>
      <c r="G1085" s="291">
        <v>-2.0036210635498986E-4</v>
      </c>
      <c r="H1085" s="296">
        <v>0.0</v>
      </c>
      <c r="I1085" s="293"/>
    </row>
    <row r="1086">
      <c r="A1086" t="s">
        <v>742</v>
      </c>
      <c r="B1086" s="287">
        <v>41984.0</v>
      </c>
      <c r="C1086" s="288">
        <f t="shared" si="1"/>
        <v>345</v>
      </c>
      <c r="D1086" s="289">
        <f t="shared" si="2"/>
        <v>11.31147541</v>
      </c>
      <c r="E1086" s="290">
        <f t="shared" si="3"/>
        <v>12</v>
      </c>
      <c r="F1086" s="290" t="s">
        <v>743</v>
      </c>
      <c r="G1086" s="291">
        <v>0.013385221816023307</v>
      </c>
      <c r="H1086" s="296">
        <v>1.0</v>
      </c>
      <c r="I1086" s="293"/>
    </row>
    <row r="1087">
      <c r="A1087" t="s">
        <v>766</v>
      </c>
      <c r="B1087" s="287">
        <v>42350.0</v>
      </c>
      <c r="C1087" s="288">
        <f t="shared" si="1"/>
        <v>346</v>
      </c>
      <c r="D1087" s="289">
        <f t="shared" si="2"/>
        <v>11.3442623</v>
      </c>
      <c r="E1087" s="290">
        <f t="shared" si="3"/>
        <v>12</v>
      </c>
      <c r="F1087" s="290" t="s">
        <v>743</v>
      </c>
      <c r="G1087" s="291">
        <v>-0.02633019365002731</v>
      </c>
      <c r="H1087" s="296">
        <v>-1.0</v>
      </c>
      <c r="I1087" s="293"/>
    </row>
    <row r="1088">
      <c r="A1088" t="s">
        <v>1105</v>
      </c>
      <c r="B1088" s="287">
        <v>42350.0</v>
      </c>
      <c r="C1088" s="288">
        <f t="shared" si="1"/>
        <v>346</v>
      </c>
      <c r="D1088" s="289">
        <f t="shared" si="2"/>
        <v>11.3442623</v>
      </c>
      <c r="E1088" s="290">
        <f t="shared" si="3"/>
        <v>12</v>
      </c>
      <c r="F1088" s="290" t="s">
        <v>743</v>
      </c>
      <c r="G1088" s="291">
        <v>0.023867125263569156</v>
      </c>
      <c r="H1088" s="296">
        <v>1.0</v>
      </c>
      <c r="I1088" s="293"/>
    </row>
    <row r="1089">
      <c r="A1089" t="s">
        <v>825</v>
      </c>
      <c r="B1089" s="287">
        <v>42350.0</v>
      </c>
      <c r="C1089" s="288">
        <f t="shared" si="1"/>
        <v>346</v>
      </c>
      <c r="D1089" s="289">
        <f t="shared" si="2"/>
        <v>11.3442623</v>
      </c>
      <c r="E1089" s="290">
        <f t="shared" si="3"/>
        <v>12</v>
      </c>
      <c r="F1089" s="290" t="s">
        <v>743</v>
      </c>
      <c r="G1089" s="291">
        <v>-0.030843999474485462</v>
      </c>
      <c r="H1089" s="296">
        <v>-1.0</v>
      </c>
      <c r="I1089" s="293"/>
    </row>
    <row r="1090">
      <c r="A1090" t="s">
        <v>808</v>
      </c>
      <c r="B1090" s="287">
        <v>42716.0</v>
      </c>
      <c r="C1090" s="288">
        <f t="shared" si="1"/>
        <v>347</v>
      </c>
      <c r="D1090" s="289">
        <f t="shared" si="2"/>
        <v>11.37704918</v>
      </c>
      <c r="E1090" s="290">
        <f t="shared" si="3"/>
        <v>12</v>
      </c>
      <c r="F1090" s="290" t="s">
        <v>743</v>
      </c>
      <c r="G1090" s="291">
        <v>0.015598510070427007</v>
      </c>
      <c r="H1090" s="296">
        <v>1.0</v>
      </c>
      <c r="I1090" s="293"/>
    </row>
    <row r="1091">
      <c r="A1091" t="s">
        <v>1106</v>
      </c>
      <c r="B1091" s="287">
        <v>42351.0</v>
      </c>
      <c r="C1091" s="288">
        <f t="shared" si="1"/>
        <v>347</v>
      </c>
      <c r="D1091" s="289">
        <f t="shared" si="2"/>
        <v>11.37704918</v>
      </c>
      <c r="E1091" s="290">
        <f t="shared" si="3"/>
        <v>12</v>
      </c>
      <c r="F1091" s="290" t="s">
        <v>743</v>
      </c>
      <c r="G1091" s="291">
        <v>-0.011141140397049498</v>
      </c>
      <c r="H1091" s="296">
        <v>-1.0</v>
      </c>
      <c r="I1091" s="293"/>
    </row>
    <row r="1092">
      <c r="A1092" t="s">
        <v>1107</v>
      </c>
      <c r="B1092" s="287">
        <v>42351.0</v>
      </c>
      <c r="C1092" s="288">
        <f t="shared" si="1"/>
        <v>347</v>
      </c>
      <c r="D1092" s="289">
        <f t="shared" si="2"/>
        <v>11.37704918</v>
      </c>
      <c r="E1092" s="290">
        <f t="shared" si="3"/>
        <v>12</v>
      </c>
      <c r="F1092" s="290" t="s">
        <v>743</v>
      </c>
      <c r="G1092" s="291">
        <v>0.02460713624263733</v>
      </c>
      <c r="H1092" s="296">
        <v>1.0</v>
      </c>
      <c r="I1092" s="293"/>
    </row>
    <row r="1093">
      <c r="A1093" t="s">
        <v>1108</v>
      </c>
      <c r="B1093" s="287">
        <v>42717.0</v>
      </c>
      <c r="C1093" s="288">
        <f t="shared" si="1"/>
        <v>348</v>
      </c>
      <c r="D1093" s="289">
        <f t="shared" si="2"/>
        <v>11.40983607</v>
      </c>
      <c r="E1093" s="290">
        <f t="shared" si="3"/>
        <v>12</v>
      </c>
      <c r="F1093" s="290" t="s">
        <v>743</v>
      </c>
      <c r="G1093" s="291">
        <v>-0.010312455325900527</v>
      </c>
      <c r="H1093" s="296">
        <v>-1.0</v>
      </c>
      <c r="I1093" s="293"/>
    </row>
    <row r="1094">
      <c r="A1094" t="s">
        <v>427</v>
      </c>
      <c r="B1094" s="287">
        <v>42352.0</v>
      </c>
      <c r="C1094" s="288">
        <f t="shared" si="1"/>
        <v>348</v>
      </c>
      <c r="D1094" s="289">
        <f t="shared" si="2"/>
        <v>11.40983607</v>
      </c>
      <c r="E1094" s="290">
        <f t="shared" si="3"/>
        <v>12</v>
      </c>
      <c r="F1094" s="290" t="s">
        <v>743</v>
      </c>
      <c r="G1094" s="291">
        <v>-0.008659334187832712</v>
      </c>
      <c r="H1094" s="296">
        <v>0.0</v>
      </c>
      <c r="I1094" s="293"/>
    </row>
    <row r="1095">
      <c r="A1095" t="s">
        <v>918</v>
      </c>
      <c r="B1095" s="287">
        <v>42352.0</v>
      </c>
      <c r="C1095" s="288">
        <f t="shared" si="1"/>
        <v>348</v>
      </c>
      <c r="D1095" s="289">
        <f t="shared" si="2"/>
        <v>11.40983607</v>
      </c>
      <c r="E1095" s="290">
        <f t="shared" si="3"/>
        <v>12</v>
      </c>
      <c r="F1095" s="290" t="s">
        <v>743</v>
      </c>
      <c r="G1095" s="291">
        <v>-0.05315223569284433</v>
      </c>
      <c r="H1095" s="296">
        <v>-1.0</v>
      </c>
      <c r="I1095" s="293"/>
    </row>
    <row r="1096">
      <c r="A1096" t="s">
        <v>808</v>
      </c>
      <c r="B1096" s="287">
        <v>42718.0</v>
      </c>
      <c r="C1096" s="288">
        <f t="shared" si="1"/>
        <v>349</v>
      </c>
      <c r="D1096" s="289">
        <f t="shared" si="2"/>
        <v>11.44262295</v>
      </c>
      <c r="E1096" s="290">
        <f t="shared" si="3"/>
        <v>12</v>
      </c>
      <c r="F1096" s="290" t="s">
        <v>743</v>
      </c>
      <c r="G1096" s="291">
        <v>0.01100144672913339</v>
      </c>
      <c r="H1096" s="296">
        <v>1.0</v>
      </c>
      <c r="I1096" s="293"/>
    </row>
    <row r="1097">
      <c r="A1097" t="s">
        <v>1109</v>
      </c>
      <c r="B1097" s="287">
        <v>42718.0</v>
      </c>
      <c r="C1097" s="288">
        <f t="shared" si="1"/>
        <v>349</v>
      </c>
      <c r="D1097" s="289">
        <f t="shared" si="2"/>
        <v>11.44262295</v>
      </c>
      <c r="E1097" s="290">
        <f t="shared" si="3"/>
        <v>12</v>
      </c>
      <c r="F1097" s="290" t="s">
        <v>743</v>
      </c>
      <c r="G1097" s="291">
        <v>0.006834793882896539</v>
      </c>
      <c r="H1097" s="296">
        <v>0.0</v>
      </c>
      <c r="I1097" s="293"/>
    </row>
    <row r="1098">
      <c r="A1098" t="s">
        <v>1108</v>
      </c>
      <c r="B1098" s="287">
        <v>42353.0</v>
      </c>
      <c r="C1098" s="288">
        <f t="shared" si="1"/>
        <v>349</v>
      </c>
      <c r="D1098" s="289">
        <f t="shared" si="2"/>
        <v>11.44262295</v>
      </c>
      <c r="E1098" s="290">
        <f t="shared" si="3"/>
        <v>12</v>
      </c>
      <c r="F1098" s="290" t="s">
        <v>743</v>
      </c>
      <c r="G1098" s="291">
        <v>-0.009287562541071215</v>
      </c>
      <c r="H1098" s="296">
        <v>0.0</v>
      </c>
      <c r="I1098" s="293"/>
    </row>
    <row r="1099">
      <c r="A1099" t="s">
        <v>716</v>
      </c>
      <c r="B1099" s="287">
        <v>41988.0</v>
      </c>
      <c r="C1099" s="288">
        <f t="shared" si="1"/>
        <v>349</v>
      </c>
      <c r="D1099" s="289">
        <f t="shared" si="2"/>
        <v>11.44262295</v>
      </c>
      <c r="E1099" s="290">
        <f t="shared" si="3"/>
        <v>12</v>
      </c>
      <c r="F1099" s="290" t="s">
        <v>743</v>
      </c>
      <c r="G1099" s="291">
        <v>-0.01056291375001217</v>
      </c>
      <c r="H1099" s="296">
        <v>-1.0</v>
      </c>
      <c r="I1099" s="293"/>
    </row>
    <row r="1100">
      <c r="A1100" t="s">
        <v>1020</v>
      </c>
      <c r="B1100" s="287">
        <v>42354.0</v>
      </c>
      <c r="C1100" s="288">
        <f t="shared" si="1"/>
        <v>350</v>
      </c>
      <c r="D1100" s="289">
        <f t="shared" si="2"/>
        <v>11.47540984</v>
      </c>
      <c r="E1100" s="290">
        <f t="shared" si="3"/>
        <v>12</v>
      </c>
      <c r="F1100" s="290" t="s">
        <v>743</v>
      </c>
      <c r="G1100" s="291">
        <v>-0.03156146853500874</v>
      </c>
      <c r="H1100" s="296">
        <v>-1.0</v>
      </c>
      <c r="I1100" s="293"/>
    </row>
    <row r="1101">
      <c r="A1101" t="s">
        <v>1110</v>
      </c>
      <c r="B1101" s="287">
        <v>42354.0</v>
      </c>
      <c r="C1101" s="288">
        <f t="shared" si="1"/>
        <v>350</v>
      </c>
      <c r="D1101" s="289">
        <f t="shared" si="2"/>
        <v>11.47540984</v>
      </c>
      <c r="E1101" s="290">
        <f t="shared" si="3"/>
        <v>12</v>
      </c>
      <c r="F1101" s="290" t="s">
        <v>743</v>
      </c>
      <c r="G1101" s="291">
        <v>0.02451413996605223</v>
      </c>
      <c r="H1101" s="296">
        <v>1.0</v>
      </c>
      <c r="I1101" s="293"/>
    </row>
    <row r="1102">
      <c r="A1102" t="s">
        <v>716</v>
      </c>
      <c r="B1102" s="287">
        <v>42354.0</v>
      </c>
      <c r="C1102" s="288">
        <f t="shared" si="1"/>
        <v>350</v>
      </c>
      <c r="D1102" s="289">
        <f t="shared" si="2"/>
        <v>11.47540984</v>
      </c>
      <c r="E1102" s="290">
        <f t="shared" si="3"/>
        <v>12</v>
      </c>
      <c r="F1102" s="290" t="s">
        <v>743</v>
      </c>
      <c r="G1102" s="291">
        <v>0.0016343083013558024</v>
      </c>
      <c r="H1102" s="296">
        <v>0.0</v>
      </c>
      <c r="I1102" s="293"/>
    </row>
    <row r="1103">
      <c r="A1103" t="s">
        <v>711</v>
      </c>
      <c r="B1103" s="287">
        <v>42354.0</v>
      </c>
      <c r="C1103" s="288">
        <f t="shared" si="1"/>
        <v>350</v>
      </c>
      <c r="D1103" s="289">
        <f t="shared" si="2"/>
        <v>11.47540984</v>
      </c>
      <c r="E1103" s="290">
        <f t="shared" si="3"/>
        <v>12</v>
      </c>
      <c r="F1103" s="290" t="s">
        <v>743</v>
      </c>
      <c r="G1103" s="291">
        <v>-0.025932228497920984</v>
      </c>
      <c r="H1103" s="296">
        <v>-1.0</v>
      </c>
      <c r="I1103" s="293"/>
    </row>
    <row r="1104">
      <c r="A1104" t="s">
        <v>751</v>
      </c>
      <c r="B1104" s="287">
        <v>42354.0</v>
      </c>
      <c r="C1104" s="288">
        <f t="shared" si="1"/>
        <v>350</v>
      </c>
      <c r="D1104" s="289">
        <f t="shared" si="2"/>
        <v>11.47540984</v>
      </c>
      <c r="E1104" s="290">
        <f t="shared" si="3"/>
        <v>12</v>
      </c>
      <c r="F1104" s="290" t="s">
        <v>743</v>
      </c>
      <c r="G1104" s="291">
        <v>-0.016854155226627476</v>
      </c>
      <c r="H1104" s="296">
        <v>-1.0</v>
      </c>
      <c r="I1104" s="293"/>
    </row>
    <row r="1105">
      <c r="A1105" t="s">
        <v>93</v>
      </c>
      <c r="B1105" s="287">
        <v>41989.0</v>
      </c>
      <c r="C1105" s="288">
        <f t="shared" si="1"/>
        <v>350</v>
      </c>
      <c r="D1105" s="289">
        <f t="shared" si="2"/>
        <v>11.47540984</v>
      </c>
      <c r="E1105" s="290">
        <f t="shared" si="3"/>
        <v>12</v>
      </c>
      <c r="F1105" s="290" t="s">
        <v>743</v>
      </c>
      <c r="G1105" s="291">
        <v>-0.010582295472618908</v>
      </c>
      <c r="H1105" s="296">
        <v>-1.0</v>
      </c>
      <c r="I1105" s="293"/>
    </row>
    <row r="1106">
      <c r="A1106" t="s">
        <v>781</v>
      </c>
      <c r="B1106" s="287">
        <v>42720.0</v>
      </c>
      <c r="C1106" s="288">
        <f t="shared" si="1"/>
        <v>351</v>
      </c>
      <c r="D1106" s="289">
        <f t="shared" si="2"/>
        <v>11.50819672</v>
      </c>
      <c r="E1106" s="290">
        <f t="shared" si="3"/>
        <v>12</v>
      </c>
      <c r="F1106" s="290" t="s">
        <v>743</v>
      </c>
      <c r="G1106" s="291">
        <v>-0.001340868128144379</v>
      </c>
      <c r="H1106" s="296">
        <v>0.0</v>
      </c>
      <c r="I1106" s="293"/>
    </row>
    <row r="1107">
      <c r="A1107" t="s">
        <v>751</v>
      </c>
      <c r="B1107" s="287">
        <v>42355.0</v>
      </c>
      <c r="C1107" s="288">
        <f t="shared" si="1"/>
        <v>351</v>
      </c>
      <c r="D1107" s="289">
        <f t="shared" si="2"/>
        <v>11.50819672</v>
      </c>
      <c r="E1107" s="290">
        <f t="shared" si="3"/>
        <v>12</v>
      </c>
      <c r="F1107" s="290" t="s">
        <v>743</v>
      </c>
      <c r="G1107" s="291">
        <v>-0.01940382788315298</v>
      </c>
      <c r="H1107" s="296">
        <v>-1.0</v>
      </c>
      <c r="I1107" s="293"/>
    </row>
    <row r="1108">
      <c r="A1108" t="s">
        <v>1111</v>
      </c>
      <c r="B1108" s="287">
        <v>42355.0</v>
      </c>
      <c r="C1108" s="288">
        <f t="shared" si="1"/>
        <v>351</v>
      </c>
      <c r="D1108" s="289">
        <f t="shared" si="2"/>
        <v>11.50819672</v>
      </c>
      <c r="E1108" s="290">
        <f t="shared" si="3"/>
        <v>12</v>
      </c>
      <c r="F1108" s="290" t="s">
        <v>743</v>
      </c>
      <c r="G1108" s="291">
        <v>-0.005781630553434947</v>
      </c>
      <c r="H1108" s="296">
        <v>0.0</v>
      </c>
      <c r="I1108" s="293"/>
    </row>
    <row r="1109">
      <c r="A1109" t="s">
        <v>747</v>
      </c>
      <c r="B1109" s="287">
        <v>42355.0</v>
      </c>
      <c r="C1109" s="288">
        <f t="shared" si="1"/>
        <v>351</v>
      </c>
      <c r="D1109" s="289">
        <f t="shared" si="2"/>
        <v>11.50819672</v>
      </c>
      <c r="E1109" s="290">
        <f t="shared" si="3"/>
        <v>12</v>
      </c>
      <c r="F1109" s="290" t="s">
        <v>743</v>
      </c>
      <c r="G1109" s="291">
        <v>-0.04119953782661623</v>
      </c>
      <c r="H1109" s="296">
        <v>-1.0</v>
      </c>
      <c r="I1109" s="293"/>
    </row>
    <row r="1110">
      <c r="A1110" t="s">
        <v>318</v>
      </c>
      <c r="B1110" s="287">
        <v>42721.0</v>
      </c>
      <c r="C1110" s="288">
        <f t="shared" si="1"/>
        <v>352</v>
      </c>
      <c r="D1110" s="289">
        <f t="shared" si="2"/>
        <v>11.54098361</v>
      </c>
      <c r="E1110" s="290">
        <f t="shared" si="3"/>
        <v>12</v>
      </c>
      <c r="F1110" s="290" t="s">
        <v>743</v>
      </c>
      <c r="G1110" s="291">
        <v>-0.007294482142576997</v>
      </c>
      <c r="H1110" s="296">
        <v>0.0</v>
      </c>
      <c r="I1110" s="293"/>
    </row>
    <row r="1111">
      <c r="A1111" t="s">
        <v>769</v>
      </c>
      <c r="B1111" s="287">
        <v>42356.0</v>
      </c>
      <c r="C1111" s="288">
        <f t="shared" si="1"/>
        <v>352</v>
      </c>
      <c r="D1111" s="289">
        <f t="shared" si="2"/>
        <v>11.54098361</v>
      </c>
      <c r="E1111" s="290">
        <f t="shared" si="3"/>
        <v>12</v>
      </c>
      <c r="F1111" s="290" t="s">
        <v>743</v>
      </c>
      <c r="G1111" s="291">
        <v>-0.002984729382177309</v>
      </c>
      <c r="H1111" s="296">
        <v>0.0</v>
      </c>
      <c r="I1111" s="293"/>
    </row>
    <row r="1112">
      <c r="A1112" t="s">
        <v>1112</v>
      </c>
      <c r="B1112" s="287">
        <v>42356.0</v>
      </c>
      <c r="C1112" s="288">
        <f t="shared" si="1"/>
        <v>352</v>
      </c>
      <c r="D1112" s="289">
        <f t="shared" si="2"/>
        <v>11.54098361</v>
      </c>
      <c r="E1112" s="290">
        <f t="shared" si="3"/>
        <v>12</v>
      </c>
      <c r="F1112" s="290" t="s">
        <v>743</v>
      </c>
      <c r="G1112" s="291">
        <v>-0.029542406770465823</v>
      </c>
      <c r="H1112" s="296">
        <v>-1.0</v>
      </c>
      <c r="I1112" s="293"/>
    </row>
    <row r="1113">
      <c r="A1113" t="s">
        <v>1113</v>
      </c>
      <c r="B1113" s="287">
        <v>42356.0</v>
      </c>
      <c r="C1113" s="288">
        <f t="shared" si="1"/>
        <v>352</v>
      </c>
      <c r="D1113" s="289">
        <f t="shared" si="2"/>
        <v>11.54098361</v>
      </c>
      <c r="E1113" s="290">
        <f t="shared" si="3"/>
        <v>12</v>
      </c>
      <c r="F1113" s="290" t="s">
        <v>743</v>
      </c>
      <c r="G1113" s="291">
        <v>-0.01017283332883534</v>
      </c>
      <c r="H1113" s="296">
        <v>-1.0</v>
      </c>
      <c r="I1113" s="293"/>
    </row>
    <row r="1114">
      <c r="A1114" t="s">
        <v>930</v>
      </c>
      <c r="B1114" s="287">
        <v>42722.0</v>
      </c>
      <c r="C1114" s="288">
        <f t="shared" si="1"/>
        <v>353</v>
      </c>
      <c r="D1114" s="289">
        <f t="shared" si="2"/>
        <v>11.57377049</v>
      </c>
      <c r="E1114" s="290">
        <f t="shared" si="3"/>
        <v>12</v>
      </c>
      <c r="F1114" s="290" t="s">
        <v>743</v>
      </c>
      <c r="G1114" s="291">
        <v>-0.007457879753579588</v>
      </c>
      <c r="H1114" s="296">
        <v>0.0</v>
      </c>
      <c r="I1114" s="293"/>
    </row>
    <row r="1115">
      <c r="A1115" t="s">
        <v>1114</v>
      </c>
      <c r="B1115" s="287">
        <v>42357.0</v>
      </c>
      <c r="C1115" s="288">
        <f t="shared" si="1"/>
        <v>353</v>
      </c>
      <c r="D1115" s="289">
        <f t="shared" si="2"/>
        <v>11.57377049</v>
      </c>
      <c r="E1115" s="290">
        <f t="shared" si="3"/>
        <v>12</v>
      </c>
      <c r="F1115" s="290" t="s">
        <v>743</v>
      </c>
      <c r="G1115" s="291">
        <v>0.016087676954440133</v>
      </c>
      <c r="H1115" s="296">
        <v>1.0</v>
      </c>
      <c r="I1115" s="293"/>
    </row>
    <row r="1116">
      <c r="A1116" t="s">
        <v>742</v>
      </c>
      <c r="B1116" s="287">
        <v>42357.0</v>
      </c>
      <c r="C1116" s="288">
        <f t="shared" si="1"/>
        <v>353</v>
      </c>
      <c r="D1116" s="289">
        <f t="shared" si="2"/>
        <v>11.57377049</v>
      </c>
      <c r="E1116" s="290">
        <f t="shared" si="3"/>
        <v>12</v>
      </c>
      <c r="F1116" s="290" t="s">
        <v>743</v>
      </c>
      <c r="G1116" s="291">
        <v>-0.004603762019670388</v>
      </c>
      <c r="H1116" s="296">
        <v>0.0</v>
      </c>
      <c r="I1116" s="293"/>
    </row>
    <row r="1117">
      <c r="A1117" t="s">
        <v>751</v>
      </c>
      <c r="B1117" s="287">
        <v>42358.0</v>
      </c>
      <c r="C1117" s="288">
        <f t="shared" si="1"/>
        <v>354</v>
      </c>
      <c r="D1117" s="289">
        <f t="shared" si="2"/>
        <v>11.60655738</v>
      </c>
      <c r="E1117" s="290">
        <f t="shared" si="3"/>
        <v>12</v>
      </c>
      <c r="F1117" s="290" t="s">
        <v>743</v>
      </c>
      <c r="G1117" s="291">
        <v>-0.009168323189583938</v>
      </c>
      <c r="H1117" s="296">
        <v>0.0</v>
      </c>
      <c r="I1117" s="293"/>
    </row>
    <row r="1118">
      <c r="A1118" t="s">
        <v>523</v>
      </c>
      <c r="B1118" s="287">
        <v>42358.0</v>
      </c>
      <c r="C1118" s="288">
        <f t="shared" si="1"/>
        <v>354</v>
      </c>
      <c r="D1118" s="289">
        <f t="shared" si="2"/>
        <v>11.60655738</v>
      </c>
      <c r="E1118" s="290">
        <f t="shared" si="3"/>
        <v>12</v>
      </c>
      <c r="F1118" s="290" t="s">
        <v>743</v>
      </c>
      <c r="G1118" s="291">
        <v>-0.01426184552824128</v>
      </c>
      <c r="H1118" s="296">
        <v>-1.0</v>
      </c>
      <c r="I1118" s="293"/>
    </row>
    <row r="1119">
      <c r="A1119" t="s">
        <v>1073</v>
      </c>
      <c r="B1119" s="287">
        <v>42359.0</v>
      </c>
      <c r="C1119" s="288">
        <f t="shared" si="1"/>
        <v>355</v>
      </c>
      <c r="D1119" s="289">
        <f t="shared" si="2"/>
        <v>11.63934426</v>
      </c>
      <c r="E1119" s="290">
        <f t="shared" si="3"/>
        <v>12</v>
      </c>
      <c r="F1119" s="290" t="s">
        <v>743</v>
      </c>
      <c r="G1119" s="291">
        <v>0.013836646787409257</v>
      </c>
      <c r="H1119" s="296">
        <v>1.0</v>
      </c>
      <c r="I1119" s="293"/>
    </row>
    <row r="1120">
      <c r="A1120" t="s">
        <v>1073</v>
      </c>
      <c r="B1120" s="287">
        <v>42359.0</v>
      </c>
      <c r="C1120" s="288">
        <f t="shared" si="1"/>
        <v>355</v>
      </c>
      <c r="D1120" s="289">
        <f t="shared" si="2"/>
        <v>11.63934426</v>
      </c>
      <c r="E1120" s="290">
        <f t="shared" si="3"/>
        <v>12</v>
      </c>
      <c r="F1120" s="290" t="s">
        <v>743</v>
      </c>
      <c r="G1120" s="291">
        <v>0.006503480189010369</v>
      </c>
      <c r="H1120" s="296">
        <v>0.0</v>
      </c>
      <c r="I1120" s="293"/>
    </row>
    <row r="1121">
      <c r="A1121" t="s">
        <v>855</v>
      </c>
      <c r="B1121" s="287">
        <v>42361.0</v>
      </c>
      <c r="C1121" s="288">
        <f t="shared" si="1"/>
        <v>357</v>
      </c>
      <c r="D1121" s="289">
        <f t="shared" si="2"/>
        <v>11.70491803</v>
      </c>
      <c r="E1121" s="290">
        <f t="shared" si="3"/>
        <v>12</v>
      </c>
      <c r="F1121" s="290" t="s">
        <v>743</v>
      </c>
      <c r="G1121" s="291">
        <v>-0.002133033134972151</v>
      </c>
      <c r="H1121" s="296">
        <v>0.0</v>
      </c>
      <c r="I1121" s="293"/>
    </row>
    <row r="1122">
      <c r="A1122" t="s">
        <v>724</v>
      </c>
      <c r="B1122" s="287">
        <v>41996.0</v>
      </c>
      <c r="C1122" s="288">
        <f t="shared" si="1"/>
        <v>357</v>
      </c>
      <c r="D1122" s="289">
        <f t="shared" si="2"/>
        <v>11.70491803</v>
      </c>
      <c r="E1122" s="290">
        <f t="shared" si="3"/>
        <v>12</v>
      </c>
      <c r="F1122" s="290" t="s">
        <v>743</v>
      </c>
      <c r="G1122" s="291">
        <v>0.0018628761539064564</v>
      </c>
      <c r="H1122" s="296">
        <v>0.0</v>
      </c>
      <c r="I1122" s="293"/>
    </row>
    <row r="1123">
      <c r="A1123" t="s">
        <v>779</v>
      </c>
      <c r="B1123" s="287">
        <v>42727.0</v>
      </c>
      <c r="C1123" s="288">
        <f t="shared" si="1"/>
        <v>358</v>
      </c>
      <c r="D1123" s="289">
        <f t="shared" si="2"/>
        <v>11.73770492</v>
      </c>
      <c r="E1123" s="290">
        <f t="shared" si="3"/>
        <v>12</v>
      </c>
      <c r="F1123" s="290" t="s">
        <v>743</v>
      </c>
      <c r="G1123" s="291">
        <v>0.027947659804754443</v>
      </c>
      <c r="H1123" s="296">
        <v>1.0</v>
      </c>
      <c r="I1123" s="293"/>
    </row>
    <row r="1124">
      <c r="A1124" t="s">
        <v>838</v>
      </c>
      <c r="B1124" s="287">
        <v>42727.0</v>
      </c>
      <c r="C1124" s="288">
        <f t="shared" si="1"/>
        <v>358</v>
      </c>
      <c r="D1124" s="289">
        <f t="shared" si="2"/>
        <v>11.73770492</v>
      </c>
      <c r="E1124" s="290">
        <f t="shared" si="3"/>
        <v>12</v>
      </c>
      <c r="F1124" s="290" t="s">
        <v>743</v>
      </c>
      <c r="G1124" s="291">
        <v>0.018928396467978503</v>
      </c>
      <c r="H1124" s="296">
        <v>1.0</v>
      </c>
      <c r="I1124" s="293"/>
    </row>
    <row r="1125">
      <c r="A1125" t="s">
        <v>108</v>
      </c>
      <c r="B1125" s="287">
        <v>42728.0</v>
      </c>
      <c r="C1125" s="288">
        <f t="shared" si="1"/>
        <v>359</v>
      </c>
      <c r="D1125" s="289">
        <f t="shared" si="2"/>
        <v>11.7704918</v>
      </c>
      <c r="E1125" s="290">
        <f t="shared" si="3"/>
        <v>12</v>
      </c>
      <c r="F1125" s="290" t="s">
        <v>743</v>
      </c>
      <c r="G1125" s="291">
        <v>-0.015603831063995877</v>
      </c>
      <c r="H1125" s="296">
        <v>-1.0</v>
      </c>
      <c r="I1125" s="293"/>
    </row>
    <row r="1126">
      <c r="A1126" t="s">
        <v>751</v>
      </c>
      <c r="B1126" s="287">
        <v>42728.0</v>
      </c>
      <c r="C1126" s="288">
        <f t="shared" si="1"/>
        <v>359</v>
      </c>
      <c r="D1126" s="289">
        <f t="shared" si="2"/>
        <v>11.7704918</v>
      </c>
      <c r="E1126" s="290">
        <f t="shared" si="3"/>
        <v>12</v>
      </c>
      <c r="F1126" s="290" t="s">
        <v>743</v>
      </c>
      <c r="G1126" s="291">
        <v>0.0026413102758953144</v>
      </c>
      <c r="H1126" s="296">
        <v>0.0</v>
      </c>
      <c r="I1126" s="293"/>
    </row>
    <row r="1127">
      <c r="A1127" t="s">
        <v>721</v>
      </c>
      <c r="B1127" s="287">
        <v>42728.0</v>
      </c>
      <c r="C1127" s="288">
        <f t="shared" si="1"/>
        <v>359</v>
      </c>
      <c r="D1127" s="289">
        <f t="shared" si="2"/>
        <v>11.7704918</v>
      </c>
      <c r="E1127" s="290">
        <f t="shared" si="3"/>
        <v>12</v>
      </c>
      <c r="F1127" s="290" t="s">
        <v>743</v>
      </c>
      <c r="G1127" s="291">
        <v>0.005995124806793095</v>
      </c>
      <c r="H1127" s="296">
        <v>0.0</v>
      </c>
      <c r="I1127" s="293"/>
    </row>
    <row r="1128">
      <c r="A1128" t="s">
        <v>751</v>
      </c>
      <c r="B1128" s="287">
        <v>42728.0</v>
      </c>
      <c r="C1128" s="288">
        <f t="shared" si="1"/>
        <v>359</v>
      </c>
      <c r="D1128" s="289">
        <f t="shared" si="2"/>
        <v>11.7704918</v>
      </c>
      <c r="E1128" s="290">
        <f t="shared" si="3"/>
        <v>12</v>
      </c>
      <c r="F1128" s="290" t="s">
        <v>743</v>
      </c>
      <c r="G1128" s="291">
        <v>0.009736810405781782</v>
      </c>
      <c r="H1128" s="296">
        <v>0.0</v>
      </c>
      <c r="I1128" s="293"/>
    </row>
    <row r="1129">
      <c r="A1129" t="s">
        <v>1115</v>
      </c>
      <c r="B1129" s="287">
        <v>42728.0</v>
      </c>
      <c r="C1129" s="288">
        <f t="shared" si="1"/>
        <v>359</v>
      </c>
      <c r="D1129" s="289">
        <f t="shared" si="2"/>
        <v>11.7704918</v>
      </c>
      <c r="E1129" s="290">
        <f t="shared" si="3"/>
        <v>12</v>
      </c>
      <c r="F1129" s="290" t="s">
        <v>743</v>
      </c>
      <c r="G1129" s="291">
        <v>0.020832559469493583</v>
      </c>
      <c r="H1129" s="296">
        <v>1.0</v>
      </c>
      <c r="I1129" s="293"/>
    </row>
    <row r="1130">
      <c r="A1130" t="s">
        <v>277</v>
      </c>
      <c r="B1130" s="287">
        <v>42363.0</v>
      </c>
      <c r="C1130" s="288">
        <f t="shared" si="1"/>
        <v>359</v>
      </c>
      <c r="D1130" s="289">
        <f t="shared" si="2"/>
        <v>11.7704918</v>
      </c>
      <c r="E1130" s="290">
        <f t="shared" si="3"/>
        <v>12</v>
      </c>
      <c r="F1130" s="290" t="s">
        <v>743</v>
      </c>
      <c r="G1130" s="291">
        <v>-0.007366226240920537</v>
      </c>
      <c r="H1130" s="296">
        <v>0.0</v>
      </c>
      <c r="I1130" s="293"/>
    </row>
    <row r="1131">
      <c r="A1131" t="s">
        <v>756</v>
      </c>
      <c r="B1131" s="287">
        <v>42363.0</v>
      </c>
      <c r="C1131" s="288">
        <f t="shared" si="1"/>
        <v>359</v>
      </c>
      <c r="D1131" s="289">
        <f t="shared" si="2"/>
        <v>11.7704918</v>
      </c>
      <c r="E1131" s="290">
        <f t="shared" si="3"/>
        <v>12</v>
      </c>
      <c r="F1131" s="290" t="s">
        <v>743</v>
      </c>
      <c r="G1131" s="291">
        <v>-0.0028826477780647952</v>
      </c>
      <c r="H1131" s="296">
        <v>0.0</v>
      </c>
      <c r="I1131" s="293"/>
    </row>
    <row r="1132">
      <c r="A1132" t="s">
        <v>731</v>
      </c>
      <c r="B1132" s="287">
        <v>42365.0</v>
      </c>
      <c r="C1132" s="288">
        <f t="shared" si="1"/>
        <v>361</v>
      </c>
      <c r="D1132" s="289">
        <f t="shared" si="2"/>
        <v>11.83606557</v>
      </c>
      <c r="E1132" s="290">
        <f t="shared" si="3"/>
        <v>12</v>
      </c>
      <c r="F1132" s="290" t="s">
        <v>743</v>
      </c>
      <c r="G1132" s="291">
        <v>-0.009733174757643126</v>
      </c>
      <c r="H1132" s="296">
        <v>0.0</v>
      </c>
      <c r="I1132" s="293"/>
    </row>
    <row r="1133">
      <c r="A1133" t="s">
        <v>214</v>
      </c>
      <c r="B1133" s="287">
        <v>42365.0</v>
      </c>
      <c r="C1133" s="288">
        <f t="shared" si="1"/>
        <v>361</v>
      </c>
      <c r="D1133" s="289">
        <f t="shared" si="2"/>
        <v>11.83606557</v>
      </c>
      <c r="E1133" s="290">
        <f t="shared" si="3"/>
        <v>12</v>
      </c>
      <c r="F1133" s="290" t="s">
        <v>743</v>
      </c>
      <c r="G1133" s="291">
        <v>-0.002112101060583016</v>
      </c>
      <c r="H1133" s="296">
        <v>0.0</v>
      </c>
      <c r="I1133" s="293"/>
    </row>
    <row r="1134">
      <c r="A1134" t="s">
        <v>189</v>
      </c>
      <c r="B1134" s="287">
        <v>42365.0</v>
      </c>
      <c r="C1134" s="288">
        <f t="shared" si="1"/>
        <v>361</v>
      </c>
      <c r="D1134" s="289">
        <f t="shared" si="2"/>
        <v>11.83606557</v>
      </c>
      <c r="E1134" s="290">
        <f t="shared" si="3"/>
        <v>12</v>
      </c>
      <c r="F1134" s="290" t="s">
        <v>743</v>
      </c>
      <c r="G1134" s="291">
        <v>-0.04427174932367994</v>
      </c>
      <c r="H1134" s="296">
        <v>-1.0</v>
      </c>
      <c r="I1134" s="293"/>
    </row>
    <row r="1135">
      <c r="A1135" t="s">
        <v>808</v>
      </c>
      <c r="B1135" s="287">
        <v>42731.0</v>
      </c>
      <c r="C1135" s="288">
        <f t="shared" si="1"/>
        <v>362</v>
      </c>
      <c r="D1135" s="289">
        <f t="shared" si="2"/>
        <v>11.86885246</v>
      </c>
      <c r="E1135" s="290">
        <f t="shared" si="3"/>
        <v>12</v>
      </c>
      <c r="F1135" s="290" t="s">
        <v>743</v>
      </c>
      <c r="G1135" s="291">
        <v>0.02298344320539414</v>
      </c>
      <c r="H1135" s="296">
        <v>1.0</v>
      </c>
      <c r="I1135" s="293"/>
    </row>
    <row r="1136">
      <c r="A1136" t="s">
        <v>808</v>
      </c>
      <c r="B1136" s="287">
        <v>42731.0</v>
      </c>
      <c r="C1136" s="288">
        <f t="shared" si="1"/>
        <v>362</v>
      </c>
      <c r="D1136" s="289">
        <f t="shared" si="2"/>
        <v>11.86885246</v>
      </c>
      <c r="E1136" s="290">
        <f t="shared" si="3"/>
        <v>12</v>
      </c>
      <c r="F1136" s="290" t="s">
        <v>743</v>
      </c>
      <c r="G1136" s="291">
        <v>0.03246118278397947</v>
      </c>
      <c r="H1136" s="296">
        <v>1.0</v>
      </c>
      <c r="I1136" s="293"/>
    </row>
    <row r="1137">
      <c r="A1137" t="s">
        <v>934</v>
      </c>
      <c r="B1137" s="287">
        <v>42366.0</v>
      </c>
      <c r="C1137" s="288">
        <f t="shared" si="1"/>
        <v>362</v>
      </c>
      <c r="D1137" s="289">
        <f t="shared" si="2"/>
        <v>11.86885246</v>
      </c>
      <c r="E1137" s="290">
        <f t="shared" si="3"/>
        <v>12</v>
      </c>
      <c r="F1137" s="290" t="s">
        <v>743</v>
      </c>
      <c r="G1137" s="291">
        <v>-0.013082647778064893</v>
      </c>
      <c r="H1137" s="296">
        <v>-1.0</v>
      </c>
      <c r="I1137" s="293"/>
    </row>
    <row r="1138">
      <c r="A1138" t="s">
        <v>724</v>
      </c>
      <c r="B1138" s="287">
        <v>42367.0</v>
      </c>
      <c r="C1138" s="288">
        <f t="shared" si="1"/>
        <v>363</v>
      </c>
      <c r="D1138" s="289">
        <f t="shared" si="2"/>
        <v>11.90163934</v>
      </c>
      <c r="E1138" s="290">
        <f t="shared" si="3"/>
        <v>12</v>
      </c>
      <c r="F1138" s="290" t="s">
        <v>743</v>
      </c>
      <c r="G1138" s="291">
        <v>-0.003188149983471722</v>
      </c>
      <c r="H1138" s="296">
        <v>0.0</v>
      </c>
      <c r="I1138" s="293"/>
    </row>
    <row r="1139">
      <c r="A1139" t="s">
        <v>773</v>
      </c>
      <c r="B1139" s="287">
        <v>42367.0</v>
      </c>
      <c r="C1139" s="288">
        <f t="shared" si="1"/>
        <v>363</v>
      </c>
      <c r="D1139" s="289">
        <f t="shared" si="2"/>
        <v>11.90163934</v>
      </c>
      <c r="E1139" s="290">
        <f t="shared" si="3"/>
        <v>12</v>
      </c>
      <c r="F1139" s="290" t="s">
        <v>743</v>
      </c>
      <c r="G1139" s="291">
        <v>-0.011576070766899704</v>
      </c>
      <c r="H1139" s="296">
        <v>-1.0</v>
      </c>
      <c r="I1139" s="293"/>
    </row>
    <row r="1140">
      <c r="A1140" t="s">
        <v>796</v>
      </c>
      <c r="B1140" s="287">
        <v>42733.0</v>
      </c>
      <c r="C1140" s="288">
        <f t="shared" si="1"/>
        <v>364</v>
      </c>
      <c r="D1140" s="289">
        <f t="shared" si="2"/>
        <v>11.93442623</v>
      </c>
      <c r="E1140" s="290">
        <f t="shared" si="3"/>
        <v>12</v>
      </c>
      <c r="F1140" s="290" t="s">
        <v>743</v>
      </c>
      <c r="G1140" s="291">
        <v>0.03283671546984501</v>
      </c>
      <c r="H1140" s="296">
        <v>1.0</v>
      </c>
      <c r="I1140" s="293"/>
    </row>
    <row r="1141">
      <c r="A1141" t="s">
        <v>771</v>
      </c>
      <c r="B1141" s="287">
        <v>42734.0</v>
      </c>
      <c r="C1141" s="288">
        <f t="shared" si="1"/>
        <v>365</v>
      </c>
      <c r="D1141" s="289">
        <f t="shared" si="2"/>
        <v>11.96721311</v>
      </c>
      <c r="E1141" s="290">
        <f t="shared" si="3"/>
        <v>12</v>
      </c>
      <c r="F1141" s="290" t="s">
        <v>743</v>
      </c>
      <c r="G1141" s="291">
        <v>-0.014752159886282423</v>
      </c>
      <c r="H1141" s="296">
        <v>-1.0</v>
      </c>
      <c r="I1141" s="293"/>
    </row>
    <row r="1142">
      <c r="A1142" t="s">
        <v>963</v>
      </c>
      <c r="B1142" s="287">
        <v>42369.0</v>
      </c>
      <c r="C1142" s="288">
        <f t="shared" si="1"/>
        <v>365</v>
      </c>
      <c r="D1142" s="289">
        <f t="shared" si="2"/>
        <v>11.96721311</v>
      </c>
      <c r="E1142" s="290">
        <f t="shared" si="3"/>
        <v>12</v>
      </c>
      <c r="F1142" s="290" t="s">
        <v>743</v>
      </c>
      <c r="G1142" s="291">
        <v>0.03053707364776892</v>
      </c>
      <c r="H1142" s="296">
        <v>1.0</v>
      </c>
      <c r="I1142" s="293"/>
    </row>
    <row r="1143">
      <c r="A1143" t="s">
        <v>1116</v>
      </c>
      <c r="B1143" s="287">
        <v>42369.0</v>
      </c>
      <c r="C1143" s="288">
        <f t="shared" si="1"/>
        <v>365</v>
      </c>
      <c r="D1143" s="289">
        <f t="shared" si="2"/>
        <v>11.96721311</v>
      </c>
      <c r="E1143" s="290">
        <f t="shared" si="3"/>
        <v>12</v>
      </c>
      <c r="F1143" s="290" t="s">
        <v>743</v>
      </c>
      <c r="G1143" s="291">
        <v>0.008939166245663932</v>
      </c>
      <c r="H1143" s="296">
        <v>0.0</v>
      </c>
      <c r="I1143" s="293"/>
    </row>
    <row r="1144">
      <c r="A1144" t="s">
        <v>789</v>
      </c>
      <c r="B1144" s="287">
        <v>42735.0</v>
      </c>
      <c r="C1144" s="288">
        <f t="shared" si="1"/>
        <v>366</v>
      </c>
      <c r="D1144" s="289">
        <f t="shared" si="2"/>
        <v>12</v>
      </c>
      <c r="E1144" s="290">
        <f t="shared" si="3"/>
        <v>12</v>
      </c>
      <c r="F1144" s="290" t="s">
        <v>743</v>
      </c>
      <c r="G1144" s="291">
        <v>0.026396707020863608</v>
      </c>
      <c r="H1144" s="296">
        <v>1.0</v>
      </c>
      <c r="I1144" s="293"/>
    </row>
    <row r="1145">
      <c r="A1145" t="s">
        <v>951</v>
      </c>
      <c r="B1145" s="287">
        <v>42735.0</v>
      </c>
      <c r="C1145" s="288">
        <f t="shared" si="1"/>
        <v>366</v>
      </c>
      <c r="D1145" s="289">
        <f t="shared" si="2"/>
        <v>12</v>
      </c>
      <c r="E1145" s="290">
        <f t="shared" si="3"/>
        <v>12</v>
      </c>
      <c r="F1145" s="290" t="s">
        <v>743</v>
      </c>
      <c r="G1145" s="291">
        <v>-0.016690246662029562</v>
      </c>
      <c r="H1145" s="296">
        <v>-1.0</v>
      </c>
      <c r="I1145" s="293"/>
    </row>
    <row r="1146">
      <c r="A1146" t="s">
        <v>781</v>
      </c>
      <c r="B1146" s="287">
        <v>42735.0</v>
      </c>
      <c r="C1146" s="288">
        <f t="shared" si="1"/>
        <v>366</v>
      </c>
      <c r="D1146" s="289">
        <f t="shared" si="2"/>
        <v>12</v>
      </c>
      <c r="E1146" s="290">
        <f t="shared" si="3"/>
        <v>12</v>
      </c>
      <c r="F1146" s="290" t="s">
        <v>743</v>
      </c>
      <c r="G1146" s="291">
        <v>0.005654652556364659</v>
      </c>
      <c r="H1146" s="296">
        <v>0.0</v>
      </c>
      <c r="I1146" s="293"/>
    </row>
    <row r="1147">
      <c r="B1147" s="287"/>
      <c r="C1147" s="288"/>
      <c r="D1147" s="289"/>
      <c r="E1147" s="291"/>
      <c r="F1147" s="291" t="s">
        <v>1076</v>
      </c>
      <c r="G1147" s="291"/>
      <c r="H1147" t="s">
        <v>1076</v>
      </c>
      <c r="I1147" s="293"/>
    </row>
    <row r="1148">
      <c r="B1148" s="287"/>
      <c r="C1148" s="288"/>
      <c r="D1148" s="289"/>
      <c r="E1148" s="291"/>
      <c r="F1148" s="291" t="s">
        <v>1076</v>
      </c>
      <c r="G1148" s="291"/>
      <c r="H1148" t="s">
        <v>1076</v>
      </c>
      <c r="I1148" s="293"/>
    </row>
    <row r="1149">
      <c r="B1149" s="287"/>
      <c r="C1149" s="288"/>
      <c r="D1149" s="289"/>
      <c r="E1149" s="291"/>
      <c r="F1149" s="291" t="s">
        <v>1076</v>
      </c>
      <c r="G1149" s="291"/>
      <c r="H1149" t="s">
        <v>1076</v>
      </c>
      <c r="I1149" s="293"/>
    </row>
    <row r="1150">
      <c r="B1150" s="287"/>
      <c r="C1150" s="288"/>
      <c r="D1150" s="289"/>
      <c r="E1150" s="291"/>
      <c r="F1150" s="291" t="s">
        <v>1076</v>
      </c>
      <c r="G1150" s="291"/>
      <c r="H1150" t="s">
        <v>1076</v>
      </c>
      <c r="I1150" s="293"/>
    </row>
    <row r="1151">
      <c r="B1151" s="287"/>
      <c r="C1151" s="288"/>
      <c r="D1151" s="289"/>
      <c r="E1151" s="291"/>
      <c r="F1151" s="291" t="s">
        <v>1076</v>
      </c>
      <c r="G1151" s="291"/>
      <c r="H1151" t="s">
        <v>1076</v>
      </c>
      <c r="I1151" s="293"/>
    </row>
    <row r="1152">
      <c r="B1152" s="287"/>
      <c r="C1152" s="288"/>
      <c r="D1152" s="289"/>
      <c r="E1152" s="291"/>
      <c r="F1152" s="291" t="s">
        <v>1076</v>
      </c>
      <c r="G1152" s="291"/>
      <c r="H1152" t="s">
        <v>1076</v>
      </c>
      <c r="I1152" s="293"/>
    </row>
    <row r="1153">
      <c r="B1153" s="287"/>
      <c r="C1153" s="288"/>
      <c r="D1153" s="289"/>
      <c r="E1153" s="291"/>
      <c r="F1153" s="291" t="s">
        <v>1076</v>
      </c>
      <c r="G1153" s="291"/>
      <c r="H1153" t="s">
        <v>1076</v>
      </c>
      <c r="I1153" s="293"/>
    </row>
    <row r="1154">
      <c r="B1154" s="287"/>
      <c r="C1154" s="288"/>
      <c r="D1154" s="289"/>
      <c r="E1154" s="291"/>
      <c r="F1154" s="291" t="s">
        <v>1076</v>
      </c>
      <c r="G1154" s="291"/>
      <c r="H1154" t="s">
        <v>1076</v>
      </c>
      <c r="I1154" s="293"/>
    </row>
    <row r="1155">
      <c r="B1155" s="287"/>
      <c r="C1155" s="288"/>
      <c r="D1155" s="289"/>
      <c r="E1155" s="291"/>
      <c r="F1155" s="291" t="s">
        <v>1076</v>
      </c>
      <c r="G1155" s="291"/>
      <c r="H1155" t="s">
        <v>1076</v>
      </c>
      <c r="I1155" s="293"/>
    </row>
    <row r="1156">
      <c r="B1156" s="287"/>
      <c r="C1156" s="288"/>
      <c r="D1156" s="289"/>
      <c r="E1156" s="291"/>
      <c r="F1156" s="291" t="s">
        <v>1076</v>
      </c>
      <c r="G1156" s="291"/>
      <c r="H1156" t="s">
        <v>1076</v>
      </c>
      <c r="I1156" s="293"/>
    </row>
    <row r="1157">
      <c r="B1157" s="287"/>
      <c r="C1157" s="288"/>
      <c r="D1157" s="289"/>
      <c r="E1157" s="291"/>
      <c r="F1157" s="291" t="s">
        <v>1076</v>
      </c>
      <c r="G1157" s="291"/>
      <c r="H1157" t="s">
        <v>1076</v>
      </c>
      <c r="I1157" s="293"/>
    </row>
    <row r="1158">
      <c r="B1158" s="287"/>
      <c r="C1158" s="288"/>
      <c r="D1158" s="289"/>
      <c r="E1158" s="291"/>
      <c r="F1158" s="291" t="s">
        <v>1076</v>
      </c>
      <c r="G1158" s="291"/>
      <c r="H1158" t="s">
        <v>1076</v>
      </c>
      <c r="I1158" s="293"/>
    </row>
    <row r="1159">
      <c r="B1159" s="287"/>
      <c r="C1159" s="288"/>
      <c r="D1159" s="289"/>
      <c r="E1159" s="291"/>
      <c r="F1159" s="291" t="s">
        <v>1076</v>
      </c>
      <c r="G1159" s="291"/>
      <c r="H1159" t="s">
        <v>1076</v>
      </c>
      <c r="I1159" s="293"/>
    </row>
    <row r="1160">
      <c r="B1160" s="287"/>
      <c r="C1160" s="288"/>
      <c r="D1160" s="289"/>
      <c r="E1160" s="291"/>
      <c r="F1160" s="291" t="s">
        <v>1076</v>
      </c>
      <c r="G1160" s="291"/>
      <c r="H1160" t="s">
        <v>1076</v>
      </c>
      <c r="I1160" s="293"/>
    </row>
    <row r="1161">
      <c r="B1161" s="287"/>
      <c r="C1161" s="288"/>
      <c r="D1161" s="289"/>
      <c r="E1161" s="291"/>
      <c r="F1161" s="291" t="s">
        <v>1076</v>
      </c>
      <c r="G1161" s="291"/>
      <c r="H1161" t="s">
        <v>1076</v>
      </c>
      <c r="I1161" s="293"/>
    </row>
    <row r="1162">
      <c r="B1162" s="287"/>
      <c r="C1162" s="288"/>
      <c r="D1162" s="289"/>
      <c r="E1162" s="291"/>
      <c r="F1162" s="291" t="s">
        <v>1076</v>
      </c>
      <c r="G1162" s="291"/>
      <c r="H1162" t="s">
        <v>1076</v>
      </c>
      <c r="I1162" s="293"/>
    </row>
    <row r="1163">
      <c r="B1163" s="287"/>
      <c r="C1163" s="288"/>
      <c r="D1163" s="289"/>
      <c r="E1163" s="291"/>
      <c r="F1163" s="291" t="s">
        <v>1076</v>
      </c>
      <c r="G1163" s="291"/>
      <c r="H1163" t="s">
        <v>1076</v>
      </c>
      <c r="I1163" s="293"/>
    </row>
    <row r="1164">
      <c r="B1164" s="287"/>
      <c r="C1164" s="288"/>
      <c r="D1164" s="289"/>
      <c r="E1164" s="291"/>
      <c r="F1164" s="291" t="s">
        <v>1076</v>
      </c>
      <c r="G1164" s="291"/>
      <c r="H1164" t="s">
        <v>1076</v>
      </c>
      <c r="I1164" s="293"/>
    </row>
    <row r="1165">
      <c r="B1165" s="287"/>
      <c r="C1165" s="288"/>
      <c r="D1165" s="289"/>
      <c r="E1165" s="291"/>
      <c r="F1165" s="291" t="s">
        <v>1076</v>
      </c>
      <c r="G1165" s="291"/>
      <c r="H1165" t="s">
        <v>1076</v>
      </c>
      <c r="I1165" s="293"/>
    </row>
    <row r="1166">
      <c r="B1166" s="287"/>
      <c r="C1166" s="288"/>
      <c r="D1166" s="289"/>
      <c r="E1166" s="291"/>
      <c r="F1166" s="291" t="s">
        <v>1076</v>
      </c>
      <c r="G1166" s="291"/>
      <c r="H1166" t="s">
        <v>1076</v>
      </c>
      <c r="I1166" s="293"/>
    </row>
    <row r="1167">
      <c r="B1167" s="287"/>
      <c r="C1167" s="288"/>
      <c r="D1167" s="289"/>
      <c r="E1167" s="291"/>
      <c r="F1167" s="291" t="s">
        <v>1076</v>
      </c>
      <c r="G1167" s="291"/>
      <c r="H1167" t="s">
        <v>1076</v>
      </c>
      <c r="I1167" s="293"/>
    </row>
    <row r="1168">
      <c r="B1168" s="287"/>
      <c r="C1168" s="288"/>
      <c r="D1168" s="289"/>
      <c r="E1168" s="291"/>
      <c r="F1168" s="291" t="s">
        <v>1076</v>
      </c>
      <c r="G1168" s="291"/>
      <c r="H1168" t="s">
        <v>1076</v>
      </c>
      <c r="I1168" s="293"/>
    </row>
    <row r="1169">
      <c r="B1169" s="287"/>
      <c r="C1169" s="288"/>
      <c r="D1169" s="289"/>
      <c r="E1169" s="291"/>
      <c r="F1169" s="291" t="s">
        <v>1076</v>
      </c>
      <c r="G1169" s="291"/>
      <c r="H1169" t="s">
        <v>1076</v>
      </c>
      <c r="I1169" s="293"/>
    </row>
    <row r="1170">
      <c r="B1170" s="287"/>
      <c r="C1170" s="288"/>
      <c r="D1170" s="289"/>
      <c r="E1170" s="291"/>
      <c r="F1170" s="291" t="s">
        <v>1076</v>
      </c>
      <c r="G1170" s="291"/>
      <c r="H1170" t="s">
        <v>1076</v>
      </c>
      <c r="I1170" s="293"/>
    </row>
    <row r="1171">
      <c r="B1171" s="287"/>
      <c r="C1171" s="288"/>
      <c r="D1171" s="289"/>
      <c r="E1171" s="291"/>
      <c r="F1171" s="291" t="s">
        <v>1076</v>
      </c>
      <c r="G1171" s="291"/>
      <c r="H1171" t="s">
        <v>1076</v>
      </c>
      <c r="I1171" s="293"/>
    </row>
    <row r="1172">
      <c r="B1172" s="287"/>
      <c r="C1172" s="288"/>
      <c r="D1172" s="289"/>
      <c r="E1172" s="291"/>
      <c r="F1172" s="291" t="s">
        <v>1076</v>
      </c>
      <c r="G1172" s="291"/>
      <c r="H1172" t="s">
        <v>1076</v>
      </c>
      <c r="I1172" s="293"/>
    </row>
    <row r="1173">
      <c r="B1173" s="287"/>
      <c r="C1173" s="288"/>
      <c r="D1173" s="289"/>
      <c r="E1173" s="291"/>
      <c r="F1173" s="291" t="s">
        <v>1076</v>
      </c>
      <c r="G1173" s="291"/>
      <c r="H1173" t="s">
        <v>1076</v>
      </c>
      <c r="I1173" s="293"/>
    </row>
    <row r="1174">
      <c r="B1174" s="287"/>
      <c r="C1174" s="288"/>
      <c r="D1174" s="289"/>
      <c r="E1174" s="291"/>
      <c r="F1174" s="291" t="s">
        <v>1076</v>
      </c>
      <c r="G1174" s="291"/>
      <c r="H1174" t="s">
        <v>1076</v>
      </c>
      <c r="I1174" s="293"/>
    </row>
    <row r="1175">
      <c r="B1175" s="287"/>
      <c r="C1175" s="288"/>
      <c r="D1175" s="289"/>
      <c r="E1175" s="291"/>
      <c r="F1175" s="291" t="s">
        <v>1076</v>
      </c>
      <c r="G1175" s="291"/>
      <c r="H1175" t="s">
        <v>1076</v>
      </c>
      <c r="I1175" s="293"/>
    </row>
    <row r="1176">
      <c r="B1176" s="287"/>
      <c r="C1176" s="288"/>
      <c r="D1176" s="289"/>
      <c r="E1176" s="291"/>
      <c r="F1176" s="291" t="s">
        <v>1076</v>
      </c>
      <c r="G1176" s="291"/>
      <c r="H1176" t="s">
        <v>1076</v>
      </c>
      <c r="I1176" s="293"/>
    </row>
    <row r="1177">
      <c r="B1177" s="287"/>
      <c r="C1177" s="288"/>
      <c r="D1177" s="289"/>
      <c r="E1177" s="291"/>
      <c r="F1177" s="291" t="s">
        <v>1076</v>
      </c>
      <c r="G1177" s="291"/>
      <c r="H1177" t="s">
        <v>1076</v>
      </c>
      <c r="I1177" s="293"/>
    </row>
    <row r="1178">
      <c r="B1178" s="287"/>
      <c r="C1178" s="288"/>
      <c r="D1178" s="289"/>
      <c r="E1178" s="291"/>
      <c r="F1178" s="291" t="s">
        <v>1076</v>
      </c>
      <c r="G1178" s="291"/>
      <c r="H1178" t="s">
        <v>1076</v>
      </c>
      <c r="I1178" s="293"/>
    </row>
    <row r="1179">
      <c r="B1179" s="287"/>
      <c r="C1179" s="288"/>
      <c r="D1179" s="289"/>
      <c r="E1179" s="291"/>
      <c r="F1179" s="291" t="s">
        <v>1076</v>
      </c>
      <c r="G1179" s="291"/>
      <c r="H1179" t="s">
        <v>1076</v>
      </c>
      <c r="I1179" s="293"/>
    </row>
    <row r="1180">
      <c r="B1180" s="287"/>
      <c r="C1180" s="288"/>
      <c r="D1180" s="289"/>
      <c r="E1180" s="291"/>
      <c r="F1180" s="291" t="s">
        <v>1076</v>
      </c>
      <c r="G1180" s="291"/>
      <c r="H1180" t="s">
        <v>1076</v>
      </c>
      <c r="I1180" s="293"/>
    </row>
    <row r="1181">
      <c r="B1181" s="287"/>
      <c r="C1181" s="288"/>
      <c r="D1181" s="289"/>
      <c r="E1181" s="291"/>
      <c r="F1181" s="291" t="s">
        <v>1076</v>
      </c>
      <c r="G1181" s="291"/>
      <c r="H1181" t="s">
        <v>1076</v>
      </c>
      <c r="I1181" s="293"/>
    </row>
    <row r="1182">
      <c r="B1182" s="287"/>
      <c r="C1182" s="288"/>
      <c r="D1182" s="289"/>
      <c r="E1182" s="291"/>
      <c r="F1182" s="291" t="s">
        <v>1076</v>
      </c>
      <c r="G1182" s="291"/>
      <c r="H1182" t="s">
        <v>1076</v>
      </c>
      <c r="I1182" s="293"/>
    </row>
    <row r="1183">
      <c r="B1183" s="287"/>
      <c r="C1183" s="288"/>
      <c r="D1183" s="289"/>
      <c r="E1183" s="291"/>
      <c r="F1183" s="291" t="s">
        <v>1076</v>
      </c>
      <c r="G1183" s="291"/>
      <c r="H1183" t="s">
        <v>1076</v>
      </c>
      <c r="I1183" s="293"/>
    </row>
    <row r="1184">
      <c r="B1184" s="287"/>
      <c r="C1184" s="288"/>
      <c r="D1184" s="289"/>
      <c r="E1184" s="291"/>
      <c r="F1184" s="291" t="s">
        <v>1076</v>
      </c>
      <c r="G1184" s="291"/>
      <c r="H1184" t="s">
        <v>1076</v>
      </c>
      <c r="I1184" s="293"/>
    </row>
    <row r="1185">
      <c r="B1185" s="287"/>
      <c r="C1185" s="288"/>
      <c r="D1185" s="289"/>
      <c r="E1185" s="291"/>
      <c r="F1185" s="291" t="s">
        <v>1076</v>
      </c>
      <c r="G1185" s="291"/>
      <c r="H1185" t="s">
        <v>1076</v>
      </c>
      <c r="I1185" s="293"/>
    </row>
    <row r="1186">
      <c r="B1186" s="287"/>
      <c r="C1186" s="288"/>
      <c r="D1186" s="289"/>
      <c r="E1186" s="291"/>
      <c r="F1186" s="291" t="s">
        <v>1076</v>
      </c>
      <c r="G1186" s="291"/>
      <c r="H1186" t="s">
        <v>1076</v>
      </c>
      <c r="I1186" s="293"/>
    </row>
    <row r="1187">
      <c r="B1187" s="287"/>
      <c r="C1187" s="288"/>
      <c r="D1187" s="289"/>
      <c r="E1187" s="291"/>
      <c r="F1187" s="291" t="s">
        <v>1076</v>
      </c>
      <c r="G1187" s="291"/>
      <c r="H1187" t="s">
        <v>1076</v>
      </c>
      <c r="I1187" s="293"/>
    </row>
    <row r="1188">
      <c r="B1188" s="287"/>
      <c r="C1188" s="288"/>
      <c r="D1188" s="289"/>
      <c r="E1188" s="291"/>
      <c r="F1188" s="291" t="s">
        <v>1076</v>
      </c>
      <c r="G1188" s="291"/>
      <c r="H1188" t="s">
        <v>1076</v>
      </c>
      <c r="I1188" s="293"/>
    </row>
    <row r="1189">
      <c r="B1189" s="287"/>
      <c r="C1189" s="288"/>
      <c r="D1189" s="289"/>
      <c r="E1189" s="291"/>
      <c r="F1189" s="291" t="s">
        <v>1076</v>
      </c>
      <c r="G1189" s="291"/>
      <c r="H1189" t="s">
        <v>1076</v>
      </c>
      <c r="I1189" s="293"/>
    </row>
    <row r="1190">
      <c r="B1190" s="287"/>
      <c r="C1190" s="288"/>
      <c r="D1190" s="289"/>
      <c r="E1190" s="291"/>
      <c r="F1190" s="291" t="s">
        <v>1076</v>
      </c>
      <c r="G1190" s="291"/>
      <c r="H1190" t="s">
        <v>1076</v>
      </c>
      <c r="I1190" s="293"/>
    </row>
    <row r="1191">
      <c r="B1191" s="287"/>
      <c r="C1191" s="288"/>
      <c r="D1191" s="289"/>
      <c r="E1191" s="291"/>
      <c r="F1191" s="291" t="s">
        <v>1076</v>
      </c>
      <c r="G1191" s="291"/>
      <c r="H1191" t="s">
        <v>1076</v>
      </c>
      <c r="I1191" s="293"/>
    </row>
    <row r="1192">
      <c r="B1192" s="287"/>
      <c r="C1192" s="288"/>
      <c r="D1192" s="289"/>
      <c r="E1192" s="291"/>
      <c r="F1192" s="291" t="s">
        <v>1076</v>
      </c>
      <c r="G1192" s="291"/>
      <c r="H1192" t="s">
        <v>1076</v>
      </c>
      <c r="I1192" s="293"/>
    </row>
    <row r="1193">
      <c r="B1193" s="287"/>
      <c r="C1193" s="288"/>
      <c r="D1193" s="289"/>
      <c r="E1193" s="291"/>
      <c r="F1193" s="291" t="s">
        <v>1076</v>
      </c>
      <c r="G1193" s="291"/>
      <c r="H1193" t="s">
        <v>1076</v>
      </c>
      <c r="I1193" s="293"/>
    </row>
    <row r="1194">
      <c r="B1194" s="287"/>
      <c r="C1194" s="288"/>
      <c r="D1194" s="289"/>
      <c r="E1194" s="291"/>
      <c r="F1194" s="291" t="s">
        <v>1076</v>
      </c>
      <c r="G1194" s="291"/>
      <c r="H1194" t="s">
        <v>1076</v>
      </c>
      <c r="I1194" s="293"/>
    </row>
    <row r="1195">
      <c r="B1195" s="287"/>
      <c r="C1195" s="288"/>
      <c r="D1195" s="289"/>
      <c r="E1195" s="291"/>
      <c r="F1195" s="291" t="s">
        <v>1076</v>
      </c>
      <c r="G1195" s="291"/>
      <c r="H1195" t="s">
        <v>1076</v>
      </c>
      <c r="I1195" s="293"/>
    </row>
    <row r="1196">
      <c r="B1196" s="287"/>
      <c r="C1196" s="288"/>
      <c r="D1196" s="289"/>
      <c r="E1196" s="291"/>
      <c r="F1196" s="291" t="s">
        <v>1076</v>
      </c>
      <c r="G1196" s="291"/>
      <c r="H1196" t="s">
        <v>1076</v>
      </c>
      <c r="I1196" s="293"/>
    </row>
    <row r="1197">
      <c r="B1197" s="287"/>
      <c r="C1197" s="288"/>
      <c r="D1197" s="289"/>
      <c r="E1197" s="291"/>
      <c r="F1197" s="291" t="s">
        <v>1076</v>
      </c>
      <c r="G1197" s="291"/>
      <c r="H1197" t="s">
        <v>1076</v>
      </c>
      <c r="I1197" s="293"/>
    </row>
    <row r="1198">
      <c r="B1198" s="287"/>
      <c r="C1198" s="288"/>
      <c r="D1198" s="289"/>
      <c r="E1198" s="291"/>
      <c r="F1198" s="291" t="s">
        <v>1076</v>
      </c>
      <c r="G1198" s="291"/>
      <c r="H1198" t="s">
        <v>1076</v>
      </c>
      <c r="I1198" s="293"/>
    </row>
    <row r="1199">
      <c r="B1199" s="287"/>
      <c r="C1199" s="288"/>
      <c r="D1199" s="289"/>
      <c r="E1199" s="291"/>
      <c r="F1199" s="291" t="s">
        <v>1076</v>
      </c>
      <c r="G1199" s="291"/>
      <c r="H1199" t="s">
        <v>1076</v>
      </c>
      <c r="I1199" s="293"/>
    </row>
    <row r="1200">
      <c r="B1200" s="287"/>
      <c r="C1200" s="288"/>
      <c r="D1200" s="289"/>
      <c r="E1200" s="291"/>
      <c r="F1200" s="291" t="s">
        <v>1076</v>
      </c>
      <c r="G1200" s="291"/>
      <c r="H1200" t="s">
        <v>1076</v>
      </c>
      <c r="I1200" s="293"/>
    </row>
    <row r="1201">
      <c r="B1201" s="287"/>
      <c r="C1201" s="288"/>
      <c r="D1201" s="289"/>
      <c r="E1201" s="291"/>
      <c r="F1201" s="291" t="s">
        <v>1076</v>
      </c>
      <c r="G1201" s="291"/>
      <c r="H1201" t="s">
        <v>1076</v>
      </c>
      <c r="I1201" s="293"/>
    </row>
    <row r="1202">
      <c r="B1202" s="287"/>
      <c r="C1202" s="288"/>
      <c r="D1202" s="289"/>
      <c r="E1202" s="291"/>
      <c r="F1202" s="291" t="s">
        <v>1076</v>
      </c>
      <c r="G1202" s="291"/>
      <c r="H1202" t="s">
        <v>1076</v>
      </c>
      <c r="I1202" s="293"/>
    </row>
    <row r="1203">
      <c r="B1203" s="287"/>
      <c r="C1203" s="288"/>
      <c r="D1203" s="289"/>
      <c r="E1203" s="291"/>
      <c r="F1203" s="291" t="s">
        <v>1076</v>
      </c>
      <c r="G1203" s="291"/>
      <c r="H1203" t="s">
        <v>1076</v>
      </c>
      <c r="I1203" s="293"/>
    </row>
    <row r="1204">
      <c r="B1204" s="287"/>
      <c r="C1204" s="288"/>
      <c r="D1204" s="289"/>
      <c r="E1204" s="291"/>
      <c r="F1204" s="291" t="s">
        <v>1076</v>
      </c>
      <c r="G1204" s="291"/>
      <c r="H1204" t="s">
        <v>1076</v>
      </c>
      <c r="I1204" s="293"/>
    </row>
    <row r="1205">
      <c r="B1205" s="287"/>
      <c r="C1205" s="288"/>
      <c r="D1205" s="289"/>
      <c r="E1205" s="291"/>
      <c r="F1205" s="291" t="s">
        <v>1076</v>
      </c>
      <c r="G1205" s="291"/>
      <c r="H1205" t="s">
        <v>1076</v>
      </c>
      <c r="I1205" s="293"/>
    </row>
    <row r="1206">
      <c r="B1206" s="287"/>
      <c r="C1206" s="288"/>
      <c r="D1206" s="289"/>
      <c r="E1206" s="291"/>
      <c r="F1206" s="291" t="s">
        <v>1076</v>
      </c>
      <c r="G1206" s="291"/>
      <c r="H1206" t="s">
        <v>1076</v>
      </c>
      <c r="I1206" s="293"/>
    </row>
    <row r="1207">
      <c r="B1207" s="287"/>
      <c r="C1207" s="288"/>
      <c r="D1207" s="289"/>
      <c r="E1207" s="291"/>
      <c r="F1207" s="291" t="s">
        <v>1076</v>
      </c>
      <c r="G1207" s="291"/>
      <c r="H1207" t="s">
        <v>1076</v>
      </c>
      <c r="I1207" s="293"/>
    </row>
    <row r="1208">
      <c r="B1208" s="287"/>
      <c r="C1208" s="288"/>
      <c r="D1208" s="289"/>
      <c r="E1208" s="291"/>
      <c r="F1208" s="291" t="s">
        <v>1076</v>
      </c>
      <c r="G1208" s="291"/>
      <c r="H1208" t="s">
        <v>1076</v>
      </c>
      <c r="I1208" s="293"/>
    </row>
    <row r="1209">
      <c r="B1209" s="287"/>
      <c r="C1209" s="288"/>
      <c r="D1209" s="289"/>
      <c r="E1209" s="291"/>
      <c r="F1209" s="291" t="s">
        <v>1076</v>
      </c>
      <c r="G1209" s="291"/>
      <c r="H1209" t="s">
        <v>1076</v>
      </c>
      <c r="I1209" s="293"/>
    </row>
    <row r="1210">
      <c r="B1210" s="287"/>
      <c r="C1210" s="288"/>
      <c r="D1210" s="289"/>
      <c r="E1210" s="291"/>
      <c r="F1210" s="291" t="s">
        <v>1076</v>
      </c>
      <c r="G1210" s="291"/>
      <c r="H1210" t="s">
        <v>1076</v>
      </c>
      <c r="I1210" s="293"/>
    </row>
    <row r="1211">
      <c r="B1211" s="287"/>
      <c r="C1211" s="288"/>
      <c r="D1211" s="289"/>
      <c r="E1211" s="291"/>
      <c r="F1211" s="291" t="s">
        <v>1076</v>
      </c>
      <c r="G1211" s="291"/>
      <c r="H1211" t="s">
        <v>1076</v>
      </c>
      <c r="I1211" s="293"/>
    </row>
    <row r="1212">
      <c r="B1212" s="287"/>
      <c r="C1212" s="288"/>
      <c r="D1212" s="289"/>
      <c r="E1212" s="291"/>
      <c r="F1212" s="291" t="s">
        <v>1076</v>
      </c>
      <c r="G1212" s="291"/>
      <c r="H1212" t="s">
        <v>1076</v>
      </c>
      <c r="I1212" s="293"/>
    </row>
    <row r="1213">
      <c r="B1213" s="287"/>
      <c r="C1213" s="288"/>
      <c r="D1213" s="289"/>
      <c r="E1213" s="291"/>
      <c r="F1213" s="291" t="s">
        <v>1076</v>
      </c>
      <c r="G1213" s="291"/>
      <c r="H1213" t="s">
        <v>1076</v>
      </c>
      <c r="I1213" s="293"/>
    </row>
    <row r="1214">
      <c r="B1214" s="287"/>
      <c r="C1214" s="288"/>
      <c r="D1214" s="289"/>
      <c r="E1214" s="291"/>
      <c r="F1214" s="291" t="s">
        <v>1076</v>
      </c>
      <c r="G1214" s="291"/>
      <c r="H1214" t="s">
        <v>1076</v>
      </c>
      <c r="I1214" s="293"/>
    </row>
    <row r="1215">
      <c r="B1215" s="287"/>
      <c r="C1215" s="288"/>
      <c r="D1215" s="289"/>
      <c r="E1215" s="291"/>
      <c r="F1215" s="291" t="s">
        <v>1076</v>
      </c>
      <c r="G1215" s="291"/>
      <c r="H1215" t="s">
        <v>1076</v>
      </c>
      <c r="I1215" s="293"/>
    </row>
    <row r="1216">
      <c r="B1216" s="287"/>
      <c r="C1216" s="288"/>
      <c r="D1216" s="289"/>
      <c r="E1216" s="291"/>
      <c r="F1216" s="291" t="s">
        <v>1076</v>
      </c>
      <c r="G1216" s="291"/>
      <c r="H1216" t="s">
        <v>1076</v>
      </c>
      <c r="I1216" s="293"/>
    </row>
    <row r="1217">
      <c r="B1217" s="287"/>
      <c r="C1217" s="288"/>
      <c r="D1217" s="289"/>
      <c r="E1217" s="291"/>
      <c r="F1217" s="291" t="s">
        <v>1076</v>
      </c>
      <c r="G1217" s="291"/>
      <c r="H1217" t="s">
        <v>1076</v>
      </c>
      <c r="I1217" s="293"/>
    </row>
    <row r="1218">
      <c r="B1218" s="287"/>
      <c r="C1218" s="288"/>
      <c r="D1218" s="289"/>
      <c r="E1218" s="291"/>
      <c r="F1218" s="291" t="s">
        <v>1076</v>
      </c>
      <c r="G1218" s="291"/>
      <c r="H1218" t="s">
        <v>1076</v>
      </c>
      <c r="I1218" s="293"/>
    </row>
    <row r="1219">
      <c r="B1219" s="287"/>
      <c r="C1219" s="288"/>
      <c r="D1219" s="289"/>
      <c r="E1219" s="291"/>
      <c r="F1219" s="291" t="s">
        <v>1076</v>
      </c>
      <c r="G1219" s="291"/>
      <c r="H1219" t="s">
        <v>1076</v>
      </c>
      <c r="I1219" s="293"/>
    </row>
    <row r="1220">
      <c r="B1220" s="287"/>
      <c r="C1220" s="288"/>
      <c r="D1220" s="289"/>
      <c r="E1220" s="291"/>
      <c r="F1220" s="291" t="s">
        <v>1076</v>
      </c>
      <c r="G1220" s="291"/>
      <c r="H1220" t="s">
        <v>1076</v>
      </c>
      <c r="I1220" s="293"/>
    </row>
    <row r="1221">
      <c r="B1221" s="287"/>
      <c r="C1221" s="288"/>
      <c r="D1221" s="289"/>
      <c r="E1221" s="291"/>
      <c r="F1221" s="291" t="s">
        <v>1076</v>
      </c>
      <c r="G1221" s="291"/>
      <c r="H1221" t="s">
        <v>1076</v>
      </c>
      <c r="I1221" s="293"/>
    </row>
    <row r="1222">
      <c r="B1222" s="287"/>
      <c r="C1222" s="288"/>
      <c r="D1222" s="289"/>
      <c r="E1222" s="291"/>
      <c r="F1222" s="291" t="s">
        <v>1076</v>
      </c>
      <c r="G1222" s="291"/>
      <c r="H1222" t="s">
        <v>1076</v>
      </c>
      <c r="I1222" s="293"/>
    </row>
    <row r="1223">
      <c r="B1223" s="287"/>
      <c r="C1223" s="288"/>
      <c r="D1223" s="289"/>
      <c r="E1223" s="291"/>
      <c r="F1223" s="291" t="s">
        <v>1076</v>
      </c>
      <c r="G1223" s="291"/>
      <c r="H1223" t="s">
        <v>1076</v>
      </c>
      <c r="I1223" s="293"/>
    </row>
    <row r="1224">
      <c r="B1224" s="287"/>
      <c r="C1224" s="288"/>
      <c r="D1224" s="289"/>
      <c r="E1224" s="291"/>
      <c r="F1224" s="291" t="s">
        <v>1076</v>
      </c>
      <c r="G1224" s="291"/>
      <c r="H1224" t="s">
        <v>1076</v>
      </c>
      <c r="I1224" s="293"/>
    </row>
    <row r="1225">
      <c r="B1225" s="287"/>
      <c r="C1225" s="288"/>
      <c r="D1225" s="289"/>
      <c r="E1225" s="291"/>
      <c r="F1225" s="291" t="s">
        <v>1076</v>
      </c>
      <c r="G1225" s="291"/>
      <c r="H1225" t="s">
        <v>1076</v>
      </c>
      <c r="I1225" s="293"/>
    </row>
    <row r="1226">
      <c r="B1226" s="287"/>
      <c r="C1226" s="288"/>
      <c r="D1226" s="289"/>
      <c r="E1226" s="291"/>
      <c r="F1226" s="291" t="s">
        <v>1076</v>
      </c>
      <c r="G1226" s="291"/>
      <c r="H1226" t="s">
        <v>1076</v>
      </c>
      <c r="I1226" s="293"/>
    </row>
    <row r="1227">
      <c r="B1227" s="287"/>
      <c r="C1227" s="288"/>
      <c r="D1227" s="289"/>
      <c r="E1227" s="291"/>
      <c r="F1227" s="291" t="s">
        <v>1076</v>
      </c>
      <c r="G1227" s="291"/>
      <c r="H1227" t="s">
        <v>1076</v>
      </c>
      <c r="I1227" s="293"/>
    </row>
    <row r="1228">
      <c r="B1228" s="287"/>
      <c r="C1228" s="288"/>
      <c r="D1228" s="289"/>
      <c r="E1228" s="291"/>
      <c r="F1228" s="291" t="s">
        <v>1076</v>
      </c>
      <c r="G1228" s="291"/>
      <c r="H1228" t="s">
        <v>1076</v>
      </c>
      <c r="I1228" s="293"/>
    </row>
    <row r="1229">
      <c r="B1229" s="287"/>
      <c r="C1229" s="288"/>
      <c r="D1229" s="289"/>
      <c r="E1229" s="291"/>
      <c r="F1229" s="291" t="s">
        <v>1076</v>
      </c>
      <c r="G1229" s="291"/>
      <c r="H1229" t="s">
        <v>1076</v>
      </c>
      <c r="I1229" s="293"/>
    </row>
    <row r="1230">
      <c r="B1230" s="287"/>
      <c r="C1230" s="288"/>
      <c r="D1230" s="289"/>
      <c r="E1230" s="291"/>
      <c r="F1230" s="291" t="s">
        <v>1076</v>
      </c>
      <c r="G1230" s="291"/>
      <c r="H1230" t="s">
        <v>1076</v>
      </c>
      <c r="I1230" s="293"/>
    </row>
    <row r="1231">
      <c r="B1231" s="287"/>
      <c r="C1231" s="288"/>
      <c r="D1231" s="289"/>
      <c r="E1231" s="291"/>
      <c r="F1231" s="291" t="s">
        <v>1076</v>
      </c>
      <c r="G1231" s="291"/>
      <c r="H1231" t="s">
        <v>1076</v>
      </c>
      <c r="I1231" s="293"/>
    </row>
    <row r="1232">
      <c r="B1232" s="287"/>
      <c r="C1232" s="288"/>
      <c r="D1232" s="289"/>
      <c r="E1232" s="291"/>
      <c r="F1232" s="291" t="s">
        <v>1076</v>
      </c>
      <c r="G1232" s="291"/>
      <c r="H1232" t="s">
        <v>1076</v>
      </c>
      <c r="I1232" s="293"/>
    </row>
    <row r="1233">
      <c r="B1233" s="287"/>
      <c r="C1233" s="288"/>
      <c r="D1233" s="289"/>
      <c r="E1233" s="291"/>
      <c r="F1233" s="291" t="s">
        <v>1076</v>
      </c>
      <c r="G1233" s="291"/>
      <c r="H1233" t="s">
        <v>1076</v>
      </c>
      <c r="I1233" s="293"/>
    </row>
    <row r="1234">
      <c r="B1234" s="287"/>
      <c r="C1234" s="288"/>
      <c r="D1234" s="289"/>
      <c r="E1234" s="291"/>
      <c r="F1234" s="291" t="s">
        <v>1076</v>
      </c>
      <c r="G1234" s="291"/>
      <c r="H1234" t="s">
        <v>1076</v>
      </c>
      <c r="I1234" s="293"/>
    </row>
    <row r="1235">
      <c r="B1235" s="287"/>
      <c r="C1235" s="288"/>
      <c r="D1235" s="289"/>
      <c r="E1235" s="291"/>
      <c r="F1235" s="291" t="s">
        <v>1076</v>
      </c>
      <c r="G1235" s="291"/>
      <c r="H1235" t="s">
        <v>1076</v>
      </c>
      <c r="I1235" s="293"/>
    </row>
    <row r="1236">
      <c r="B1236" s="287"/>
      <c r="C1236" s="288"/>
      <c r="D1236" s="289"/>
      <c r="E1236" s="291"/>
      <c r="F1236" s="291" t="s">
        <v>1076</v>
      </c>
      <c r="G1236" s="291"/>
      <c r="H1236" t="s">
        <v>1076</v>
      </c>
      <c r="I1236" s="293"/>
    </row>
    <row r="1237">
      <c r="B1237" s="287"/>
      <c r="C1237" s="288"/>
      <c r="D1237" s="289"/>
      <c r="E1237" s="291"/>
      <c r="F1237" s="291" t="s">
        <v>1076</v>
      </c>
      <c r="G1237" s="291"/>
      <c r="H1237" t="s">
        <v>1076</v>
      </c>
      <c r="I1237" s="293"/>
    </row>
    <row r="1238">
      <c r="B1238" s="287"/>
      <c r="C1238" s="288"/>
      <c r="D1238" s="289"/>
      <c r="E1238" s="291"/>
      <c r="F1238" s="291" t="s">
        <v>1076</v>
      </c>
      <c r="G1238" s="291"/>
      <c r="H1238" t="s">
        <v>1076</v>
      </c>
      <c r="I1238" s="293"/>
    </row>
    <row r="1239">
      <c r="B1239" s="287"/>
      <c r="C1239" s="288"/>
      <c r="D1239" s="289"/>
      <c r="E1239" s="291"/>
      <c r="F1239" s="291" t="s">
        <v>1076</v>
      </c>
      <c r="G1239" s="291"/>
      <c r="H1239" t="s">
        <v>1076</v>
      </c>
      <c r="I1239" s="293"/>
    </row>
    <row r="1240">
      <c r="B1240" s="287"/>
      <c r="C1240" s="288"/>
      <c r="D1240" s="289"/>
      <c r="E1240" s="291"/>
      <c r="F1240" s="291" t="s">
        <v>1076</v>
      </c>
      <c r="G1240" s="291"/>
      <c r="H1240" t="s">
        <v>1076</v>
      </c>
      <c r="I1240" s="293"/>
    </row>
    <row r="1241">
      <c r="B1241" s="287"/>
      <c r="C1241" s="288"/>
      <c r="D1241" s="289"/>
      <c r="E1241" s="291"/>
      <c r="F1241" s="291" t="s">
        <v>1076</v>
      </c>
      <c r="G1241" s="291"/>
      <c r="H1241" t="s">
        <v>1076</v>
      </c>
      <c r="I1241" s="293"/>
    </row>
    <row r="1242">
      <c r="B1242" s="287"/>
      <c r="C1242" s="288"/>
      <c r="D1242" s="289"/>
      <c r="E1242" s="291"/>
      <c r="F1242" s="291" t="s">
        <v>1076</v>
      </c>
      <c r="G1242" s="291"/>
      <c r="H1242" t="s">
        <v>1076</v>
      </c>
      <c r="I1242" s="293"/>
    </row>
    <row r="1243">
      <c r="B1243" s="287"/>
      <c r="C1243" s="288"/>
      <c r="D1243" s="289"/>
      <c r="E1243" s="291"/>
      <c r="F1243" s="291" t="s">
        <v>1076</v>
      </c>
      <c r="G1243" s="291"/>
      <c r="H1243" t="s">
        <v>1076</v>
      </c>
      <c r="I1243" s="293"/>
    </row>
    <row r="1244">
      <c r="B1244" s="287"/>
      <c r="C1244" s="288"/>
      <c r="D1244" s="289"/>
      <c r="E1244" s="291"/>
      <c r="F1244" s="291" t="s">
        <v>1076</v>
      </c>
      <c r="G1244" s="291"/>
      <c r="H1244" t="s">
        <v>1076</v>
      </c>
      <c r="I1244" s="293"/>
    </row>
    <row r="1245">
      <c r="B1245" s="287"/>
      <c r="C1245" s="288"/>
      <c r="D1245" s="289"/>
      <c r="E1245" s="291"/>
      <c r="F1245" s="291" t="s">
        <v>1076</v>
      </c>
      <c r="G1245" s="291"/>
      <c r="H1245" t="s">
        <v>1076</v>
      </c>
      <c r="I1245" s="293"/>
    </row>
    <row r="1246">
      <c r="B1246" s="287"/>
      <c r="C1246" s="288"/>
      <c r="D1246" s="289"/>
      <c r="E1246" s="291"/>
      <c r="F1246" s="291" t="s">
        <v>1076</v>
      </c>
      <c r="G1246" s="291"/>
      <c r="H1246" t="s">
        <v>1076</v>
      </c>
      <c r="I1246" s="293"/>
    </row>
    <row r="1247">
      <c r="B1247" s="287"/>
      <c r="C1247" s="288"/>
      <c r="D1247" s="289"/>
      <c r="E1247" s="291"/>
      <c r="F1247" s="291" t="s">
        <v>1076</v>
      </c>
      <c r="G1247" s="291"/>
      <c r="H1247" t="s">
        <v>1076</v>
      </c>
      <c r="I1247" s="293"/>
    </row>
    <row r="1248">
      <c r="B1248" s="287"/>
      <c r="C1248" s="288"/>
      <c r="D1248" s="289"/>
      <c r="E1248" s="291"/>
      <c r="F1248" s="291" t="s">
        <v>1076</v>
      </c>
      <c r="G1248" s="291"/>
      <c r="H1248" t="s">
        <v>1076</v>
      </c>
      <c r="I1248" s="293"/>
    </row>
    <row r="1249">
      <c r="B1249" s="287"/>
      <c r="C1249" s="288"/>
      <c r="D1249" s="289"/>
      <c r="E1249" s="291"/>
      <c r="F1249" s="291" t="s">
        <v>1076</v>
      </c>
      <c r="G1249" s="291"/>
      <c r="H1249" t="s">
        <v>1076</v>
      </c>
      <c r="I1249" s="293"/>
    </row>
    <row r="1250">
      <c r="B1250" s="287"/>
      <c r="C1250" s="288"/>
      <c r="D1250" s="289"/>
      <c r="E1250" s="291"/>
      <c r="F1250" s="291" t="s">
        <v>1076</v>
      </c>
      <c r="G1250" s="291"/>
      <c r="H1250" t="s">
        <v>1076</v>
      </c>
      <c r="I1250" s="293"/>
    </row>
    <row r="1251">
      <c r="B1251" s="287"/>
      <c r="C1251" s="288"/>
      <c r="D1251" s="289"/>
      <c r="E1251" s="291"/>
      <c r="F1251" s="291" t="s">
        <v>1076</v>
      </c>
      <c r="G1251" s="291"/>
      <c r="H1251" t="s">
        <v>1076</v>
      </c>
      <c r="I1251" s="293"/>
    </row>
    <row r="1252">
      <c r="B1252" s="287"/>
      <c r="C1252" s="288"/>
      <c r="D1252" s="289"/>
      <c r="E1252" s="291"/>
      <c r="F1252" s="291" t="s">
        <v>1076</v>
      </c>
      <c r="G1252" s="291"/>
      <c r="H1252" t="s">
        <v>1076</v>
      </c>
      <c r="I1252" s="293"/>
    </row>
    <row r="1253">
      <c r="B1253" s="287"/>
      <c r="C1253" s="288"/>
      <c r="D1253" s="289"/>
      <c r="E1253" s="291"/>
      <c r="F1253" s="291" t="s">
        <v>1076</v>
      </c>
      <c r="G1253" s="291"/>
      <c r="H1253" t="s">
        <v>1076</v>
      </c>
      <c r="I1253" s="293"/>
    </row>
    <row r="1254">
      <c r="B1254" s="287"/>
      <c r="C1254" s="288"/>
      <c r="D1254" s="289"/>
      <c r="E1254" s="291"/>
      <c r="F1254" s="291" t="s">
        <v>1076</v>
      </c>
      <c r="G1254" s="291"/>
      <c r="H1254" t="s">
        <v>1076</v>
      </c>
      <c r="I1254" s="293"/>
    </row>
    <row r="1255">
      <c r="B1255" s="287"/>
      <c r="C1255" s="288"/>
      <c r="D1255" s="289"/>
      <c r="E1255" s="291"/>
      <c r="F1255" s="291" t="s">
        <v>1076</v>
      </c>
      <c r="G1255" s="291"/>
      <c r="H1255" t="s">
        <v>1076</v>
      </c>
      <c r="I1255" s="293"/>
    </row>
    <row r="1256">
      <c r="B1256" s="287"/>
      <c r="C1256" s="288"/>
      <c r="D1256" s="289"/>
      <c r="E1256" s="291"/>
      <c r="F1256" s="291" t="s">
        <v>1076</v>
      </c>
      <c r="G1256" s="291"/>
      <c r="H1256" t="s">
        <v>1076</v>
      </c>
      <c r="I1256" s="293"/>
    </row>
    <row r="1257">
      <c r="B1257" s="287"/>
      <c r="C1257" s="288"/>
      <c r="D1257" s="289"/>
      <c r="E1257" s="291"/>
      <c r="F1257" s="291" t="s">
        <v>1076</v>
      </c>
      <c r="G1257" s="291"/>
      <c r="H1257" t="s">
        <v>1076</v>
      </c>
      <c r="I1257" s="293"/>
    </row>
    <row r="1258">
      <c r="B1258" s="287"/>
      <c r="C1258" s="288"/>
      <c r="D1258" s="289"/>
      <c r="E1258" s="291"/>
      <c r="F1258" s="291" t="s">
        <v>1076</v>
      </c>
      <c r="G1258" s="291"/>
      <c r="H1258" t="s">
        <v>1076</v>
      </c>
      <c r="I1258" s="293"/>
    </row>
    <row r="1259">
      <c r="B1259" s="287"/>
      <c r="C1259" s="288"/>
      <c r="D1259" s="289"/>
      <c r="E1259" s="291"/>
      <c r="F1259" s="291" t="s">
        <v>1076</v>
      </c>
      <c r="G1259" s="291"/>
      <c r="H1259" t="s">
        <v>1076</v>
      </c>
      <c r="I1259" s="293"/>
    </row>
    <row r="1260">
      <c r="B1260" s="287"/>
      <c r="C1260" s="288"/>
      <c r="D1260" s="289"/>
      <c r="E1260" s="291"/>
      <c r="F1260" s="291" t="s">
        <v>1076</v>
      </c>
      <c r="G1260" s="291"/>
      <c r="H1260" t="s">
        <v>1076</v>
      </c>
      <c r="I1260" s="293"/>
    </row>
    <row r="1261">
      <c r="B1261" s="287"/>
      <c r="C1261" s="288"/>
      <c r="D1261" s="289"/>
      <c r="E1261" s="291"/>
      <c r="F1261" s="291" t="s">
        <v>1076</v>
      </c>
      <c r="G1261" s="291"/>
      <c r="H1261" t="s">
        <v>1076</v>
      </c>
      <c r="I1261" s="293"/>
    </row>
    <row r="1262">
      <c r="B1262" s="287"/>
      <c r="C1262" s="288"/>
      <c r="D1262" s="289"/>
      <c r="E1262" s="291"/>
      <c r="F1262" s="291" t="s">
        <v>1076</v>
      </c>
      <c r="G1262" s="291"/>
      <c r="H1262" t="s">
        <v>1076</v>
      </c>
      <c r="I1262" s="293"/>
    </row>
    <row r="1263">
      <c r="B1263" s="287"/>
      <c r="C1263" s="288"/>
      <c r="D1263" s="289"/>
      <c r="E1263" s="291"/>
      <c r="F1263" s="291" t="s">
        <v>1076</v>
      </c>
      <c r="G1263" s="291"/>
      <c r="H1263" t="s">
        <v>1076</v>
      </c>
      <c r="I1263" s="293"/>
    </row>
    <row r="1264">
      <c r="B1264" s="287"/>
      <c r="C1264" s="288"/>
      <c r="D1264" s="289"/>
      <c r="E1264" s="291"/>
      <c r="F1264" s="291" t="s">
        <v>1076</v>
      </c>
      <c r="G1264" s="291"/>
      <c r="H1264" t="s">
        <v>1076</v>
      </c>
      <c r="I1264" s="293"/>
    </row>
    <row r="1265">
      <c r="B1265" s="287"/>
      <c r="C1265" s="288"/>
      <c r="D1265" s="289"/>
      <c r="E1265" s="291"/>
      <c r="F1265" s="291" t="s">
        <v>1076</v>
      </c>
      <c r="G1265" s="291"/>
      <c r="H1265" t="s">
        <v>1076</v>
      </c>
      <c r="I1265" s="293"/>
    </row>
    <row r="1266">
      <c r="B1266" s="287"/>
      <c r="C1266" s="288"/>
      <c r="D1266" s="289"/>
      <c r="E1266" s="291"/>
      <c r="F1266" s="291" t="s">
        <v>1076</v>
      </c>
      <c r="G1266" s="291"/>
      <c r="H1266" t="s">
        <v>1076</v>
      </c>
      <c r="I1266" s="293"/>
    </row>
    <row r="1267">
      <c r="B1267" s="287"/>
      <c r="C1267" s="288"/>
      <c r="D1267" s="289"/>
      <c r="E1267" s="291"/>
      <c r="F1267" s="291" t="s">
        <v>1076</v>
      </c>
      <c r="G1267" s="291"/>
      <c r="H1267" t="s">
        <v>1076</v>
      </c>
      <c r="I1267" s="293"/>
    </row>
    <row r="1268">
      <c r="B1268" s="287"/>
      <c r="C1268" s="288"/>
      <c r="D1268" s="289"/>
      <c r="E1268" s="291"/>
      <c r="F1268" s="291" t="s">
        <v>1076</v>
      </c>
      <c r="G1268" s="291"/>
      <c r="H1268" t="s">
        <v>1076</v>
      </c>
      <c r="I1268" s="293"/>
    </row>
    <row r="1269">
      <c r="B1269" s="287"/>
      <c r="C1269" s="288"/>
      <c r="D1269" s="289"/>
      <c r="E1269" s="291"/>
      <c r="F1269" s="291" t="s">
        <v>1076</v>
      </c>
      <c r="G1269" s="291"/>
      <c r="H1269" t="s">
        <v>1076</v>
      </c>
      <c r="I1269" s="293"/>
    </row>
    <row r="1270">
      <c r="B1270" s="287"/>
      <c r="C1270" s="288"/>
      <c r="D1270" s="289"/>
      <c r="E1270" s="291"/>
      <c r="F1270" s="291" t="s">
        <v>1076</v>
      </c>
      <c r="G1270" s="291"/>
      <c r="H1270" t="s">
        <v>1076</v>
      </c>
      <c r="I1270" s="293"/>
    </row>
    <row r="1271">
      <c r="B1271" s="287"/>
      <c r="C1271" s="288"/>
      <c r="D1271" s="289"/>
      <c r="E1271" s="291"/>
      <c r="F1271" s="291" t="s">
        <v>1076</v>
      </c>
      <c r="G1271" s="291"/>
      <c r="H1271" t="s">
        <v>1076</v>
      </c>
      <c r="I1271" s="293"/>
    </row>
    <row r="1272">
      <c r="B1272" s="287"/>
      <c r="C1272" s="288"/>
      <c r="D1272" s="289"/>
      <c r="E1272" s="291"/>
      <c r="F1272" s="291" t="s">
        <v>1076</v>
      </c>
      <c r="G1272" s="291"/>
      <c r="H1272" t="s">
        <v>1076</v>
      </c>
      <c r="I1272" s="293"/>
    </row>
    <row r="1273">
      <c r="B1273" s="287"/>
      <c r="C1273" s="288"/>
      <c r="D1273" s="289"/>
      <c r="E1273" s="291"/>
      <c r="F1273" s="291" t="s">
        <v>1076</v>
      </c>
      <c r="G1273" s="291"/>
      <c r="H1273" t="s">
        <v>1076</v>
      </c>
      <c r="I1273" s="293"/>
    </row>
    <row r="1274">
      <c r="B1274" s="287"/>
      <c r="C1274" s="288"/>
      <c r="D1274" s="289"/>
      <c r="E1274" s="291"/>
      <c r="F1274" s="291" t="s">
        <v>1076</v>
      </c>
      <c r="G1274" s="291"/>
      <c r="H1274" t="s">
        <v>1076</v>
      </c>
      <c r="I1274" s="293"/>
    </row>
    <row r="1275">
      <c r="B1275" s="287"/>
      <c r="C1275" s="288"/>
      <c r="D1275" s="289"/>
      <c r="E1275" s="291"/>
      <c r="F1275" s="291" t="s">
        <v>1076</v>
      </c>
      <c r="G1275" s="291"/>
      <c r="H1275" t="s">
        <v>1076</v>
      </c>
      <c r="I1275" s="293"/>
    </row>
    <row r="1276">
      <c r="B1276" s="287"/>
      <c r="C1276" s="288"/>
      <c r="D1276" s="289"/>
      <c r="E1276" s="291"/>
      <c r="F1276" s="291" t="s">
        <v>1076</v>
      </c>
      <c r="G1276" s="291"/>
      <c r="H1276" t="s">
        <v>1076</v>
      </c>
      <c r="I1276" s="293"/>
    </row>
    <row r="1277">
      <c r="B1277" s="287"/>
      <c r="C1277" s="288"/>
      <c r="D1277" s="289"/>
      <c r="E1277" s="291"/>
      <c r="F1277" s="291" t="s">
        <v>1076</v>
      </c>
      <c r="G1277" s="291"/>
      <c r="H1277" t="s">
        <v>1076</v>
      </c>
      <c r="I1277" s="293"/>
    </row>
    <row r="1278">
      <c r="B1278" s="287"/>
      <c r="C1278" s="288"/>
      <c r="D1278" s="289"/>
      <c r="E1278" s="291"/>
      <c r="F1278" s="291" t="s">
        <v>1076</v>
      </c>
      <c r="G1278" s="291"/>
      <c r="H1278" t="s">
        <v>1076</v>
      </c>
      <c r="I1278" s="293"/>
    </row>
    <row r="1279">
      <c r="B1279" s="287"/>
      <c r="C1279" s="288"/>
      <c r="D1279" s="289"/>
      <c r="E1279" s="291"/>
      <c r="F1279" s="291" t="s">
        <v>1076</v>
      </c>
      <c r="G1279" s="291"/>
      <c r="H1279" t="s">
        <v>1076</v>
      </c>
      <c r="I1279" s="293"/>
    </row>
    <row r="1280">
      <c r="B1280" s="287"/>
      <c r="C1280" s="288"/>
      <c r="D1280" s="289"/>
      <c r="E1280" s="291"/>
      <c r="F1280" s="291" t="s">
        <v>1076</v>
      </c>
      <c r="G1280" s="291"/>
      <c r="H1280" t="s">
        <v>1076</v>
      </c>
      <c r="I1280" s="293"/>
    </row>
    <row r="1281">
      <c r="B1281" s="287"/>
      <c r="C1281" s="288"/>
      <c r="D1281" s="289"/>
      <c r="E1281" s="291"/>
      <c r="F1281" s="291" t="s">
        <v>1076</v>
      </c>
      <c r="G1281" s="291"/>
      <c r="H1281" t="s">
        <v>1076</v>
      </c>
      <c r="I1281" s="293"/>
    </row>
    <row r="1282">
      <c r="B1282" s="301"/>
      <c r="C1282" s="288"/>
      <c r="D1282" s="289"/>
      <c r="E1282" s="302"/>
      <c r="F1282" s="302" t="s">
        <v>1076</v>
      </c>
      <c r="G1282" s="302"/>
      <c r="H1282" t="s">
        <v>1076</v>
      </c>
      <c r="I1282" s="293"/>
    </row>
    <row r="1283">
      <c r="B1283" s="301"/>
      <c r="C1283" s="288"/>
      <c r="D1283" s="289"/>
      <c r="E1283" s="302"/>
      <c r="F1283" s="302" t="s">
        <v>1076</v>
      </c>
      <c r="G1283" s="302"/>
      <c r="H1283" t="s">
        <v>1076</v>
      </c>
      <c r="I1283" s="293"/>
    </row>
    <row r="1284">
      <c r="B1284" s="301"/>
      <c r="C1284" s="288"/>
      <c r="D1284" s="289"/>
      <c r="E1284" s="302"/>
      <c r="F1284" s="302" t="s">
        <v>1076</v>
      </c>
      <c r="G1284" s="302"/>
      <c r="H1284" t="s">
        <v>1076</v>
      </c>
      <c r="I1284" s="293"/>
    </row>
    <row r="1285">
      <c r="B1285" s="301"/>
      <c r="C1285" s="288"/>
      <c r="D1285" s="289"/>
      <c r="E1285" s="302"/>
      <c r="F1285" s="302" t="s">
        <v>1076</v>
      </c>
      <c r="G1285" s="302"/>
      <c r="H1285" t="s">
        <v>1076</v>
      </c>
      <c r="I1285" s="293"/>
    </row>
    <row r="1286">
      <c r="B1286" s="301"/>
      <c r="C1286" s="288"/>
      <c r="D1286" s="289"/>
      <c r="E1286" s="302"/>
      <c r="F1286" s="302" t="s">
        <v>1076</v>
      </c>
      <c r="G1286" s="302"/>
      <c r="H1286" t="s">
        <v>1076</v>
      </c>
      <c r="I1286" s="293"/>
    </row>
    <row r="1287">
      <c r="B1287" s="301"/>
      <c r="C1287" s="288"/>
      <c r="D1287" s="289"/>
      <c r="E1287" s="302"/>
      <c r="F1287" s="302" t="s">
        <v>1076</v>
      </c>
      <c r="G1287" s="302"/>
      <c r="H1287" t="s">
        <v>1076</v>
      </c>
      <c r="I1287" s="293"/>
    </row>
    <row r="1288">
      <c r="B1288" s="301"/>
      <c r="C1288" s="288"/>
      <c r="D1288" s="289"/>
      <c r="E1288" s="302"/>
      <c r="F1288" s="302" t="s">
        <v>1076</v>
      </c>
      <c r="G1288" s="302"/>
      <c r="H1288" t="s">
        <v>1076</v>
      </c>
      <c r="I1288" s="293"/>
    </row>
    <row r="1289">
      <c r="B1289" s="301"/>
      <c r="C1289" s="288"/>
      <c r="D1289" s="289"/>
      <c r="E1289" s="302"/>
      <c r="F1289" s="302" t="s">
        <v>1076</v>
      </c>
      <c r="G1289" s="302"/>
      <c r="H1289" t="s">
        <v>1076</v>
      </c>
      <c r="I1289" s="293"/>
    </row>
    <row r="1290">
      <c r="B1290" s="301"/>
      <c r="C1290" s="288"/>
      <c r="D1290" s="289"/>
      <c r="E1290" s="302"/>
      <c r="F1290" s="302" t="s">
        <v>1076</v>
      </c>
      <c r="G1290" s="302"/>
      <c r="H1290" t="s">
        <v>1076</v>
      </c>
      <c r="I1290" s="293"/>
    </row>
    <row r="1291">
      <c r="B1291" s="301"/>
      <c r="C1291" s="288"/>
      <c r="D1291" s="289"/>
      <c r="E1291" s="302"/>
      <c r="F1291" s="302" t="s">
        <v>1076</v>
      </c>
      <c r="G1291" s="302"/>
      <c r="H1291" t="s">
        <v>1076</v>
      </c>
      <c r="I1291" s="293"/>
    </row>
    <row r="1292">
      <c r="B1292" s="301"/>
      <c r="C1292" s="288"/>
      <c r="D1292" s="289"/>
      <c r="E1292" s="302"/>
      <c r="F1292" s="302" t="s">
        <v>1076</v>
      </c>
      <c r="G1292" s="302"/>
      <c r="H1292" t="s">
        <v>1076</v>
      </c>
      <c r="I1292" s="293"/>
    </row>
    <row r="1293">
      <c r="B1293" s="301"/>
      <c r="C1293" s="288"/>
      <c r="D1293" s="289"/>
      <c r="E1293" s="302"/>
      <c r="F1293" s="302" t="s">
        <v>1076</v>
      </c>
      <c r="G1293" s="302"/>
      <c r="H1293" t="s">
        <v>1076</v>
      </c>
      <c r="I1293" s="293"/>
    </row>
    <row r="1294">
      <c r="B1294" s="301"/>
      <c r="C1294" s="288"/>
      <c r="D1294" s="289"/>
      <c r="E1294" s="302"/>
      <c r="F1294" s="302" t="s">
        <v>1076</v>
      </c>
      <c r="G1294" s="302"/>
      <c r="H1294" t="s">
        <v>1076</v>
      </c>
      <c r="I1294" s="293"/>
    </row>
    <row r="1295">
      <c r="B1295" s="301"/>
      <c r="C1295" s="288"/>
      <c r="D1295" s="289"/>
      <c r="E1295" s="302"/>
      <c r="F1295" s="302" t="s">
        <v>1076</v>
      </c>
      <c r="G1295" s="302"/>
      <c r="H1295" t="s">
        <v>1076</v>
      </c>
      <c r="I1295" s="293"/>
    </row>
    <row r="1296">
      <c r="B1296" s="301"/>
      <c r="C1296" s="288"/>
      <c r="D1296" s="289"/>
      <c r="E1296" s="302"/>
      <c r="F1296" s="302" t="s">
        <v>1076</v>
      </c>
      <c r="G1296" s="302"/>
      <c r="H1296" t="s">
        <v>1076</v>
      </c>
      <c r="I1296" s="293"/>
    </row>
    <row r="1297">
      <c r="B1297" s="301"/>
      <c r="C1297" s="288"/>
      <c r="D1297" s="289"/>
      <c r="E1297" s="302"/>
      <c r="F1297" s="302" t="s">
        <v>1076</v>
      </c>
      <c r="G1297" s="302"/>
      <c r="H1297" t="s">
        <v>1076</v>
      </c>
      <c r="I1297" s="293"/>
    </row>
    <row r="1298">
      <c r="B1298" s="301"/>
      <c r="C1298" s="288"/>
      <c r="D1298" s="289"/>
      <c r="E1298" s="302"/>
      <c r="F1298" s="302" t="s">
        <v>1076</v>
      </c>
      <c r="G1298" s="302"/>
      <c r="H1298" t="s">
        <v>1076</v>
      </c>
      <c r="I1298" s="293"/>
    </row>
    <row r="1299">
      <c r="B1299" s="301"/>
      <c r="C1299" s="288"/>
      <c r="D1299" s="289"/>
      <c r="E1299" s="302"/>
      <c r="F1299" s="302" t="s">
        <v>1076</v>
      </c>
      <c r="G1299" s="302"/>
      <c r="H1299" t="s">
        <v>1076</v>
      </c>
      <c r="I1299" s="293"/>
    </row>
    <row r="1300">
      <c r="B1300" s="301"/>
      <c r="C1300" s="288"/>
      <c r="D1300" s="289"/>
      <c r="E1300" s="302"/>
      <c r="F1300" s="302" t="s">
        <v>1076</v>
      </c>
      <c r="G1300" s="302"/>
      <c r="H1300" t="s">
        <v>1076</v>
      </c>
      <c r="I1300" s="293"/>
    </row>
    <row r="1301">
      <c r="B1301" s="301"/>
      <c r="C1301" s="288"/>
      <c r="D1301" s="289"/>
      <c r="E1301" s="302"/>
      <c r="F1301" s="302" t="s">
        <v>1076</v>
      </c>
      <c r="G1301" s="302"/>
      <c r="H1301" t="s">
        <v>1076</v>
      </c>
      <c r="I1301" s="293"/>
    </row>
    <row r="1302">
      <c r="B1302" s="301"/>
      <c r="C1302" s="288"/>
      <c r="D1302" s="289"/>
      <c r="E1302" s="302"/>
      <c r="F1302" s="302" t="s">
        <v>1076</v>
      </c>
      <c r="G1302" s="302"/>
      <c r="H1302" t="s">
        <v>1076</v>
      </c>
      <c r="I1302" s="293"/>
    </row>
    <row r="1303">
      <c r="B1303" s="301"/>
      <c r="C1303" s="288"/>
      <c r="D1303" s="289"/>
      <c r="E1303" s="302"/>
      <c r="F1303" s="302" t="s">
        <v>1076</v>
      </c>
      <c r="G1303" s="302"/>
      <c r="H1303" t="s">
        <v>1076</v>
      </c>
      <c r="I1303" s="293"/>
    </row>
    <row r="1304">
      <c r="B1304" s="301"/>
      <c r="C1304" s="288"/>
      <c r="D1304" s="289"/>
      <c r="E1304" s="302"/>
      <c r="F1304" s="302" t="s">
        <v>1076</v>
      </c>
      <c r="G1304" s="302"/>
      <c r="H1304" t="s">
        <v>1076</v>
      </c>
      <c r="I1304" s="293"/>
    </row>
    <row r="1305">
      <c r="B1305" s="301"/>
      <c r="C1305" s="288"/>
      <c r="D1305" s="289"/>
      <c r="E1305" s="302"/>
      <c r="F1305" s="302" t="s">
        <v>1076</v>
      </c>
      <c r="G1305" s="302"/>
      <c r="H1305" t="s">
        <v>1076</v>
      </c>
      <c r="I1305" s="293"/>
    </row>
    <row r="1306">
      <c r="B1306" s="301"/>
      <c r="C1306" s="288"/>
      <c r="D1306" s="289"/>
      <c r="E1306" s="302"/>
      <c r="F1306" s="302" t="s">
        <v>1076</v>
      </c>
      <c r="G1306" s="302"/>
      <c r="H1306" t="s">
        <v>1076</v>
      </c>
      <c r="I1306" s="293"/>
    </row>
    <row r="1307">
      <c r="B1307" s="301"/>
      <c r="C1307" s="288"/>
      <c r="D1307" s="289"/>
      <c r="E1307" s="302"/>
      <c r="F1307" s="302" t="s">
        <v>1076</v>
      </c>
      <c r="G1307" s="302"/>
      <c r="H1307" t="s">
        <v>1076</v>
      </c>
      <c r="I1307" s="293"/>
    </row>
    <row r="1308">
      <c r="B1308" s="301"/>
      <c r="C1308" s="288"/>
      <c r="D1308" s="289"/>
      <c r="E1308" s="302"/>
      <c r="F1308" s="302" t="s">
        <v>1076</v>
      </c>
      <c r="G1308" s="302"/>
      <c r="H1308" t="s">
        <v>1076</v>
      </c>
      <c r="I1308" s="293"/>
    </row>
    <row r="1309">
      <c r="B1309" s="301"/>
      <c r="C1309" s="288"/>
      <c r="D1309" s="289"/>
      <c r="E1309" s="302"/>
      <c r="F1309" s="302" t="s">
        <v>1076</v>
      </c>
      <c r="G1309" s="302"/>
      <c r="H1309" t="s">
        <v>1076</v>
      </c>
      <c r="I1309" s="293"/>
    </row>
    <row r="1310">
      <c r="B1310" s="301"/>
      <c r="C1310" s="288"/>
      <c r="D1310" s="289"/>
      <c r="E1310" s="302"/>
      <c r="F1310" s="302" t="s">
        <v>1076</v>
      </c>
      <c r="G1310" s="302"/>
      <c r="H1310" t="s">
        <v>1076</v>
      </c>
      <c r="I1310" s="293"/>
    </row>
    <row r="1311">
      <c r="B1311" s="301"/>
      <c r="C1311" s="288"/>
      <c r="D1311" s="289"/>
      <c r="E1311" s="302"/>
      <c r="F1311" s="302" t="s">
        <v>1076</v>
      </c>
      <c r="G1311" s="302"/>
      <c r="H1311" t="s">
        <v>1076</v>
      </c>
      <c r="I1311" s="293"/>
    </row>
    <row r="1312">
      <c r="B1312" s="301"/>
      <c r="C1312" s="288"/>
      <c r="D1312" s="289"/>
      <c r="E1312" s="302"/>
      <c r="F1312" s="302" t="s">
        <v>1076</v>
      </c>
      <c r="G1312" s="302"/>
      <c r="H1312" t="s">
        <v>1076</v>
      </c>
      <c r="I1312" s="293"/>
    </row>
    <row r="1313">
      <c r="B1313" s="301"/>
      <c r="C1313" s="288"/>
      <c r="D1313" s="289"/>
      <c r="E1313" s="302"/>
      <c r="F1313" s="302" t="s">
        <v>1076</v>
      </c>
      <c r="G1313" s="302"/>
      <c r="H1313" t="s">
        <v>1076</v>
      </c>
      <c r="I1313" s="293"/>
    </row>
    <row r="1314">
      <c r="B1314" s="301"/>
      <c r="C1314" s="288"/>
      <c r="D1314" s="289"/>
      <c r="E1314" s="302"/>
      <c r="F1314" s="302" t="s">
        <v>1076</v>
      </c>
      <c r="G1314" s="302"/>
      <c r="H1314" t="s">
        <v>1076</v>
      </c>
      <c r="I1314" s="293"/>
    </row>
    <row r="1315">
      <c r="B1315" s="301"/>
      <c r="C1315" s="288"/>
      <c r="D1315" s="289"/>
      <c r="E1315" s="302"/>
      <c r="F1315" s="302" t="s">
        <v>1076</v>
      </c>
      <c r="G1315" s="302"/>
      <c r="H1315" t="s">
        <v>1076</v>
      </c>
      <c r="I1315" s="293"/>
    </row>
    <row r="1316">
      <c r="B1316" s="301"/>
      <c r="C1316" s="288"/>
      <c r="D1316" s="289"/>
      <c r="E1316" s="302"/>
      <c r="F1316" s="302" t="s">
        <v>1076</v>
      </c>
      <c r="G1316" s="302"/>
      <c r="H1316" t="s">
        <v>1076</v>
      </c>
      <c r="I1316" s="293"/>
    </row>
    <row r="1317">
      <c r="B1317" s="301"/>
      <c r="C1317" s="288"/>
      <c r="D1317" s="289"/>
      <c r="E1317" s="302"/>
      <c r="F1317" s="302" t="s">
        <v>1076</v>
      </c>
      <c r="G1317" s="302"/>
      <c r="H1317" t="s">
        <v>1076</v>
      </c>
      <c r="I1317" s="293"/>
    </row>
    <row r="1318">
      <c r="B1318" s="301"/>
      <c r="C1318" s="288"/>
      <c r="D1318" s="289"/>
      <c r="E1318" s="302"/>
      <c r="F1318" s="302" t="s">
        <v>1076</v>
      </c>
      <c r="G1318" s="302"/>
      <c r="H1318" t="s">
        <v>1076</v>
      </c>
      <c r="I1318" s="293"/>
    </row>
    <row r="1319">
      <c r="B1319" s="301"/>
      <c r="C1319" s="288"/>
      <c r="D1319" s="289"/>
      <c r="E1319" s="302"/>
      <c r="F1319" s="302" t="s">
        <v>1076</v>
      </c>
      <c r="G1319" s="302"/>
      <c r="H1319" t="s">
        <v>1076</v>
      </c>
      <c r="I1319" s="293"/>
    </row>
    <row r="1320">
      <c r="B1320" s="301"/>
      <c r="C1320" s="288"/>
      <c r="D1320" s="289"/>
      <c r="E1320" s="302"/>
      <c r="F1320" s="302" t="s">
        <v>1076</v>
      </c>
      <c r="G1320" s="302"/>
      <c r="H1320" t="s">
        <v>1076</v>
      </c>
      <c r="I1320" s="293"/>
    </row>
    <row r="1321">
      <c r="B1321" s="301"/>
      <c r="C1321" s="288"/>
      <c r="D1321" s="289"/>
      <c r="E1321" s="302"/>
      <c r="F1321" s="302" t="s">
        <v>1076</v>
      </c>
      <c r="G1321" s="302"/>
      <c r="H1321" t="s">
        <v>1076</v>
      </c>
      <c r="I1321" s="293"/>
    </row>
    <row r="1322">
      <c r="B1322" s="301"/>
      <c r="C1322" s="288"/>
      <c r="D1322" s="289"/>
      <c r="E1322" s="302"/>
      <c r="F1322" s="302" t="s">
        <v>1076</v>
      </c>
      <c r="G1322" s="302"/>
      <c r="H1322" t="s">
        <v>1076</v>
      </c>
      <c r="I1322" s="293"/>
    </row>
    <row r="1323">
      <c r="B1323" s="301"/>
      <c r="C1323" s="288"/>
      <c r="D1323" s="289"/>
      <c r="E1323" s="302"/>
      <c r="F1323" s="302" t="s">
        <v>1076</v>
      </c>
      <c r="G1323" s="302"/>
      <c r="H1323" t="s">
        <v>1076</v>
      </c>
      <c r="I1323" s="293"/>
    </row>
    <row r="1324">
      <c r="B1324" s="301"/>
      <c r="C1324" s="288"/>
      <c r="D1324" s="289"/>
      <c r="E1324" s="302"/>
      <c r="F1324" s="302" t="s">
        <v>1076</v>
      </c>
      <c r="G1324" s="302"/>
      <c r="H1324" t="s">
        <v>1076</v>
      </c>
      <c r="I1324" s="293"/>
    </row>
    <row r="1325">
      <c r="B1325" s="301"/>
      <c r="C1325" s="288"/>
      <c r="D1325" s="289"/>
      <c r="E1325" s="302"/>
      <c r="F1325" s="302" t="s">
        <v>1076</v>
      </c>
      <c r="G1325" s="302"/>
      <c r="H1325" t="s">
        <v>1076</v>
      </c>
      <c r="I1325" s="293"/>
    </row>
    <row r="1326">
      <c r="B1326" s="301"/>
      <c r="C1326" s="288"/>
      <c r="D1326" s="289"/>
      <c r="E1326" s="302"/>
      <c r="F1326" s="302" t="s">
        <v>1076</v>
      </c>
      <c r="G1326" s="302"/>
      <c r="H1326" t="s">
        <v>1076</v>
      </c>
      <c r="I1326" s="293"/>
    </row>
    <row r="1327">
      <c r="B1327" s="301"/>
      <c r="C1327" s="288"/>
      <c r="D1327" s="289"/>
      <c r="E1327" s="302"/>
      <c r="F1327" s="302" t="s">
        <v>1076</v>
      </c>
      <c r="G1327" s="302"/>
      <c r="H1327" t="s">
        <v>1076</v>
      </c>
      <c r="I1327" s="293"/>
    </row>
    <row r="1328">
      <c r="B1328" s="301"/>
      <c r="C1328" s="288"/>
      <c r="D1328" s="289"/>
      <c r="E1328" s="302"/>
      <c r="F1328" s="302" t="s">
        <v>1076</v>
      </c>
      <c r="G1328" s="302"/>
      <c r="H1328" t="s">
        <v>1076</v>
      </c>
      <c r="I1328" s="293"/>
    </row>
    <row r="1329">
      <c r="B1329" s="301"/>
      <c r="C1329" s="288"/>
      <c r="D1329" s="289"/>
      <c r="E1329" s="302"/>
      <c r="F1329" s="302" t="s">
        <v>1076</v>
      </c>
      <c r="G1329" s="302"/>
      <c r="H1329" t="s">
        <v>1076</v>
      </c>
      <c r="I1329" s="293"/>
    </row>
    <row r="1330">
      <c r="B1330" s="301"/>
      <c r="C1330" s="288"/>
      <c r="D1330" s="289"/>
      <c r="E1330" s="302"/>
      <c r="F1330" s="302" t="s">
        <v>1076</v>
      </c>
      <c r="G1330" s="302"/>
      <c r="H1330" t="s">
        <v>1076</v>
      </c>
      <c r="I1330" s="293"/>
    </row>
    <row r="1331">
      <c r="B1331" s="301"/>
      <c r="C1331" s="288"/>
      <c r="D1331" s="289"/>
      <c r="E1331" s="302"/>
      <c r="F1331" s="302" t="s">
        <v>1076</v>
      </c>
      <c r="G1331" s="302"/>
      <c r="H1331" t="s">
        <v>1076</v>
      </c>
      <c r="I1331" s="293"/>
    </row>
    <row r="1332">
      <c r="B1332" s="301"/>
      <c r="C1332" s="288"/>
      <c r="D1332" s="289"/>
      <c r="E1332" s="302"/>
      <c r="F1332" s="302" t="s">
        <v>1076</v>
      </c>
      <c r="G1332" s="302"/>
      <c r="H1332" t="s">
        <v>1076</v>
      </c>
      <c r="I1332" s="293"/>
    </row>
    <row r="1333">
      <c r="B1333" s="301"/>
      <c r="C1333" s="288"/>
      <c r="D1333" s="289"/>
      <c r="E1333" s="302"/>
      <c r="F1333" s="302" t="s">
        <v>1076</v>
      </c>
      <c r="G1333" s="302"/>
      <c r="H1333" t="s">
        <v>1076</v>
      </c>
      <c r="I1333" s="293"/>
    </row>
    <row r="1334">
      <c r="B1334" s="301"/>
      <c r="C1334" s="288"/>
      <c r="D1334" s="289"/>
      <c r="E1334" s="302"/>
      <c r="F1334" s="302" t="s">
        <v>1076</v>
      </c>
      <c r="G1334" s="302"/>
      <c r="H1334" t="s">
        <v>1076</v>
      </c>
      <c r="I1334" s="293"/>
    </row>
    <row r="1335">
      <c r="B1335" s="301"/>
      <c r="C1335" s="288"/>
      <c r="D1335" s="289"/>
      <c r="E1335" s="302"/>
      <c r="F1335" s="302" t="s">
        <v>1076</v>
      </c>
      <c r="G1335" s="302"/>
      <c r="H1335" t="s">
        <v>1076</v>
      </c>
      <c r="I1335" s="293"/>
    </row>
    <row r="1336">
      <c r="B1336" s="301"/>
      <c r="C1336" s="288"/>
      <c r="D1336" s="289"/>
      <c r="E1336" s="302"/>
      <c r="F1336" s="302" t="s">
        <v>1076</v>
      </c>
      <c r="G1336" s="302"/>
      <c r="H1336" t="s">
        <v>1076</v>
      </c>
      <c r="I1336" s="293"/>
    </row>
    <row r="1337">
      <c r="B1337" s="301"/>
      <c r="C1337" s="288"/>
      <c r="D1337" s="289"/>
      <c r="E1337" s="302"/>
      <c r="F1337" s="302" t="s">
        <v>1076</v>
      </c>
      <c r="G1337" s="302"/>
      <c r="H1337" t="s">
        <v>1076</v>
      </c>
      <c r="I1337" s="293"/>
    </row>
    <row r="1338">
      <c r="B1338" s="301"/>
      <c r="C1338" s="288"/>
      <c r="D1338" s="289"/>
      <c r="E1338" s="302"/>
      <c r="F1338" s="302" t="s">
        <v>1076</v>
      </c>
      <c r="G1338" s="302"/>
      <c r="H1338" t="s">
        <v>1076</v>
      </c>
      <c r="I1338" s="293"/>
    </row>
    <row r="1339">
      <c r="B1339" s="301"/>
      <c r="C1339" s="288"/>
      <c r="D1339" s="289"/>
      <c r="E1339" s="302"/>
      <c r="F1339" s="302" t="s">
        <v>1076</v>
      </c>
      <c r="G1339" s="302"/>
      <c r="H1339" t="s">
        <v>1076</v>
      </c>
      <c r="I1339" s="293"/>
    </row>
    <row r="1340">
      <c r="B1340" s="301"/>
      <c r="C1340" s="288"/>
      <c r="D1340" s="289"/>
      <c r="E1340" s="302"/>
      <c r="F1340" s="302" t="s">
        <v>1076</v>
      </c>
      <c r="G1340" s="302"/>
      <c r="H1340" t="s">
        <v>1076</v>
      </c>
      <c r="I1340" s="293"/>
    </row>
    <row r="1341">
      <c r="B1341" s="301"/>
      <c r="C1341" s="288"/>
      <c r="D1341" s="289"/>
      <c r="E1341" s="302"/>
      <c r="F1341" s="302" t="s">
        <v>1076</v>
      </c>
      <c r="G1341" s="302"/>
      <c r="H1341" t="s">
        <v>1076</v>
      </c>
      <c r="I1341" s="293"/>
    </row>
    <row r="1342">
      <c r="B1342" s="301"/>
      <c r="C1342" s="288"/>
      <c r="D1342" s="289"/>
      <c r="E1342" s="302"/>
      <c r="F1342" s="302" t="s">
        <v>1076</v>
      </c>
      <c r="G1342" s="302"/>
      <c r="H1342" t="s">
        <v>1076</v>
      </c>
      <c r="I1342" s="293"/>
    </row>
    <row r="1343">
      <c r="B1343" s="301"/>
      <c r="C1343" s="288"/>
      <c r="D1343" s="289"/>
      <c r="E1343" s="302"/>
      <c r="F1343" s="302" t="s">
        <v>1076</v>
      </c>
      <c r="G1343" s="302"/>
      <c r="H1343" t="s">
        <v>1076</v>
      </c>
      <c r="I1343" s="293"/>
    </row>
    <row r="1344">
      <c r="B1344" s="301"/>
      <c r="C1344" s="288"/>
      <c r="D1344" s="289"/>
      <c r="E1344" s="302"/>
      <c r="F1344" s="302" t="s">
        <v>1076</v>
      </c>
      <c r="G1344" s="302"/>
      <c r="H1344" t="s">
        <v>1076</v>
      </c>
      <c r="I1344" s="293"/>
    </row>
    <row r="1345">
      <c r="B1345" s="301"/>
      <c r="C1345" s="288"/>
      <c r="D1345" s="289"/>
      <c r="E1345" s="302"/>
      <c r="F1345" s="302" t="s">
        <v>1076</v>
      </c>
      <c r="G1345" s="302"/>
      <c r="H1345" t="s">
        <v>1076</v>
      </c>
      <c r="I1345" s="293"/>
    </row>
    <row r="1346">
      <c r="B1346" s="301"/>
      <c r="C1346" s="288"/>
      <c r="D1346" s="289"/>
      <c r="E1346" s="302"/>
      <c r="F1346" s="302" t="s">
        <v>1076</v>
      </c>
      <c r="G1346" s="302"/>
      <c r="H1346" t="s">
        <v>1076</v>
      </c>
      <c r="I1346" s="293"/>
    </row>
    <row r="1347">
      <c r="B1347" s="301"/>
      <c r="C1347" s="288"/>
      <c r="D1347" s="289"/>
      <c r="E1347" s="302"/>
      <c r="F1347" s="302" t="s">
        <v>1076</v>
      </c>
      <c r="G1347" s="302"/>
      <c r="H1347" t="s">
        <v>1076</v>
      </c>
      <c r="I1347" s="293"/>
    </row>
    <row r="1348">
      <c r="B1348" s="301"/>
      <c r="C1348" s="288"/>
      <c r="D1348" s="289"/>
      <c r="E1348" s="302"/>
      <c r="F1348" s="302" t="s">
        <v>1076</v>
      </c>
      <c r="G1348" s="302"/>
      <c r="H1348" t="s">
        <v>1076</v>
      </c>
      <c r="I1348" s="293"/>
    </row>
    <row r="1349">
      <c r="B1349" s="301"/>
      <c r="C1349" s="288"/>
      <c r="D1349" s="289"/>
      <c r="E1349" s="302"/>
      <c r="F1349" s="302" t="s">
        <v>1076</v>
      </c>
      <c r="G1349" s="302"/>
      <c r="H1349" t="s">
        <v>1076</v>
      </c>
      <c r="I1349" s="293"/>
    </row>
    <row r="1350">
      <c r="B1350" s="301"/>
      <c r="C1350" s="288"/>
      <c r="D1350" s="289"/>
      <c r="E1350" s="302"/>
      <c r="F1350" s="302" t="s">
        <v>1076</v>
      </c>
      <c r="G1350" s="302"/>
      <c r="H1350" t="s">
        <v>1076</v>
      </c>
      <c r="I1350" s="293"/>
    </row>
    <row r="1351">
      <c r="B1351" s="301"/>
      <c r="C1351" s="288"/>
      <c r="D1351" s="289"/>
      <c r="E1351" s="302"/>
      <c r="F1351" s="302" t="s">
        <v>1076</v>
      </c>
      <c r="G1351" s="302"/>
      <c r="H1351" t="s">
        <v>1076</v>
      </c>
      <c r="I1351" s="293"/>
    </row>
    <row r="1352">
      <c r="B1352" s="301"/>
      <c r="C1352" s="288"/>
      <c r="D1352" s="289"/>
      <c r="E1352" s="302"/>
      <c r="F1352" s="302" t="s">
        <v>1076</v>
      </c>
      <c r="G1352" s="302"/>
      <c r="H1352" t="s">
        <v>1076</v>
      </c>
      <c r="I1352" s="293"/>
    </row>
    <row r="1353">
      <c r="B1353" s="301"/>
      <c r="C1353" s="288"/>
      <c r="D1353" s="289"/>
      <c r="E1353" s="302"/>
      <c r="F1353" s="302" t="s">
        <v>1076</v>
      </c>
      <c r="G1353" s="302"/>
      <c r="H1353" t="s">
        <v>1076</v>
      </c>
      <c r="I1353" s="293"/>
    </row>
    <row r="1354">
      <c r="B1354" s="301"/>
      <c r="C1354" s="288"/>
      <c r="D1354" s="289"/>
      <c r="E1354" s="302"/>
      <c r="F1354" s="302" t="s">
        <v>1076</v>
      </c>
      <c r="G1354" s="302"/>
      <c r="H1354" t="s">
        <v>1076</v>
      </c>
      <c r="I1354" s="293"/>
    </row>
    <row r="1355">
      <c r="B1355" s="301"/>
      <c r="C1355" s="288"/>
      <c r="D1355" s="289"/>
      <c r="E1355" s="302"/>
      <c r="F1355" s="302" t="s">
        <v>1076</v>
      </c>
      <c r="G1355" s="302"/>
      <c r="H1355" t="s">
        <v>1076</v>
      </c>
      <c r="I1355" s="293"/>
    </row>
    <row r="1356">
      <c r="B1356" s="301"/>
      <c r="C1356" s="288"/>
      <c r="D1356" s="289"/>
      <c r="E1356" s="302"/>
      <c r="F1356" s="302" t="s">
        <v>1076</v>
      </c>
      <c r="G1356" s="302"/>
      <c r="H1356" t="s">
        <v>1076</v>
      </c>
      <c r="I1356" s="293"/>
    </row>
    <row r="1357">
      <c r="B1357" s="301"/>
      <c r="C1357" s="288"/>
      <c r="D1357" s="289"/>
      <c r="E1357" s="302"/>
      <c r="F1357" s="302" t="s">
        <v>1076</v>
      </c>
      <c r="G1357" s="302"/>
      <c r="H1357" t="s">
        <v>1076</v>
      </c>
      <c r="I1357" s="293"/>
    </row>
    <row r="1358">
      <c r="B1358" s="301"/>
      <c r="C1358" s="288"/>
      <c r="D1358" s="289"/>
      <c r="E1358" s="302"/>
      <c r="F1358" s="302" t="s">
        <v>1076</v>
      </c>
      <c r="G1358" s="302"/>
      <c r="H1358" t="s">
        <v>1076</v>
      </c>
      <c r="I1358" s="293"/>
    </row>
    <row r="1359">
      <c r="B1359" s="301"/>
      <c r="C1359" s="288"/>
      <c r="D1359" s="289"/>
      <c r="E1359" s="302"/>
      <c r="F1359" s="302" t="s">
        <v>1076</v>
      </c>
      <c r="G1359" s="302"/>
      <c r="H1359" t="s">
        <v>1076</v>
      </c>
      <c r="I1359" s="293"/>
    </row>
    <row r="1360">
      <c r="B1360" s="301"/>
      <c r="C1360" s="288"/>
      <c r="D1360" s="289"/>
      <c r="E1360" s="302"/>
      <c r="F1360" s="302" t="s">
        <v>1076</v>
      </c>
      <c r="G1360" s="302"/>
      <c r="H1360" t="s">
        <v>1076</v>
      </c>
      <c r="I1360" s="293"/>
    </row>
    <row r="1361">
      <c r="B1361" s="301"/>
      <c r="C1361" s="288"/>
      <c r="D1361" s="289"/>
      <c r="E1361" s="302"/>
      <c r="F1361" s="302" t="s">
        <v>1076</v>
      </c>
      <c r="G1361" s="302"/>
      <c r="H1361" t="s">
        <v>1076</v>
      </c>
      <c r="I1361" s="293"/>
    </row>
    <row r="1362">
      <c r="B1362" s="301"/>
      <c r="C1362" s="288"/>
      <c r="D1362" s="289"/>
      <c r="E1362" s="302"/>
      <c r="F1362" s="302" t="s">
        <v>1076</v>
      </c>
      <c r="G1362" s="302"/>
      <c r="H1362" t="s">
        <v>1076</v>
      </c>
      <c r="I1362" s="293"/>
    </row>
    <row r="1363">
      <c r="B1363" s="301"/>
      <c r="C1363" s="288"/>
      <c r="D1363" s="289"/>
      <c r="E1363" s="302"/>
      <c r="F1363" s="302" t="s">
        <v>1076</v>
      </c>
      <c r="G1363" s="302"/>
      <c r="H1363" t="s">
        <v>1076</v>
      </c>
      <c r="I1363" s="293"/>
    </row>
    <row r="1364">
      <c r="B1364" s="301"/>
      <c r="C1364" s="288"/>
      <c r="D1364" s="289"/>
      <c r="E1364" s="302"/>
      <c r="F1364" s="302" t="s">
        <v>1076</v>
      </c>
      <c r="G1364" s="302"/>
      <c r="H1364" t="s">
        <v>1076</v>
      </c>
      <c r="I1364" s="293"/>
    </row>
    <row r="1365">
      <c r="B1365" s="301"/>
      <c r="C1365" s="288"/>
      <c r="D1365" s="289"/>
      <c r="E1365" s="302"/>
      <c r="F1365" s="302" t="s">
        <v>1076</v>
      </c>
      <c r="G1365" s="302"/>
      <c r="H1365" t="s">
        <v>1076</v>
      </c>
      <c r="I1365" s="293"/>
    </row>
    <row r="1366">
      <c r="B1366" s="301"/>
      <c r="C1366" s="288"/>
      <c r="D1366" s="289"/>
      <c r="E1366" s="302"/>
      <c r="F1366" s="302" t="s">
        <v>1076</v>
      </c>
      <c r="G1366" s="302"/>
      <c r="H1366" t="s">
        <v>1076</v>
      </c>
      <c r="I1366" s="293"/>
    </row>
    <row r="1367">
      <c r="B1367" s="301"/>
      <c r="C1367" s="288"/>
      <c r="D1367" s="289"/>
      <c r="E1367" s="302"/>
      <c r="F1367" s="302" t="s">
        <v>1076</v>
      </c>
      <c r="G1367" s="302"/>
      <c r="H1367" t="s">
        <v>1076</v>
      </c>
      <c r="I1367" s="293"/>
    </row>
    <row r="1368">
      <c r="B1368" s="301"/>
      <c r="C1368" s="288"/>
      <c r="D1368" s="289"/>
      <c r="E1368" s="302"/>
      <c r="F1368" s="302" t="s">
        <v>1076</v>
      </c>
      <c r="G1368" s="302"/>
      <c r="H1368" t="s">
        <v>1076</v>
      </c>
      <c r="I1368" s="293"/>
    </row>
    <row r="1369">
      <c r="B1369" s="301"/>
      <c r="C1369" s="288"/>
      <c r="D1369" s="289"/>
      <c r="E1369" s="302"/>
      <c r="F1369" s="302" t="s">
        <v>1076</v>
      </c>
      <c r="G1369" s="302"/>
      <c r="H1369" t="s">
        <v>1076</v>
      </c>
      <c r="I1369" s="293"/>
    </row>
    <row r="1370">
      <c r="B1370" s="301"/>
      <c r="C1370" s="288"/>
      <c r="D1370" s="289"/>
      <c r="E1370" s="302"/>
      <c r="F1370" s="302" t="s">
        <v>1076</v>
      </c>
      <c r="G1370" s="302"/>
      <c r="H1370" t="s">
        <v>1076</v>
      </c>
      <c r="I1370" s="293"/>
    </row>
    <row r="1371">
      <c r="B1371" s="301"/>
      <c r="C1371" s="288"/>
      <c r="D1371" s="289"/>
      <c r="E1371" s="302"/>
      <c r="F1371" s="302" t="s">
        <v>1076</v>
      </c>
      <c r="G1371" s="302"/>
      <c r="H1371" t="s">
        <v>1076</v>
      </c>
      <c r="I1371" s="293"/>
    </row>
    <row r="1372">
      <c r="B1372" s="301"/>
      <c r="C1372" s="288"/>
      <c r="D1372" s="289"/>
      <c r="E1372" s="302"/>
      <c r="F1372" s="302" t="s">
        <v>1076</v>
      </c>
      <c r="G1372" s="302"/>
      <c r="H1372" t="s">
        <v>1076</v>
      </c>
      <c r="I1372" s="293"/>
    </row>
    <row r="1373">
      <c r="B1373" s="301"/>
      <c r="C1373" s="288"/>
      <c r="D1373" s="289"/>
      <c r="E1373" s="302"/>
      <c r="F1373" s="302" t="s">
        <v>1076</v>
      </c>
      <c r="G1373" s="302"/>
      <c r="H1373" t="s">
        <v>1076</v>
      </c>
      <c r="I1373" s="293"/>
    </row>
    <row r="1374">
      <c r="B1374" s="301"/>
      <c r="C1374" s="288"/>
      <c r="D1374" s="289"/>
      <c r="E1374" s="302"/>
      <c r="F1374" s="302" t="s">
        <v>1076</v>
      </c>
      <c r="G1374" s="302"/>
      <c r="H1374" t="s">
        <v>1076</v>
      </c>
      <c r="I1374" s="293"/>
    </row>
    <row r="1375">
      <c r="B1375" s="301"/>
      <c r="C1375" s="288"/>
      <c r="D1375" s="289"/>
      <c r="E1375" s="302"/>
      <c r="F1375" s="302" t="s">
        <v>1076</v>
      </c>
      <c r="G1375" s="302"/>
      <c r="H1375" t="s">
        <v>1076</v>
      </c>
      <c r="I1375" s="293"/>
    </row>
    <row r="1376">
      <c r="B1376" s="301"/>
      <c r="C1376" s="288"/>
      <c r="D1376" s="289"/>
      <c r="E1376" s="302"/>
      <c r="F1376" s="302" t="s">
        <v>1076</v>
      </c>
      <c r="G1376" s="302"/>
      <c r="H1376" t="s">
        <v>1076</v>
      </c>
      <c r="I1376" s="293"/>
    </row>
    <row r="1377">
      <c r="B1377" s="301"/>
      <c r="C1377" s="288"/>
      <c r="D1377" s="289"/>
      <c r="E1377" s="302"/>
      <c r="F1377" s="302" t="s">
        <v>1076</v>
      </c>
      <c r="G1377" s="302"/>
      <c r="H1377" t="s">
        <v>1076</v>
      </c>
      <c r="I1377" s="293"/>
    </row>
    <row r="1378">
      <c r="B1378" s="301"/>
      <c r="C1378" s="288"/>
      <c r="D1378" s="289"/>
      <c r="E1378" s="302"/>
      <c r="F1378" s="302" t="s">
        <v>1076</v>
      </c>
      <c r="G1378" s="302"/>
      <c r="H1378" t="s">
        <v>1076</v>
      </c>
      <c r="I1378" s="293"/>
    </row>
    <row r="1379">
      <c r="B1379" s="301"/>
      <c r="C1379" s="288"/>
      <c r="D1379" s="289"/>
      <c r="E1379" s="302"/>
      <c r="F1379" s="302" t="s">
        <v>1076</v>
      </c>
      <c r="G1379" s="302"/>
      <c r="H1379" t="s">
        <v>1076</v>
      </c>
      <c r="I1379" s="293"/>
    </row>
    <row r="1380">
      <c r="B1380" s="301"/>
      <c r="C1380" s="288"/>
      <c r="D1380" s="289"/>
      <c r="E1380" s="302"/>
      <c r="F1380" s="302" t="s">
        <v>1076</v>
      </c>
      <c r="G1380" s="302"/>
      <c r="H1380" t="s">
        <v>1076</v>
      </c>
      <c r="I1380" s="293"/>
    </row>
    <row r="1381">
      <c r="B1381" s="301"/>
      <c r="C1381" s="288"/>
      <c r="D1381" s="289"/>
      <c r="E1381" s="302"/>
      <c r="F1381" s="302" t="s">
        <v>1076</v>
      </c>
      <c r="G1381" s="302"/>
      <c r="H1381" t="s">
        <v>1076</v>
      </c>
      <c r="I1381" s="293"/>
    </row>
    <row r="1382">
      <c r="B1382" s="301"/>
      <c r="C1382" s="288"/>
      <c r="D1382" s="289"/>
      <c r="E1382" s="302"/>
      <c r="F1382" s="302" t="s">
        <v>1076</v>
      </c>
      <c r="G1382" s="302"/>
      <c r="H1382" t="s">
        <v>1076</v>
      </c>
      <c r="I1382" s="293"/>
    </row>
    <row r="1383">
      <c r="B1383" s="301"/>
      <c r="C1383" s="288"/>
      <c r="D1383" s="289"/>
      <c r="E1383" s="302"/>
      <c r="F1383" s="302" t="s">
        <v>1076</v>
      </c>
      <c r="G1383" s="302"/>
      <c r="H1383" t="s">
        <v>1076</v>
      </c>
      <c r="I1383" s="293"/>
    </row>
    <row r="1384">
      <c r="B1384" s="301"/>
      <c r="C1384" s="288"/>
      <c r="D1384" s="289"/>
      <c r="E1384" s="302"/>
      <c r="F1384" s="302" t="s">
        <v>1076</v>
      </c>
      <c r="G1384" s="302"/>
      <c r="H1384" t="s">
        <v>1076</v>
      </c>
      <c r="I1384" s="293"/>
    </row>
    <row r="1385">
      <c r="B1385" s="301"/>
      <c r="C1385" s="288"/>
      <c r="D1385" s="289"/>
      <c r="E1385" s="302"/>
      <c r="F1385" s="302" t="s">
        <v>1076</v>
      </c>
      <c r="G1385" s="302"/>
      <c r="H1385" t="s">
        <v>1076</v>
      </c>
      <c r="I1385" s="293"/>
    </row>
    <row r="1386">
      <c r="B1386" s="301"/>
      <c r="C1386" s="288"/>
      <c r="D1386" s="289"/>
      <c r="E1386" s="302"/>
      <c r="F1386" s="302" t="s">
        <v>1076</v>
      </c>
      <c r="G1386" s="302"/>
      <c r="H1386" t="s">
        <v>1076</v>
      </c>
      <c r="I1386" s="293"/>
    </row>
    <row r="1387">
      <c r="B1387" s="301"/>
      <c r="C1387" s="288"/>
      <c r="D1387" s="289"/>
      <c r="E1387" s="302"/>
      <c r="F1387" s="302" t="s">
        <v>1076</v>
      </c>
      <c r="G1387" s="302"/>
      <c r="H1387" t="s">
        <v>1076</v>
      </c>
      <c r="I1387" s="293"/>
    </row>
    <row r="1388">
      <c r="B1388" s="301"/>
      <c r="C1388" s="288"/>
      <c r="D1388" s="289"/>
      <c r="E1388" s="302"/>
      <c r="F1388" s="302" t="s">
        <v>1076</v>
      </c>
      <c r="G1388" s="302"/>
      <c r="H1388" t="s">
        <v>1076</v>
      </c>
      <c r="I1388" s="293"/>
    </row>
    <row r="1389">
      <c r="B1389" s="301"/>
      <c r="C1389" s="288"/>
      <c r="D1389" s="289"/>
      <c r="E1389" s="302"/>
      <c r="F1389" s="302" t="s">
        <v>1076</v>
      </c>
      <c r="G1389" s="302"/>
      <c r="H1389" t="s">
        <v>1076</v>
      </c>
      <c r="I1389" s="293"/>
    </row>
    <row r="1390">
      <c r="B1390" s="301"/>
      <c r="C1390" s="288"/>
      <c r="D1390" s="289"/>
      <c r="E1390" s="302"/>
      <c r="F1390" s="302" t="s">
        <v>1076</v>
      </c>
      <c r="G1390" s="302"/>
      <c r="H1390" t="s">
        <v>1076</v>
      </c>
      <c r="I1390" s="293"/>
    </row>
    <row r="1391">
      <c r="B1391" s="301"/>
      <c r="C1391" s="288"/>
      <c r="D1391" s="289"/>
      <c r="E1391" s="302"/>
      <c r="F1391" s="302" t="s">
        <v>1076</v>
      </c>
      <c r="G1391" s="302"/>
      <c r="H1391" t="s">
        <v>1076</v>
      </c>
      <c r="I1391" s="293"/>
    </row>
    <row r="1392">
      <c r="B1392" s="301"/>
      <c r="C1392" s="288"/>
      <c r="D1392" s="289"/>
      <c r="E1392" s="302"/>
      <c r="F1392" s="302" t="s">
        <v>1076</v>
      </c>
      <c r="G1392" s="302"/>
      <c r="H1392" t="s">
        <v>1076</v>
      </c>
      <c r="I1392" s="293"/>
    </row>
    <row r="1393">
      <c r="B1393" s="301"/>
      <c r="C1393" s="288"/>
      <c r="D1393" s="289"/>
      <c r="E1393" s="302"/>
      <c r="F1393" s="302" t="s">
        <v>1076</v>
      </c>
      <c r="G1393" s="302"/>
      <c r="H1393" t="s">
        <v>1076</v>
      </c>
      <c r="I1393" s="293"/>
    </row>
    <row r="1394">
      <c r="B1394" s="301"/>
      <c r="C1394" s="288"/>
      <c r="D1394" s="289"/>
      <c r="E1394" s="302"/>
      <c r="F1394" s="302" t="s">
        <v>1076</v>
      </c>
      <c r="G1394" s="302"/>
      <c r="H1394" t="s">
        <v>1076</v>
      </c>
      <c r="I1394" s="293"/>
    </row>
    <row r="1395">
      <c r="B1395" s="301"/>
      <c r="C1395" s="288"/>
      <c r="D1395" s="289"/>
      <c r="E1395" s="302"/>
      <c r="F1395" s="302" t="s">
        <v>1076</v>
      </c>
      <c r="G1395" s="302"/>
      <c r="H1395" t="s">
        <v>1076</v>
      </c>
      <c r="I1395" s="293"/>
    </row>
    <row r="1396">
      <c r="B1396" s="301"/>
      <c r="C1396" s="288"/>
      <c r="D1396" s="289"/>
      <c r="E1396" s="302"/>
      <c r="F1396" s="302" t="s">
        <v>1076</v>
      </c>
      <c r="G1396" s="302"/>
      <c r="H1396" t="s">
        <v>1076</v>
      </c>
      <c r="I1396" s="293"/>
    </row>
    <row r="1397">
      <c r="B1397" s="301"/>
      <c r="C1397" s="288"/>
      <c r="D1397" s="289"/>
      <c r="E1397" s="302"/>
      <c r="F1397" s="302" t="s">
        <v>1076</v>
      </c>
      <c r="G1397" s="302"/>
      <c r="H1397" t="s">
        <v>1076</v>
      </c>
      <c r="I1397" s="293"/>
    </row>
    <row r="1398">
      <c r="B1398" s="301"/>
      <c r="C1398" s="288"/>
      <c r="D1398" s="289"/>
      <c r="E1398" s="302"/>
      <c r="F1398" s="302" t="s">
        <v>1076</v>
      </c>
      <c r="G1398" s="302"/>
      <c r="H1398" t="s">
        <v>1076</v>
      </c>
      <c r="I1398" s="293"/>
    </row>
    <row r="1399">
      <c r="B1399" s="301"/>
      <c r="C1399" s="288"/>
      <c r="D1399" s="289"/>
      <c r="E1399" s="302"/>
      <c r="F1399" s="302" t="s">
        <v>1076</v>
      </c>
      <c r="G1399" s="302"/>
      <c r="H1399" t="s">
        <v>1076</v>
      </c>
      <c r="I1399" s="293"/>
    </row>
    <row r="1400">
      <c r="B1400" s="301"/>
      <c r="C1400" s="288"/>
      <c r="D1400" s="289"/>
      <c r="E1400" s="302"/>
      <c r="F1400" s="302" t="s">
        <v>1076</v>
      </c>
      <c r="G1400" s="302"/>
      <c r="H1400" t="s">
        <v>1076</v>
      </c>
      <c r="I1400" s="293"/>
    </row>
    <row r="1401">
      <c r="B1401" s="301"/>
      <c r="C1401" s="288"/>
      <c r="D1401" s="289"/>
      <c r="E1401" s="302"/>
      <c r="F1401" s="302" t="s">
        <v>1076</v>
      </c>
      <c r="G1401" s="302"/>
      <c r="H1401" t="s">
        <v>1076</v>
      </c>
      <c r="I1401" s="293"/>
    </row>
    <row r="1402">
      <c r="B1402" s="301"/>
      <c r="C1402" s="288"/>
      <c r="D1402" s="289"/>
      <c r="E1402" s="302"/>
      <c r="F1402" s="302" t="s">
        <v>1076</v>
      </c>
      <c r="G1402" s="302"/>
      <c r="H1402" t="s">
        <v>1076</v>
      </c>
      <c r="I1402" s="293"/>
    </row>
    <row r="1403">
      <c r="B1403" s="301"/>
      <c r="C1403" s="288"/>
      <c r="D1403" s="289"/>
      <c r="E1403" s="302"/>
      <c r="F1403" s="302" t="s">
        <v>1076</v>
      </c>
      <c r="G1403" s="302"/>
      <c r="H1403" t="s">
        <v>1076</v>
      </c>
      <c r="I1403" s="293"/>
    </row>
    <row r="1404">
      <c r="B1404" s="301"/>
      <c r="C1404" s="288"/>
      <c r="D1404" s="289"/>
      <c r="E1404" s="302"/>
      <c r="F1404" s="302" t="s">
        <v>1076</v>
      </c>
      <c r="G1404" s="302"/>
      <c r="H1404" t="s">
        <v>1076</v>
      </c>
      <c r="I1404" s="293"/>
    </row>
    <row r="1405">
      <c r="B1405" s="301"/>
      <c r="C1405" s="288"/>
      <c r="D1405" s="289"/>
      <c r="E1405" s="302"/>
      <c r="F1405" s="302" t="s">
        <v>1076</v>
      </c>
      <c r="G1405" s="302"/>
      <c r="H1405" t="s">
        <v>1076</v>
      </c>
      <c r="I1405" s="293"/>
    </row>
    <row r="1406">
      <c r="B1406" s="301"/>
      <c r="C1406" s="288"/>
      <c r="D1406" s="289"/>
      <c r="E1406" s="302"/>
      <c r="F1406" s="302" t="s">
        <v>1076</v>
      </c>
      <c r="G1406" s="302"/>
      <c r="H1406" t="s">
        <v>1076</v>
      </c>
      <c r="I1406" s="293"/>
    </row>
    <row r="1407">
      <c r="B1407" s="301"/>
      <c r="C1407" s="288"/>
      <c r="D1407" s="289"/>
      <c r="E1407" s="302"/>
      <c r="F1407" s="302" t="s">
        <v>1076</v>
      </c>
      <c r="G1407" s="302"/>
      <c r="H1407" t="s">
        <v>1076</v>
      </c>
      <c r="I1407" s="293"/>
    </row>
    <row r="1408">
      <c r="B1408" s="301"/>
      <c r="C1408" s="288"/>
      <c r="D1408" s="289"/>
      <c r="E1408" s="302"/>
      <c r="F1408" s="302" t="s">
        <v>1076</v>
      </c>
      <c r="G1408" s="302"/>
      <c r="H1408" t="s">
        <v>1076</v>
      </c>
      <c r="I1408" s="293"/>
    </row>
    <row r="1409">
      <c r="B1409" s="301"/>
      <c r="C1409" s="288"/>
      <c r="D1409" s="289"/>
      <c r="E1409" s="302"/>
      <c r="F1409" s="302" t="s">
        <v>1076</v>
      </c>
      <c r="G1409" s="302"/>
      <c r="H1409" t="s">
        <v>1076</v>
      </c>
      <c r="I1409" s="293"/>
    </row>
    <row r="1410">
      <c r="B1410" s="301"/>
      <c r="C1410" s="288"/>
      <c r="D1410" s="289"/>
      <c r="E1410" s="302"/>
      <c r="F1410" s="302" t="s">
        <v>1076</v>
      </c>
      <c r="G1410" s="302"/>
      <c r="H1410" t="s">
        <v>1076</v>
      </c>
      <c r="I1410" s="293"/>
    </row>
    <row r="1411">
      <c r="B1411" s="301"/>
      <c r="C1411" s="288"/>
      <c r="D1411" s="289"/>
      <c r="E1411" s="302"/>
      <c r="F1411" s="302" t="s">
        <v>1076</v>
      </c>
      <c r="G1411" s="302"/>
      <c r="H1411" t="s">
        <v>1076</v>
      </c>
      <c r="I1411" s="293"/>
    </row>
    <row r="1412">
      <c r="B1412" s="301"/>
      <c r="C1412" s="288"/>
      <c r="D1412" s="289"/>
      <c r="E1412" s="302"/>
      <c r="F1412" s="302" t="s">
        <v>1076</v>
      </c>
      <c r="G1412" s="302"/>
      <c r="H1412" t="s">
        <v>1076</v>
      </c>
      <c r="I1412" s="293"/>
    </row>
    <row r="1413">
      <c r="B1413" s="301"/>
      <c r="C1413" s="288"/>
      <c r="D1413" s="289"/>
      <c r="E1413" s="302"/>
      <c r="F1413" s="302" t="s">
        <v>1076</v>
      </c>
      <c r="G1413" s="302"/>
      <c r="H1413" t="s">
        <v>1076</v>
      </c>
      <c r="I1413" s="293"/>
    </row>
    <row r="1414">
      <c r="B1414" s="301"/>
      <c r="C1414" s="288"/>
      <c r="D1414" s="289"/>
      <c r="E1414" s="302"/>
      <c r="F1414" s="302" t="s">
        <v>1076</v>
      </c>
      <c r="G1414" s="302"/>
      <c r="H1414" t="s">
        <v>1076</v>
      </c>
      <c r="I1414" s="293"/>
    </row>
    <row r="1415">
      <c r="B1415" s="301"/>
      <c r="C1415" s="288"/>
      <c r="D1415" s="289"/>
      <c r="E1415" s="302"/>
      <c r="F1415" s="302" t="s">
        <v>1076</v>
      </c>
      <c r="G1415" s="302"/>
      <c r="H1415" t="s">
        <v>1076</v>
      </c>
      <c r="I1415" s="293"/>
    </row>
    <row r="1416">
      <c r="B1416" s="301"/>
      <c r="C1416" s="288"/>
      <c r="D1416" s="289"/>
      <c r="E1416" s="302"/>
      <c r="F1416" s="302" t="s">
        <v>1076</v>
      </c>
      <c r="G1416" s="302"/>
      <c r="H1416" t="s">
        <v>1076</v>
      </c>
      <c r="I1416" s="293"/>
    </row>
    <row r="1417">
      <c r="B1417" s="301"/>
      <c r="C1417" s="288"/>
      <c r="D1417" s="289"/>
      <c r="E1417" s="302"/>
      <c r="F1417" s="302" t="s">
        <v>1076</v>
      </c>
      <c r="G1417" s="302"/>
      <c r="H1417" t="s">
        <v>1076</v>
      </c>
      <c r="I1417" s="293"/>
    </row>
    <row r="1418">
      <c r="B1418" s="301"/>
      <c r="C1418" s="288"/>
      <c r="D1418" s="289"/>
      <c r="E1418" s="302"/>
      <c r="F1418" s="302" t="s">
        <v>1076</v>
      </c>
      <c r="G1418" s="302"/>
      <c r="H1418" t="s">
        <v>1076</v>
      </c>
      <c r="I1418" s="293"/>
    </row>
    <row r="1419">
      <c r="B1419" s="301"/>
      <c r="C1419" s="288"/>
      <c r="D1419" s="289"/>
      <c r="E1419" s="302"/>
      <c r="F1419" s="302" t="s">
        <v>1076</v>
      </c>
      <c r="G1419" s="302"/>
      <c r="H1419" t="s">
        <v>1076</v>
      </c>
      <c r="I1419" s="293"/>
    </row>
    <row r="1420">
      <c r="B1420" s="301"/>
      <c r="C1420" s="288"/>
      <c r="D1420" s="289"/>
      <c r="E1420" s="302"/>
      <c r="F1420" s="302" t="s">
        <v>1076</v>
      </c>
      <c r="G1420" s="302"/>
      <c r="H1420" t="s">
        <v>1076</v>
      </c>
      <c r="I1420" s="293"/>
    </row>
    <row r="1421">
      <c r="B1421" s="301"/>
      <c r="C1421" s="288"/>
      <c r="D1421" s="289"/>
      <c r="E1421" s="302"/>
      <c r="F1421" s="302" t="s">
        <v>1076</v>
      </c>
      <c r="G1421" s="302"/>
      <c r="H1421" t="s">
        <v>1076</v>
      </c>
      <c r="I1421" s="293"/>
    </row>
    <row r="1422">
      <c r="B1422" s="301"/>
      <c r="C1422" s="288"/>
      <c r="D1422" s="289"/>
      <c r="E1422" s="302"/>
      <c r="F1422" s="302" t="s">
        <v>1076</v>
      </c>
      <c r="G1422" s="302"/>
      <c r="H1422" t="s">
        <v>1076</v>
      </c>
      <c r="I1422" s="293"/>
    </row>
    <row r="1423">
      <c r="B1423" s="301"/>
      <c r="C1423" s="288"/>
      <c r="D1423" s="289"/>
      <c r="E1423" s="302"/>
      <c r="F1423" s="302" t="s">
        <v>1076</v>
      </c>
      <c r="G1423" s="302"/>
      <c r="H1423" t="s">
        <v>1076</v>
      </c>
      <c r="I1423" s="293"/>
    </row>
    <row r="1424">
      <c r="B1424" s="301"/>
      <c r="C1424" s="288"/>
      <c r="D1424" s="289"/>
      <c r="E1424" s="302"/>
      <c r="F1424" s="302" t="s">
        <v>1076</v>
      </c>
      <c r="G1424" s="302"/>
      <c r="H1424" t="s">
        <v>1076</v>
      </c>
      <c r="I1424" s="293"/>
    </row>
    <row r="1425">
      <c r="B1425" s="301"/>
      <c r="C1425" s="288"/>
      <c r="D1425" s="289"/>
      <c r="E1425" s="302"/>
      <c r="F1425" s="302" t="s">
        <v>1076</v>
      </c>
      <c r="G1425" s="302"/>
      <c r="H1425" t="s">
        <v>1076</v>
      </c>
      <c r="I1425" s="293"/>
    </row>
    <row r="1426">
      <c r="B1426" s="301"/>
      <c r="C1426" s="288"/>
      <c r="D1426" s="289"/>
      <c r="E1426" s="302"/>
      <c r="F1426" s="302" t="s">
        <v>1076</v>
      </c>
      <c r="G1426" s="302"/>
      <c r="H1426" t="s">
        <v>1076</v>
      </c>
      <c r="I1426" s="293"/>
    </row>
    <row r="1427">
      <c r="B1427" s="301"/>
      <c r="C1427" s="288"/>
      <c r="D1427" s="289"/>
      <c r="E1427" s="302"/>
      <c r="F1427" s="302" t="s">
        <v>1076</v>
      </c>
      <c r="G1427" s="302"/>
      <c r="H1427" t="s">
        <v>1076</v>
      </c>
      <c r="I1427" s="293"/>
    </row>
    <row r="1428">
      <c r="B1428" s="301"/>
      <c r="C1428" s="288"/>
      <c r="D1428" s="289"/>
      <c r="E1428" s="302"/>
      <c r="F1428" s="302" t="s">
        <v>1076</v>
      </c>
      <c r="G1428" s="302"/>
      <c r="H1428" t="s">
        <v>1076</v>
      </c>
      <c r="I1428" s="293"/>
    </row>
    <row r="1429">
      <c r="B1429" s="301"/>
      <c r="C1429" s="288"/>
      <c r="D1429" s="289"/>
      <c r="E1429" s="302"/>
      <c r="F1429" s="302" t="s">
        <v>1076</v>
      </c>
      <c r="G1429" s="302"/>
      <c r="H1429" t="s">
        <v>1076</v>
      </c>
      <c r="I1429" s="293"/>
    </row>
    <row r="1430">
      <c r="B1430" s="301"/>
      <c r="C1430" s="288"/>
      <c r="D1430" s="289"/>
      <c r="E1430" s="302"/>
      <c r="F1430" s="302" t="s">
        <v>1076</v>
      </c>
      <c r="G1430" s="302"/>
      <c r="H1430" t="s">
        <v>1076</v>
      </c>
      <c r="I1430" s="293"/>
    </row>
    <row r="1431">
      <c r="B1431" s="301"/>
      <c r="C1431" s="288"/>
      <c r="D1431" s="289"/>
      <c r="E1431" s="302"/>
      <c r="F1431" s="302" t="s">
        <v>1076</v>
      </c>
      <c r="G1431" s="302"/>
      <c r="H1431" t="s">
        <v>1076</v>
      </c>
      <c r="I1431" s="293"/>
    </row>
    <row r="1432">
      <c r="B1432" s="301"/>
      <c r="C1432" s="288"/>
      <c r="D1432" s="289"/>
      <c r="E1432" s="302"/>
      <c r="F1432" s="302" t="s">
        <v>1076</v>
      </c>
      <c r="G1432" s="302"/>
      <c r="H1432" t="s">
        <v>1076</v>
      </c>
      <c r="I1432" s="293"/>
    </row>
    <row r="1433">
      <c r="B1433" s="301"/>
      <c r="C1433" s="288"/>
      <c r="D1433" s="289"/>
      <c r="E1433" s="302"/>
      <c r="F1433" s="302" t="s">
        <v>1076</v>
      </c>
      <c r="G1433" s="302"/>
      <c r="H1433" t="s">
        <v>1076</v>
      </c>
      <c r="I1433" s="293"/>
    </row>
    <row r="1434">
      <c r="B1434" s="301"/>
      <c r="C1434" s="288"/>
      <c r="D1434" s="289"/>
      <c r="E1434" s="302"/>
      <c r="F1434" s="302" t="s">
        <v>1076</v>
      </c>
      <c r="G1434" s="302"/>
      <c r="H1434" t="s">
        <v>1076</v>
      </c>
      <c r="I1434" s="293"/>
    </row>
    <row r="1435">
      <c r="B1435" s="301"/>
      <c r="C1435" s="288"/>
      <c r="D1435" s="289"/>
      <c r="E1435" s="302"/>
      <c r="F1435" s="302" t="s">
        <v>1076</v>
      </c>
      <c r="G1435" s="302"/>
      <c r="H1435" t="s">
        <v>1076</v>
      </c>
      <c r="I1435" s="293"/>
    </row>
    <row r="1436">
      <c r="B1436" s="301"/>
      <c r="C1436" s="288"/>
      <c r="D1436" s="289"/>
      <c r="E1436" s="302"/>
      <c r="F1436" s="302" t="s">
        <v>1076</v>
      </c>
      <c r="G1436" s="302"/>
      <c r="H1436" t="s">
        <v>1076</v>
      </c>
      <c r="I1436" s="293"/>
    </row>
    <row r="1437">
      <c r="B1437" s="301"/>
      <c r="C1437" s="288"/>
      <c r="D1437" s="289"/>
      <c r="E1437" s="302"/>
      <c r="F1437" s="302" t="s">
        <v>1076</v>
      </c>
      <c r="G1437" s="302"/>
      <c r="H1437" t="s">
        <v>1076</v>
      </c>
      <c r="I1437" s="293"/>
    </row>
    <row r="1438">
      <c r="B1438" s="301"/>
      <c r="C1438" s="288"/>
      <c r="D1438" s="289"/>
      <c r="E1438" s="302"/>
      <c r="F1438" s="302" t="s">
        <v>1076</v>
      </c>
      <c r="G1438" s="302"/>
      <c r="H1438" t="s">
        <v>1076</v>
      </c>
      <c r="I1438" s="293"/>
    </row>
    <row r="1439">
      <c r="B1439" s="301"/>
      <c r="C1439" s="288"/>
      <c r="D1439" s="289"/>
      <c r="E1439" s="302"/>
      <c r="F1439" s="302" t="s">
        <v>1076</v>
      </c>
      <c r="G1439" s="302"/>
      <c r="H1439" t="s">
        <v>1076</v>
      </c>
      <c r="I1439" s="293"/>
    </row>
    <row r="1440">
      <c r="B1440" s="301"/>
      <c r="C1440" s="288"/>
      <c r="D1440" s="289"/>
      <c r="E1440" s="302"/>
      <c r="F1440" s="302" t="s">
        <v>1076</v>
      </c>
      <c r="G1440" s="302"/>
      <c r="H1440" t="s">
        <v>1076</v>
      </c>
      <c r="I1440" s="293"/>
    </row>
    <row r="1441">
      <c r="B1441" s="301"/>
      <c r="C1441" s="288"/>
      <c r="D1441" s="289"/>
      <c r="E1441" s="302"/>
      <c r="F1441" s="302" t="s">
        <v>1076</v>
      </c>
      <c r="G1441" s="302"/>
      <c r="H1441" t="s">
        <v>1076</v>
      </c>
      <c r="I1441" s="293"/>
    </row>
    <row r="1442">
      <c r="B1442" s="301"/>
      <c r="C1442" s="288"/>
      <c r="D1442" s="289"/>
      <c r="E1442" s="302"/>
      <c r="F1442" s="302" t="s">
        <v>1076</v>
      </c>
      <c r="G1442" s="302"/>
      <c r="H1442" t="s">
        <v>1076</v>
      </c>
      <c r="I1442" s="293"/>
    </row>
    <row r="1443">
      <c r="B1443" s="301"/>
      <c r="C1443" s="288"/>
      <c r="D1443" s="289"/>
      <c r="E1443" s="302"/>
      <c r="F1443" s="302" t="s">
        <v>1076</v>
      </c>
      <c r="G1443" s="302"/>
      <c r="H1443" t="s">
        <v>1076</v>
      </c>
      <c r="I1443" s="293"/>
    </row>
    <row r="1444">
      <c r="B1444" s="301"/>
      <c r="C1444" s="288"/>
      <c r="D1444" s="289"/>
      <c r="E1444" s="302"/>
      <c r="F1444" s="302" t="s">
        <v>1076</v>
      </c>
      <c r="G1444" s="302"/>
      <c r="H1444" t="s">
        <v>1076</v>
      </c>
      <c r="I1444" s="293"/>
    </row>
    <row r="1445">
      <c r="B1445" s="301"/>
      <c r="C1445" s="288"/>
      <c r="D1445" s="289"/>
      <c r="E1445" s="302"/>
      <c r="F1445" s="302" t="s">
        <v>1076</v>
      </c>
      <c r="G1445" s="302"/>
      <c r="H1445" t="s">
        <v>1076</v>
      </c>
      <c r="I1445" s="293"/>
    </row>
    <row r="1446">
      <c r="B1446" s="301"/>
      <c r="C1446" s="288"/>
      <c r="D1446" s="289"/>
      <c r="E1446" s="302"/>
      <c r="F1446" s="302" t="s">
        <v>1076</v>
      </c>
      <c r="G1446" s="302"/>
      <c r="H1446" t="s">
        <v>1076</v>
      </c>
      <c r="I1446" s="293"/>
    </row>
    <row r="1447">
      <c r="B1447" s="301"/>
      <c r="C1447" s="288"/>
      <c r="D1447" s="289"/>
      <c r="E1447" s="302"/>
      <c r="F1447" s="302" t="s">
        <v>1076</v>
      </c>
      <c r="G1447" s="302"/>
      <c r="H1447" t="s">
        <v>1076</v>
      </c>
      <c r="I1447" s="293"/>
    </row>
    <row r="1448">
      <c r="B1448" s="301"/>
      <c r="C1448" s="288"/>
      <c r="D1448" s="289"/>
      <c r="E1448" s="302"/>
      <c r="F1448" s="302" t="s">
        <v>1076</v>
      </c>
      <c r="G1448" s="302"/>
      <c r="H1448" t="s">
        <v>1076</v>
      </c>
      <c r="I1448" s="293"/>
    </row>
    <row r="1449">
      <c r="B1449" s="301"/>
      <c r="C1449" s="288"/>
      <c r="D1449" s="289"/>
      <c r="E1449" s="302"/>
      <c r="F1449" s="302" t="s">
        <v>1076</v>
      </c>
      <c r="G1449" s="302"/>
      <c r="H1449" t="s">
        <v>1076</v>
      </c>
      <c r="I1449" s="293"/>
    </row>
    <row r="1450">
      <c r="B1450" s="301"/>
      <c r="C1450" s="288"/>
      <c r="D1450" s="289"/>
      <c r="E1450" s="302"/>
      <c r="F1450" s="302" t="s">
        <v>1076</v>
      </c>
      <c r="G1450" s="302"/>
      <c r="H1450" t="s">
        <v>1076</v>
      </c>
      <c r="I1450" s="293"/>
    </row>
    <row r="1451">
      <c r="B1451" s="301"/>
      <c r="C1451" s="288"/>
      <c r="D1451" s="289"/>
      <c r="E1451" s="302"/>
      <c r="F1451" s="302" t="s">
        <v>1076</v>
      </c>
      <c r="G1451" s="302"/>
      <c r="H1451" t="s">
        <v>1076</v>
      </c>
      <c r="I1451" s="293"/>
    </row>
    <row r="1452">
      <c r="B1452" s="301"/>
      <c r="C1452" s="288"/>
      <c r="D1452" s="289"/>
      <c r="E1452" s="302"/>
      <c r="F1452" s="302" t="s">
        <v>1076</v>
      </c>
      <c r="G1452" s="302"/>
      <c r="H1452" t="s">
        <v>1076</v>
      </c>
      <c r="I1452" s="293"/>
    </row>
    <row r="1453">
      <c r="B1453" s="301"/>
      <c r="C1453" s="288"/>
      <c r="D1453" s="289"/>
      <c r="E1453" s="302"/>
      <c r="F1453" s="302" t="s">
        <v>1076</v>
      </c>
      <c r="G1453" s="302"/>
      <c r="H1453" t="s">
        <v>1076</v>
      </c>
      <c r="I1453" s="293"/>
    </row>
    <row r="1454">
      <c r="B1454" s="301"/>
      <c r="C1454" s="288"/>
      <c r="D1454" s="289"/>
      <c r="E1454" s="302"/>
      <c r="F1454" s="302" t="s">
        <v>1076</v>
      </c>
      <c r="G1454" s="302"/>
      <c r="H1454" t="s">
        <v>1076</v>
      </c>
      <c r="I1454" s="293"/>
    </row>
    <row r="1455">
      <c r="B1455" s="301"/>
      <c r="C1455" s="288"/>
      <c r="D1455" s="289"/>
      <c r="E1455" s="302"/>
      <c r="F1455" s="302" t="s">
        <v>1076</v>
      </c>
      <c r="G1455" s="302"/>
      <c r="H1455" t="s">
        <v>1076</v>
      </c>
      <c r="I1455" s="293"/>
    </row>
    <row r="1456">
      <c r="B1456" s="301"/>
      <c r="C1456" s="288"/>
      <c r="D1456" s="289"/>
      <c r="E1456" s="302"/>
      <c r="F1456" s="302" t="s">
        <v>1076</v>
      </c>
      <c r="G1456" s="302"/>
      <c r="H1456" t="s">
        <v>1076</v>
      </c>
      <c r="I1456" s="293"/>
    </row>
    <row r="1457">
      <c r="B1457" s="301"/>
      <c r="C1457" s="288"/>
      <c r="D1457" s="289"/>
      <c r="E1457" s="302"/>
      <c r="F1457" s="302" t="s">
        <v>1076</v>
      </c>
      <c r="G1457" s="302"/>
      <c r="H1457" t="s">
        <v>1076</v>
      </c>
      <c r="I1457" s="293"/>
    </row>
    <row r="1458">
      <c r="B1458" s="301"/>
      <c r="C1458" s="288"/>
      <c r="D1458" s="289"/>
      <c r="E1458" s="302"/>
      <c r="F1458" s="302" t="s">
        <v>1076</v>
      </c>
      <c r="G1458" s="302"/>
      <c r="H1458" t="s">
        <v>1076</v>
      </c>
      <c r="I1458" s="293"/>
    </row>
    <row r="1459">
      <c r="B1459" s="301"/>
      <c r="C1459" s="288"/>
      <c r="D1459" s="289"/>
      <c r="E1459" s="302"/>
      <c r="F1459" s="302" t="s">
        <v>1076</v>
      </c>
      <c r="G1459" s="302"/>
      <c r="H1459" t="s">
        <v>1076</v>
      </c>
      <c r="I1459" s="293"/>
    </row>
    <row r="1460">
      <c r="B1460" s="301"/>
      <c r="C1460" s="288"/>
      <c r="D1460" s="289"/>
      <c r="E1460" s="302"/>
      <c r="F1460" s="302" t="s">
        <v>1076</v>
      </c>
      <c r="G1460" s="302"/>
      <c r="H1460" t="s">
        <v>1076</v>
      </c>
      <c r="I1460" s="293"/>
    </row>
    <row r="1461">
      <c r="B1461" s="301"/>
      <c r="C1461" s="288"/>
      <c r="D1461" s="289"/>
      <c r="E1461" s="302"/>
      <c r="F1461" s="302" t="s">
        <v>1076</v>
      </c>
      <c r="G1461" s="302"/>
      <c r="H1461" t="s">
        <v>1076</v>
      </c>
      <c r="I1461" s="293"/>
    </row>
    <row r="1462">
      <c r="B1462" s="301"/>
      <c r="C1462" s="288"/>
      <c r="D1462" s="289"/>
      <c r="E1462" s="302"/>
      <c r="F1462" s="302" t="s">
        <v>1076</v>
      </c>
      <c r="G1462" s="302"/>
      <c r="H1462" t="s">
        <v>1076</v>
      </c>
      <c r="I1462" s="293"/>
    </row>
    <row r="1463">
      <c r="B1463" s="301"/>
      <c r="C1463" s="288"/>
      <c r="D1463" s="289"/>
      <c r="E1463" s="302"/>
      <c r="F1463" s="302" t="s">
        <v>1076</v>
      </c>
      <c r="G1463" s="302"/>
      <c r="H1463" t="s">
        <v>1076</v>
      </c>
      <c r="I1463" s="293"/>
    </row>
    <row r="1464">
      <c r="B1464" s="301"/>
      <c r="C1464" s="288"/>
      <c r="D1464" s="289"/>
      <c r="E1464" s="302"/>
      <c r="F1464" s="302" t="s">
        <v>1076</v>
      </c>
      <c r="G1464" s="302"/>
      <c r="H1464" t="s">
        <v>1076</v>
      </c>
      <c r="I1464" s="293"/>
    </row>
    <row r="1465">
      <c r="B1465" s="301"/>
      <c r="C1465" s="288"/>
      <c r="D1465" s="289"/>
      <c r="E1465" s="302"/>
      <c r="F1465" s="302" t="s">
        <v>1076</v>
      </c>
      <c r="G1465" s="302"/>
      <c r="H1465" t="s">
        <v>1076</v>
      </c>
      <c r="I1465" s="293"/>
    </row>
    <row r="1466">
      <c r="B1466" s="301"/>
      <c r="C1466" s="288"/>
      <c r="D1466" s="289"/>
      <c r="E1466" s="302"/>
      <c r="F1466" s="302" t="s">
        <v>1076</v>
      </c>
      <c r="G1466" s="302"/>
      <c r="H1466" t="s">
        <v>1076</v>
      </c>
      <c r="I1466" s="293"/>
    </row>
    <row r="1467">
      <c r="B1467" s="301"/>
      <c r="C1467" s="288"/>
      <c r="D1467" s="289"/>
      <c r="E1467" s="302"/>
      <c r="F1467" s="302" t="s">
        <v>1076</v>
      </c>
      <c r="G1467" s="302"/>
      <c r="H1467" t="s">
        <v>1076</v>
      </c>
      <c r="I1467" s="293"/>
    </row>
    <row r="1468">
      <c r="B1468" s="301"/>
      <c r="C1468" s="288"/>
      <c r="D1468" s="289"/>
      <c r="E1468" s="302"/>
      <c r="F1468" s="302" t="s">
        <v>1076</v>
      </c>
      <c r="G1468" s="302"/>
      <c r="H1468" t="s">
        <v>1076</v>
      </c>
      <c r="I1468" s="293"/>
    </row>
    <row r="1469">
      <c r="B1469" s="301"/>
      <c r="C1469" s="288"/>
      <c r="D1469" s="289"/>
      <c r="E1469" s="302"/>
      <c r="F1469" s="302" t="s">
        <v>1076</v>
      </c>
      <c r="G1469" s="302"/>
      <c r="H1469" t="s">
        <v>1076</v>
      </c>
      <c r="I1469" s="293"/>
    </row>
    <row r="1470">
      <c r="B1470" s="301"/>
      <c r="C1470" s="288"/>
      <c r="D1470" s="289"/>
      <c r="E1470" s="302"/>
      <c r="F1470" s="302" t="s">
        <v>1076</v>
      </c>
      <c r="G1470" s="302"/>
      <c r="H1470" t="s">
        <v>1076</v>
      </c>
      <c r="I1470" s="293"/>
    </row>
    <row r="1471">
      <c r="B1471" s="301"/>
      <c r="C1471" s="288"/>
      <c r="D1471" s="289"/>
      <c r="E1471" s="302"/>
      <c r="F1471" s="302" t="s">
        <v>1076</v>
      </c>
      <c r="G1471" s="302"/>
      <c r="H1471" t="s">
        <v>1076</v>
      </c>
      <c r="I1471" s="293"/>
    </row>
    <row r="1472">
      <c r="B1472" s="301"/>
      <c r="C1472" s="288"/>
      <c r="D1472" s="289"/>
      <c r="E1472" s="302"/>
      <c r="F1472" s="302" t="s">
        <v>1076</v>
      </c>
      <c r="G1472" s="302"/>
      <c r="H1472" t="s">
        <v>1076</v>
      </c>
      <c r="I1472" s="293"/>
    </row>
    <row r="1473">
      <c r="B1473" s="301"/>
      <c r="C1473" s="288"/>
      <c r="D1473" s="289"/>
      <c r="E1473" s="302"/>
      <c r="F1473" s="302" t="s">
        <v>1076</v>
      </c>
      <c r="G1473" s="302"/>
      <c r="H1473" t="s">
        <v>1076</v>
      </c>
      <c r="I1473" s="293"/>
    </row>
    <row r="1474">
      <c r="B1474" s="301"/>
      <c r="C1474" s="288"/>
      <c r="D1474" s="289"/>
      <c r="E1474" s="302"/>
      <c r="F1474" s="302" t="s">
        <v>1076</v>
      </c>
      <c r="G1474" s="302"/>
      <c r="H1474" t="s">
        <v>1076</v>
      </c>
      <c r="I1474" s="293"/>
    </row>
    <row r="1475">
      <c r="B1475" s="301"/>
      <c r="C1475" s="288"/>
      <c r="D1475" s="289"/>
      <c r="E1475" s="302"/>
      <c r="F1475" s="302" t="s">
        <v>1076</v>
      </c>
      <c r="G1475" s="302"/>
      <c r="H1475" t="s">
        <v>1076</v>
      </c>
      <c r="I1475" s="293"/>
    </row>
    <row r="1476">
      <c r="B1476" s="301"/>
      <c r="C1476" s="288"/>
      <c r="D1476" s="289"/>
      <c r="E1476" s="302"/>
      <c r="F1476" s="302" t="s">
        <v>1076</v>
      </c>
      <c r="G1476" s="302"/>
      <c r="H1476" t="s">
        <v>1076</v>
      </c>
      <c r="I1476" s="293"/>
    </row>
    <row r="1477">
      <c r="B1477" s="301"/>
      <c r="C1477" s="288"/>
      <c r="D1477" s="289"/>
      <c r="E1477" s="302"/>
      <c r="F1477" s="302" t="s">
        <v>1076</v>
      </c>
      <c r="G1477" s="302"/>
      <c r="H1477" t="s">
        <v>1076</v>
      </c>
      <c r="I1477" s="293"/>
    </row>
    <row r="1478">
      <c r="B1478" s="301"/>
      <c r="C1478" s="288"/>
      <c r="D1478" s="289"/>
      <c r="E1478" s="302"/>
      <c r="F1478" s="302" t="s">
        <v>1076</v>
      </c>
      <c r="G1478" s="302"/>
      <c r="H1478" t="s">
        <v>1076</v>
      </c>
      <c r="I1478" s="293"/>
    </row>
    <row r="1479">
      <c r="B1479" s="301"/>
      <c r="C1479" s="288"/>
      <c r="D1479" s="289"/>
      <c r="E1479" s="302"/>
      <c r="F1479" s="302" t="s">
        <v>1076</v>
      </c>
      <c r="G1479" s="302"/>
      <c r="H1479" t="s">
        <v>1076</v>
      </c>
      <c r="I1479" s="293"/>
    </row>
    <row r="1480">
      <c r="B1480" s="301"/>
      <c r="C1480" s="288"/>
      <c r="D1480" s="289"/>
      <c r="E1480" s="302"/>
      <c r="F1480" s="302" t="s">
        <v>1076</v>
      </c>
      <c r="G1480" s="302"/>
      <c r="H1480" t="s">
        <v>1076</v>
      </c>
      <c r="I1480" s="293"/>
    </row>
    <row r="1481">
      <c r="B1481" s="301"/>
      <c r="C1481" s="288"/>
      <c r="D1481" s="289"/>
      <c r="E1481" s="302"/>
      <c r="F1481" s="302" t="s">
        <v>1076</v>
      </c>
      <c r="G1481" s="302"/>
      <c r="H1481" t="s">
        <v>1076</v>
      </c>
      <c r="I1481" s="293"/>
    </row>
    <row r="1482">
      <c r="B1482" s="301"/>
      <c r="C1482" s="288"/>
      <c r="D1482" s="289"/>
      <c r="E1482" s="302"/>
      <c r="F1482" s="302" t="s">
        <v>1076</v>
      </c>
      <c r="G1482" s="302"/>
      <c r="H1482" t="s">
        <v>1076</v>
      </c>
      <c r="I1482" s="293"/>
    </row>
    <row r="1483">
      <c r="B1483" s="301"/>
      <c r="C1483" s="288"/>
      <c r="D1483" s="289"/>
      <c r="E1483" s="302"/>
      <c r="F1483" s="302" t="s">
        <v>1076</v>
      </c>
      <c r="G1483" s="302"/>
      <c r="H1483" t="s">
        <v>1076</v>
      </c>
      <c r="I1483" s="293"/>
    </row>
    <row r="1484">
      <c r="B1484" s="301"/>
      <c r="C1484" s="288"/>
      <c r="D1484" s="289"/>
      <c r="E1484" s="302"/>
      <c r="F1484" s="302" t="s">
        <v>1076</v>
      </c>
      <c r="G1484" s="302"/>
      <c r="H1484" t="s">
        <v>1076</v>
      </c>
      <c r="I1484" s="293"/>
    </row>
    <row r="1485">
      <c r="B1485" s="301"/>
      <c r="C1485" s="288"/>
      <c r="D1485" s="289"/>
      <c r="E1485" s="302"/>
      <c r="F1485" s="302" t="s">
        <v>1076</v>
      </c>
      <c r="G1485" s="302"/>
      <c r="H1485" t="s">
        <v>1076</v>
      </c>
      <c r="I1485" s="293"/>
    </row>
    <row r="1486">
      <c r="B1486" s="301"/>
      <c r="C1486" s="288"/>
      <c r="D1486" s="289"/>
      <c r="E1486" s="302"/>
      <c r="F1486" s="302" t="s">
        <v>1076</v>
      </c>
      <c r="G1486" s="302"/>
      <c r="H1486" t="s">
        <v>1076</v>
      </c>
      <c r="I1486" s="293"/>
    </row>
    <row r="1487">
      <c r="B1487" s="301"/>
      <c r="C1487" s="288"/>
      <c r="D1487" s="289"/>
      <c r="E1487" s="302"/>
      <c r="F1487" s="302" t="s">
        <v>1076</v>
      </c>
      <c r="G1487" s="302"/>
      <c r="H1487" t="s">
        <v>1076</v>
      </c>
      <c r="I1487" s="293"/>
    </row>
    <row r="1488">
      <c r="B1488" s="301"/>
      <c r="C1488" s="288"/>
      <c r="D1488" s="289"/>
      <c r="E1488" s="302"/>
      <c r="F1488" s="302" t="s">
        <v>1076</v>
      </c>
      <c r="G1488" s="302"/>
      <c r="H1488" t="s">
        <v>1076</v>
      </c>
      <c r="I1488" s="293"/>
    </row>
    <row r="1489">
      <c r="B1489" s="301"/>
      <c r="C1489" s="288"/>
      <c r="D1489" s="289"/>
      <c r="E1489" s="302"/>
      <c r="F1489" s="302" t="s">
        <v>1076</v>
      </c>
      <c r="G1489" s="302"/>
      <c r="H1489" t="s">
        <v>1076</v>
      </c>
      <c r="I1489" s="293"/>
    </row>
    <row r="1490">
      <c r="B1490" s="301"/>
      <c r="C1490" s="288"/>
      <c r="D1490" s="289"/>
      <c r="E1490" s="302"/>
      <c r="F1490" s="302" t="s">
        <v>1076</v>
      </c>
      <c r="G1490" s="302"/>
      <c r="H1490" t="s">
        <v>1076</v>
      </c>
      <c r="I1490" s="293"/>
    </row>
    <row r="1491">
      <c r="B1491" s="301"/>
      <c r="C1491" s="288"/>
      <c r="D1491" s="289"/>
      <c r="E1491" s="302"/>
      <c r="F1491" s="302" t="s">
        <v>1076</v>
      </c>
      <c r="G1491" s="302"/>
      <c r="H1491" t="s">
        <v>1076</v>
      </c>
      <c r="I1491" s="293"/>
    </row>
    <row r="1492">
      <c r="B1492" s="301"/>
      <c r="C1492" s="288"/>
      <c r="D1492" s="289"/>
      <c r="E1492" s="302"/>
      <c r="F1492" s="302" t="s">
        <v>1076</v>
      </c>
      <c r="G1492" s="302"/>
      <c r="H1492" t="s">
        <v>1076</v>
      </c>
      <c r="I1492" s="293"/>
    </row>
    <row r="1493">
      <c r="B1493" s="301"/>
      <c r="C1493" s="288"/>
      <c r="D1493" s="289"/>
      <c r="E1493" s="302"/>
      <c r="F1493" s="302" t="s">
        <v>1076</v>
      </c>
      <c r="G1493" s="302"/>
      <c r="H1493" t="s">
        <v>1076</v>
      </c>
      <c r="I1493" s="293"/>
    </row>
    <row r="1494">
      <c r="B1494" s="301"/>
      <c r="C1494" s="288"/>
      <c r="D1494" s="289"/>
      <c r="E1494" s="302"/>
      <c r="F1494" s="302" t="s">
        <v>1076</v>
      </c>
      <c r="G1494" s="302"/>
      <c r="H1494" t="s">
        <v>1076</v>
      </c>
      <c r="I1494" s="293"/>
    </row>
    <row r="1495">
      <c r="B1495" s="301"/>
      <c r="C1495" s="288"/>
      <c r="D1495" s="289"/>
      <c r="E1495" s="302"/>
      <c r="F1495" s="302" t="s">
        <v>1076</v>
      </c>
      <c r="G1495" s="302"/>
      <c r="H1495" t="s">
        <v>1076</v>
      </c>
      <c r="I1495" s="293"/>
    </row>
    <row r="1496">
      <c r="B1496" s="301"/>
      <c r="C1496" s="288"/>
      <c r="D1496" s="289"/>
      <c r="E1496" s="302"/>
      <c r="F1496" s="302" t="s">
        <v>1076</v>
      </c>
      <c r="G1496" s="302"/>
      <c r="H1496" t="s">
        <v>1076</v>
      </c>
      <c r="I1496" s="293"/>
    </row>
    <row r="1497">
      <c r="B1497" s="301"/>
      <c r="C1497" s="288"/>
      <c r="D1497" s="289"/>
      <c r="E1497" s="302"/>
      <c r="F1497" s="302" t="s">
        <v>1076</v>
      </c>
      <c r="G1497" s="302"/>
      <c r="H1497" t="s">
        <v>1076</v>
      </c>
      <c r="I1497" s="293"/>
    </row>
    <row r="1498">
      <c r="B1498" s="301"/>
      <c r="C1498" s="288"/>
      <c r="D1498" s="289"/>
      <c r="E1498" s="302"/>
      <c r="F1498" s="302" t="s">
        <v>1076</v>
      </c>
      <c r="G1498" s="302"/>
      <c r="H1498" t="s">
        <v>1076</v>
      </c>
      <c r="I1498" s="293"/>
    </row>
    <row r="1499">
      <c r="B1499" s="301"/>
      <c r="C1499" s="288"/>
      <c r="D1499" s="289"/>
      <c r="E1499" s="302"/>
      <c r="F1499" s="302" t="s">
        <v>1076</v>
      </c>
      <c r="G1499" s="302"/>
      <c r="H1499" t="s">
        <v>1076</v>
      </c>
      <c r="I1499" s="293"/>
    </row>
    <row r="1500">
      <c r="B1500" s="301"/>
      <c r="C1500" s="288"/>
      <c r="D1500" s="289"/>
      <c r="E1500" s="302"/>
      <c r="F1500" s="302" t="s">
        <v>1076</v>
      </c>
      <c r="G1500" s="302"/>
      <c r="H1500" t="s">
        <v>1076</v>
      </c>
      <c r="I1500" s="293"/>
    </row>
    <row r="1501">
      <c r="B1501" s="301"/>
      <c r="C1501" s="288"/>
      <c r="D1501" s="289"/>
      <c r="E1501" s="302"/>
      <c r="F1501" s="302" t="s">
        <v>1076</v>
      </c>
      <c r="G1501" s="302"/>
      <c r="H1501" t="s">
        <v>1076</v>
      </c>
      <c r="I1501" s="293"/>
    </row>
    <row r="1502">
      <c r="B1502" s="301"/>
      <c r="C1502" s="288"/>
      <c r="D1502" s="289"/>
      <c r="E1502" s="302"/>
      <c r="F1502" s="302" t="s">
        <v>1076</v>
      </c>
      <c r="G1502" s="302"/>
      <c r="H1502" t="s">
        <v>1076</v>
      </c>
      <c r="I1502" s="293"/>
    </row>
    <row r="1503">
      <c r="B1503" s="301"/>
      <c r="C1503" s="288"/>
      <c r="D1503" s="289"/>
      <c r="E1503" s="302"/>
      <c r="F1503" s="302" t="s">
        <v>1076</v>
      </c>
      <c r="G1503" s="302"/>
      <c r="H1503" t="s">
        <v>1076</v>
      </c>
      <c r="I1503" s="293"/>
    </row>
    <row r="1504">
      <c r="B1504" s="301"/>
      <c r="C1504" s="288"/>
      <c r="D1504" s="289"/>
      <c r="E1504" s="302"/>
      <c r="F1504" s="302" t="s">
        <v>1076</v>
      </c>
      <c r="G1504" s="302"/>
      <c r="H1504" t="s">
        <v>1076</v>
      </c>
      <c r="I1504" s="293"/>
    </row>
    <row r="1505">
      <c r="B1505" s="301"/>
      <c r="C1505" s="288"/>
      <c r="D1505" s="289"/>
      <c r="E1505" s="302"/>
      <c r="F1505" s="302" t="s">
        <v>1076</v>
      </c>
      <c r="G1505" s="302"/>
      <c r="H1505" t="s">
        <v>1076</v>
      </c>
      <c r="I1505" s="293"/>
    </row>
    <row r="1506">
      <c r="B1506" s="301"/>
      <c r="C1506" s="288"/>
      <c r="D1506" s="289"/>
      <c r="E1506" s="302"/>
      <c r="F1506" s="302" t="s">
        <v>1076</v>
      </c>
      <c r="G1506" s="302"/>
      <c r="H1506" t="s">
        <v>1076</v>
      </c>
      <c r="I1506" s="293"/>
    </row>
    <row r="1507">
      <c r="B1507" s="301"/>
      <c r="C1507" s="288"/>
      <c r="D1507" s="289"/>
      <c r="E1507" s="302"/>
      <c r="F1507" s="302" t="s">
        <v>1076</v>
      </c>
      <c r="G1507" s="302"/>
      <c r="H1507" t="s">
        <v>1076</v>
      </c>
      <c r="I1507" s="293"/>
    </row>
    <row r="1508">
      <c r="B1508" s="301"/>
      <c r="C1508" s="288"/>
      <c r="D1508" s="289"/>
      <c r="E1508" s="302"/>
      <c r="F1508" s="302" t="s">
        <v>1076</v>
      </c>
      <c r="G1508" s="302"/>
      <c r="H1508" t="s">
        <v>1076</v>
      </c>
      <c r="I1508" s="293"/>
    </row>
    <row r="1509">
      <c r="B1509" s="301"/>
      <c r="C1509" s="288"/>
      <c r="D1509" s="289"/>
      <c r="E1509" s="302"/>
      <c r="F1509" s="302" t="s">
        <v>1076</v>
      </c>
      <c r="G1509" s="302"/>
      <c r="H1509" t="s">
        <v>1076</v>
      </c>
      <c r="I1509" s="293"/>
    </row>
    <row r="1510">
      <c r="B1510" s="301"/>
      <c r="C1510" s="288"/>
      <c r="D1510" s="289"/>
      <c r="E1510" s="302"/>
      <c r="F1510" s="302" t="s">
        <v>1076</v>
      </c>
      <c r="G1510" s="302"/>
      <c r="H1510" t="s">
        <v>1076</v>
      </c>
      <c r="I1510" s="293"/>
    </row>
    <row r="1511">
      <c r="B1511" s="301"/>
      <c r="C1511" s="288"/>
      <c r="D1511" s="289"/>
      <c r="E1511" s="302"/>
      <c r="F1511" s="302" t="s">
        <v>1076</v>
      </c>
      <c r="G1511" s="302"/>
      <c r="H1511" t="s">
        <v>1076</v>
      </c>
      <c r="I1511" s="293"/>
    </row>
    <row r="1512">
      <c r="B1512" s="301"/>
      <c r="C1512" s="288"/>
      <c r="D1512" s="289"/>
      <c r="E1512" s="302"/>
      <c r="F1512" s="302" t="s">
        <v>1076</v>
      </c>
      <c r="G1512" s="302"/>
      <c r="H1512" t="s">
        <v>1076</v>
      </c>
      <c r="I1512" s="293"/>
    </row>
    <row r="1513">
      <c r="B1513" s="301"/>
      <c r="C1513" s="288"/>
      <c r="D1513" s="289"/>
      <c r="E1513" s="302"/>
      <c r="F1513" s="302" t="s">
        <v>1076</v>
      </c>
      <c r="G1513" s="302"/>
      <c r="H1513" t="s">
        <v>1076</v>
      </c>
      <c r="I1513" s="293"/>
    </row>
    <row r="1514">
      <c r="B1514" s="301"/>
      <c r="C1514" s="288"/>
      <c r="D1514" s="289"/>
      <c r="E1514" s="302"/>
      <c r="F1514" s="302" t="s">
        <v>1076</v>
      </c>
      <c r="G1514" s="302"/>
      <c r="H1514" t="s">
        <v>1076</v>
      </c>
      <c r="I1514" s="293"/>
    </row>
    <row r="1515">
      <c r="B1515" s="301"/>
      <c r="C1515" s="288"/>
      <c r="D1515" s="289"/>
      <c r="E1515" s="302"/>
      <c r="F1515" s="302" t="s">
        <v>1076</v>
      </c>
      <c r="G1515" s="302"/>
      <c r="H1515" t="s">
        <v>1076</v>
      </c>
      <c r="I1515" s="293"/>
    </row>
    <row r="1516">
      <c r="B1516" s="301"/>
      <c r="C1516" s="288"/>
      <c r="D1516" s="289"/>
      <c r="E1516" s="302"/>
      <c r="F1516" s="302" t="s">
        <v>1076</v>
      </c>
      <c r="G1516" s="302"/>
      <c r="H1516" t="s">
        <v>1076</v>
      </c>
      <c r="I1516" s="293"/>
    </row>
    <row r="1517">
      <c r="B1517" s="301"/>
      <c r="C1517" s="288"/>
      <c r="D1517" s="289"/>
      <c r="E1517" s="302"/>
      <c r="F1517" s="302" t="s">
        <v>1076</v>
      </c>
      <c r="G1517" s="302"/>
      <c r="H1517" t="s">
        <v>1076</v>
      </c>
      <c r="I1517" s="293"/>
    </row>
    <row r="1518">
      <c r="B1518" s="301"/>
      <c r="C1518" s="288"/>
      <c r="D1518" s="289"/>
      <c r="E1518" s="302"/>
      <c r="F1518" s="302" t="s">
        <v>1076</v>
      </c>
      <c r="G1518" s="302"/>
      <c r="H1518" t="s">
        <v>1076</v>
      </c>
      <c r="I1518" s="293"/>
    </row>
    <row r="1519">
      <c r="B1519" s="301"/>
      <c r="C1519" s="288"/>
      <c r="D1519" s="289"/>
      <c r="E1519" s="302"/>
      <c r="F1519" s="302" t="s">
        <v>1076</v>
      </c>
      <c r="G1519" s="302"/>
      <c r="H1519" t="s">
        <v>1076</v>
      </c>
      <c r="I1519" s="293"/>
    </row>
    <row r="1520">
      <c r="B1520" s="301"/>
      <c r="C1520" s="288"/>
      <c r="D1520" s="289"/>
      <c r="E1520" s="302"/>
      <c r="F1520" s="302" t="s">
        <v>1076</v>
      </c>
      <c r="G1520" s="302"/>
      <c r="H1520" t="s">
        <v>1076</v>
      </c>
      <c r="I1520" s="293"/>
    </row>
    <row r="1521">
      <c r="B1521" s="301"/>
      <c r="C1521" s="288"/>
      <c r="D1521" s="289"/>
      <c r="E1521" s="302"/>
      <c r="F1521" s="302" t="s">
        <v>1076</v>
      </c>
      <c r="G1521" s="302"/>
      <c r="H1521" t="s">
        <v>1076</v>
      </c>
      <c r="I1521" s="293"/>
    </row>
    <row r="1522">
      <c r="B1522" s="301"/>
      <c r="C1522" s="288"/>
      <c r="D1522" s="289"/>
      <c r="E1522" s="302"/>
      <c r="F1522" s="302" t="s">
        <v>1076</v>
      </c>
      <c r="G1522" s="302"/>
      <c r="H1522" t="s">
        <v>1076</v>
      </c>
      <c r="I1522" s="293"/>
    </row>
    <row r="1523">
      <c r="B1523" s="301"/>
      <c r="C1523" s="288"/>
      <c r="D1523" s="289"/>
      <c r="E1523" s="302"/>
      <c r="F1523" s="302" t="s">
        <v>1076</v>
      </c>
      <c r="G1523" s="302"/>
      <c r="H1523" t="s">
        <v>1076</v>
      </c>
      <c r="I1523" s="293"/>
    </row>
    <row r="1524">
      <c r="B1524" s="301"/>
      <c r="C1524" s="288"/>
      <c r="D1524" s="289"/>
      <c r="E1524" s="302"/>
      <c r="F1524" s="302" t="s">
        <v>1076</v>
      </c>
      <c r="G1524" s="302"/>
      <c r="H1524" t="s">
        <v>1076</v>
      </c>
      <c r="I1524" s="293"/>
    </row>
    <row r="1525">
      <c r="B1525" s="301"/>
      <c r="C1525" s="288"/>
      <c r="D1525" s="289"/>
      <c r="E1525" s="302"/>
      <c r="F1525" s="302" t="s">
        <v>1076</v>
      </c>
      <c r="G1525" s="302"/>
      <c r="H1525" t="s">
        <v>1076</v>
      </c>
      <c r="I1525" s="293"/>
    </row>
    <row r="1526">
      <c r="B1526" s="301"/>
      <c r="C1526" s="288"/>
      <c r="D1526" s="289"/>
      <c r="E1526" s="302"/>
      <c r="F1526" s="302" t="s">
        <v>1076</v>
      </c>
      <c r="G1526" s="302"/>
      <c r="H1526" t="s">
        <v>1076</v>
      </c>
      <c r="I1526" s="293"/>
    </row>
    <row r="1527">
      <c r="B1527" s="301"/>
      <c r="C1527" s="288"/>
      <c r="D1527" s="289"/>
      <c r="E1527" s="302"/>
      <c r="F1527" s="302" t="s">
        <v>1076</v>
      </c>
      <c r="G1527" s="302"/>
      <c r="H1527" t="s">
        <v>1076</v>
      </c>
      <c r="I1527" s="29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
    <col customWidth="1" min="2" max="2" width="12.29"/>
    <col customWidth="1" min="3" max="3" width="15.86"/>
    <col customWidth="1" min="4" max="9" width="16.86"/>
    <col customWidth="1" min="10" max="10" width="12.71"/>
    <col customWidth="1" min="11" max="11" width="3.57"/>
    <col customWidth="1" min="12" max="12" width="3.86"/>
    <col customWidth="1" min="13" max="13" width="11.57"/>
    <col customWidth="1" min="14" max="15" width="7.43"/>
  </cols>
  <sheetData>
    <row r="1" ht="13.5" customHeight="1">
      <c r="A1" s="129"/>
      <c r="B1" s="131" t="s">
        <v>194</v>
      </c>
      <c r="K1" s="133" t="s">
        <v>195</v>
      </c>
      <c r="L1" s="3"/>
      <c r="M1" s="5"/>
    </row>
    <row r="2">
      <c r="A2" s="129"/>
      <c r="B2" s="134"/>
      <c r="C2" s="136" t="s">
        <v>196</v>
      </c>
      <c r="D2" s="138" t="s">
        <v>197</v>
      </c>
      <c r="E2" s="139"/>
      <c r="F2" s="139"/>
      <c r="G2" s="139"/>
      <c r="H2" s="139"/>
      <c r="I2" s="139"/>
      <c r="K2" s="140" t="s">
        <v>200</v>
      </c>
      <c r="L2" s="140" t="s">
        <v>200</v>
      </c>
      <c r="M2" s="140" t="s">
        <v>200</v>
      </c>
    </row>
    <row r="3">
      <c r="A3" s="129"/>
      <c r="B3" s="134"/>
      <c r="E3" s="139"/>
      <c r="F3" s="139"/>
      <c r="G3" s="141" t="str">
        <f>IF(COUNTA(M4:M197)&gt;0,"New feedback message: "&amp;COUNTA(M4:M197),"")</f>
        <v>New feedback message: 5</v>
      </c>
      <c r="K3" s="142"/>
      <c r="L3" s="142"/>
      <c r="M3" s="143"/>
    </row>
    <row r="4" ht="25.5" customHeight="1">
      <c r="A4" s="129"/>
      <c r="B4" s="144"/>
      <c r="C4" s="112"/>
      <c r="D4" s="147" t="str">
        <f t="array" ref="D4">"Hi. Scroll down to row "&amp;max(if(B1:B180&lt;&gt;"",row(B1:B180)))+1&amp;" if you want to leave a message. Thanks"</f>
        <v>Hi. Scroll down to row 175 if you want to leave a message. Thanks</v>
      </c>
      <c r="E4" s="3"/>
      <c r="F4" s="3"/>
      <c r="G4" s="3"/>
      <c r="H4" s="3"/>
      <c r="I4" s="5"/>
      <c r="K4" s="142"/>
      <c r="L4" s="142"/>
      <c r="M4" s="143"/>
    </row>
    <row r="5">
      <c r="A5" s="129"/>
      <c r="B5" s="149" t="s">
        <v>58</v>
      </c>
      <c r="C5" s="150" t="s">
        <v>59</v>
      </c>
      <c r="D5" s="151" t="s">
        <v>202</v>
      </c>
      <c r="E5" s="3"/>
      <c r="F5" s="3"/>
      <c r="G5" s="3"/>
      <c r="H5" s="3"/>
      <c r="I5" s="5"/>
      <c r="K5" s="152" t="str">
        <f t="array" ref="K5:K205">A5:A205&amp;"|"&amp;B5:B205&amp;"|"&amp;C5:C205&amp;"|"&amp;D5:D205&amp;"|"&amp;E5:E205&amp;"|"&amp;F5:F205&amp;"|"&amp;G5:G205&amp;"|"&amp;H5:H205&amp;"|"&amp;I5:I205&amp;"|"&amp;J5:J205</f>
        <v>|Date
(double click empty cell)|Username|User Feedback
(For questions, comments and feature requests)||||||</v>
      </c>
      <c r="L5" s="142" t="s">
        <v>206</v>
      </c>
      <c r="M5" s="159" t="str">
        <f t="array" ref="M5:M178">if(K5:K178=L5:L178,,if((L5:L178="")*(K5:K178&lt;&gt;""),"new data","data changed"))</f>
        <v/>
      </c>
    </row>
    <row r="6" ht="25.5" customHeight="1">
      <c r="A6" s="86"/>
      <c r="B6" s="161">
        <v>42152.0</v>
      </c>
      <c r="C6" s="162" t="s">
        <v>214</v>
      </c>
      <c r="D6" s="163" t="s">
        <v>215</v>
      </c>
      <c r="E6" s="3"/>
      <c r="F6" s="3"/>
      <c r="G6" s="3"/>
      <c r="H6" s="3"/>
      <c r="I6" s="5"/>
      <c r="J6" s="79"/>
      <c r="K6" s="142" t="s">
        <v>216</v>
      </c>
      <c r="L6" s="142" t="s">
        <v>216</v>
      </c>
      <c r="M6" s="143"/>
    </row>
    <row r="7" ht="25.5" customHeight="1">
      <c r="A7" s="86"/>
      <c r="B7" s="161">
        <v>42152.0</v>
      </c>
      <c r="C7" s="84" t="s">
        <v>63</v>
      </c>
      <c r="D7" s="82" t="s">
        <v>217</v>
      </c>
      <c r="E7" s="3"/>
      <c r="F7" s="3"/>
      <c r="G7" s="3"/>
      <c r="H7" s="3"/>
      <c r="I7" s="5"/>
      <c r="K7" s="142" t="s">
        <v>218</v>
      </c>
      <c r="L7" s="142" t="s">
        <v>218</v>
      </c>
      <c r="M7" s="143"/>
    </row>
    <row r="8" ht="25.5" customHeight="1">
      <c r="A8" s="86"/>
      <c r="B8" s="161">
        <v>42158.0</v>
      </c>
      <c r="C8" s="84" t="s">
        <v>219</v>
      </c>
      <c r="D8" s="82" t="s">
        <v>220</v>
      </c>
      <c r="E8" s="3"/>
      <c r="F8" s="3"/>
      <c r="G8" s="3"/>
      <c r="H8" s="3"/>
      <c r="I8" s="5"/>
      <c r="K8" s="142" t="s">
        <v>221</v>
      </c>
      <c r="L8" s="142" t="s">
        <v>221</v>
      </c>
      <c r="M8" s="143"/>
    </row>
    <row r="9" ht="25.5" customHeight="1">
      <c r="A9" s="86"/>
      <c r="B9" s="161">
        <v>42158.0</v>
      </c>
      <c r="C9" s="84" t="s">
        <v>63</v>
      </c>
      <c r="D9" s="82" t="s">
        <v>223</v>
      </c>
      <c r="E9" s="3"/>
      <c r="F9" s="3"/>
      <c r="G9" s="3"/>
      <c r="H9" s="3"/>
      <c r="I9" s="5"/>
      <c r="K9" s="142" t="s">
        <v>230</v>
      </c>
      <c r="L9" s="142" t="s">
        <v>230</v>
      </c>
      <c r="M9" s="143"/>
    </row>
    <row r="10" ht="25.5" customHeight="1">
      <c r="A10" s="86"/>
      <c r="B10" s="161">
        <v>42164.0</v>
      </c>
      <c r="C10" s="84" t="s">
        <v>232</v>
      </c>
      <c r="D10" s="163" t="s">
        <v>233</v>
      </c>
      <c r="E10" s="3"/>
      <c r="F10" s="3"/>
      <c r="G10" s="3"/>
      <c r="H10" s="3"/>
      <c r="I10" s="5"/>
      <c r="K10" s="142" t="s">
        <v>235</v>
      </c>
      <c r="L10" s="142" t="s">
        <v>235</v>
      </c>
      <c r="M10" s="143"/>
    </row>
    <row r="11" ht="137.25" customHeight="1">
      <c r="A11" s="86"/>
      <c r="B11" s="161">
        <v>42165.0</v>
      </c>
      <c r="C11" s="84" t="s">
        <v>63</v>
      </c>
      <c r="D11" s="82" t="s">
        <v>237</v>
      </c>
      <c r="E11" s="3"/>
      <c r="F11" s="3"/>
      <c r="G11" s="3"/>
      <c r="H11" s="3"/>
      <c r="I11" s="5"/>
      <c r="K11" s="142" t="s">
        <v>239</v>
      </c>
      <c r="L11" s="142" t="s">
        <v>239</v>
      </c>
      <c r="M11" s="143"/>
    </row>
    <row r="12" ht="25.5" customHeight="1">
      <c r="A12" s="86"/>
      <c r="B12" s="161">
        <v>42166.0</v>
      </c>
      <c r="C12" s="84" t="s">
        <v>240</v>
      </c>
      <c r="D12" s="82" t="s">
        <v>241</v>
      </c>
      <c r="E12" s="3"/>
      <c r="F12" s="3"/>
      <c r="G12" s="3"/>
      <c r="H12" s="3"/>
      <c r="I12" s="5"/>
      <c r="K12" s="142" t="s">
        <v>242</v>
      </c>
      <c r="L12" s="142" t="s">
        <v>242</v>
      </c>
      <c r="M12" s="143"/>
    </row>
    <row r="13" ht="25.5" customHeight="1">
      <c r="A13" s="86"/>
      <c r="B13" s="161">
        <v>42166.0</v>
      </c>
      <c r="C13" s="84" t="s">
        <v>63</v>
      </c>
      <c r="D13" s="82" t="s">
        <v>243</v>
      </c>
      <c r="E13" s="3"/>
      <c r="F13" s="3"/>
      <c r="G13" s="3"/>
      <c r="H13" s="3"/>
      <c r="I13" s="5"/>
      <c r="K13" s="142" t="s">
        <v>245</v>
      </c>
      <c r="L13" s="142" t="s">
        <v>245</v>
      </c>
      <c r="M13" s="143"/>
    </row>
    <row r="14" ht="25.5" customHeight="1">
      <c r="A14" s="86"/>
      <c r="B14" s="161">
        <v>42166.0</v>
      </c>
      <c r="C14" s="84" t="s">
        <v>240</v>
      </c>
      <c r="D14" s="82" t="s">
        <v>246</v>
      </c>
      <c r="E14" s="3"/>
      <c r="F14" s="3"/>
      <c r="G14" s="3"/>
      <c r="H14" s="3"/>
      <c r="I14" s="5"/>
      <c r="K14" s="142" t="s">
        <v>247</v>
      </c>
      <c r="L14" s="142" t="s">
        <v>247</v>
      </c>
      <c r="M14" s="143"/>
    </row>
    <row r="15" ht="25.5" customHeight="1">
      <c r="A15" s="86"/>
      <c r="B15" s="161">
        <v>42166.0</v>
      </c>
      <c r="C15" s="84" t="s">
        <v>63</v>
      </c>
      <c r="D15" s="82" t="s">
        <v>248</v>
      </c>
      <c r="E15" s="3"/>
      <c r="F15" s="3"/>
      <c r="G15" s="3"/>
      <c r="H15" s="3"/>
      <c r="I15" s="5"/>
      <c r="K15" s="142" t="s">
        <v>249</v>
      </c>
      <c r="L15" s="142" t="s">
        <v>249</v>
      </c>
      <c r="M15" s="143"/>
    </row>
    <row r="16" ht="25.5" customHeight="1">
      <c r="A16" s="86"/>
      <c r="B16" s="161">
        <v>42167.0</v>
      </c>
      <c r="C16" s="84" t="s">
        <v>63</v>
      </c>
      <c r="D16" s="82" t="s">
        <v>252</v>
      </c>
      <c r="E16" s="3"/>
      <c r="F16" s="3"/>
      <c r="G16" s="3"/>
      <c r="H16" s="3"/>
      <c r="I16" s="5"/>
      <c r="K16" s="142" t="s">
        <v>253</v>
      </c>
      <c r="L16" s="142" t="s">
        <v>253</v>
      </c>
      <c r="M16" s="143"/>
    </row>
    <row r="17" ht="25.5" customHeight="1">
      <c r="A17" s="86"/>
      <c r="B17" s="161">
        <v>42216.0</v>
      </c>
      <c r="C17" s="84" t="s">
        <v>108</v>
      </c>
      <c r="D17" s="82" t="s">
        <v>254</v>
      </c>
      <c r="E17" s="3"/>
      <c r="F17" s="3"/>
      <c r="G17" s="3"/>
      <c r="H17" s="3"/>
      <c r="I17" s="5"/>
      <c r="K17" s="142" t="s">
        <v>255</v>
      </c>
      <c r="L17" s="142" t="s">
        <v>255</v>
      </c>
      <c r="M17" s="143"/>
    </row>
    <row r="18" ht="25.5" customHeight="1">
      <c r="A18" s="86"/>
      <c r="B18" s="161">
        <v>42218.0</v>
      </c>
      <c r="C18" s="84" t="s">
        <v>63</v>
      </c>
      <c r="D18" s="82" t="s">
        <v>256</v>
      </c>
      <c r="E18" s="3"/>
      <c r="F18" s="3"/>
      <c r="G18" s="3"/>
      <c r="H18" s="3"/>
      <c r="I18" s="5"/>
      <c r="K18" s="142" t="s">
        <v>257</v>
      </c>
      <c r="L18" s="142" t="s">
        <v>257</v>
      </c>
      <c r="M18" s="143"/>
    </row>
    <row r="19" ht="25.5" customHeight="1">
      <c r="A19" s="86"/>
      <c r="B19" s="161">
        <v>42224.0</v>
      </c>
      <c r="C19" s="84" t="s">
        <v>214</v>
      </c>
      <c r="D19" s="82" t="s">
        <v>258</v>
      </c>
      <c r="E19" s="3"/>
      <c r="F19" s="3"/>
      <c r="G19" s="3"/>
      <c r="H19" s="3"/>
      <c r="I19" s="5"/>
      <c r="K19" s="142" t="s">
        <v>260</v>
      </c>
      <c r="L19" s="142" t="s">
        <v>260</v>
      </c>
      <c r="M19" s="143"/>
    </row>
    <row r="20" ht="25.5" customHeight="1">
      <c r="A20" s="86"/>
      <c r="B20" s="161">
        <v>42224.0</v>
      </c>
      <c r="C20" s="84" t="s">
        <v>63</v>
      </c>
      <c r="D20" s="82" t="s">
        <v>261</v>
      </c>
      <c r="E20" s="3"/>
      <c r="F20" s="3"/>
      <c r="G20" s="3"/>
      <c r="H20" s="3"/>
      <c r="I20" s="5"/>
      <c r="K20" s="142" t="s">
        <v>262</v>
      </c>
      <c r="L20" s="142" t="s">
        <v>262</v>
      </c>
      <c r="M20" s="143"/>
    </row>
    <row r="21" ht="25.5" customHeight="1">
      <c r="A21" s="86"/>
      <c r="B21" s="161">
        <v>42225.0</v>
      </c>
      <c r="C21" s="84" t="s">
        <v>63</v>
      </c>
      <c r="D21" s="174" t="s">
        <v>264</v>
      </c>
      <c r="E21" s="3"/>
      <c r="F21" s="3"/>
      <c r="G21" s="3"/>
      <c r="H21" s="3"/>
      <c r="I21" s="5"/>
      <c r="K21" s="142" t="s">
        <v>266</v>
      </c>
      <c r="L21" s="142" t="s">
        <v>266</v>
      </c>
      <c r="M21" s="143"/>
      <c r="N21" s="121"/>
      <c r="O21" s="121"/>
    </row>
    <row r="22" ht="25.5" customHeight="1">
      <c r="A22" s="86"/>
      <c r="B22" s="161">
        <v>42226.0</v>
      </c>
      <c r="C22" s="84" t="s">
        <v>214</v>
      </c>
      <c r="D22" s="174" t="s">
        <v>267</v>
      </c>
      <c r="E22" s="3"/>
      <c r="F22" s="3"/>
      <c r="G22" s="3"/>
      <c r="H22" s="3"/>
      <c r="I22" s="5"/>
      <c r="K22" s="142" t="s">
        <v>268</v>
      </c>
      <c r="L22" s="142" t="s">
        <v>268</v>
      </c>
      <c r="M22" s="143"/>
    </row>
    <row r="23" ht="25.5" customHeight="1">
      <c r="A23" s="86"/>
      <c r="B23" s="161">
        <v>42226.0</v>
      </c>
      <c r="C23" s="84" t="s">
        <v>63</v>
      </c>
      <c r="D23" s="174" t="s">
        <v>269</v>
      </c>
      <c r="E23" s="3"/>
      <c r="F23" s="3"/>
      <c r="G23" s="3"/>
      <c r="H23" s="3"/>
      <c r="I23" s="5"/>
      <c r="K23" s="142" t="s">
        <v>270</v>
      </c>
      <c r="L23" s="142" t="s">
        <v>270</v>
      </c>
      <c r="M23" s="143"/>
    </row>
    <row r="24" ht="25.5" customHeight="1">
      <c r="A24" s="86"/>
      <c r="B24" s="161">
        <v>42274.0</v>
      </c>
      <c r="C24" s="84" t="s">
        <v>214</v>
      </c>
      <c r="D24" s="174" t="s">
        <v>271</v>
      </c>
      <c r="E24" s="3"/>
      <c r="F24" s="3"/>
      <c r="G24" s="3"/>
      <c r="H24" s="3"/>
      <c r="I24" s="5"/>
      <c r="K24" s="142" t="s">
        <v>274</v>
      </c>
      <c r="L24" s="142" t="s">
        <v>274</v>
      </c>
      <c r="M24" s="143"/>
    </row>
    <row r="25" ht="25.5" customHeight="1">
      <c r="A25" s="86"/>
      <c r="B25" s="161">
        <v>42279.0</v>
      </c>
      <c r="C25" s="84" t="s">
        <v>63</v>
      </c>
      <c r="D25" s="174" t="s">
        <v>275</v>
      </c>
      <c r="E25" s="3"/>
      <c r="F25" s="3"/>
      <c r="G25" s="3"/>
      <c r="H25" s="3"/>
      <c r="I25" s="5"/>
      <c r="K25" s="142" t="s">
        <v>276</v>
      </c>
      <c r="L25" s="142" t="s">
        <v>276</v>
      </c>
      <c r="M25" s="143"/>
    </row>
    <row r="26" ht="25.5" customHeight="1">
      <c r="A26" s="86"/>
      <c r="B26" s="161">
        <v>42303.0</v>
      </c>
      <c r="C26" s="178" t="s">
        <v>277</v>
      </c>
      <c r="D26" s="174" t="s">
        <v>278</v>
      </c>
      <c r="E26" s="3"/>
      <c r="F26" s="3"/>
      <c r="G26" s="3"/>
      <c r="H26" s="3"/>
      <c r="I26" s="5"/>
      <c r="K26" s="142" t="s">
        <v>279</v>
      </c>
      <c r="L26" s="142" t="s">
        <v>279</v>
      </c>
      <c r="M26" s="143"/>
    </row>
    <row r="27" ht="141.75" customHeight="1">
      <c r="A27" s="86"/>
      <c r="B27" s="161">
        <v>42305.0</v>
      </c>
      <c r="C27" s="84" t="s">
        <v>63</v>
      </c>
      <c r="D27" s="174" t="s">
        <v>281</v>
      </c>
      <c r="E27" s="3"/>
      <c r="F27" s="3"/>
      <c r="G27" s="3"/>
      <c r="H27" s="3"/>
      <c r="I27" s="5"/>
      <c r="K27" s="142" t="s">
        <v>282</v>
      </c>
      <c r="L27" s="142" t="s">
        <v>282</v>
      </c>
      <c r="M27" s="143"/>
    </row>
    <row r="28" ht="25.5" customHeight="1">
      <c r="A28" s="86"/>
      <c r="B28" s="161">
        <v>42312.0</v>
      </c>
      <c r="C28" s="84" t="s">
        <v>232</v>
      </c>
      <c r="D28" s="174" t="s">
        <v>283</v>
      </c>
      <c r="E28" s="3"/>
      <c r="F28" s="3"/>
      <c r="G28" s="3"/>
      <c r="H28" s="3"/>
      <c r="I28" s="5"/>
      <c r="K28" s="142" t="s">
        <v>284</v>
      </c>
      <c r="L28" s="142" t="s">
        <v>284</v>
      </c>
      <c r="M28" s="143"/>
    </row>
    <row r="29" ht="25.5" customHeight="1">
      <c r="A29" s="86"/>
      <c r="B29" s="161">
        <v>42313.0</v>
      </c>
      <c r="C29" s="84" t="s">
        <v>63</v>
      </c>
      <c r="D29" s="174" t="s">
        <v>285</v>
      </c>
      <c r="E29" s="3"/>
      <c r="F29" s="3"/>
      <c r="G29" s="3"/>
      <c r="H29" s="3"/>
      <c r="I29" s="5"/>
      <c r="K29" s="142" t="s">
        <v>286</v>
      </c>
      <c r="L29" s="142" t="s">
        <v>286</v>
      </c>
      <c r="M29" s="143"/>
    </row>
    <row r="30" ht="25.5" customHeight="1">
      <c r="A30" s="86"/>
      <c r="B30" s="161">
        <v>42319.0</v>
      </c>
      <c r="C30" s="84" t="s">
        <v>214</v>
      </c>
      <c r="D30" s="174" t="s">
        <v>287</v>
      </c>
      <c r="E30" s="3"/>
      <c r="F30" s="3"/>
      <c r="G30" s="3"/>
      <c r="H30" s="3"/>
      <c r="I30" s="5"/>
      <c r="K30" s="142" t="s">
        <v>289</v>
      </c>
      <c r="L30" s="142" t="s">
        <v>289</v>
      </c>
      <c r="M30" s="143"/>
    </row>
    <row r="31" ht="25.5" customHeight="1">
      <c r="A31" s="86"/>
      <c r="B31" s="161">
        <v>42321.0</v>
      </c>
      <c r="C31" s="84" t="s">
        <v>63</v>
      </c>
      <c r="D31" s="174" t="s">
        <v>290</v>
      </c>
      <c r="E31" s="3"/>
      <c r="F31" s="3"/>
      <c r="G31" s="3"/>
      <c r="H31" s="3"/>
      <c r="I31" s="5"/>
      <c r="K31" s="142" t="s">
        <v>291</v>
      </c>
      <c r="L31" s="142" t="s">
        <v>291</v>
      </c>
      <c r="M31" s="143"/>
    </row>
    <row r="32" ht="25.5" customHeight="1">
      <c r="A32" s="86"/>
      <c r="B32" s="161">
        <v>42352.0</v>
      </c>
      <c r="C32" s="84" t="s">
        <v>108</v>
      </c>
      <c r="D32" s="174" t="s">
        <v>292</v>
      </c>
      <c r="E32" s="3"/>
      <c r="F32" s="3"/>
      <c r="G32" s="3"/>
      <c r="H32" s="3"/>
      <c r="I32" s="5"/>
      <c r="K32" s="142" t="s">
        <v>293</v>
      </c>
      <c r="L32" s="142" t="s">
        <v>293</v>
      </c>
      <c r="M32" s="143"/>
    </row>
    <row r="33" ht="160.5" customHeight="1">
      <c r="A33" s="86"/>
      <c r="B33" s="187">
        <v>42353.0</v>
      </c>
      <c r="C33" s="189" t="s">
        <v>63</v>
      </c>
      <c r="D33" s="192" t="s">
        <v>295</v>
      </c>
      <c r="E33" s="194"/>
      <c r="F33" s="194"/>
      <c r="G33" s="194"/>
      <c r="H33" s="194"/>
      <c r="I33" s="61"/>
      <c r="K33" s="142" t="s">
        <v>297</v>
      </c>
      <c r="L33" s="142" t="s">
        <v>297</v>
      </c>
      <c r="M33" s="143"/>
    </row>
    <row r="34" ht="87.75" customHeight="1">
      <c r="A34" s="86"/>
      <c r="B34" s="65"/>
      <c r="C34" s="65"/>
      <c r="D34" s="66"/>
      <c r="I34" s="69"/>
      <c r="K34" s="142" t="s">
        <v>298</v>
      </c>
      <c r="L34" s="142" t="s">
        <v>298</v>
      </c>
      <c r="M34" s="143"/>
    </row>
    <row r="35" ht="109.5" customHeight="1">
      <c r="A35" s="86"/>
      <c r="B35" s="65"/>
      <c r="C35" s="65"/>
      <c r="D35" s="66"/>
      <c r="I35" s="69"/>
      <c r="K35" s="142" t="s">
        <v>298</v>
      </c>
      <c r="L35" s="142" t="s">
        <v>298</v>
      </c>
      <c r="M35" s="143"/>
    </row>
    <row r="36" ht="71.25" customHeight="1">
      <c r="A36" s="86"/>
      <c r="B36" s="56"/>
      <c r="C36" s="56"/>
      <c r="D36" s="71"/>
      <c r="E36" s="197"/>
      <c r="F36" s="197"/>
      <c r="G36" s="197"/>
      <c r="H36" s="197"/>
      <c r="I36" s="73"/>
      <c r="K36" s="142" t="s">
        <v>298</v>
      </c>
      <c r="L36" s="142" t="s">
        <v>298</v>
      </c>
      <c r="M36" s="143"/>
    </row>
    <row r="37" ht="25.5" customHeight="1">
      <c r="A37" s="86"/>
      <c r="B37" s="161">
        <v>42355.0</v>
      </c>
      <c r="C37" s="84" t="s">
        <v>108</v>
      </c>
      <c r="D37" s="174" t="s">
        <v>302</v>
      </c>
      <c r="E37" s="3"/>
      <c r="F37" s="3"/>
      <c r="G37" s="3"/>
      <c r="H37" s="3"/>
      <c r="I37" s="5"/>
      <c r="K37" s="142" t="s">
        <v>303</v>
      </c>
      <c r="L37" s="142" t="s">
        <v>303</v>
      </c>
      <c r="M37" s="143"/>
    </row>
    <row r="38" ht="25.5" customHeight="1">
      <c r="A38" s="86"/>
      <c r="B38" s="161">
        <v>42355.0</v>
      </c>
      <c r="C38" s="84" t="s">
        <v>304</v>
      </c>
      <c r="D38" s="174" t="s">
        <v>305</v>
      </c>
      <c r="E38" s="3"/>
      <c r="F38" s="3"/>
      <c r="G38" s="3"/>
      <c r="H38" s="3"/>
      <c r="I38" s="5"/>
      <c r="K38" s="142" t="s">
        <v>307</v>
      </c>
      <c r="L38" s="142" t="s">
        <v>307</v>
      </c>
      <c r="M38" s="143"/>
    </row>
    <row r="39" ht="25.5" customHeight="1">
      <c r="A39" s="86"/>
      <c r="B39" s="161">
        <v>42355.0</v>
      </c>
      <c r="C39" s="84" t="s">
        <v>63</v>
      </c>
      <c r="D39" s="174" t="s">
        <v>308</v>
      </c>
      <c r="E39" s="3"/>
      <c r="F39" s="3"/>
      <c r="G39" s="3"/>
      <c r="H39" s="3"/>
      <c r="I39" s="5"/>
      <c r="K39" s="142" t="s">
        <v>310</v>
      </c>
      <c r="L39" s="142" t="s">
        <v>310</v>
      </c>
      <c r="M39" s="143"/>
    </row>
    <row r="40" ht="25.5" customHeight="1">
      <c r="A40" s="86"/>
      <c r="B40" s="161">
        <v>42391.0</v>
      </c>
      <c r="C40" s="84" t="s">
        <v>311</v>
      </c>
      <c r="D40" s="174" t="s">
        <v>312</v>
      </c>
      <c r="E40" s="3"/>
      <c r="F40" s="3"/>
      <c r="G40" s="3"/>
      <c r="H40" s="3"/>
      <c r="I40" s="5"/>
      <c r="K40" s="142" t="s">
        <v>313</v>
      </c>
      <c r="L40" s="142" t="s">
        <v>313</v>
      </c>
      <c r="M40" s="143"/>
    </row>
    <row r="41" ht="25.5" customHeight="1">
      <c r="A41" s="86"/>
      <c r="B41" s="161">
        <v>42394.0</v>
      </c>
      <c r="C41" s="84" t="s">
        <v>63</v>
      </c>
      <c r="D41" s="174" t="s">
        <v>315</v>
      </c>
      <c r="E41" s="3"/>
      <c r="F41" s="3"/>
      <c r="G41" s="3"/>
      <c r="H41" s="3"/>
      <c r="I41" s="5"/>
      <c r="K41" s="142" t="s">
        <v>316</v>
      </c>
      <c r="L41" s="142" t="s">
        <v>316</v>
      </c>
      <c r="M41" s="143"/>
    </row>
    <row r="42" ht="25.5" customHeight="1">
      <c r="A42" s="86"/>
      <c r="B42" s="161">
        <v>42405.0</v>
      </c>
      <c r="C42" s="84" t="s">
        <v>318</v>
      </c>
      <c r="D42" s="174" t="s">
        <v>319</v>
      </c>
      <c r="E42" s="3"/>
      <c r="F42" s="3"/>
      <c r="G42" s="3"/>
      <c r="H42" s="3"/>
      <c r="I42" s="5"/>
      <c r="K42" s="142" t="s">
        <v>320</v>
      </c>
      <c r="L42" s="142" t="s">
        <v>320</v>
      </c>
      <c r="M42" s="143"/>
    </row>
    <row r="43" ht="25.5" customHeight="1">
      <c r="A43" s="86"/>
      <c r="B43" s="161">
        <v>42407.0</v>
      </c>
      <c r="C43" s="84" t="s">
        <v>63</v>
      </c>
      <c r="D43" s="82" t="s">
        <v>321</v>
      </c>
      <c r="E43" s="3"/>
      <c r="F43" s="3"/>
      <c r="G43" s="3"/>
      <c r="H43" s="3"/>
      <c r="I43" s="5"/>
      <c r="K43" s="142" t="s">
        <v>322</v>
      </c>
      <c r="L43" s="142" t="s">
        <v>322</v>
      </c>
      <c r="M43" s="143"/>
    </row>
    <row r="44" ht="25.5" customHeight="1">
      <c r="A44" s="86"/>
      <c r="B44" s="161">
        <v>42408.0</v>
      </c>
      <c r="C44" s="84" t="s">
        <v>318</v>
      </c>
      <c r="D44" s="174" t="s">
        <v>323</v>
      </c>
      <c r="E44" s="3"/>
      <c r="F44" s="3"/>
      <c r="G44" s="3"/>
      <c r="H44" s="3"/>
      <c r="I44" s="5"/>
      <c r="J44" s="209"/>
      <c r="K44" s="142" t="s">
        <v>324</v>
      </c>
      <c r="L44" s="142" t="s">
        <v>324</v>
      </c>
      <c r="M44" s="143"/>
    </row>
    <row r="45" ht="25.5" customHeight="1">
      <c r="A45" s="86"/>
      <c r="B45" s="161">
        <v>42408.0</v>
      </c>
      <c r="C45" s="84" t="s">
        <v>63</v>
      </c>
      <c r="D45" s="174" t="s">
        <v>325</v>
      </c>
      <c r="E45" s="3"/>
      <c r="F45" s="3"/>
      <c r="G45" s="3"/>
      <c r="H45" s="3"/>
      <c r="I45" s="5"/>
      <c r="K45" s="142" t="s">
        <v>326</v>
      </c>
      <c r="L45" s="142" t="s">
        <v>326</v>
      </c>
      <c r="M45" s="143"/>
    </row>
    <row r="46" ht="25.5" customHeight="1">
      <c r="A46" s="86"/>
      <c r="B46" s="161">
        <v>42409.0</v>
      </c>
      <c r="C46" s="84" t="s">
        <v>318</v>
      </c>
      <c r="D46" s="174" t="s">
        <v>327</v>
      </c>
      <c r="E46" s="3"/>
      <c r="F46" s="3"/>
      <c r="G46" s="3"/>
      <c r="H46" s="3"/>
      <c r="I46" s="5"/>
      <c r="J46" s="209"/>
      <c r="K46" s="142" t="s">
        <v>329</v>
      </c>
      <c r="L46" s="142" t="s">
        <v>329</v>
      </c>
      <c r="M46" s="143"/>
    </row>
    <row r="47" ht="25.5" customHeight="1">
      <c r="A47" s="86"/>
      <c r="B47" s="161">
        <v>42410.0</v>
      </c>
      <c r="C47" s="84" t="s">
        <v>63</v>
      </c>
      <c r="D47" s="174" t="s">
        <v>330</v>
      </c>
      <c r="E47" s="3"/>
      <c r="F47" s="3"/>
      <c r="G47" s="3"/>
      <c r="H47" s="3"/>
      <c r="I47" s="5"/>
      <c r="K47" s="142" t="s">
        <v>332</v>
      </c>
      <c r="L47" s="142" t="s">
        <v>332</v>
      </c>
      <c r="M47" s="143"/>
    </row>
    <row r="48" ht="25.5" customHeight="1">
      <c r="A48" s="86"/>
      <c r="B48" s="161">
        <v>42410.0</v>
      </c>
      <c r="C48" s="84" t="s">
        <v>318</v>
      </c>
      <c r="D48" s="174" t="s">
        <v>333</v>
      </c>
      <c r="E48" s="3"/>
      <c r="F48" s="3"/>
      <c r="G48" s="3"/>
      <c r="H48" s="3"/>
      <c r="I48" s="5"/>
      <c r="K48" s="142" t="s">
        <v>335</v>
      </c>
      <c r="L48" s="142" t="s">
        <v>335</v>
      </c>
      <c r="M48" s="143"/>
    </row>
    <row r="49" ht="25.5" customHeight="1">
      <c r="A49" s="86"/>
      <c r="B49" s="161">
        <v>42410.0</v>
      </c>
      <c r="C49" s="84" t="s">
        <v>318</v>
      </c>
      <c r="D49" s="174" t="s">
        <v>336</v>
      </c>
      <c r="E49" s="3"/>
      <c r="F49" s="3"/>
      <c r="G49" s="3"/>
      <c r="H49" s="3"/>
      <c r="I49" s="5"/>
      <c r="K49" s="142" t="s">
        <v>337</v>
      </c>
      <c r="L49" s="142" t="s">
        <v>337</v>
      </c>
      <c r="M49" s="143"/>
    </row>
    <row r="50" ht="25.5" customHeight="1">
      <c r="A50" s="86"/>
      <c r="B50" s="161">
        <v>42410.0</v>
      </c>
      <c r="C50" s="84" t="s">
        <v>318</v>
      </c>
      <c r="D50" s="174" t="s">
        <v>338</v>
      </c>
      <c r="E50" s="3"/>
      <c r="F50" s="3"/>
      <c r="G50" s="3"/>
      <c r="H50" s="3"/>
      <c r="I50" s="5"/>
      <c r="K50" s="142" t="s">
        <v>339</v>
      </c>
      <c r="L50" s="142" t="s">
        <v>339</v>
      </c>
      <c r="M50" s="143"/>
    </row>
    <row r="51" ht="25.5" customHeight="1">
      <c r="A51" s="86"/>
      <c r="B51" s="161">
        <v>42410.0</v>
      </c>
      <c r="C51" s="84" t="s">
        <v>63</v>
      </c>
      <c r="D51" s="174" t="s">
        <v>340</v>
      </c>
      <c r="E51" s="3"/>
      <c r="F51" s="3"/>
      <c r="G51" s="3"/>
      <c r="H51" s="3"/>
      <c r="I51" s="5"/>
      <c r="K51" s="142" t="s">
        <v>341</v>
      </c>
      <c r="L51" s="142" t="s">
        <v>341</v>
      </c>
      <c r="M51" s="143"/>
    </row>
    <row r="52" ht="25.5" customHeight="1">
      <c r="A52" s="86"/>
      <c r="B52" s="161">
        <v>42410.0</v>
      </c>
      <c r="C52" s="84" t="s">
        <v>318</v>
      </c>
      <c r="D52" s="174" t="s">
        <v>342</v>
      </c>
      <c r="E52" s="3"/>
      <c r="F52" s="3"/>
      <c r="G52" s="3"/>
      <c r="H52" s="3"/>
      <c r="I52" s="5"/>
      <c r="K52" s="142" t="s">
        <v>343</v>
      </c>
      <c r="L52" s="142" t="s">
        <v>343</v>
      </c>
      <c r="M52" s="143"/>
    </row>
    <row r="53" ht="25.5" customHeight="1">
      <c r="A53" s="86"/>
      <c r="B53" s="161">
        <v>42411.0</v>
      </c>
      <c r="C53" s="219" t="s">
        <v>63</v>
      </c>
      <c r="D53" s="220" t="s">
        <v>344</v>
      </c>
      <c r="E53" s="3"/>
      <c r="F53" s="3"/>
      <c r="G53" s="3"/>
      <c r="H53" s="3"/>
      <c r="I53" s="5"/>
      <c r="J53" s="180"/>
      <c r="K53" s="142" t="s">
        <v>345</v>
      </c>
      <c r="L53" s="142" t="s">
        <v>345</v>
      </c>
      <c r="M53" s="143"/>
      <c r="N53" s="180"/>
      <c r="O53" s="180"/>
    </row>
    <row r="54" ht="25.5" customHeight="1">
      <c r="A54" s="86"/>
      <c r="B54" s="161">
        <v>42450.0</v>
      </c>
      <c r="C54" s="84" t="s">
        <v>346</v>
      </c>
      <c r="D54" s="82" t="s">
        <v>347</v>
      </c>
      <c r="E54" s="3"/>
      <c r="F54" s="3"/>
      <c r="G54" s="3"/>
      <c r="H54" s="3"/>
      <c r="I54" s="5"/>
      <c r="J54" s="180"/>
      <c r="K54" s="142" t="s">
        <v>348</v>
      </c>
      <c r="L54" s="142" t="s">
        <v>348</v>
      </c>
      <c r="M54" s="143"/>
      <c r="N54" s="180"/>
      <c r="O54" s="180"/>
    </row>
    <row r="55" ht="25.5" customHeight="1">
      <c r="A55" s="86"/>
      <c r="B55" s="161">
        <v>42453.0</v>
      </c>
      <c r="C55" s="219" t="s">
        <v>63</v>
      </c>
      <c r="D55" s="174" t="s">
        <v>349</v>
      </c>
      <c r="E55" s="3"/>
      <c r="F55" s="3"/>
      <c r="G55" s="3"/>
      <c r="H55" s="3"/>
      <c r="I55" s="5"/>
      <c r="J55" s="180"/>
      <c r="K55" s="142" t="s">
        <v>350</v>
      </c>
      <c r="L55" s="142" t="s">
        <v>350</v>
      </c>
      <c r="M55" s="143"/>
      <c r="N55" s="180"/>
      <c r="O55" s="180"/>
    </row>
    <row r="56" ht="25.5" customHeight="1">
      <c r="A56" s="86"/>
      <c r="B56" s="161">
        <v>42459.0</v>
      </c>
      <c r="C56" s="84" t="s">
        <v>346</v>
      </c>
      <c r="D56" s="174" t="s">
        <v>351</v>
      </c>
      <c r="E56" s="3"/>
      <c r="F56" s="3"/>
      <c r="G56" s="3"/>
      <c r="H56" s="3"/>
      <c r="I56" s="5"/>
      <c r="J56" s="180"/>
      <c r="K56" s="142" t="s">
        <v>352</v>
      </c>
      <c r="L56" s="142" t="s">
        <v>352</v>
      </c>
      <c r="M56" s="143"/>
      <c r="N56" s="180"/>
      <c r="O56" s="180"/>
    </row>
    <row r="57" ht="25.5" customHeight="1">
      <c r="A57" s="86"/>
      <c r="B57" s="161">
        <v>42462.0</v>
      </c>
      <c r="C57" s="84" t="s">
        <v>318</v>
      </c>
      <c r="D57" s="174" t="s">
        <v>353</v>
      </c>
      <c r="E57" s="3"/>
      <c r="F57" s="3"/>
      <c r="G57" s="3"/>
      <c r="H57" s="3"/>
      <c r="I57" s="5"/>
      <c r="J57" s="180"/>
      <c r="K57" s="142" t="s">
        <v>354</v>
      </c>
      <c r="L57" s="142" t="s">
        <v>354</v>
      </c>
      <c r="M57" s="143"/>
      <c r="N57" s="180"/>
      <c r="O57" s="180"/>
    </row>
    <row r="58" ht="25.5" customHeight="1">
      <c r="A58" s="86"/>
      <c r="B58" s="161">
        <v>42463.0</v>
      </c>
      <c r="C58" s="219" t="s">
        <v>63</v>
      </c>
      <c r="D58" s="174" t="s">
        <v>355</v>
      </c>
      <c r="E58" s="3"/>
      <c r="F58" s="3"/>
      <c r="G58" s="3"/>
      <c r="H58" s="3"/>
      <c r="I58" s="5"/>
      <c r="J58" s="180"/>
      <c r="K58" s="142" t="s">
        <v>356</v>
      </c>
      <c r="L58" s="142" t="s">
        <v>356</v>
      </c>
      <c r="M58" s="143"/>
      <c r="N58" s="180"/>
      <c r="O58" s="180"/>
    </row>
    <row r="59" ht="25.5" customHeight="1">
      <c r="A59" s="86"/>
      <c r="B59" s="161">
        <v>42463.0</v>
      </c>
      <c r="C59" s="84" t="s">
        <v>357</v>
      </c>
      <c r="D59" s="174" t="s">
        <v>358</v>
      </c>
      <c r="E59" s="3"/>
      <c r="F59" s="3"/>
      <c r="G59" s="3"/>
      <c r="H59" s="3"/>
      <c r="I59" s="5"/>
      <c r="J59" s="180"/>
      <c r="K59" s="142" t="s">
        <v>359</v>
      </c>
      <c r="L59" s="142" t="s">
        <v>359</v>
      </c>
      <c r="M59" s="143"/>
      <c r="N59" s="180"/>
      <c r="O59" s="180"/>
    </row>
    <row r="60" ht="25.5" customHeight="1">
      <c r="A60" s="86"/>
      <c r="B60" s="161">
        <v>42463.0</v>
      </c>
      <c r="C60" s="84" t="s">
        <v>357</v>
      </c>
      <c r="D60" s="174" t="s">
        <v>360</v>
      </c>
      <c r="E60" s="3"/>
      <c r="F60" s="3"/>
      <c r="G60" s="3"/>
      <c r="H60" s="3"/>
      <c r="I60" s="5"/>
      <c r="J60" s="180"/>
      <c r="K60" s="142" t="s">
        <v>361</v>
      </c>
      <c r="L60" s="142" t="s">
        <v>361</v>
      </c>
      <c r="M60" s="143"/>
      <c r="N60" s="180"/>
      <c r="O60" s="180"/>
    </row>
    <row r="61" ht="25.5" customHeight="1">
      <c r="A61" s="86"/>
      <c r="B61" s="161">
        <v>42464.0</v>
      </c>
      <c r="C61" s="84" t="s">
        <v>318</v>
      </c>
      <c r="D61" s="174" t="s">
        <v>362</v>
      </c>
      <c r="E61" s="3"/>
      <c r="F61" s="3"/>
      <c r="G61" s="3"/>
      <c r="H61" s="3"/>
      <c r="I61" s="5"/>
      <c r="J61" s="180"/>
      <c r="K61" s="142" t="s">
        <v>363</v>
      </c>
      <c r="L61" s="142" t="s">
        <v>363</v>
      </c>
      <c r="M61" s="143"/>
      <c r="N61" s="180"/>
      <c r="O61" s="180"/>
    </row>
    <row r="62" ht="25.5" customHeight="1">
      <c r="A62" s="86"/>
      <c r="B62" s="161">
        <v>42466.0</v>
      </c>
      <c r="C62" s="219" t="s">
        <v>63</v>
      </c>
      <c r="D62" s="174" t="s">
        <v>364</v>
      </c>
      <c r="E62" s="3"/>
      <c r="F62" s="3"/>
      <c r="G62" s="3"/>
      <c r="H62" s="3"/>
      <c r="I62" s="5"/>
      <c r="J62" s="180"/>
      <c r="K62" s="142" t="s">
        <v>365</v>
      </c>
      <c r="L62" s="142" t="s">
        <v>365</v>
      </c>
      <c r="M62" s="143"/>
      <c r="N62" s="180"/>
      <c r="O62" s="180"/>
    </row>
    <row r="63" ht="25.5" customHeight="1">
      <c r="A63" s="86"/>
      <c r="B63" s="161">
        <v>42466.0</v>
      </c>
      <c r="C63" s="219" t="s">
        <v>63</v>
      </c>
      <c r="D63" s="174" t="s">
        <v>366</v>
      </c>
      <c r="E63" s="3"/>
      <c r="F63" s="3"/>
      <c r="G63" s="3"/>
      <c r="H63" s="3"/>
      <c r="I63" s="5"/>
      <c r="J63" s="180"/>
      <c r="K63" s="142" t="s">
        <v>367</v>
      </c>
      <c r="L63" s="142" t="s">
        <v>367</v>
      </c>
      <c r="M63" s="143"/>
      <c r="N63" s="180"/>
      <c r="O63" s="180"/>
    </row>
    <row r="64" ht="25.5" customHeight="1">
      <c r="A64" s="86"/>
      <c r="B64" s="161">
        <v>42496.0</v>
      </c>
      <c r="C64" s="84" t="s">
        <v>232</v>
      </c>
      <c r="D64" s="174" t="s">
        <v>368</v>
      </c>
      <c r="E64" s="3"/>
      <c r="F64" s="3"/>
      <c r="G64" s="3"/>
      <c r="H64" s="3"/>
      <c r="I64" s="5"/>
      <c r="J64" s="180"/>
      <c r="K64" s="142" t="s">
        <v>369</v>
      </c>
      <c r="L64" s="142" t="s">
        <v>369</v>
      </c>
      <c r="M64" s="143"/>
      <c r="N64" s="180"/>
      <c r="O64" s="180"/>
    </row>
    <row r="65" ht="25.5" customHeight="1">
      <c r="A65" s="86"/>
      <c r="B65" s="161">
        <v>42499.0</v>
      </c>
      <c r="C65" s="219" t="s">
        <v>63</v>
      </c>
      <c r="D65" s="174" t="s">
        <v>370</v>
      </c>
      <c r="E65" s="3"/>
      <c r="F65" s="3"/>
      <c r="G65" s="3"/>
      <c r="H65" s="3"/>
      <c r="I65" s="5"/>
      <c r="J65" s="180"/>
      <c r="K65" s="142" t="s">
        <v>371</v>
      </c>
      <c r="L65" s="142" t="s">
        <v>371</v>
      </c>
      <c r="M65" s="143"/>
      <c r="N65" s="180"/>
      <c r="O65" s="180"/>
    </row>
    <row r="66" ht="25.5" customHeight="1">
      <c r="A66" s="86"/>
      <c r="B66" s="161">
        <v>42494.0</v>
      </c>
      <c r="C66" s="84" t="s">
        <v>232</v>
      </c>
      <c r="D66" s="82" t="s">
        <v>372</v>
      </c>
      <c r="E66" s="3"/>
      <c r="F66" s="3"/>
      <c r="G66" s="3"/>
      <c r="H66" s="3"/>
      <c r="I66" s="5"/>
      <c r="J66" s="180"/>
      <c r="K66" s="142" t="s">
        <v>373</v>
      </c>
      <c r="L66" s="142" t="s">
        <v>373</v>
      </c>
      <c r="M66" s="143"/>
      <c r="N66" s="180"/>
      <c r="O66" s="180"/>
    </row>
    <row r="67" ht="25.5" customHeight="1">
      <c r="A67" s="86"/>
      <c r="B67" s="161">
        <v>42499.0</v>
      </c>
      <c r="C67" s="219" t="s">
        <v>63</v>
      </c>
      <c r="D67" s="174" t="s">
        <v>374</v>
      </c>
      <c r="E67" s="3"/>
      <c r="F67" s="3"/>
      <c r="G67" s="3"/>
      <c r="H67" s="3"/>
      <c r="I67" s="5"/>
      <c r="J67" s="180"/>
      <c r="K67" s="142" t="s">
        <v>375</v>
      </c>
      <c r="L67" s="142" t="s">
        <v>375</v>
      </c>
      <c r="M67" s="143"/>
      <c r="N67" s="180"/>
      <c r="O67" s="180"/>
    </row>
    <row r="68" ht="25.5" customHeight="1">
      <c r="A68" s="86"/>
      <c r="B68" s="161">
        <v>42516.0</v>
      </c>
      <c r="C68" s="84" t="s">
        <v>376</v>
      </c>
      <c r="D68" s="174" t="s">
        <v>377</v>
      </c>
      <c r="E68" s="3"/>
      <c r="F68" s="3"/>
      <c r="G68" s="3"/>
      <c r="H68" s="3"/>
      <c r="I68" s="5"/>
      <c r="J68" s="180"/>
      <c r="K68" s="142" t="s">
        <v>378</v>
      </c>
      <c r="L68" s="142" t="s">
        <v>378</v>
      </c>
      <c r="M68" s="143"/>
      <c r="N68" s="180"/>
      <c r="O68" s="180"/>
    </row>
    <row r="69" ht="25.5" customHeight="1">
      <c r="A69" s="86"/>
      <c r="B69" s="161">
        <v>42517.0</v>
      </c>
      <c r="C69" s="219" t="s">
        <v>63</v>
      </c>
      <c r="D69" s="174" t="s">
        <v>379</v>
      </c>
      <c r="E69" s="3"/>
      <c r="F69" s="3"/>
      <c r="G69" s="3"/>
      <c r="H69" s="3"/>
      <c r="I69" s="5"/>
      <c r="J69" s="180"/>
      <c r="K69" s="142" t="s">
        <v>380</v>
      </c>
      <c r="L69" s="142" t="s">
        <v>380</v>
      </c>
      <c r="M69" s="143"/>
      <c r="N69" s="180"/>
      <c r="O69" s="180"/>
    </row>
    <row r="70" ht="25.5" customHeight="1">
      <c r="A70" s="86"/>
      <c r="B70" s="161">
        <v>42517.0</v>
      </c>
      <c r="C70" s="84" t="s">
        <v>376</v>
      </c>
      <c r="D70" s="174" t="s">
        <v>381</v>
      </c>
      <c r="E70" s="3"/>
      <c r="F70" s="3"/>
      <c r="G70" s="3"/>
      <c r="H70" s="3"/>
      <c r="I70" s="5"/>
      <c r="J70" s="180"/>
      <c r="K70" s="142" t="s">
        <v>383</v>
      </c>
      <c r="L70" s="142" t="s">
        <v>383</v>
      </c>
      <c r="M70" s="143"/>
      <c r="N70" s="180"/>
      <c r="O70" s="180"/>
    </row>
    <row r="71" ht="25.5" customHeight="1">
      <c r="A71" s="86"/>
      <c r="B71" s="161">
        <v>42535.0</v>
      </c>
      <c r="C71" s="84" t="s">
        <v>384</v>
      </c>
      <c r="D71" s="174" t="s">
        <v>386</v>
      </c>
      <c r="E71" s="3"/>
      <c r="F71" s="3"/>
      <c r="G71" s="3"/>
      <c r="H71" s="3"/>
      <c r="I71" s="5"/>
      <c r="J71" s="180"/>
      <c r="K71" s="142" t="s">
        <v>387</v>
      </c>
      <c r="L71" s="142" t="s">
        <v>387</v>
      </c>
      <c r="M71" s="143"/>
      <c r="N71" s="180"/>
      <c r="O71" s="180"/>
    </row>
    <row r="72" ht="25.5" customHeight="1">
      <c r="A72" s="86"/>
      <c r="B72" s="161">
        <v>42536.0</v>
      </c>
      <c r="C72" s="219" t="s">
        <v>63</v>
      </c>
      <c r="D72" s="174" t="s">
        <v>389</v>
      </c>
      <c r="E72" s="3"/>
      <c r="F72" s="3"/>
      <c r="G72" s="3"/>
      <c r="H72" s="3"/>
      <c r="I72" s="5"/>
      <c r="J72" s="180"/>
      <c r="K72" s="142" t="s">
        <v>392</v>
      </c>
      <c r="L72" s="142" t="s">
        <v>392</v>
      </c>
      <c r="M72" s="143"/>
      <c r="N72" s="180"/>
      <c r="O72" s="180"/>
    </row>
    <row r="73" ht="25.5" customHeight="1">
      <c r="A73" s="86"/>
      <c r="B73" s="161">
        <v>42538.0</v>
      </c>
      <c r="C73" s="84" t="s">
        <v>384</v>
      </c>
      <c r="D73" s="174" t="s">
        <v>394</v>
      </c>
      <c r="E73" s="3"/>
      <c r="F73" s="3"/>
      <c r="G73" s="3"/>
      <c r="H73" s="3"/>
      <c r="I73" s="5"/>
      <c r="J73" s="180"/>
      <c r="K73" s="142" t="s">
        <v>395</v>
      </c>
      <c r="L73" s="142" t="s">
        <v>395</v>
      </c>
      <c r="M73" s="143"/>
      <c r="N73" s="180"/>
      <c r="O73" s="180"/>
    </row>
    <row r="74" ht="25.5" customHeight="1">
      <c r="A74" s="86"/>
      <c r="B74" s="161">
        <v>42542.0</v>
      </c>
      <c r="C74" s="84" t="s">
        <v>318</v>
      </c>
      <c r="D74" s="174" t="s">
        <v>396</v>
      </c>
      <c r="E74" s="3"/>
      <c r="F74" s="3"/>
      <c r="G74" s="3"/>
      <c r="H74" s="3"/>
      <c r="I74" s="5"/>
      <c r="J74" s="180"/>
      <c r="K74" s="142" t="s">
        <v>397</v>
      </c>
      <c r="L74" s="142" t="s">
        <v>397</v>
      </c>
      <c r="M74" s="143"/>
      <c r="N74" s="180"/>
      <c r="O74" s="180"/>
    </row>
    <row r="75" ht="25.5" customHeight="1">
      <c r="A75" s="86"/>
      <c r="B75" s="161">
        <v>42545.0</v>
      </c>
      <c r="C75" s="219" t="s">
        <v>63</v>
      </c>
      <c r="D75" s="174" t="s">
        <v>398</v>
      </c>
      <c r="E75" s="3"/>
      <c r="F75" s="3"/>
      <c r="G75" s="3"/>
      <c r="H75" s="3"/>
      <c r="I75" s="5"/>
      <c r="J75" s="180"/>
      <c r="K75" s="142" t="s">
        <v>399</v>
      </c>
      <c r="L75" s="142" t="s">
        <v>399</v>
      </c>
      <c r="M75" s="143"/>
      <c r="N75" s="180"/>
      <c r="O75" s="180"/>
    </row>
    <row r="76" ht="25.5" customHeight="1">
      <c r="A76" s="86"/>
      <c r="B76" s="161">
        <v>42568.0</v>
      </c>
      <c r="C76" s="84" t="s">
        <v>400</v>
      </c>
      <c r="D76" s="174" t="s">
        <v>401</v>
      </c>
      <c r="E76" s="3"/>
      <c r="F76" s="3"/>
      <c r="G76" s="3"/>
      <c r="H76" s="3"/>
      <c r="I76" s="5"/>
      <c r="J76" s="180"/>
      <c r="K76" s="142" t="s">
        <v>402</v>
      </c>
      <c r="L76" s="142" t="s">
        <v>402</v>
      </c>
      <c r="M76" s="143"/>
      <c r="N76" s="180"/>
      <c r="O76" s="180"/>
    </row>
    <row r="77" ht="25.5" customHeight="1">
      <c r="A77" s="86"/>
      <c r="B77" s="161">
        <v>42568.0</v>
      </c>
      <c r="C77" s="219" t="s">
        <v>63</v>
      </c>
      <c r="D77" s="174" t="s">
        <v>404</v>
      </c>
      <c r="E77" s="3"/>
      <c r="F77" s="3"/>
      <c r="G77" s="3"/>
      <c r="H77" s="3"/>
      <c r="I77" s="5"/>
      <c r="J77" s="180"/>
      <c r="K77" s="142" t="s">
        <v>405</v>
      </c>
      <c r="L77" s="142" t="s">
        <v>405</v>
      </c>
      <c r="M77" s="143"/>
      <c r="N77" s="180"/>
      <c r="O77" s="180"/>
    </row>
    <row r="78" ht="25.5" customHeight="1">
      <c r="A78" s="86"/>
      <c r="B78" s="161">
        <v>42582.0</v>
      </c>
      <c r="C78" s="232" t="s">
        <v>407</v>
      </c>
      <c r="D78" s="174" t="s">
        <v>409</v>
      </c>
      <c r="E78" s="3"/>
      <c r="F78" s="3"/>
      <c r="G78" s="3"/>
      <c r="H78" s="3"/>
      <c r="I78" s="5"/>
      <c r="J78" s="180"/>
      <c r="K78" s="142" t="s">
        <v>410</v>
      </c>
      <c r="L78" s="142" t="s">
        <v>410</v>
      </c>
      <c r="M78" s="143"/>
      <c r="N78" s="180"/>
      <c r="O78" s="180"/>
    </row>
    <row r="79" ht="25.5" customHeight="1">
      <c r="A79" s="86"/>
      <c r="B79" s="161">
        <v>42582.0</v>
      </c>
      <c r="C79" s="219" t="s">
        <v>63</v>
      </c>
      <c r="D79" s="174" t="s">
        <v>411</v>
      </c>
      <c r="E79" s="3"/>
      <c r="F79" s="3"/>
      <c r="G79" s="3"/>
      <c r="H79" s="3"/>
      <c r="I79" s="5"/>
      <c r="J79" s="180"/>
      <c r="K79" s="142" t="s">
        <v>413</v>
      </c>
      <c r="L79" s="142" t="s">
        <v>413</v>
      </c>
      <c r="M79" s="143"/>
      <c r="N79" s="180"/>
      <c r="O79" s="180"/>
    </row>
    <row r="80" ht="25.5" customHeight="1">
      <c r="A80" s="86"/>
      <c r="B80" s="161">
        <v>42583.0</v>
      </c>
      <c r="C80" s="84" t="s">
        <v>414</v>
      </c>
      <c r="D80" s="174" t="s">
        <v>415</v>
      </c>
      <c r="E80" s="3"/>
      <c r="F80" s="3"/>
      <c r="G80" s="3"/>
      <c r="H80" s="3"/>
      <c r="I80" s="5"/>
      <c r="J80" s="180"/>
      <c r="K80" s="142" t="s">
        <v>418</v>
      </c>
      <c r="L80" s="142" t="s">
        <v>418</v>
      </c>
      <c r="M80" s="143"/>
      <c r="N80" s="180"/>
      <c r="O80" s="180"/>
    </row>
    <row r="81" ht="25.5" customHeight="1">
      <c r="A81" s="86"/>
      <c r="B81" s="161">
        <v>42616.0</v>
      </c>
      <c r="C81" s="232" t="s">
        <v>407</v>
      </c>
      <c r="D81" s="174" t="s">
        <v>419</v>
      </c>
      <c r="E81" s="3"/>
      <c r="F81" s="3"/>
      <c r="G81" s="3"/>
      <c r="H81" s="3"/>
      <c r="I81" s="5"/>
      <c r="J81" s="180"/>
      <c r="K81" s="142" t="s">
        <v>421</v>
      </c>
      <c r="L81" s="142" t="s">
        <v>421</v>
      </c>
      <c r="M81" s="143"/>
      <c r="N81" s="180"/>
      <c r="O81" s="180"/>
    </row>
    <row r="82" ht="25.5" customHeight="1">
      <c r="A82" s="86"/>
      <c r="B82" s="161">
        <v>42616.0</v>
      </c>
      <c r="C82" s="219" t="s">
        <v>63</v>
      </c>
      <c r="D82" s="174" t="s">
        <v>422</v>
      </c>
      <c r="E82" s="3"/>
      <c r="F82" s="3"/>
      <c r="G82" s="3"/>
      <c r="H82" s="3"/>
      <c r="I82" s="5"/>
      <c r="J82" s="180"/>
      <c r="K82" s="142" t="s">
        <v>423</v>
      </c>
      <c r="L82" s="142" t="s">
        <v>423</v>
      </c>
      <c r="M82" s="143"/>
      <c r="N82" s="180"/>
      <c r="O82" s="180"/>
    </row>
    <row r="83" ht="25.5" customHeight="1">
      <c r="A83" s="86"/>
      <c r="B83" s="161">
        <v>42675.0</v>
      </c>
      <c r="C83" s="84" t="s">
        <v>424</v>
      </c>
      <c r="D83" s="174" t="s">
        <v>425</v>
      </c>
      <c r="E83" s="3"/>
      <c r="F83" s="3"/>
      <c r="G83" s="3"/>
      <c r="H83" s="3"/>
      <c r="I83" s="5"/>
      <c r="J83" s="180"/>
      <c r="K83" s="142" t="s">
        <v>426</v>
      </c>
      <c r="L83" s="142" t="s">
        <v>426</v>
      </c>
      <c r="M83" s="143"/>
      <c r="N83" s="180"/>
      <c r="O83" s="180"/>
    </row>
    <row r="84" ht="25.5" customHeight="1">
      <c r="A84" s="86"/>
      <c r="B84" s="161">
        <v>42702.0</v>
      </c>
      <c r="C84" s="84" t="s">
        <v>427</v>
      </c>
      <c r="D84" s="174" t="s">
        <v>429</v>
      </c>
      <c r="E84" s="3"/>
      <c r="F84" s="3"/>
      <c r="G84" s="3"/>
      <c r="H84" s="3"/>
      <c r="I84" s="5"/>
      <c r="J84" s="180"/>
      <c r="K84" s="142" t="s">
        <v>430</v>
      </c>
      <c r="L84" s="142" t="s">
        <v>430</v>
      </c>
      <c r="M84" s="143"/>
      <c r="N84" s="180"/>
      <c r="O84" s="180"/>
    </row>
    <row r="85" ht="25.5" customHeight="1">
      <c r="A85" s="86"/>
      <c r="B85" s="161">
        <v>42703.0</v>
      </c>
      <c r="C85" s="219" t="s">
        <v>63</v>
      </c>
      <c r="D85" s="174" t="s">
        <v>431</v>
      </c>
      <c r="E85" s="3"/>
      <c r="F85" s="3"/>
      <c r="G85" s="3"/>
      <c r="H85" s="3"/>
      <c r="I85" s="5"/>
      <c r="J85" s="180"/>
      <c r="K85" s="142" t="s">
        <v>432</v>
      </c>
      <c r="L85" s="142" t="s">
        <v>432</v>
      </c>
      <c r="M85" s="143"/>
      <c r="N85" s="180"/>
      <c r="O85" s="180"/>
    </row>
    <row r="86" ht="25.5" customHeight="1">
      <c r="A86" s="86"/>
      <c r="B86" s="161">
        <v>42708.0</v>
      </c>
      <c r="C86" s="84" t="s">
        <v>400</v>
      </c>
      <c r="D86" s="174" t="s">
        <v>433</v>
      </c>
      <c r="E86" s="3"/>
      <c r="F86" s="3"/>
      <c r="G86" s="3"/>
      <c r="H86" s="3"/>
      <c r="I86" s="5"/>
      <c r="J86" s="180"/>
      <c r="K86" s="142" t="s">
        <v>434</v>
      </c>
      <c r="L86" s="142" t="s">
        <v>434</v>
      </c>
      <c r="M86" s="143"/>
      <c r="N86" s="180"/>
      <c r="O86" s="180"/>
    </row>
    <row r="87" ht="25.5" customHeight="1">
      <c r="A87" s="86"/>
      <c r="B87" s="161">
        <v>42709.0</v>
      </c>
      <c r="C87" s="219" t="s">
        <v>63</v>
      </c>
      <c r="D87" s="174" t="s">
        <v>435</v>
      </c>
      <c r="E87" s="3"/>
      <c r="F87" s="3"/>
      <c r="G87" s="3"/>
      <c r="H87" s="3"/>
      <c r="I87" s="5"/>
      <c r="J87" s="180"/>
      <c r="K87" s="142" t="s">
        <v>436</v>
      </c>
      <c r="L87" s="142" t="s">
        <v>436</v>
      </c>
      <c r="M87" s="143"/>
      <c r="N87" s="180"/>
      <c r="O87" s="180"/>
    </row>
    <row r="88" ht="25.5" customHeight="1">
      <c r="A88" s="86"/>
      <c r="B88" s="161">
        <v>42711.0</v>
      </c>
      <c r="C88" s="84" t="s">
        <v>400</v>
      </c>
      <c r="D88" s="174" t="s">
        <v>437</v>
      </c>
      <c r="E88" s="3"/>
      <c r="F88" s="3"/>
      <c r="G88" s="3"/>
      <c r="H88" s="3"/>
      <c r="I88" s="5"/>
      <c r="J88" s="180"/>
      <c r="K88" s="142" t="s">
        <v>438</v>
      </c>
      <c r="L88" s="142" t="s">
        <v>438</v>
      </c>
      <c r="M88" s="143"/>
      <c r="N88" s="180"/>
      <c r="O88" s="180"/>
    </row>
    <row r="89" ht="25.5" customHeight="1">
      <c r="A89" s="86"/>
      <c r="B89" s="161">
        <v>42712.0</v>
      </c>
      <c r="C89" s="219" t="s">
        <v>63</v>
      </c>
      <c r="D89" s="174" t="s">
        <v>440</v>
      </c>
      <c r="E89" s="3"/>
      <c r="F89" s="3"/>
      <c r="G89" s="3"/>
      <c r="H89" s="3"/>
      <c r="I89" s="5"/>
      <c r="J89" s="180"/>
      <c r="K89" s="142" t="s">
        <v>441</v>
      </c>
      <c r="L89" s="142" t="s">
        <v>441</v>
      </c>
      <c r="M89" s="143"/>
      <c r="N89" s="180"/>
      <c r="O89" s="180"/>
    </row>
    <row r="90" ht="25.5" customHeight="1">
      <c r="A90" s="86"/>
      <c r="B90" s="161">
        <v>42717.0</v>
      </c>
      <c r="C90" s="219" t="s">
        <v>63</v>
      </c>
      <c r="D90" s="174" t="s">
        <v>442</v>
      </c>
      <c r="E90" s="3"/>
      <c r="F90" s="3"/>
      <c r="G90" s="3"/>
      <c r="H90" s="3"/>
      <c r="I90" s="5"/>
      <c r="J90" s="180"/>
      <c r="K90" s="142" t="s">
        <v>443</v>
      </c>
      <c r="L90" s="142" t="s">
        <v>443</v>
      </c>
      <c r="M90" s="143"/>
      <c r="N90" s="180"/>
      <c r="O90" s="180"/>
    </row>
    <row r="91" ht="25.5" customHeight="1">
      <c r="A91" s="86"/>
      <c r="B91" s="161">
        <v>42720.0</v>
      </c>
      <c r="C91" s="84" t="s">
        <v>444</v>
      </c>
      <c r="D91" s="174" t="s">
        <v>445</v>
      </c>
      <c r="E91" s="3"/>
      <c r="F91" s="3"/>
      <c r="G91" s="3"/>
      <c r="H91" s="3"/>
      <c r="I91" s="5"/>
      <c r="J91" s="180"/>
      <c r="K91" s="142" t="s">
        <v>446</v>
      </c>
      <c r="L91" s="142" t="s">
        <v>446</v>
      </c>
      <c r="M91" s="143"/>
      <c r="N91" s="180"/>
      <c r="O91" s="180"/>
    </row>
    <row r="92" ht="25.5" customHeight="1">
      <c r="A92" s="86"/>
      <c r="B92" s="161">
        <v>42720.0</v>
      </c>
      <c r="C92" s="219" t="s">
        <v>63</v>
      </c>
      <c r="D92" s="174" t="s">
        <v>447</v>
      </c>
      <c r="E92" s="3"/>
      <c r="F92" s="3"/>
      <c r="G92" s="3"/>
      <c r="H92" s="3"/>
      <c r="I92" s="5"/>
      <c r="J92" s="180"/>
      <c r="K92" s="142" t="s">
        <v>448</v>
      </c>
      <c r="L92" s="142" t="s">
        <v>448</v>
      </c>
      <c r="M92" s="143"/>
      <c r="N92" s="180"/>
      <c r="O92" s="180"/>
    </row>
    <row r="93" ht="25.5" customHeight="1">
      <c r="A93" s="86"/>
      <c r="B93" s="161">
        <v>42818.0</v>
      </c>
      <c r="C93" s="84" t="s">
        <v>232</v>
      </c>
      <c r="D93" s="174" t="s">
        <v>449</v>
      </c>
      <c r="E93" s="3"/>
      <c r="F93" s="3"/>
      <c r="G93" s="3"/>
      <c r="H93" s="3"/>
      <c r="I93" s="5"/>
      <c r="J93" s="180"/>
      <c r="K93" s="142" t="s">
        <v>450</v>
      </c>
      <c r="L93" s="142" t="s">
        <v>450</v>
      </c>
      <c r="M93" s="143"/>
      <c r="N93" s="180"/>
      <c r="O93" s="180"/>
    </row>
    <row r="94" ht="25.5" customHeight="1">
      <c r="A94" s="86"/>
      <c r="B94" s="161">
        <v>42819.0</v>
      </c>
      <c r="C94" s="219" t="s">
        <v>63</v>
      </c>
      <c r="D94" s="174" t="s">
        <v>451</v>
      </c>
      <c r="E94" s="3"/>
      <c r="F94" s="3"/>
      <c r="G94" s="3"/>
      <c r="H94" s="3"/>
      <c r="I94" s="5"/>
      <c r="J94" s="180"/>
      <c r="K94" s="142" t="s">
        <v>452</v>
      </c>
      <c r="L94" s="142" t="s">
        <v>452</v>
      </c>
      <c r="M94" s="143"/>
      <c r="N94" s="180"/>
      <c r="O94" s="180"/>
    </row>
    <row r="95" ht="25.5" customHeight="1">
      <c r="A95" s="86"/>
      <c r="B95" s="161">
        <v>42822.0</v>
      </c>
      <c r="C95" s="84" t="s">
        <v>318</v>
      </c>
      <c r="D95" s="239" t="s">
        <v>453</v>
      </c>
      <c r="E95" s="3"/>
      <c r="F95" s="3"/>
      <c r="G95" s="3"/>
      <c r="H95" s="3"/>
      <c r="I95" s="5"/>
      <c r="J95" s="180"/>
      <c r="K95" s="142" t="s">
        <v>454</v>
      </c>
      <c r="L95" s="142" t="s">
        <v>454</v>
      </c>
      <c r="M95" s="143"/>
      <c r="N95" s="180"/>
      <c r="O95" s="180"/>
    </row>
    <row r="96" ht="25.5" customHeight="1">
      <c r="A96" s="86"/>
      <c r="B96" s="161">
        <v>42823.0</v>
      </c>
      <c r="C96" s="219" t="s">
        <v>63</v>
      </c>
      <c r="D96" s="174" t="s">
        <v>455</v>
      </c>
      <c r="E96" s="3"/>
      <c r="F96" s="3"/>
      <c r="G96" s="3"/>
      <c r="H96" s="3"/>
      <c r="I96" s="5"/>
      <c r="J96" s="180"/>
      <c r="K96" s="142" t="s">
        <v>456</v>
      </c>
      <c r="L96" s="142" t="s">
        <v>456</v>
      </c>
      <c r="M96" s="143"/>
      <c r="N96" s="180"/>
      <c r="O96" s="180"/>
    </row>
    <row r="97" ht="25.5" customHeight="1">
      <c r="A97" s="86"/>
      <c r="B97" s="161">
        <v>42830.0</v>
      </c>
      <c r="C97" s="84" t="s">
        <v>457</v>
      </c>
      <c r="D97" s="174" t="s">
        <v>458</v>
      </c>
      <c r="E97" s="3"/>
      <c r="F97" s="3"/>
      <c r="G97" s="3"/>
      <c r="H97" s="3"/>
      <c r="I97" s="5"/>
      <c r="J97" s="180"/>
      <c r="K97" s="142" t="s">
        <v>459</v>
      </c>
      <c r="L97" s="142" t="s">
        <v>459</v>
      </c>
      <c r="M97" s="143"/>
      <c r="N97" s="180"/>
      <c r="O97" s="180"/>
    </row>
    <row r="98" ht="25.5" customHeight="1">
      <c r="A98" s="86"/>
      <c r="B98" s="161">
        <v>42831.0</v>
      </c>
      <c r="C98" s="219" t="s">
        <v>63</v>
      </c>
      <c r="D98" s="174" t="s">
        <v>460</v>
      </c>
      <c r="E98" s="3"/>
      <c r="F98" s="3"/>
      <c r="G98" s="3"/>
      <c r="H98" s="3"/>
      <c r="I98" s="5"/>
      <c r="J98" s="180"/>
      <c r="K98" s="142" t="s">
        <v>461</v>
      </c>
      <c r="L98" s="142" t="s">
        <v>461</v>
      </c>
      <c r="M98" s="143"/>
      <c r="N98" s="180"/>
      <c r="O98" s="180"/>
    </row>
    <row r="99" ht="25.5" customHeight="1">
      <c r="A99" s="86"/>
      <c r="B99" s="161">
        <v>42839.0</v>
      </c>
      <c r="C99" s="84" t="s">
        <v>462</v>
      </c>
      <c r="D99" s="174" t="s">
        <v>463</v>
      </c>
      <c r="E99" s="3"/>
      <c r="F99" s="3"/>
      <c r="G99" s="3"/>
      <c r="H99" s="3"/>
      <c r="I99" s="5"/>
      <c r="J99" s="180"/>
      <c r="K99" s="142" t="s">
        <v>464</v>
      </c>
      <c r="L99" s="142" t="s">
        <v>464</v>
      </c>
      <c r="M99" s="143"/>
      <c r="N99" s="180"/>
      <c r="O99" s="180"/>
    </row>
    <row r="100" ht="25.5" customHeight="1">
      <c r="A100" s="86"/>
      <c r="B100" s="161">
        <v>42841.0</v>
      </c>
      <c r="C100" s="219" t="s">
        <v>63</v>
      </c>
      <c r="D100" s="174" t="s">
        <v>465</v>
      </c>
      <c r="E100" s="3"/>
      <c r="F100" s="3"/>
      <c r="G100" s="3"/>
      <c r="H100" s="3"/>
      <c r="I100" s="5"/>
      <c r="J100" s="180"/>
      <c r="K100" s="142" t="s">
        <v>466</v>
      </c>
      <c r="L100" s="142" t="s">
        <v>466</v>
      </c>
      <c r="M100" s="143"/>
      <c r="N100" s="180"/>
      <c r="O100" s="180"/>
    </row>
    <row r="101" ht="25.5" customHeight="1">
      <c r="A101" s="86"/>
      <c r="B101" s="161">
        <v>42844.0</v>
      </c>
      <c r="C101" s="84" t="s">
        <v>467</v>
      </c>
      <c r="D101" s="174" t="s">
        <v>468</v>
      </c>
      <c r="E101" s="3"/>
      <c r="F101" s="3"/>
      <c r="G101" s="3"/>
      <c r="H101" s="3"/>
      <c r="I101" s="5"/>
      <c r="J101" s="180"/>
      <c r="K101" s="142" t="s">
        <v>469</v>
      </c>
      <c r="L101" s="142" t="s">
        <v>469</v>
      </c>
      <c r="M101" s="143"/>
      <c r="N101" s="180"/>
      <c r="O101" s="180"/>
    </row>
    <row r="102" ht="25.5" customHeight="1">
      <c r="A102" s="86"/>
      <c r="B102" s="161">
        <v>42869.0</v>
      </c>
      <c r="C102" s="219" t="s">
        <v>63</v>
      </c>
      <c r="D102" s="174" t="s">
        <v>470</v>
      </c>
      <c r="E102" s="3"/>
      <c r="F102" s="3"/>
      <c r="G102" s="3"/>
      <c r="H102" s="3"/>
      <c r="I102" s="5"/>
      <c r="J102" s="180"/>
      <c r="K102" s="142" t="s">
        <v>471</v>
      </c>
      <c r="L102" s="142" t="s">
        <v>471</v>
      </c>
      <c r="M102" s="143"/>
      <c r="N102" s="180"/>
      <c r="O102" s="180"/>
    </row>
    <row r="103" ht="25.5" customHeight="1">
      <c r="A103" s="86"/>
      <c r="B103" s="161">
        <v>42846.0</v>
      </c>
      <c r="C103" s="84" t="s">
        <v>472</v>
      </c>
      <c r="D103" s="174" t="s">
        <v>473</v>
      </c>
      <c r="E103" s="3"/>
      <c r="F103" s="3"/>
      <c r="G103" s="3"/>
      <c r="H103" s="3"/>
      <c r="I103" s="5"/>
      <c r="J103" s="180"/>
      <c r="K103" s="142" t="s">
        <v>474</v>
      </c>
      <c r="L103" s="142" t="s">
        <v>474</v>
      </c>
      <c r="M103" s="143"/>
      <c r="N103" s="180"/>
      <c r="O103" s="180"/>
    </row>
    <row r="104" ht="25.5" customHeight="1">
      <c r="A104" s="86"/>
      <c r="B104" s="161">
        <v>42845.0</v>
      </c>
      <c r="C104" s="84" t="s">
        <v>472</v>
      </c>
      <c r="D104" s="174" t="s">
        <v>475</v>
      </c>
      <c r="E104" s="3"/>
      <c r="F104" s="3"/>
      <c r="G104" s="3"/>
      <c r="H104" s="3"/>
      <c r="I104" s="5"/>
      <c r="J104" s="180"/>
      <c r="K104" s="142" t="s">
        <v>476</v>
      </c>
      <c r="L104" s="142" t="s">
        <v>476</v>
      </c>
      <c r="M104" s="143"/>
      <c r="N104" s="180"/>
      <c r="O104" s="180"/>
    </row>
    <row r="105" ht="25.5" customHeight="1">
      <c r="A105" s="86"/>
      <c r="B105" s="161">
        <v>42869.0</v>
      </c>
      <c r="C105" s="219" t="s">
        <v>63</v>
      </c>
      <c r="D105" s="174" t="s">
        <v>477</v>
      </c>
      <c r="E105" s="3"/>
      <c r="F105" s="3"/>
      <c r="G105" s="3"/>
      <c r="H105" s="3"/>
      <c r="I105" s="5"/>
      <c r="J105" s="180"/>
      <c r="K105" s="142" t="s">
        <v>478</v>
      </c>
      <c r="L105" s="142" t="s">
        <v>478</v>
      </c>
      <c r="M105" s="143"/>
      <c r="N105" s="180"/>
      <c r="O105" s="180"/>
    </row>
    <row r="106" ht="25.5" customHeight="1">
      <c r="A106" s="86"/>
      <c r="B106" s="161">
        <v>42856.0</v>
      </c>
      <c r="C106" s="84" t="s">
        <v>407</v>
      </c>
      <c r="D106" s="174" t="s">
        <v>479</v>
      </c>
      <c r="E106" s="3"/>
      <c r="F106" s="3"/>
      <c r="G106" s="3"/>
      <c r="H106" s="3"/>
      <c r="I106" s="5"/>
      <c r="J106" s="180"/>
      <c r="K106" s="142" t="s">
        <v>480</v>
      </c>
      <c r="L106" s="142" t="s">
        <v>480</v>
      </c>
      <c r="M106" s="143"/>
      <c r="N106" s="180"/>
      <c r="O106" s="180"/>
    </row>
    <row r="107" ht="25.5" customHeight="1">
      <c r="A107" s="86"/>
      <c r="B107" s="161">
        <v>42864.0</v>
      </c>
      <c r="C107" s="84" t="s">
        <v>427</v>
      </c>
      <c r="D107" s="174" t="s">
        <v>481</v>
      </c>
      <c r="E107" s="3"/>
      <c r="F107" s="3"/>
      <c r="G107" s="3"/>
      <c r="H107" s="3"/>
      <c r="I107" s="5"/>
      <c r="J107" s="180"/>
      <c r="K107" s="142" t="s">
        <v>482</v>
      </c>
      <c r="L107" s="142" t="s">
        <v>482</v>
      </c>
      <c r="M107" s="143"/>
      <c r="N107" s="180"/>
      <c r="O107" s="180"/>
    </row>
    <row r="108" ht="25.5" customHeight="1">
      <c r="A108" s="86"/>
      <c r="B108" s="161">
        <v>42869.0</v>
      </c>
      <c r="C108" s="219" t="s">
        <v>63</v>
      </c>
      <c r="D108" s="174" t="s">
        <v>483</v>
      </c>
      <c r="E108" s="3"/>
      <c r="F108" s="3"/>
      <c r="G108" s="3"/>
      <c r="H108" s="3"/>
      <c r="I108" s="5"/>
      <c r="J108" s="180"/>
      <c r="K108" s="142" t="s">
        <v>484</v>
      </c>
      <c r="L108" s="142" t="s">
        <v>484</v>
      </c>
      <c r="M108" s="143"/>
      <c r="N108" s="180"/>
      <c r="O108" s="180"/>
    </row>
    <row r="109" ht="25.5" customHeight="1">
      <c r="A109" s="86"/>
      <c r="B109" s="161">
        <v>42851.0</v>
      </c>
      <c r="C109" s="84" t="s">
        <v>485</v>
      </c>
      <c r="D109" s="174" t="s">
        <v>486</v>
      </c>
      <c r="E109" s="3"/>
      <c r="F109" s="3"/>
      <c r="G109" s="3"/>
      <c r="H109" s="3"/>
      <c r="I109" s="5"/>
      <c r="J109" s="180"/>
      <c r="K109" s="142" t="s">
        <v>487</v>
      </c>
      <c r="L109" s="142" t="s">
        <v>487</v>
      </c>
      <c r="M109" s="143"/>
      <c r="N109" s="180"/>
      <c r="O109" s="180"/>
    </row>
    <row r="110" ht="25.5" customHeight="1">
      <c r="A110" s="86"/>
      <c r="B110" s="161">
        <v>42869.0</v>
      </c>
      <c r="C110" s="219" t="s">
        <v>63</v>
      </c>
      <c r="D110" s="174" t="s">
        <v>488</v>
      </c>
      <c r="E110" s="3"/>
      <c r="F110" s="3"/>
      <c r="G110" s="3"/>
      <c r="H110" s="3"/>
      <c r="I110" s="5"/>
      <c r="J110" s="180"/>
      <c r="K110" s="142" t="s">
        <v>489</v>
      </c>
      <c r="L110" s="142" t="s">
        <v>489</v>
      </c>
      <c r="M110" s="143"/>
      <c r="N110" s="180"/>
      <c r="O110" s="180"/>
    </row>
    <row r="111" ht="25.5" customHeight="1">
      <c r="A111" s="86"/>
      <c r="B111" s="161">
        <v>42856.0</v>
      </c>
      <c r="C111" s="84" t="s">
        <v>490</v>
      </c>
      <c r="D111" s="174" t="s">
        <v>491</v>
      </c>
      <c r="E111" s="3"/>
      <c r="F111" s="3"/>
      <c r="G111" s="3"/>
      <c r="H111" s="3"/>
      <c r="I111" s="5"/>
      <c r="J111" s="180"/>
      <c r="K111" s="142" t="s">
        <v>492</v>
      </c>
      <c r="L111" s="142" t="s">
        <v>492</v>
      </c>
      <c r="M111" s="143"/>
      <c r="N111" s="180"/>
      <c r="O111" s="180"/>
    </row>
    <row r="112" ht="25.5" customHeight="1">
      <c r="A112" s="86"/>
      <c r="B112" s="161">
        <v>42869.0</v>
      </c>
      <c r="C112" s="219" t="s">
        <v>63</v>
      </c>
      <c r="D112" s="174" t="s">
        <v>493</v>
      </c>
      <c r="E112" s="3"/>
      <c r="F112" s="3"/>
      <c r="G112" s="3"/>
      <c r="H112" s="3"/>
      <c r="I112" s="5"/>
      <c r="J112" s="180"/>
      <c r="K112" s="142" t="s">
        <v>494</v>
      </c>
      <c r="L112" s="142" t="s">
        <v>494</v>
      </c>
      <c r="M112" s="143"/>
      <c r="N112" s="180"/>
      <c r="O112" s="180"/>
    </row>
    <row r="113" ht="25.5" customHeight="1">
      <c r="A113" s="86"/>
      <c r="B113" s="161">
        <v>42859.0</v>
      </c>
      <c r="C113" s="84" t="s">
        <v>232</v>
      </c>
      <c r="D113" s="174" t="s">
        <v>495</v>
      </c>
      <c r="E113" s="3"/>
      <c r="F113" s="3"/>
      <c r="G113" s="3"/>
      <c r="H113" s="3"/>
      <c r="I113" s="5"/>
      <c r="J113" s="180"/>
      <c r="K113" s="142" t="s">
        <v>496</v>
      </c>
      <c r="L113" s="142" t="s">
        <v>496</v>
      </c>
      <c r="M113" s="143"/>
      <c r="N113" s="180"/>
      <c r="O113" s="180"/>
    </row>
    <row r="114" ht="25.5" customHeight="1">
      <c r="A114" s="86"/>
      <c r="B114" s="161">
        <v>42869.0</v>
      </c>
      <c r="C114" s="219" t="s">
        <v>63</v>
      </c>
      <c r="D114" s="174" t="s">
        <v>497</v>
      </c>
      <c r="E114" s="3"/>
      <c r="F114" s="3"/>
      <c r="G114" s="3"/>
      <c r="H114" s="3"/>
      <c r="I114" s="5"/>
      <c r="J114" s="180"/>
      <c r="K114" s="142" t="s">
        <v>498</v>
      </c>
      <c r="L114" s="142" t="s">
        <v>498</v>
      </c>
      <c r="M114" s="143"/>
      <c r="N114" s="180"/>
      <c r="O114" s="180"/>
    </row>
    <row r="115" ht="25.5" customHeight="1">
      <c r="A115" s="86"/>
      <c r="B115" s="161">
        <v>42905.0</v>
      </c>
      <c r="C115" s="84" t="s">
        <v>499</v>
      </c>
      <c r="D115" s="174" t="s">
        <v>500</v>
      </c>
      <c r="E115" s="3"/>
      <c r="F115" s="3"/>
      <c r="G115" s="3"/>
      <c r="H115" s="3"/>
      <c r="I115" s="5"/>
      <c r="J115" s="180"/>
      <c r="K115" s="142" t="s">
        <v>501</v>
      </c>
      <c r="L115" s="142" t="s">
        <v>501</v>
      </c>
      <c r="M115" s="143"/>
      <c r="N115" s="180"/>
      <c r="O115" s="180"/>
    </row>
    <row r="116" ht="25.5" customHeight="1">
      <c r="A116" s="86"/>
      <c r="B116" s="161">
        <v>42906.0</v>
      </c>
      <c r="C116" s="219" t="s">
        <v>63</v>
      </c>
      <c r="D116" s="174" t="s">
        <v>502</v>
      </c>
      <c r="E116" s="3"/>
      <c r="F116" s="3"/>
      <c r="G116" s="3"/>
      <c r="H116" s="3"/>
      <c r="I116" s="5"/>
      <c r="J116" s="180"/>
      <c r="K116" s="142" t="s">
        <v>503</v>
      </c>
      <c r="L116" s="142" t="s">
        <v>503</v>
      </c>
      <c r="M116" s="143"/>
      <c r="N116" s="180"/>
      <c r="O116" s="180"/>
    </row>
    <row r="117" ht="25.5" customHeight="1">
      <c r="A117" s="86"/>
      <c r="B117" s="161">
        <v>42912.0</v>
      </c>
      <c r="C117" s="84" t="s">
        <v>504</v>
      </c>
      <c r="D117" s="174" t="s">
        <v>505</v>
      </c>
      <c r="E117" s="3"/>
      <c r="F117" s="3"/>
      <c r="G117" s="3"/>
      <c r="H117" s="3"/>
      <c r="I117" s="5"/>
      <c r="J117" s="180"/>
      <c r="K117" s="142" t="s">
        <v>506</v>
      </c>
      <c r="L117" s="142" t="s">
        <v>506</v>
      </c>
      <c r="M117" s="143"/>
      <c r="N117" s="180"/>
      <c r="O117" s="180"/>
    </row>
    <row r="118" ht="25.5" customHeight="1">
      <c r="A118" s="86"/>
      <c r="B118" s="161">
        <v>42922.0</v>
      </c>
      <c r="C118" s="219" t="s">
        <v>63</v>
      </c>
      <c r="D118" s="174" t="s">
        <v>507</v>
      </c>
      <c r="E118" s="3"/>
      <c r="F118" s="3"/>
      <c r="G118" s="3"/>
      <c r="H118" s="3"/>
      <c r="I118" s="5"/>
      <c r="J118" s="180"/>
      <c r="K118" s="142" t="s">
        <v>508</v>
      </c>
      <c r="L118" s="142" t="s">
        <v>508</v>
      </c>
      <c r="M118" s="143"/>
      <c r="N118" s="180"/>
      <c r="O118" s="180"/>
    </row>
    <row r="119" ht="25.5" customHeight="1">
      <c r="A119" s="86"/>
      <c r="B119" s="161">
        <v>42929.0</v>
      </c>
      <c r="C119" s="84" t="s">
        <v>427</v>
      </c>
      <c r="D119" s="174" t="s">
        <v>509</v>
      </c>
      <c r="E119" s="3"/>
      <c r="F119" s="3"/>
      <c r="G119" s="3"/>
      <c r="H119" s="3"/>
      <c r="I119" s="5"/>
      <c r="J119" s="180"/>
      <c r="K119" s="142" t="s">
        <v>510</v>
      </c>
      <c r="L119" s="142" t="s">
        <v>510</v>
      </c>
      <c r="M119" s="143"/>
      <c r="N119" s="180"/>
      <c r="O119" s="180"/>
    </row>
    <row r="120" ht="25.5" customHeight="1">
      <c r="A120" s="86"/>
      <c r="B120" s="247">
        <v>42929.0</v>
      </c>
      <c r="C120" s="84" t="s">
        <v>511</v>
      </c>
      <c r="D120" s="174" t="s">
        <v>512</v>
      </c>
      <c r="E120" s="3"/>
      <c r="F120" s="3"/>
      <c r="G120" s="3"/>
      <c r="H120" s="3"/>
      <c r="I120" s="5"/>
      <c r="J120" s="180"/>
      <c r="K120" s="142" t="s">
        <v>513</v>
      </c>
      <c r="L120" s="142" t="s">
        <v>513</v>
      </c>
      <c r="M120" s="143"/>
      <c r="N120" s="180"/>
      <c r="O120" s="180"/>
    </row>
    <row r="121" ht="25.5" customHeight="1">
      <c r="A121" s="86"/>
      <c r="B121" s="161">
        <v>42930.0</v>
      </c>
      <c r="C121" s="219" t="s">
        <v>63</v>
      </c>
      <c r="D121" s="174" t="s">
        <v>514</v>
      </c>
      <c r="E121" s="3"/>
      <c r="F121" s="3"/>
      <c r="G121" s="3"/>
      <c r="H121" s="3"/>
      <c r="I121" s="5"/>
      <c r="J121" s="180"/>
      <c r="K121" s="142" t="s">
        <v>515</v>
      </c>
      <c r="L121" s="142" t="s">
        <v>515</v>
      </c>
      <c r="M121" s="143"/>
      <c r="N121" s="180"/>
      <c r="O121" s="180"/>
    </row>
    <row r="122" ht="25.5" customHeight="1">
      <c r="A122" s="86"/>
      <c r="B122" s="161">
        <v>42930.0</v>
      </c>
      <c r="C122" s="219" t="s">
        <v>63</v>
      </c>
      <c r="D122" s="174" t="s">
        <v>516</v>
      </c>
      <c r="E122" s="3"/>
      <c r="F122" s="3"/>
      <c r="G122" s="3"/>
      <c r="H122" s="3"/>
      <c r="I122" s="5"/>
      <c r="J122" s="180"/>
      <c r="K122" s="142" t="s">
        <v>517</v>
      </c>
      <c r="L122" s="142" t="s">
        <v>517</v>
      </c>
      <c r="M122" s="143"/>
      <c r="N122" s="180"/>
      <c r="O122" s="180"/>
    </row>
    <row r="123" ht="25.5" customHeight="1">
      <c r="A123" s="86"/>
      <c r="B123" s="161">
        <v>42930.0</v>
      </c>
      <c r="C123" s="84" t="s">
        <v>518</v>
      </c>
      <c r="D123" s="174" t="s">
        <v>519</v>
      </c>
      <c r="E123" s="3"/>
      <c r="F123" s="3"/>
      <c r="G123" s="3"/>
      <c r="H123" s="3"/>
      <c r="I123" s="5"/>
      <c r="J123" s="180"/>
      <c r="K123" s="142" t="s">
        <v>520</v>
      </c>
      <c r="L123" s="142" t="s">
        <v>520</v>
      </c>
      <c r="M123" s="143"/>
      <c r="N123" s="180"/>
      <c r="O123" s="180"/>
    </row>
    <row r="124" ht="25.5" customHeight="1">
      <c r="A124" s="86"/>
      <c r="B124" s="161">
        <v>42930.0</v>
      </c>
      <c r="C124" s="219" t="s">
        <v>63</v>
      </c>
      <c r="D124" s="174" t="s">
        <v>521</v>
      </c>
      <c r="E124" s="3"/>
      <c r="F124" s="3"/>
      <c r="G124" s="3"/>
      <c r="H124" s="3"/>
      <c r="I124" s="5"/>
      <c r="J124" s="180"/>
      <c r="K124" s="142" t="s">
        <v>522</v>
      </c>
      <c r="L124" s="142" t="s">
        <v>522</v>
      </c>
      <c r="M124" s="143"/>
      <c r="N124" s="180"/>
      <c r="O124" s="180"/>
    </row>
    <row r="125" ht="25.5" customHeight="1">
      <c r="A125" s="86"/>
      <c r="B125" s="161">
        <v>42971.0</v>
      </c>
      <c r="C125" s="84" t="s">
        <v>523</v>
      </c>
      <c r="D125" s="174" t="s">
        <v>524</v>
      </c>
      <c r="E125" s="3"/>
      <c r="F125" s="3"/>
      <c r="G125" s="3"/>
      <c r="H125" s="3"/>
      <c r="I125" s="5"/>
      <c r="J125" s="180"/>
      <c r="K125" s="142" t="s">
        <v>525</v>
      </c>
      <c r="L125" s="142" t="s">
        <v>525</v>
      </c>
      <c r="M125" s="143"/>
      <c r="N125" s="180"/>
      <c r="O125" s="180"/>
    </row>
    <row r="126" ht="25.5" customHeight="1">
      <c r="A126" s="86"/>
      <c r="B126" s="161">
        <v>42971.0</v>
      </c>
      <c r="C126" s="219" t="s">
        <v>63</v>
      </c>
      <c r="D126" s="174" t="s">
        <v>526</v>
      </c>
      <c r="E126" s="3"/>
      <c r="F126" s="3"/>
      <c r="G126" s="3"/>
      <c r="H126" s="3"/>
      <c r="I126" s="5"/>
      <c r="J126" s="180"/>
      <c r="K126" s="142" t="s">
        <v>527</v>
      </c>
      <c r="L126" s="142" t="s">
        <v>527</v>
      </c>
      <c r="M126" s="143"/>
      <c r="N126" s="180"/>
      <c r="O126" s="180"/>
    </row>
    <row r="127" ht="25.5" customHeight="1">
      <c r="A127" s="86"/>
      <c r="B127" s="161">
        <v>42977.0</v>
      </c>
      <c r="C127" s="84" t="s">
        <v>528</v>
      </c>
      <c r="D127" s="174" t="s">
        <v>529</v>
      </c>
      <c r="E127" s="3"/>
      <c r="F127" s="3"/>
      <c r="G127" s="3"/>
      <c r="H127" s="3"/>
      <c r="I127" s="5"/>
      <c r="J127" s="180"/>
      <c r="K127" s="142" t="s">
        <v>530</v>
      </c>
      <c r="L127" s="142" t="s">
        <v>530</v>
      </c>
      <c r="M127" s="143"/>
      <c r="N127" s="180"/>
      <c r="O127" s="180"/>
    </row>
    <row r="128" ht="25.5" customHeight="1">
      <c r="A128" s="86"/>
      <c r="B128" s="161">
        <v>42977.0</v>
      </c>
      <c r="C128" s="219" t="s">
        <v>63</v>
      </c>
      <c r="D128" s="174" t="s">
        <v>531</v>
      </c>
      <c r="E128" s="3"/>
      <c r="F128" s="3"/>
      <c r="G128" s="3"/>
      <c r="H128" s="3"/>
      <c r="I128" s="5"/>
      <c r="J128" s="180"/>
      <c r="K128" s="142" t="s">
        <v>532</v>
      </c>
      <c r="L128" s="142" t="s">
        <v>532</v>
      </c>
      <c r="M128" s="143"/>
      <c r="N128" s="180"/>
      <c r="O128" s="180"/>
    </row>
    <row r="129" ht="25.5" customHeight="1">
      <c r="A129" s="86"/>
      <c r="B129" s="161">
        <v>42988.0</v>
      </c>
      <c r="C129" s="84" t="s">
        <v>533</v>
      </c>
      <c r="D129" s="174" t="s">
        <v>534</v>
      </c>
      <c r="E129" s="3"/>
      <c r="F129" s="3"/>
      <c r="G129" s="3"/>
      <c r="H129" s="3"/>
      <c r="I129" s="5"/>
      <c r="J129" s="180"/>
      <c r="K129" s="142" t="s">
        <v>535</v>
      </c>
      <c r="L129" s="142" t="s">
        <v>535</v>
      </c>
      <c r="M129" s="143"/>
      <c r="N129" s="180"/>
      <c r="O129" s="180"/>
    </row>
    <row r="130" ht="25.5" customHeight="1">
      <c r="A130" s="86"/>
      <c r="B130" s="161">
        <v>42989.0</v>
      </c>
      <c r="C130" s="219" t="s">
        <v>63</v>
      </c>
      <c r="D130" s="174" t="s">
        <v>536</v>
      </c>
      <c r="E130" s="3"/>
      <c r="F130" s="3"/>
      <c r="G130" s="3"/>
      <c r="H130" s="3"/>
      <c r="I130" s="5"/>
      <c r="J130" s="180"/>
      <c r="K130" s="142" t="s">
        <v>537</v>
      </c>
      <c r="L130" s="142" t="s">
        <v>537</v>
      </c>
      <c r="M130" s="143"/>
      <c r="N130" s="180"/>
      <c r="O130" s="180"/>
    </row>
    <row r="131" ht="25.5" customHeight="1">
      <c r="A131" s="86"/>
      <c r="B131" s="161">
        <v>42995.0</v>
      </c>
      <c r="C131" s="84" t="s">
        <v>400</v>
      </c>
      <c r="D131" s="174" t="s">
        <v>538</v>
      </c>
      <c r="E131" s="3"/>
      <c r="F131" s="3"/>
      <c r="G131" s="3"/>
      <c r="H131" s="3"/>
      <c r="I131" s="5"/>
      <c r="J131" s="180"/>
      <c r="K131" s="142" t="s">
        <v>539</v>
      </c>
      <c r="L131" s="142" t="s">
        <v>539</v>
      </c>
      <c r="M131" s="143"/>
      <c r="N131" s="180"/>
      <c r="O131" s="180"/>
    </row>
    <row r="132" ht="25.5" customHeight="1">
      <c r="A132" s="86"/>
      <c r="B132" s="161">
        <v>42996.0</v>
      </c>
      <c r="C132" s="219" t="s">
        <v>63</v>
      </c>
      <c r="D132" s="174" t="s">
        <v>540</v>
      </c>
      <c r="E132" s="3"/>
      <c r="F132" s="3"/>
      <c r="G132" s="3"/>
      <c r="H132" s="3"/>
      <c r="I132" s="5"/>
      <c r="J132" s="180"/>
      <c r="K132" s="142" t="s">
        <v>541</v>
      </c>
      <c r="L132" s="142" t="s">
        <v>541</v>
      </c>
      <c r="M132" s="143"/>
      <c r="N132" s="180"/>
      <c r="O132" s="180"/>
    </row>
    <row r="133" ht="25.5" customHeight="1">
      <c r="A133" s="86"/>
      <c r="B133" s="161">
        <v>43004.0</v>
      </c>
      <c r="C133" s="84" t="s">
        <v>542</v>
      </c>
      <c r="D133" s="174" t="s">
        <v>543</v>
      </c>
      <c r="E133" s="3"/>
      <c r="F133" s="3"/>
      <c r="G133" s="3"/>
      <c r="H133" s="3"/>
      <c r="I133" s="5"/>
      <c r="J133" s="180"/>
      <c r="K133" s="142" t="s">
        <v>544</v>
      </c>
      <c r="L133" s="142" t="s">
        <v>544</v>
      </c>
      <c r="M133" s="143"/>
      <c r="N133" s="180"/>
      <c r="O133" s="180"/>
    </row>
    <row r="134" ht="25.5" customHeight="1">
      <c r="A134" s="86"/>
      <c r="B134" s="161">
        <v>43005.0</v>
      </c>
      <c r="C134" s="219" t="s">
        <v>63</v>
      </c>
      <c r="D134" s="174" t="s">
        <v>545</v>
      </c>
      <c r="E134" s="3"/>
      <c r="F134" s="3"/>
      <c r="G134" s="3"/>
      <c r="H134" s="3"/>
      <c r="I134" s="5"/>
      <c r="J134" s="180"/>
      <c r="K134" s="142" t="s">
        <v>546</v>
      </c>
      <c r="L134" s="142" t="s">
        <v>546</v>
      </c>
      <c r="M134" s="143"/>
      <c r="N134" s="180"/>
      <c r="O134" s="180"/>
    </row>
    <row r="135" ht="25.5" customHeight="1">
      <c r="A135" s="86"/>
      <c r="B135" s="161">
        <v>43022.0</v>
      </c>
      <c r="C135" s="84" t="s">
        <v>547</v>
      </c>
      <c r="D135" s="174" t="s">
        <v>548</v>
      </c>
      <c r="E135" s="3"/>
      <c r="F135" s="3"/>
      <c r="G135" s="3"/>
      <c r="H135" s="3"/>
      <c r="I135" s="5"/>
      <c r="J135" s="180"/>
      <c r="K135" s="142" t="s">
        <v>549</v>
      </c>
      <c r="L135" s="142" t="s">
        <v>549</v>
      </c>
      <c r="M135" s="143"/>
      <c r="N135" s="180"/>
      <c r="O135" s="180"/>
    </row>
    <row r="136" ht="25.5" customHeight="1">
      <c r="A136" s="86"/>
      <c r="B136" s="161">
        <v>43023.0</v>
      </c>
      <c r="C136" s="219" t="s">
        <v>63</v>
      </c>
      <c r="D136" s="174" t="s">
        <v>550</v>
      </c>
      <c r="E136" s="3"/>
      <c r="F136" s="3"/>
      <c r="G136" s="3"/>
      <c r="H136" s="3"/>
      <c r="I136" s="5"/>
      <c r="J136" s="180"/>
      <c r="K136" s="142" t="s">
        <v>551</v>
      </c>
      <c r="L136" s="142" t="s">
        <v>551</v>
      </c>
      <c r="M136" s="143"/>
      <c r="N136" s="180"/>
      <c r="O136" s="180"/>
    </row>
    <row r="137" ht="25.5" customHeight="1">
      <c r="A137" s="86"/>
      <c r="B137" s="161">
        <v>43046.0</v>
      </c>
      <c r="C137" s="84" t="s">
        <v>552</v>
      </c>
      <c r="D137" s="174" t="s">
        <v>553</v>
      </c>
      <c r="E137" s="3"/>
      <c r="F137" s="3"/>
      <c r="G137" s="3"/>
      <c r="H137" s="3"/>
      <c r="I137" s="5"/>
      <c r="J137" s="180"/>
      <c r="K137" s="142" t="s">
        <v>554</v>
      </c>
      <c r="L137" s="142" t="s">
        <v>554</v>
      </c>
      <c r="M137" s="143"/>
      <c r="N137" s="180"/>
      <c r="O137" s="180"/>
    </row>
    <row r="138" ht="25.5" customHeight="1">
      <c r="A138" s="86"/>
      <c r="B138" s="161">
        <v>43048.0</v>
      </c>
      <c r="C138" s="84" t="s">
        <v>427</v>
      </c>
      <c r="D138" s="174" t="s">
        <v>555</v>
      </c>
      <c r="E138" s="3"/>
      <c r="F138" s="3"/>
      <c r="G138" s="3"/>
      <c r="H138" s="3"/>
      <c r="I138" s="5"/>
      <c r="J138" s="180"/>
      <c r="K138" s="142" t="s">
        <v>556</v>
      </c>
      <c r="L138" s="142" t="s">
        <v>556</v>
      </c>
      <c r="M138" s="143"/>
      <c r="N138" s="180"/>
      <c r="O138" s="180"/>
    </row>
    <row r="139" ht="25.5" customHeight="1">
      <c r="A139" s="86"/>
      <c r="B139" s="161">
        <v>43052.0</v>
      </c>
      <c r="C139" s="219" t="s">
        <v>63</v>
      </c>
      <c r="D139" s="174" t="s">
        <v>557</v>
      </c>
      <c r="E139" s="3"/>
      <c r="F139" s="3"/>
      <c r="G139" s="3"/>
      <c r="H139" s="3"/>
      <c r="I139" s="5"/>
      <c r="J139" s="180"/>
      <c r="K139" s="142" t="s">
        <v>558</v>
      </c>
      <c r="L139" s="142" t="s">
        <v>558</v>
      </c>
      <c r="M139" s="143"/>
      <c r="N139" s="180"/>
      <c r="O139" s="180"/>
    </row>
    <row r="140" ht="25.5" customHeight="1">
      <c r="A140" s="86"/>
      <c r="B140" s="161">
        <v>43070.0</v>
      </c>
      <c r="C140" s="84" t="s">
        <v>472</v>
      </c>
      <c r="D140" s="174" t="s">
        <v>559</v>
      </c>
      <c r="E140" s="3"/>
      <c r="F140" s="3"/>
      <c r="G140" s="3"/>
      <c r="H140" s="3"/>
      <c r="I140" s="5"/>
      <c r="J140" s="180"/>
      <c r="K140" s="142" t="s">
        <v>560</v>
      </c>
      <c r="L140" s="142" t="s">
        <v>560</v>
      </c>
      <c r="M140" s="143"/>
      <c r="N140" s="180"/>
      <c r="O140" s="180"/>
    </row>
    <row r="141" ht="25.5" customHeight="1">
      <c r="A141" s="86"/>
      <c r="B141" s="161">
        <v>43072.0</v>
      </c>
      <c r="C141" s="219" t="s">
        <v>63</v>
      </c>
      <c r="D141" s="174" t="s">
        <v>561</v>
      </c>
      <c r="E141" s="3"/>
      <c r="F141" s="3"/>
      <c r="G141" s="3"/>
      <c r="H141" s="3"/>
      <c r="I141" s="5"/>
      <c r="J141" s="180"/>
      <c r="K141" s="142" t="s">
        <v>562</v>
      </c>
      <c r="L141" s="142" t="s">
        <v>562</v>
      </c>
      <c r="M141" s="143"/>
      <c r="N141" s="180"/>
      <c r="O141" s="180"/>
    </row>
    <row r="142" ht="25.5" customHeight="1">
      <c r="A142" s="86"/>
      <c r="B142" s="161">
        <v>43090.0</v>
      </c>
      <c r="C142" s="84" t="s">
        <v>563</v>
      </c>
      <c r="D142" s="174" t="s">
        <v>564</v>
      </c>
      <c r="E142" s="3"/>
      <c r="F142" s="3"/>
      <c r="G142" s="3"/>
      <c r="H142" s="3"/>
      <c r="I142" s="5"/>
      <c r="J142" s="180"/>
      <c r="K142" s="142" t="s">
        <v>565</v>
      </c>
      <c r="L142" s="142" t="s">
        <v>565</v>
      </c>
      <c r="M142" s="143"/>
      <c r="N142" s="180"/>
      <c r="O142" s="180"/>
    </row>
    <row r="143" ht="25.5" customHeight="1">
      <c r="A143" s="86"/>
      <c r="B143" s="161">
        <v>43091.0</v>
      </c>
      <c r="C143" s="219" t="s">
        <v>63</v>
      </c>
      <c r="D143" s="174" t="s">
        <v>566</v>
      </c>
      <c r="E143" s="3"/>
      <c r="F143" s="3"/>
      <c r="G143" s="3"/>
      <c r="H143" s="3"/>
      <c r="I143" s="5"/>
      <c r="J143" s="180"/>
      <c r="K143" s="142" t="s">
        <v>567</v>
      </c>
      <c r="L143" s="142" t="s">
        <v>567</v>
      </c>
      <c r="M143" s="143"/>
      <c r="N143" s="180"/>
      <c r="O143" s="180"/>
    </row>
    <row r="144" ht="25.5" customHeight="1">
      <c r="A144" s="86"/>
      <c r="B144" s="161">
        <v>43119.0</v>
      </c>
      <c r="C144" s="84" t="s">
        <v>568</v>
      </c>
      <c r="D144" s="174" t="s">
        <v>569</v>
      </c>
      <c r="E144" s="3"/>
      <c r="F144" s="3"/>
      <c r="G144" s="3"/>
      <c r="H144" s="3"/>
      <c r="I144" s="5"/>
      <c r="J144" s="180"/>
      <c r="K144" s="142" t="s">
        <v>570</v>
      </c>
      <c r="L144" s="142" t="s">
        <v>570</v>
      </c>
      <c r="M144" s="143"/>
      <c r="N144" s="180"/>
      <c r="O144" s="180"/>
    </row>
    <row r="145" ht="25.5" customHeight="1">
      <c r="A145" s="86"/>
      <c r="B145" s="161">
        <v>43120.0</v>
      </c>
      <c r="C145" s="219" t="s">
        <v>63</v>
      </c>
      <c r="D145" s="174" t="s">
        <v>571</v>
      </c>
      <c r="E145" s="3"/>
      <c r="F145" s="3"/>
      <c r="G145" s="3"/>
      <c r="H145" s="3"/>
      <c r="I145" s="5"/>
      <c r="J145" s="180"/>
      <c r="K145" s="142" t="s">
        <v>572</v>
      </c>
      <c r="L145" s="142" t="s">
        <v>572</v>
      </c>
      <c r="M145" s="143"/>
      <c r="N145" s="180"/>
      <c r="O145" s="180"/>
    </row>
    <row r="146" ht="25.5" customHeight="1">
      <c r="A146" s="86"/>
      <c r="B146" s="161">
        <v>43125.0</v>
      </c>
      <c r="C146" s="84" t="s">
        <v>573</v>
      </c>
      <c r="D146" s="174" t="s">
        <v>574</v>
      </c>
      <c r="E146" s="3"/>
      <c r="F146" s="3"/>
      <c r="G146" s="3"/>
      <c r="H146" s="3"/>
      <c r="I146" s="5"/>
      <c r="J146" s="180"/>
      <c r="K146" s="142" t="s">
        <v>575</v>
      </c>
      <c r="L146" s="142" t="s">
        <v>575</v>
      </c>
      <c r="M146" s="143"/>
      <c r="N146" s="180"/>
      <c r="O146" s="180"/>
    </row>
    <row r="147" ht="25.5" customHeight="1">
      <c r="A147" s="86"/>
      <c r="B147" s="247">
        <v>43125.0</v>
      </c>
      <c r="C147" s="84" t="s">
        <v>576</v>
      </c>
      <c r="D147" s="249" t="s">
        <v>577</v>
      </c>
      <c r="E147" s="3"/>
      <c r="F147" s="3"/>
      <c r="G147" s="3"/>
      <c r="H147" s="3"/>
      <c r="I147" s="5"/>
      <c r="J147" s="180"/>
      <c r="K147" s="142" t="s">
        <v>578</v>
      </c>
      <c r="L147" s="142" t="s">
        <v>578</v>
      </c>
      <c r="M147" s="143"/>
      <c r="N147" s="180"/>
      <c r="O147" s="180"/>
    </row>
    <row r="148" ht="25.5" customHeight="1">
      <c r="A148" s="86"/>
      <c r="B148" s="161">
        <v>43127.0</v>
      </c>
      <c r="C148" s="219" t="s">
        <v>63</v>
      </c>
      <c r="D148" s="174" t="s">
        <v>579</v>
      </c>
      <c r="E148" s="3"/>
      <c r="F148" s="3"/>
      <c r="G148" s="3"/>
      <c r="H148" s="3"/>
      <c r="I148" s="5"/>
      <c r="J148" s="180"/>
      <c r="K148" s="142" t="s">
        <v>580</v>
      </c>
      <c r="L148" s="142" t="s">
        <v>580</v>
      </c>
      <c r="M148" s="143"/>
      <c r="N148" s="180"/>
      <c r="O148" s="180"/>
    </row>
    <row r="149" ht="25.5" customHeight="1">
      <c r="A149" s="86"/>
      <c r="B149" s="161">
        <v>43127.0</v>
      </c>
      <c r="C149" s="219" t="s">
        <v>63</v>
      </c>
      <c r="D149" s="174" t="s">
        <v>581</v>
      </c>
      <c r="E149" s="3"/>
      <c r="F149" s="3"/>
      <c r="G149" s="3"/>
      <c r="H149" s="3"/>
      <c r="I149" s="5"/>
      <c r="J149" s="180"/>
      <c r="K149" s="142" t="s">
        <v>582</v>
      </c>
      <c r="L149" s="142" t="s">
        <v>582</v>
      </c>
      <c r="M149" s="143"/>
      <c r="N149" s="180"/>
      <c r="O149" s="180"/>
    </row>
    <row r="150" ht="25.5" customHeight="1">
      <c r="A150" s="86"/>
      <c r="B150" s="161">
        <v>43133.0</v>
      </c>
      <c r="C150" s="84" t="s">
        <v>583</v>
      </c>
      <c r="D150" s="174" t="s">
        <v>584</v>
      </c>
      <c r="E150" s="3"/>
      <c r="F150" s="3"/>
      <c r="G150" s="3"/>
      <c r="H150" s="3"/>
      <c r="I150" s="5"/>
      <c r="J150" s="180"/>
      <c r="K150" s="142" t="s">
        <v>585</v>
      </c>
      <c r="L150" s="142" t="s">
        <v>585</v>
      </c>
      <c r="M150" s="143"/>
      <c r="N150" s="180"/>
      <c r="O150" s="180"/>
    </row>
    <row r="151" ht="25.5" customHeight="1">
      <c r="A151" s="86"/>
      <c r="B151" s="161">
        <v>43133.0</v>
      </c>
      <c r="C151" s="84" t="s">
        <v>576</v>
      </c>
      <c r="D151" s="174" t="s">
        <v>586</v>
      </c>
      <c r="E151" s="3"/>
      <c r="F151" s="3"/>
      <c r="G151" s="3"/>
      <c r="H151" s="3"/>
      <c r="I151" s="5"/>
      <c r="J151" s="180"/>
      <c r="K151" s="142" t="s">
        <v>587</v>
      </c>
      <c r="L151" s="142" t="s">
        <v>587</v>
      </c>
      <c r="M151" s="143"/>
      <c r="N151" s="180"/>
      <c r="O151" s="180"/>
    </row>
    <row r="152" ht="25.5" customHeight="1">
      <c r="A152" s="86"/>
      <c r="B152" s="161">
        <v>43135.0</v>
      </c>
      <c r="C152" s="219" t="s">
        <v>63</v>
      </c>
      <c r="D152" s="174" t="s">
        <v>588</v>
      </c>
      <c r="E152" s="3"/>
      <c r="F152" s="3"/>
      <c r="G152" s="3"/>
      <c r="H152" s="3"/>
      <c r="I152" s="5"/>
      <c r="J152" s="180"/>
      <c r="K152" s="142" t="s">
        <v>589</v>
      </c>
      <c r="L152" s="142" t="s">
        <v>589</v>
      </c>
      <c r="M152" s="143"/>
      <c r="N152" s="180"/>
      <c r="O152" s="180"/>
    </row>
    <row r="153" ht="25.5" customHeight="1">
      <c r="A153" s="86"/>
      <c r="B153" s="161">
        <v>43135.0</v>
      </c>
      <c r="C153" s="219" t="s">
        <v>63</v>
      </c>
      <c r="D153" s="174" t="s">
        <v>590</v>
      </c>
      <c r="E153" s="3"/>
      <c r="F153" s="3"/>
      <c r="G153" s="3"/>
      <c r="H153" s="3"/>
      <c r="I153" s="5"/>
      <c r="J153" s="180"/>
      <c r="K153" s="142" t="s">
        <v>591</v>
      </c>
      <c r="L153" s="142" t="s">
        <v>591</v>
      </c>
      <c r="M153" s="143"/>
      <c r="N153" s="180"/>
      <c r="O153" s="180"/>
    </row>
    <row r="154" ht="25.5" customHeight="1">
      <c r="A154" s="86"/>
      <c r="B154" s="251">
        <v>43135.0</v>
      </c>
      <c r="C154" s="219" t="s">
        <v>63</v>
      </c>
      <c r="D154" s="174" t="s">
        <v>592</v>
      </c>
      <c r="E154" s="3"/>
      <c r="F154" s="3"/>
      <c r="G154" s="3"/>
      <c r="H154" s="3"/>
      <c r="I154" s="5"/>
      <c r="J154" s="180"/>
      <c r="K154" s="142" t="s">
        <v>593</v>
      </c>
      <c r="L154" s="142" t="s">
        <v>593</v>
      </c>
      <c r="M154" s="143"/>
      <c r="N154" s="180"/>
      <c r="O154" s="180"/>
    </row>
    <row r="155" ht="25.5" customHeight="1">
      <c r="A155" s="86"/>
      <c r="B155" s="251">
        <v>43135.0</v>
      </c>
      <c r="C155" s="219" t="s">
        <v>63</v>
      </c>
      <c r="D155" s="174" t="s">
        <v>594</v>
      </c>
      <c r="E155" s="3"/>
      <c r="F155" s="3"/>
      <c r="G155" s="3"/>
      <c r="H155" s="3"/>
      <c r="I155" s="5"/>
      <c r="J155" s="180"/>
      <c r="K155" s="142" t="s">
        <v>595</v>
      </c>
      <c r="L155" s="142" t="s">
        <v>595</v>
      </c>
      <c r="M155" s="143"/>
      <c r="N155" s="180"/>
      <c r="O155" s="180"/>
    </row>
    <row r="156" ht="25.5" customHeight="1">
      <c r="A156" s="86"/>
      <c r="B156" s="251">
        <v>43205.0</v>
      </c>
      <c r="C156" s="219" t="s">
        <v>63</v>
      </c>
      <c r="D156" s="174" t="s">
        <v>596</v>
      </c>
      <c r="E156" s="3"/>
      <c r="F156" s="3"/>
      <c r="G156" s="3"/>
      <c r="H156" s="3"/>
      <c r="I156" s="5"/>
      <c r="J156" s="180"/>
      <c r="K156" s="142" t="s">
        <v>597</v>
      </c>
      <c r="L156" s="142" t="s">
        <v>597</v>
      </c>
      <c r="M156" s="143"/>
      <c r="N156" s="180"/>
      <c r="O156" s="180"/>
    </row>
    <row r="157" ht="25.5" customHeight="1">
      <c r="A157" s="86"/>
      <c r="B157" s="251">
        <v>43212.0</v>
      </c>
      <c r="C157" s="84" t="s">
        <v>598</v>
      </c>
      <c r="D157" s="174" t="s">
        <v>599</v>
      </c>
      <c r="E157" s="3"/>
      <c r="F157" s="3"/>
      <c r="G157" s="3"/>
      <c r="H157" s="3"/>
      <c r="I157" s="5"/>
      <c r="J157" s="180"/>
      <c r="K157" s="142" t="s">
        <v>600</v>
      </c>
      <c r="L157" s="142" t="s">
        <v>600</v>
      </c>
      <c r="M157" s="143"/>
      <c r="N157" s="180"/>
      <c r="O157" s="180"/>
    </row>
    <row r="158" ht="25.5" customHeight="1">
      <c r="A158" s="86"/>
      <c r="B158" s="251">
        <v>43212.0</v>
      </c>
      <c r="C158" s="219" t="s">
        <v>63</v>
      </c>
      <c r="D158" s="174" t="s">
        <v>601</v>
      </c>
      <c r="E158" s="3"/>
      <c r="F158" s="3"/>
      <c r="G158" s="3"/>
      <c r="H158" s="3"/>
      <c r="I158" s="5"/>
      <c r="J158" s="180"/>
      <c r="K158" s="142" t="s">
        <v>602</v>
      </c>
      <c r="L158" s="142" t="s">
        <v>602</v>
      </c>
      <c r="M158" s="143"/>
      <c r="N158" s="180"/>
      <c r="O158" s="180"/>
    </row>
    <row r="159" ht="25.5" customHeight="1">
      <c r="A159" s="86"/>
      <c r="B159" s="251">
        <v>43212.0</v>
      </c>
      <c r="C159" s="84" t="s">
        <v>603</v>
      </c>
      <c r="D159" s="174" t="s">
        <v>604</v>
      </c>
      <c r="E159" s="3"/>
      <c r="F159" s="3"/>
      <c r="G159" s="3"/>
      <c r="H159" s="3"/>
      <c r="I159" s="5"/>
      <c r="J159" s="180"/>
      <c r="K159" s="142" t="s">
        <v>605</v>
      </c>
      <c r="L159" s="142" t="s">
        <v>605</v>
      </c>
      <c r="M159" s="143"/>
      <c r="N159" s="180"/>
      <c r="O159" s="180"/>
    </row>
    <row r="160" ht="25.5" customHeight="1">
      <c r="A160" s="86"/>
      <c r="B160" s="251">
        <v>43213.0</v>
      </c>
      <c r="C160" s="219" t="s">
        <v>63</v>
      </c>
      <c r="D160" s="174" t="s">
        <v>606</v>
      </c>
      <c r="E160" s="3"/>
      <c r="F160" s="3"/>
      <c r="G160" s="3"/>
      <c r="H160" s="3"/>
      <c r="I160" s="5"/>
      <c r="J160" s="180"/>
      <c r="K160" s="142" t="s">
        <v>607</v>
      </c>
      <c r="L160" s="142" t="s">
        <v>607</v>
      </c>
      <c r="M160" s="143"/>
      <c r="N160" s="180"/>
      <c r="O160" s="180"/>
    </row>
    <row r="161" ht="25.5" customHeight="1">
      <c r="A161" s="86"/>
      <c r="B161" s="251">
        <v>43225.0</v>
      </c>
      <c r="C161" s="219" t="s">
        <v>63</v>
      </c>
      <c r="D161" s="174" t="s">
        <v>608</v>
      </c>
      <c r="E161" s="3"/>
      <c r="F161" s="3"/>
      <c r="G161" s="3"/>
      <c r="H161" s="3"/>
      <c r="I161" s="5"/>
      <c r="J161" s="180"/>
      <c r="K161" s="142" t="s">
        <v>609</v>
      </c>
      <c r="L161" s="142" t="s">
        <v>609</v>
      </c>
      <c r="M161" s="143"/>
      <c r="N161" s="180"/>
      <c r="O161" s="180"/>
    </row>
    <row r="162" ht="25.5" customHeight="1">
      <c r="A162" s="86"/>
      <c r="B162" s="251">
        <v>43274.0</v>
      </c>
      <c r="C162" s="84" t="s">
        <v>318</v>
      </c>
      <c r="D162" s="174" t="s">
        <v>610</v>
      </c>
      <c r="E162" s="3"/>
      <c r="F162" s="3"/>
      <c r="G162" s="3"/>
      <c r="H162" s="3"/>
      <c r="I162" s="5"/>
      <c r="J162" s="180"/>
      <c r="K162" s="142" t="s">
        <v>611</v>
      </c>
      <c r="L162" s="142" t="s">
        <v>611</v>
      </c>
      <c r="M162" s="143"/>
      <c r="N162" s="180"/>
      <c r="O162" s="180"/>
    </row>
    <row r="163" ht="25.5" customHeight="1">
      <c r="A163" s="86"/>
      <c r="B163" s="251">
        <v>43274.0</v>
      </c>
      <c r="C163" s="255" t="s">
        <v>63</v>
      </c>
      <c r="D163" s="174" t="s">
        <v>612</v>
      </c>
      <c r="E163" s="3"/>
      <c r="F163" s="3"/>
      <c r="G163" s="3"/>
      <c r="H163" s="3"/>
      <c r="I163" s="5"/>
      <c r="J163" s="180"/>
      <c r="K163" s="142" t="s">
        <v>613</v>
      </c>
      <c r="L163" s="142" t="s">
        <v>613</v>
      </c>
      <c r="M163" s="143"/>
      <c r="N163" s="180"/>
      <c r="O163" s="180"/>
    </row>
    <row r="164" ht="25.5" customHeight="1">
      <c r="A164" s="86"/>
      <c r="B164" s="251">
        <v>43296.0</v>
      </c>
      <c r="C164" s="84" t="s">
        <v>603</v>
      </c>
      <c r="D164" s="174" t="s">
        <v>614</v>
      </c>
      <c r="E164" s="3"/>
      <c r="F164" s="3"/>
      <c r="G164" s="3"/>
      <c r="H164" s="3"/>
      <c r="I164" s="5"/>
      <c r="J164" s="180"/>
      <c r="K164" s="142" t="s">
        <v>615</v>
      </c>
      <c r="L164" s="142" t="s">
        <v>615</v>
      </c>
      <c r="M164" s="143"/>
      <c r="N164" s="180"/>
      <c r="O164" s="180"/>
    </row>
    <row r="165" ht="25.5" customHeight="1">
      <c r="A165" s="86"/>
      <c r="B165" s="251">
        <v>43297.0</v>
      </c>
      <c r="C165" s="255" t="s">
        <v>63</v>
      </c>
      <c r="D165" s="174" t="s">
        <v>616</v>
      </c>
      <c r="E165" s="3"/>
      <c r="F165" s="3"/>
      <c r="G165" s="3"/>
      <c r="H165" s="3"/>
      <c r="I165" s="5"/>
      <c r="J165" s="180"/>
      <c r="K165" s="142" t="s">
        <v>617</v>
      </c>
      <c r="L165" s="142" t="s">
        <v>617</v>
      </c>
      <c r="M165" s="143"/>
      <c r="N165" s="180"/>
      <c r="O165" s="180"/>
    </row>
    <row r="166" ht="25.5" customHeight="1">
      <c r="A166" s="86"/>
      <c r="B166" s="251">
        <v>43299.0</v>
      </c>
      <c r="C166" s="84" t="s">
        <v>318</v>
      </c>
      <c r="D166" s="174" t="s">
        <v>618</v>
      </c>
      <c r="E166" s="3"/>
      <c r="F166" s="3"/>
      <c r="G166" s="3"/>
      <c r="H166" s="3"/>
      <c r="I166" s="5"/>
      <c r="J166" s="180"/>
      <c r="K166" s="142" t="s">
        <v>619</v>
      </c>
      <c r="L166" s="142" t="s">
        <v>619</v>
      </c>
      <c r="M166" s="143"/>
      <c r="N166" s="180"/>
      <c r="O166" s="180"/>
    </row>
    <row r="167" ht="25.5" customHeight="1">
      <c r="A167" s="86"/>
      <c r="B167" s="251">
        <v>43348.0</v>
      </c>
      <c r="C167" s="255" t="s">
        <v>620</v>
      </c>
      <c r="D167" s="174" t="s">
        <v>621</v>
      </c>
      <c r="E167" s="3"/>
      <c r="F167" s="3"/>
      <c r="G167" s="3"/>
      <c r="H167" s="3"/>
      <c r="I167" s="5"/>
      <c r="J167" s="180"/>
      <c r="K167" s="142" t="s">
        <v>622</v>
      </c>
      <c r="L167" s="142" t="s">
        <v>622</v>
      </c>
      <c r="M167" s="143"/>
      <c r="N167" s="180"/>
      <c r="O167" s="180"/>
    </row>
    <row r="168" ht="25.5" customHeight="1">
      <c r="A168" s="86"/>
      <c r="B168" s="251"/>
      <c r="C168" s="84"/>
      <c r="D168" s="174" t="s">
        <v>623</v>
      </c>
      <c r="E168" s="3"/>
      <c r="F168" s="3"/>
      <c r="G168" s="3"/>
      <c r="H168" s="3"/>
      <c r="I168" s="5"/>
      <c r="J168" s="180"/>
      <c r="K168" s="142" t="s">
        <v>624</v>
      </c>
      <c r="L168" s="142" t="s">
        <v>624</v>
      </c>
      <c r="M168" s="143"/>
      <c r="N168" s="180"/>
      <c r="O168" s="180"/>
    </row>
    <row r="169" ht="25.5" customHeight="1">
      <c r="A169" s="86"/>
      <c r="B169" s="251">
        <v>43409.0</v>
      </c>
      <c r="C169" s="84" t="s">
        <v>318</v>
      </c>
      <c r="D169" s="174" t="s">
        <v>625</v>
      </c>
      <c r="E169" s="3"/>
      <c r="F169" s="3"/>
      <c r="G169" s="3"/>
      <c r="H169" s="3"/>
      <c r="I169" s="5"/>
      <c r="J169" s="180"/>
      <c r="K169" s="142" t="s">
        <v>626</v>
      </c>
      <c r="L169" s="142" t="s">
        <v>626</v>
      </c>
      <c r="M169" s="143"/>
      <c r="N169" s="180"/>
      <c r="O169" s="180"/>
    </row>
    <row r="170" ht="25.5" customHeight="1">
      <c r="A170" s="86"/>
      <c r="B170" s="251">
        <v>43462.0</v>
      </c>
      <c r="C170" s="84" t="s">
        <v>627</v>
      </c>
      <c r="D170" s="174" t="s">
        <v>628</v>
      </c>
      <c r="E170" s="3"/>
      <c r="F170" s="3"/>
      <c r="G170" s="3"/>
      <c r="H170" s="3"/>
      <c r="I170" s="5"/>
      <c r="J170" s="180"/>
      <c r="K170" s="142" t="s">
        <v>629</v>
      </c>
      <c r="L170" s="142" t="s">
        <v>298</v>
      </c>
      <c r="M170" s="143" t="s">
        <v>630</v>
      </c>
      <c r="N170" s="180"/>
      <c r="O170" s="180"/>
    </row>
    <row r="171" ht="25.5" customHeight="1">
      <c r="A171" s="86"/>
      <c r="B171" s="251">
        <v>43473.0</v>
      </c>
      <c r="C171" s="84"/>
      <c r="D171" s="174"/>
      <c r="E171" s="3"/>
      <c r="F171" s="3"/>
      <c r="G171" s="3"/>
      <c r="H171" s="3"/>
      <c r="I171" s="5"/>
      <c r="J171" s="180"/>
      <c r="K171" s="142" t="s">
        <v>631</v>
      </c>
      <c r="L171" s="142" t="s">
        <v>298</v>
      </c>
      <c r="M171" s="143" t="s">
        <v>630</v>
      </c>
      <c r="N171" s="180"/>
      <c r="O171" s="180"/>
    </row>
    <row r="172" ht="25.5" customHeight="1">
      <c r="A172" s="86"/>
      <c r="B172" s="75" t="s">
        <v>632</v>
      </c>
      <c r="C172" s="84" t="s">
        <v>633</v>
      </c>
      <c r="D172" s="174" t="s">
        <v>634</v>
      </c>
      <c r="E172" s="3"/>
      <c r="F172" s="3"/>
      <c r="G172" s="3"/>
      <c r="H172" s="3"/>
      <c r="I172" s="5"/>
      <c r="J172" s="180"/>
      <c r="K172" s="142" t="s">
        <v>635</v>
      </c>
      <c r="L172" s="142" t="s">
        <v>298</v>
      </c>
      <c r="M172" s="143" t="s">
        <v>630</v>
      </c>
      <c r="N172" s="180"/>
      <c r="O172" s="180"/>
    </row>
    <row r="173" ht="25.5" customHeight="1">
      <c r="A173" s="86"/>
      <c r="B173" s="251">
        <v>43496.0</v>
      </c>
      <c r="C173" s="84" t="s">
        <v>318</v>
      </c>
      <c r="D173" s="174" t="s">
        <v>636</v>
      </c>
      <c r="E173" s="3"/>
      <c r="F173" s="3"/>
      <c r="G173" s="3"/>
      <c r="H173" s="3"/>
      <c r="I173" s="5"/>
      <c r="J173" s="180"/>
      <c r="K173" s="142" t="s">
        <v>637</v>
      </c>
      <c r="L173" s="142" t="s">
        <v>298</v>
      </c>
      <c r="M173" s="143" t="s">
        <v>630</v>
      </c>
      <c r="N173" s="180"/>
      <c r="O173" s="180"/>
    </row>
    <row r="174" ht="25.5" customHeight="1">
      <c r="A174" s="86"/>
      <c r="B174" s="268">
        <v>43520.0</v>
      </c>
      <c r="C174" s="84" t="s">
        <v>638</v>
      </c>
      <c r="D174" s="174" t="s">
        <v>639</v>
      </c>
      <c r="E174" s="3"/>
      <c r="F174" s="3"/>
      <c r="G174" s="3"/>
      <c r="H174" s="3"/>
      <c r="I174" s="5"/>
      <c r="J174" s="180"/>
      <c r="K174" s="142" t="s">
        <v>640</v>
      </c>
      <c r="L174" s="142" t="s">
        <v>298</v>
      </c>
      <c r="M174" s="143" t="s">
        <v>630</v>
      </c>
      <c r="N174" s="180"/>
      <c r="O174" s="180"/>
    </row>
    <row r="175" ht="25.5" customHeight="1">
      <c r="A175" s="86"/>
      <c r="B175" s="251"/>
      <c r="C175" s="84"/>
      <c r="D175" s="174"/>
      <c r="E175" s="3"/>
      <c r="F175" s="3"/>
      <c r="G175" s="3"/>
      <c r="H175" s="3"/>
      <c r="I175" s="5"/>
      <c r="J175" s="180"/>
      <c r="K175" s="142" t="s">
        <v>298</v>
      </c>
      <c r="L175" s="142" t="s">
        <v>298</v>
      </c>
      <c r="M175" s="143"/>
      <c r="N175" s="180"/>
      <c r="O175" s="180"/>
    </row>
    <row r="176" ht="25.5" customHeight="1">
      <c r="A176" s="86"/>
      <c r="B176" s="251"/>
      <c r="C176" s="84"/>
      <c r="D176" s="174"/>
      <c r="E176" s="3"/>
      <c r="F176" s="3"/>
      <c r="G176" s="3"/>
      <c r="H176" s="3"/>
      <c r="I176" s="5"/>
      <c r="J176" s="180"/>
      <c r="K176" s="142" t="s">
        <v>298</v>
      </c>
      <c r="L176" s="142" t="s">
        <v>298</v>
      </c>
      <c r="M176" s="143"/>
      <c r="N176" s="180"/>
      <c r="O176" s="180"/>
    </row>
    <row r="177" ht="25.5" customHeight="1">
      <c r="A177" s="86"/>
      <c r="B177" s="251"/>
      <c r="C177" s="84"/>
      <c r="D177" s="174"/>
      <c r="E177" s="3"/>
      <c r="F177" s="3"/>
      <c r="G177" s="3"/>
      <c r="H177" s="3"/>
      <c r="I177" s="5"/>
      <c r="J177" s="180"/>
      <c r="K177" s="142" t="s">
        <v>298</v>
      </c>
      <c r="L177" s="142" t="s">
        <v>298</v>
      </c>
      <c r="M177" s="143"/>
      <c r="N177" s="180"/>
      <c r="O177" s="180"/>
    </row>
    <row r="178" ht="25.5" customHeight="1">
      <c r="A178" s="86"/>
      <c r="B178" s="251"/>
      <c r="C178" s="84"/>
      <c r="D178" s="174"/>
      <c r="E178" s="3"/>
      <c r="F178" s="3"/>
      <c r="G178" s="3"/>
      <c r="H178" s="3"/>
      <c r="I178" s="5"/>
      <c r="J178" s="180"/>
      <c r="K178" s="142" t="s">
        <v>298</v>
      </c>
      <c r="L178" s="142" t="s">
        <v>298</v>
      </c>
      <c r="M178" s="143"/>
      <c r="N178" s="180"/>
      <c r="O178" s="180"/>
    </row>
    <row r="179" ht="25.5" customHeight="1">
      <c r="A179" s="86"/>
      <c r="B179" s="251"/>
      <c r="C179" s="84"/>
      <c r="D179" s="271" t="str">
        <f t="array" ref="D179">"Matteo says: Hi. If you have any feedback you can write to row "&amp;max(if(B1:B180&lt;&gt;"",row(B1:B180)))+1</f>
        <v>Matteo says: Hi. If you have any feedback you can write to row 175</v>
      </c>
      <c r="E179" s="3"/>
      <c r="F179" s="3"/>
      <c r="G179" s="3"/>
      <c r="H179" s="3"/>
      <c r="I179" s="5"/>
      <c r="J179" s="180"/>
      <c r="K179" s="142" t="s">
        <v>641</v>
      </c>
      <c r="L179" s="142" t="s">
        <v>642</v>
      </c>
      <c r="M179" s="143"/>
      <c r="N179" s="180"/>
      <c r="O179" s="180"/>
    </row>
    <row r="180" ht="25.5" customHeight="1">
      <c r="A180" s="86"/>
      <c r="B180" s="272"/>
      <c r="C180" s="178"/>
      <c r="D180" s="170"/>
      <c r="J180" s="180"/>
      <c r="K180" s="142" t="s">
        <v>298</v>
      </c>
      <c r="L180" s="142" t="s">
        <v>298</v>
      </c>
      <c r="M180" s="143"/>
      <c r="N180" s="180"/>
      <c r="O180" s="180"/>
    </row>
    <row r="181" ht="25.5" customHeight="1">
      <c r="A181" s="129"/>
      <c r="B181" s="149" t="s">
        <v>58</v>
      </c>
      <c r="C181" s="150" t="s">
        <v>59</v>
      </c>
      <c r="D181" s="273" t="s">
        <v>643</v>
      </c>
      <c r="E181" s="3"/>
      <c r="F181" s="3"/>
      <c r="G181" s="3"/>
      <c r="H181" s="3"/>
      <c r="I181" s="5"/>
      <c r="J181" s="180"/>
      <c r="K181" s="142" t="s">
        <v>644</v>
      </c>
      <c r="L181" s="142" t="s">
        <v>644</v>
      </c>
      <c r="M181" s="143"/>
      <c r="N181" s="180"/>
      <c r="O181" s="180"/>
    </row>
    <row r="182" ht="25.5" customHeight="1">
      <c r="A182" s="86"/>
      <c r="B182" s="161">
        <v>42153.0</v>
      </c>
      <c r="C182" s="84" t="s">
        <v>63</v>
      </c>
      <c r="D182" s="82" t="s">
        <v>645</v>
      </c>
      <c r="E182" s="3"/>
      <c r="F182" s="3"/>
      <c r="G182" s="3"/>
      <c r="H182" s="3"/>
      <c r="I182" s="5"/>
      <c r="J182" s="180"/>
      <c r="K182" s="142" t="s">
        <v>646</v>
      </c>
      <c r="L182" s="142" t="s">
        <v>646</v>
      </c>
      <c r="M182" s="143"/>
      <c r="N182" s="180"/>
      <c r="O182" s="180"/>
    </row>
    <row r="183" ht="25.5" customHeight="1">
      <c r="A183" s="86"/>
      <c r="B183" s="161">
        <v>42155.0</v>
      </c>
      <c r="C183" s="84" t="s">
        <v>63</v>
      </c>
      <c r="D183" s="82" t="s">
        <v>647</v>
      </c>
      <c r="E183" s="3"/>
      <c r="F183" s="3"/>
      <c r="G183" s="3"/>
      <c r="H183" s="3"/>
      <c r="I183" s="5"/>
      <c r="J183" s="180"/>
      <c r="K183" s="142" t="s">
        <v>648</v>
      </c>
      <c r="L183" s="142" t="s">
        <v>648</v>
      </c>
      <c r="M183" s="143"/>
      <c r="N183" s="180"/>
      <c r="O183" s="180"/>
    </row>
    <row r="184" ht="25.5" customHeight="1">
      <c r="A184" s="86"/>
      <c r="B184" s="161">
        <v>42155.0</v>
      </c>
      <c r="C184" s="84" t="s">
        <v>63</v>
      </c>
      <c r="D184" s="82" t="s">
        <v>649</v>
      </c>
      <c r="E184" s="3"/>
      <c r="F184" s="3"/>
      <c r="G184" s="3"/>
      <c r="H184" s="3"/>
      <c r="I184" s="5"/>
      <c r="J184" s="180"/>
      <c r="K184" s="142" t="s">
        <v>650</v>
      </c>
      <c r="L184" s="142" t="s">
        <v>650</v>
      </c>
      <c r="M184" s="143"/>
      <c r="N184" s="180"/>
      <c r="O184" s="180"/>
    </row>
    <row r="185" ht="25.5" customHeight="1">
      <c r="A185" s="86"/>
      <c r="B185" s="161">
        <v>42156.0</v>
      </c>
      <c r="C185" s="84" t="s">
        <v>63</v>
      </c>
      <c r="D185" s="82" t="s">
        <v>651</v>
      </c>
      <c r="E185" s="3"/>
      <c r="F185" s="3"/>
      <c r="G185" s="3"/>
      <c r="H185" s="3"/>
      <c r="I185" s="5"/>
      <c r="J185" s="180"/>
      <c r="K185" s="142" t="s">
        <v>652</v>
      </c>
      <c r="L185" s="142" t="s">
        <v>652</v>
      </c>
      <c r="M185" s="143"/>
      <c r="N185" s="180"/>
      <c r="O185" s="180"/>
    </row>
    <row r="186" ht="25.5" customHeight="1">
      <c r="A186" s="86"/>
      <c r="B186" s="161">
        <v>42172.0</v>
      </c>
      <c r="C186" s="84" t="s">
        <v>63</v>
      </c>
      <c r="D186" s="82" t="s">
        <v>653</v>
      </c>
      <c r="E186" s="3"/>
      <c r="F186" s="3"/>
      <c r="G186" s="3"/>
      <c r="H186" s="3"/>
      <c r="I186" s="5"/>
      <c r="J186" s="180"/>
      <c r="K186" s="142" t="s">
        <v>654</v>
      </c>
      <c r="L186" s="142" t="s">
        <v>654</v>
      </c>
      <c r="M186" s="143"/>
      <c r="N186" s="180"/>
      <c r="O186" s="180"/>
    </row>
    <row r="187" ht="25.5" customHeight="1">
      <c r="A187" s="86"/>
      <c r="B187" s="161">
        <v>42175.0</v>
      </c>
      <c r="C187" s="84" t="s">
        <v>63</v>
      </c>
      <c r="D187" s="82" t="s">
        <v>655</v>
      </c>
      <c r="E187" s="3"/>
      <c r="F187" s="3"/>
      <c r="G187" s="3"/>
      <c r="H187" s="3"/>
      <c r="I187" s="5"/>
      <c r="J187" s="180"/>
      <c r="K187" s="142" t="s">
        <v>656</v>
      </c>
      <c r="L187" s="142" t="s">
        <v>656</v>
      </c>
      <c r="M187" s="143"/>
      <c r="N187" s="180"/>
      <c r="O187" s="180"/>
    </row>
    <row r="188" ht="25.5" customHeight="1">
      <c r="A188" s="86"/>
      <c r="B188" s="161">
        <v>42185.0</v>
      </c>
      <c r="C188" s="84" t="s">
        <v>63</v>
      </c>
      <c r="D188" s="82" t="s">
        <v>657</v>
      </c>
      <c r="E188" s="3"/>
      <c r="F188" s="3"/>
      <c r="G188" s="3"/>
      <c r="H188" s="3"/>
      <c r="I188" s="5"/>
      <c r="J188" s="180"/>
      <c r="K188" s="142" t="s">
        <v>658</v>
      </c>
      <c r="L188" s="142" t="s">
        <v>658</v>
      </c>
      <c r="M188" s="143"/>
      <c r="N188" s="180"/>
      <c r="O188" s="180"/>
    </row>
    <row r="189" ht="25.5" customHeight="1">
      <c r="A189" s="86"/>
      <c r="B189" s="161">
        <v>42191.0</v>
      </c>
      <c r="C189" s="84" t="s">
        <v>63</v>
      </c>
      <c r="D189" s="82" t="s">
        <v>659</v>
      </c>
      <c r="E189" s="3"/>
      <c r="F189" s="3"/>
      <c r="G189" s="3"/>
      <c r="H189" s="3"/>
      <c r="I189" s="5"/>
      <c r="J189" s="180"/>
      <c r="K189" s="142" t="s">
        <v>660</v>
      </c>
      <c r="L189" s="142" t="s">
        <v>660</v>
      </c>
      <c r="M189" s="143"/>
      <c r="N189" s="180"/>
      <c r="O189" s="180"/>
    </row>
    <row r="190" ht="25.5" customHeight="1">
      <c r="A190" s="86"/>
      <c r="B190" s="161">
        <v>42215.0</v>
      </c>
      <c r="C190" s="84" t="s">
        <v>63</v>
      </c>
      <c r="D190" s="82" t="s">
        <v>661</v>
      </c>
      <c r="E190" s="3"/>
      <c r="F190" s="3"/>
      <c r="G190" s="3"/>
      <c r="H190" s="3"/>
      <c r="I190" s="5"/>
      <c r="J190" s="180"/>
      <c r="K190" s="142" t="s">
        <v>662</v>
      </c>
      <c r="L190" s="142" t="s">
        <v>662</v>
      </c>
      <c r="M190" s="143"/>
      <c r="N190" s="180"/>
      <c r="O190" s="180"/>
    </row>
    <row r="191" ht="25.5" customHeight="1">
      <c r="A191" s="86"/>
      <c r="B191" s="161">
        <v>42218.0</v>
      </c>
      <c r="C191" s="84" t="s">
        <v>63</v>
      </c>
      <c r="D191" s="82" t="s">
        <v>663</v>
      </c>
      <c r="E191" s="3"/>
      <c r="F191" s="3"/>
      <c r="G191" s="3"/>
      <c r="H191" s="3"/>
      <c r="I191" s="5"/>
      <c r="J191" s="180"/>
      <c r="K191" s="142" t="s">
        <v>664</v>
      </c>
      <c r="L191" s="142" t="s">
        <v>664</v>
      </c>
      <c r="M191" s="143"/>
      <c r="N191" s="180"/>
      <c r="O191" s="180"/>
    </row>
    <row r="192" ht="25.5" customHeight="1">
      <c r="A192" s="86"/>
      <c r="B192" s="161">
        <v>42225.0</v>
      </c>
      <c r="C192" s="84" t="s">
        <v>63</v>
      </c>
      <c r="D192" s="82" t="s">
        <v>665</v>
      </c>
      <c r="E192" s="3"/>
      <c r="F192" s="3"/>
      <c r="G192" s="3"/>
      <c r="H192" s="3"/>
      <c r="I192" s="5"/>
      <c r="J192" s="180"/>
      <c r="K192" s="142" t="s">
        <v>666</v>
      </c>
      <c r="L192" s="142" t="s">
        <v>666</v>
      </c>
      <c r="M192" s="143"/>
      <c r="N192" s="180"/>
      <c r="O192" s="180"/>
    </row>
    <row r="193" ht="25.5" customHeight="1">
      <c r="A193" s="86"/>
      <c r="B193" s="161">
        <v>42226.0</v>
      </c>
      <c r="C193" s="84" t="s">
        <v>63</v>
      </c>
      <c r="D193" s="82" t="s">
        <v>667</v>
      </c>
      <c r="E193" s="3"/>
      <c r="F193" s="3"/>
      <c r="G193" s="3"/>
      <c r="H193" s="3"/>
      <c r="I193" s="5"/>
      <c r="J193" s="180"/>
      <c r="K193" s="142" t="s">
        <v>668</v>
      </c>
      <c r="L193" s="142" t="s">
        <v>668</v>
      </c>
      <c r="M193" s="143"/>
      <c r="N193" s="180"/>
      <c r="O193" s="180"/>
    </row>
    <row r="194" ht="25.5" customHeight="1">
      <c r="A194" s="86"/>
      <c r="B194" s="161">
        <v>42234.0</v>
      </c>
      <c r="C194" s="84" t="s">
        <v>63</v>
      </c>
      <c r="D194" s="82" t="s">
        <v>669</v>
      </c>
      <c r="E194" s="3"/>
      <c r="F194" s="3"/>
      <c r="G194" s="3"/>
      <c r="H194" s="3"/>
      <c r="I194" s="5"/>
      <c r="J194" s="180"/>
      <c r="K194" s="142" t="s">
        <v>670</v>
      </c>
      <c r="L194" s="142" t="s">
        <v>670</v>
      </c>
      <c r="M194" s="143"/>
      <c r="N194" s="180"/>
      <c r="O194" s="180"/>
    </row>
    <row r="195" ht="25.5" customHeight="1">
      <c r="A195" s="86"/>
      <c r="B195" s="161">
        <v>42411.0</v>
      </c>
      <c r="C195" s="84" t="s">
        <v>63</v>
      </c>
      <c r="D195" s="174" t="s">
        <v>671</v>
      </c>
      <c r="E195" s="3"/>
      <c r="F195" s="3"/>
      <c r="G195" s="3"/>
      <c r="H195" s="3"/>
      <c r="I195" s="5"/>
      <c r="J195" s="180"/>
      <c r="K195" s="142" t="s">
        <v>672</v>
      </c>
      <c r="L195" s="142" t="s">
        <v>672</v>
      </c>
      <c r="M195" s="143"/>
      <c r="N195" s="180"/>
      <c r="O195" s="180"/>
    </row>
    <row r="196" ht="25.5" customHeight="1">
      <c r="A196" s="86"/>
      <c r="B196" s="161">
        <v>42412.0</v>
      </c>
      <c r="C196" s="84" t="s">
        <v>63</v>
      </c>
      <c r="D196" s="174" t="s">
        <v>673</v>
      </c>
      <c r="E196" s="3"/>
      <c r="F196" s="3"/>
      <c r="G196" s="3"/>
      <c r="H196" s="3"/>
      <c r="I196" s="5"/>
      <c r="J196" s="180"/>
      <c r="K196" s="142" t="s">
        <v>674</v>
      </c>
      <c r="L196" s="142" t="s">
        <v>674</v>
      </c>
      <c r="M196" s="143"/>
      <c r="N196" s="180"/>
      <c r="O196" s="180"/>
    </row>
    <row r="197" ht="25.5" customHeight="1">
      <c r="A197" s="86"/>
      <c r="B197" s="161">
        <v>42568.0</v>
      </c>
      <c r="C197" s="84" t="s">
        <v>63</v>
      </c>
      <c r="D197" s="82" t="s">
        <v>675</v>
      </c>
      <c r="E197" s="3"/>
      <c r="F197" s="3"/>
      <c r="G197" s="3"/>
      <c r="H197" s="3"/>
      <c r="I197" s="5"/>
      <c r="J197" s="180"/>
      <c r="K197" s="142" t="s">
        <v>676</v>
      </c>
      <c r="L197" s="142" t="s">
        <v>676</v>
      </c>
      <c r="M197" s="143"/>
      <c r="N197" s="180"/>
      <c r="O197" s="180"/>
    </row>
    <row r="198" ht="25.5" customHeight="1">
      <c r="A198" s="86"/>
      <c r="B198" s="161">
        <v>42597.0</v>
      </c>
      <c r="C198" s="84" t="s">
        <v>63</v>
      </c>
      <c r="D198" s="82" t="s">
        <v>677</v>
      </c>
      <c r="E198" s="3"/>
      <c r="F198" s="3"/>
      <c r="G198" s="3"/>
      <c r="H198" s="3"/>
      <c r="I198" s="5"/>
      <c r="J198" s="180"/>
      <c r="K198" s="142" t="s">
        <v>678</v>
      </c>
      <c r="L198" s="142" t="s">
        <v>678</v>
      </c>
      <c r="M198" s="143"/>
      <c r="N198" s="180"/>
      <c r="O198" s="180"/>
    </row>
    <row r="199" ht="25.5" customHeight="1">
      <c r="A199" s="86"/>
      <c r="B199" s="161">
        <v>42605.0</v>
      </c>
      <c r="C199" s="84" t="s">
        <v>63</v>
      </c>
      <c r="D199" s="82" t="s">
        <v>679</v>
      </c>
      <c r="E199" s="3"/>
      <c r="F199" s="3"/>
      <c r="G199" s="3"/>
      <c r="H199" s="3"/>
      <c r="I199" s="5"/>
      <c r="J199" s="180"/>
      <c r="K199" s="142" t="s">
        <v>680</v>
      </c>
      <c r="L199" s="142" t="s">
        <v>680</v>
      </c>
      <c r="M199" s="143"/>
      <c r="N199" s="180"/>
      <c r="O199" s="180"/>
    </row>
    <row r="200" ht="25.5" customHeight="1">
      <c r="A200" s="86"/>
      <c r="B200" s="161">
        <v>42694.0</v>
      </c>
      <c r="C200" s="84" t="s">
        <v>63</v>
      </c>
      <c r="D200" s="82" t="s">
        <v>681</v>
      </c>
      <c r="E200" s="3"/>
      <c r="F200" s="3"/>
      <c r="G200" s="3"/>
      <c r="H200" s="3"/>
      <c r="I200" s="5"/>
      <c r="J200" s="180"/>
      <c r="K200" s="142" t="s">
        <v>682</v>
      </c>
      <c r="L200" s="142" t="s">
        <v>682</v>
      </c>
      <c r="M200" s="143"/>
      <c r="N200" s="180"/>
      <c r="O200" s="180"/>
    </row>
    <row r="201" ht="25.5" customHeight="1">
      <c r="A201" s="86"/>
      <c r="B201" s="161">
        <v>42716.0</v>
      </c>
      <c r="C201" s="84" t="s">
        <v>63</v>
      </c>
      <c r="D201" s="82" t="s">
        <v>683</v>
      </c>
      <c r="E201" s="3"/>
      <c r="F201" s="3"/>
      <c r="G201" s="3"/>
      <c r="H201" s="3"/>
      <c r="I201" s="5"/>
      <c r="J201" s="180"/>
      <c r="K201" s="142" t="s">
        <v>684</v>
      </c>
      <c r="L201" s="142" t="s">
        <v>684</v>
      </c>
      <c r="M201" s="143"/>
      <c r="N201" s="180"/>
      <c r="O201" s="180"/>
    </row>
    <row r="202" ht="25.5" customHeight="1">
      <c r="A202" s="86"/>
      <c r="B202" s="161">
        <v>42843.0</v>
      </c>
      <c r="C202" s="84" t="s">
        <v>63</v>
      </c>
      <c r="D202" s="82" t="s">
        <v>685</v>
      </c>
      <c r="E202" s="3"/>
      <c r="F202" s="3"/>
      <c r="G202" s="3"/>
      <c r="H202" s="3"/>
      <c r="I202" s="5"/>
      <c r="J202" s="180"/>
      <c r="K202" s="142" t="s">
        <v>686</v>
      </c>
      <c r="L202" s="142" t="s">
        <v>686</v>
      </c>
      <c r="M202" s="143"/>
      <c r="N202" s="180"/>
      <c r="O202" s="180"/>
    </row>
    <row r="203" ht="25.5" customHeight="1">
      <c r="A203" s="86"/>
      <c r="B203" s="161">
        <v>42994.0</v>
      </c>
      <c r="C203" s="84" t="s">
        <v>63</v>
      </c>
      <c r="D203" s="82" t="s">
        <v>687</v>
      </c>
      <c r="E203" s="3"/>
      <c r="F203" s="3"/>
      <c r="G203" s="3"/>
      <c r="H203" s="3"/>
      <c r="I203" s="5"/>
      <c r="J203" s="180"/>
      <c r="K203" s="142" t="s">
        <v>688</v>
      </c>
      <c r="L203" s="142" t="s">
        <v>688</v>
      </c>
      <c r="M203" s="143"/>
      <c r="N203" s="180"/>
      <c r="O203" s="180"/>
    </row>
    <row r="204" ht="25.5" customHeight="1">
      <c r="A204" s="86"/>
      <c r="B204" s="161"/>
      <c r="C204" s="19"/>
      <c r="D204" s="274" t="str">
        <f t="array" ref="D204">"Matteo says: Feedback section is above. Don't write here please. Scroll up to row "&amp;max(if(B1:B92&lt;&gt;"",row(B1:B92)))+1</f>
        <v>Matteo says: Feedback section is above. Don't write here please. Scroll up to row 93</v>
      </c>
      <c r="E204" s="3"/>
      <c r="F204" s="3"/>
      <c r="G204" s="3"/>
      <c r="H204" s="3"/>
      <c r="I204" s="5"/>
      <c r="J204" s="180"/>
      <c r="K204" s="142" t="s">
        <v>689</v>
      </c>
      <c r="L204" s="142" t="s">
        <v>689</v>
      </c>
      <c r="M204" s="143"/>
      <c r="N204" s="180"/>
      <c r="O204" s="180"/>
    </row>
    <row r="205" ht="25.5" customHeight="1">
      <c r="A205" s="86"/>
      <c r="B205" s="161"/>
      <c r="C205" s="84"/>
      <c r="D205" s="82"/>
      <c r="E205" s="3"/>
      <c r="F205" s="3"/>
      <c r="G205" s="3"/>
      <c r="H205" s="3"/>
      <c r="I205" s="5"/>
      <c r="J205" s="180"/>
      <c r="K205" s="142" t="s">
        <v>298</v>
      </c>
      <c r="L205" s="142" t="s">
        <v>298</v>
      </c>
      <c r="M205" s="143"/>
      <c r="N205" s="180"/>
      <c r="O205" s="180"/>
    </row>
  </sheetData>
  <mergeCells count="204">
    <mergeCell ref="B1:J1"/>
    <mergeCell ref="K1:M1"/>
    <mergeCell ref="G3:I3"/>
    <mergeCell ref="D4:I4"/>
    <mergeCell ref="D5:I5"/>
    <mergeCell ref="D6:I6"/>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B33:B36"/>
    <mergeCell ref="C33:C36"/>
    <mergeCell ref="D33:I36"/>
    <mergeCell ref="D37:I37"/>
    <mergeCell ref="D38:I38"/>
    <mergeCell ref="D39:I39"/>
    <mergeCell ref="D40:I40"/>
    <mergeCell ref="D41:I41"/>
    <mergeCell ref="D42:I42"/>
    <mergeCell ref="D43:I43"/>
    <mergeCell ref="D44:I44"/>
    <mergeCell ref="D45:I45"/>
    <mergeCell ref="D46:I46"/>
    <mergeCell ref="D47:I47"/>
    <mergeCell ref="D48:I48"/>
    <mergeCell ref="D49:I49"/>
    <mergeCell ref="D50:I50"/>
    <mergeCell ref="D51:I51"/>
    <mergeCell ref="D52:I52"/>
    <mergeCell ref="D53:I53"/>
    <mergeCell ref="D54:I54"/>
    <mergeCell ref="D55:I55"/>
    <mergeCell ref="D56:I56"/>
    <mergeCell ref="D57:I57"/>
    <mergeCell ref="D58:I58"/>
    <mergeCell ref="D59:I59"/>
    <mergeCell ref="D60:I60"/>
    <mergeCell ref="D61:I61"/>
    <mergeCell ref="D62:I62"/>
    <mergeCell ref="D63:I63"/>
    <mergeCell ref="D64:I64"/>
    <mergeCell ref="D65:I65"/>
    <mergeCell ref="D66:I66"/>
    <mergeCell ref="D67:I67"/>
    <mergeCell ref="D68:I68"/>
    <mergeCell ref="D69:I69"/>
    <mergeCell ref="D70:I70"/>
    <mergeCell ref="D71:I71"/>
    <mergeCell ref="D72:I72"/>
    <mergeCell ref="D73:I73"/>
    <mergeCell ref="D74:I74"/>
    <mergeCell ref="D75:I75"/>
    <mergeCell ref="D76:I76"/>
    <mergeCell ref="D77:I77"/>
    <mergeCell ref="D78:I78"/>
    <mergeCell ref="D79:I79"/>
    <mergeCell ref="D80:I80"/>
    <mergeCell ref="D81:I81"/>
    <mergeCell ref="D82:I82"/>
    <mergeCell ref="D83:I83"/>
    <mergeCell ref="D84:I84"/>
    <mergeCell ref="D85:I85"/>
    <mergeCell ref="D86:I86"/>
    <mergeCell ref="D87:I87"/>
    <mergeCell ref="D88:I88"/>
    <mergeCell ref="D89:I89"/>
    <mergeCell ref="D90:I90"/>
    <mergeCell ref="D91:I91"/>
    <mergeCell ref="D92:I92"/>
    <mergeCell ref="D93:I93"/>
    <mergeCell ref="D94:I94"/>
    <mergeCell ref="D95:I95"/>
    <mergeCell ref="D96:I96"/>
    <mergeCell ref="D97:I97"/>
    <mergeCell ref="D98:I98"/>
    <mergeCell ref="D99:I99"/>
    <mergeCell ref="D149:I149"/>
    <mergeCell ref="D150:I150"/>
    <mergeCell ref="D151:I151"/>
    <mergeCell ref="D152:I152"/>
    <mergeCell ref="D153:I153"/>
    <mergeCell ref="D154:I154"/>
    <mergeCell ref="D155:I155"/>
    <mergeCell ref="D156:I156"/>
    <mergeCell ref="D157:I157"/>
    <mergeCell ref="D158:I158"/>
    <mergeCell ref="D159:I159"/>
    <mergeCell ref="D160:I160"/>
    <mergeCell ref="D161:I161"/>
    <mergeCell ref="D162:I162"/>
    <mergeCell ref="D163:I163"/>
    <mergeCell ref="D164:I164"/>
    <mergeCell ref="D165:I165"/>
    <mergeCell ref="D166:I166"/>
    <mergeCell ref="D167:I167"/>
    <mergeCell ref="D168:I168"/>
    <mergeCell ref="D169:I169"/>
    <mergeCell ref="D170:I170"/>
    <mergeCell ref="D171:I171"/>
    <mergeCell ref="D172:I172"/>
    <mergeCell ref="D173:I173"/>
    <mergeCell ref="D174:I174"/>
    <mergeCell ref="D175:I175"/>
    <mergeCell ref="D176:I176"/>
    <mergeCell ref="D177:I177"/>
    <mergeCell ref="D178:I178"/>
    <mergeCell ref="D179:I179"/>
    <mergeCell ref="D180:I180"/>
    <mergeCell ref="D181:I181"/>
    <mergeCell ref="D182:I182"/>
    <mergeCell ref="D183:I183"/>
    <mergeCell ref="D184:I184"/>
    <mergeCell ref="D185:I185"/>
    <mergeCell ref="D186:I186"/>
    <mergeCell ref="D187:I187"/>
    <mergeCell ref="D188:I188"/>
    <mergeCell ref="D189:I189"/>
    <mergeCell ref="D190:I190"/>
    <mergeCell ref="D198:I198"/>
    <mergeCell ref="D199:I199"/>
    <mergeCell ref="D200:I200"/>
    <mergeCell ref="D201:I201"/>
    <mergeCell ref="D202:I202"/>
    <mergeCell ref="D203:I203"/>
    <mergeCell ref="D204:I204"/>
    <mergeCell ref="D205:I205"/>
    <mergeCell ref="D191:I191"/>
    <mergeCell ref="D192:I192"/>
    <mergeCell ref="D193:I193"/>
    <mergeCell ref="D194:I194"/>
    <mergeCell ref="D195:I195"/>
    <mergeCell ref="D196:I196"/>
    <mergeCell ref="D197:I197"/>
    <mergeCell ref="D100:I100"/>
    <mergeCell ref="D101:I101"/>
    <mergeCell ref="D102:I102"/>
    <mergeCell ref="D103:I103"/>
    <mergeCell ref="D104:I104"/>
    <mergeCell ref="D105:I105"/>
    <mergeCell ref="D106:I106"/>
    <mergeCell ref="D107:I107"/>
    <mergeCell ref="D108:I108"/>
    <mergeCell ref="D109:I109"/>
    <mergeCell ref="D110:I110"/>
    <mergeCell ref="D111:I111"/>
    <mergeCell ref="D112:I112"/>
    <mergeCell ref="D113:I113"/>
    <mergeCell ref="D114:I114"/>
    <mergeCell ref="D115:I115"/>
    <mergeCell ref="D116:I116"/>
    <mergeCell ref="D117:I117"/>
    <mergeCell ref="D118:I118"/>
    <mergeCell ref="D119:I119"/>
    <mergeCell ref="D120:I120"/>
    <mergeCell ref="D121:I121"/>
    <mergeCell ref="D122:I122"/>
    <mergeCell ref="D123:I123"/>
    <mergeCell ref="D124:I124"/>
    <mergeCell ref="D125:I125"/>
    <mergeCell ref="D126:I126"/>
    <mergeCell ref="D127:I127"/>
    <mergeCell ref="D128:I128"/>
    <mergeCell ref="D129:I129"/>
    <mergeCell ref="D130:I130"/>
    <mergeCell ref="D131:I131"/>
    <mergeCell ref="D132:I132"/>
    <mergeCell ref="D133:I133"/>
    <mergeCell ref="D134:I134"/>
    <mergeCell ref="D135:I135"/>
    <mergeCell ref="D136:I136"/>
    <mergeCell ref="D137:I137"/>
    <mergeCell ref="D138:I138"/>
    <mergeCell ref="D139:I139"/>
    <mergeCell ref="D140:I140"/>
    <mergeCell ref="D141:I141"/>
    <mergeCell ref="D142:I142"/>
    <mergeCell ref="D143:I143"/>
    <mergeCell ref="D144:I144"/>
    <mergeCell ref="D145:I145"/>
    <mergeCell ref="D146:I146"/>
    <mergeCell ref="D147:I147"/>
    <mergeCell ref="D148:I148"/>
  </mergeCells>
  <conditionalFormatting sqref="D147">
    <cfRule type="expression" dxfId="1" priority="1">
      <formula>$AX147="Data changed"</formula>
    </cfRule>
  </conditionalFormatting>
  <conditionalFormatting sqref="D147">
    <cfRule type="expression" dxfId="1" priority="2">
      <formula>$AX147="Data changed"</formula>
    </cfRule>
  </conditionalFormatting>
  <conditionalFormatting sqref="M3:M205">
    <cfRule type="notContainsBlanks" dxfId="0" priority="3">
      <formula>LEN(TRIM(M3))&gt;0</formula>
    </cfRule>
  </conditionalFormatting>
  <dataValidations>
    <dataValidation type="custom" allowBlank="1" showInputMessage="1" prompt="Double click cell to enter a date" sqref="A6:B33 A34:A36 A37:B180 A182:B205">
      <formula1>OR(NOT(ISERROR(DATEVALUE(A6))), AND(ISNUMBER(A6), LEFT(CELL("format", A6))="D"))</formula1>
    </dataValidation>
  </dataValidations>
  <hyperlinks>
    <hyperlink r:id="rId1" ref="D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5D690"/>
    <outlinePr summaryBelow="0" summaryRight="0"/>
  </sheetPr>
  <sheetViews>
    <sheetView showGridLines="0" workbookViewId="0"/>
  </sheetViews>
  <sheetFormatPr customHeight="1" defaultColWidth="14.43" defaultRowHeight="15.75"/>
  <cols>
    <col customWidth="1" min="1" max="1" width="5.86"/>
    <col customWidth="1" min="2" max="2" width="11.57"/>
    <col customWidth="1" min="3" max="3" width="81.14"/>
    <col customWidth="1" min="4" max="4" width="5.86"/>
  </cols>
  <sheetData>
    <row r="1">
      <c r="A1" s="221"/>
      <c r="B1" s="222"/>
      <c r="C1" s="223"/>
      <c r="D1" s="221"/>
    </row>
    <row r="2">
      <c r="A2" s="224"/>
      <c r="B2" s="225"/>
      <c r="C2" s="226" t="s">
        <v>382</v>
      </c>
      <c r="D2" s="224"/>
    </row>
    <row r="3" ht="21.75" customHeight="1">
      <c r="A3" s="221"/>
      <c r="B3" s="227" t="s">
        <v>385</v>
      </c>
      <c r="C3" s="228" t="s">
        <v>388</v>
      </c>
      <c r="D3" s="221"/>
    </row>
    <row r="4" ht="21.75" customHeight="1">
      <c r="A4" s="221"/>
      <c r="B4" s="227" t="s">
        <v>390</v>
      </c>
      <c r="C4" s="228" t="s">
        <v>391</v>
      </c>
      <c r="D4" s="221"/>
    </row>
    <row r="5">
      <c r="A5" s="221"/>
      <c r="B5" s="229"/>
      <c r="C5" s="230" t="s">
        <v>393</v>
      </c>
      <c r="D5" s="221"/>
    </row>
    <row r="6">
      <c r="A6" s="221"/>
      <c r="B6" s="231" t="s">
        <v>403</v>
      </c>
      <c r="C6" s="228" t="s">
        <v>406</v>
      </c>
      <c r="D6" s="221"/>
    </row>
    <row r="7">
      <c r="A7" s="221"/>
      <c r="B7" s="222"/>
      <c r="C7" s="223"/>
      <c r="D7" s="221"/>
    </row>
    <row r="8">
      <c r="A8" s="221"/>
      <c r="B8" s="222"/>
      <c r="C8" s="223"/>
      <c r="D8" s="221"/>
    </row>
    <row r="9">
      <c r="A9" s="224"/>
      <c r="B9" s="225"/>
      <c r="C9" s="233" t="s">
        <v>408</v>
      </c>
      <c r="D9" s="224"/>
    </row>
    <row r="10">
      <c r="A10" s="221"/>
      <c r="B10" s="222"/>
      <c r="C10" s="228" t="s">
        <v>412</v>
      </c>
      <c r="D10" s="221"/>
    </row>
    <row r="11">
      <c r="A11" s="221"/>
      <c r="B11" s="222"/>
      <c r="C11" s="234"/>
      <c r="D11" s="221"/>
    </row>
    <row r="12">
      <c r="A12" s="221"/>
      <c r="B12" s="222"/>
      <c r="C12" s="234"/>
      <c r="D12" s="221"/>
    </row>
    <row r="13">
      <c r="A13" s="224"/>
      <c r="B13" s="225"/>
      <c r="C13" s="233" t="s">
        <v>416</v>
      </c>
      <c r="D13" s="224"/>
    </row>
    <row r="14">
      <c r="A14" s="221"/>
      <c r="B14" s="222"/>
      <c r="C14" s="235" t="s">
        <v>417</v>
      </c>
      <c r="D14" s="221"/>
    </row>
    <row r="15">
      <c r="A15" s="221"/>
      <c r="B15" s="222"/>
      <c r="C15" s="236" t="s">
        <v>420</v>
      </c>
      <c r="D15" s="221"/>
    </row>
    <row r="16">
      <c r="A16" s="221"/>
      <c r="B16" s="222"/>
      <c r="C16" s="237" t="s">
        <v>428</v>
      </c>
      <c r="D16" s="221"/>
    </row>
    <row r="17">
      <c r="A17" s="221"/>
      <c r="B17" s="222"/>
      <c r="C17" s="238" t="str">
        <f>HYPERLINK("https://teslamotorsclub.com/tmc/threads/maxrange.35978/","TeslaMotorsClub Forum Thread (you can use @Troy in your forum message)")</f>
        <v>TeslaMotorsClub Forum Thread (you can use @Troy in your forum message)</v>
      </c>
      <c r="D17" s="221"/>
    </row>
    <row r="18">
      <c r="A18" s="221"/>
      <c r="B18" s="222"/>
      <c r="C18" s="228"/>
      <c r="D18" s="221"/>
    </row>
    <row r="19">
      <c r="A19" s="221"/>
      <c r="B19" s="222"/>
      <c r="C19" s="228" t="s">
        <v>439</v>
      </c>
      <c r="D19" s="221"/>
    </row>
    <row r="20">
      <c r="A20" s="221"/>
      <c r="B20" s="222"/>
      <c r="C20" s="223"/>
      <c r="D20" s="221"/>
    </row>
    <row r="21">
      <c r="A21" s="221"/>
      <c r="B21" s="222"/>
      <c r="C21" s="223"/>
      <c r="D21" s="221"/>
    </row>
  </sheetData>
  <hyperlinks>
    <hyperlink r:id="rId1" ref="C5"/>
    <hyperlink r:id="rId2" ref="C15"/>
    <hyperlink r:id="rId3" ref="C1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14.43"/>
    <col customWidth="1" min="8" max="8" width="15.43"/>
    <col customWidth="1" min="9" max="9" width="15.71"/>
    <col customWidth="1" min="11" max="11" width="21.29"/>
    <col customWidth="1" min="12" max="12" width="16.71"/>
    <col customWidth="1" min="13" max="13" width="18.29"/>
    <col customWidth="1" min="16" max="16" width="15.43"/>
  </cols>
  <sheetData>
    <row r="1">
      <c r="A1" s="240" t="str">
        <f>IFERROR(__xludf.DUMMYFUNCTION("{""Timestamp"",
""Username"",
""Region"",
""Range unit"",
""Manufacture date"",
""Vehicle model"",
""Supercharge frequency"",
""100% charge frequency"",
""Frequency of 5% or less range"",
""Daily charge level ?"",
""Range at 100% when car was new? [mi or "&amp;"km]"",
""Rated range [Wh/mi or Wh/km]"",
""Lifetime average [Wh/mi or Wh/km]?"",
""If battery was replaced, what was mileage? [mi or km]"",
""If battery was replaced, how did range change?"",
""Date you charged to 100%"",
""Your mileage [mi or km]"",
""Yo"&amp;"ur range at 100%"";
query({
'Preform entries'!A2:R1600;
'Form responses'!A2:O1600,'Form responses'!P2:R1600;
'Form responses'!A2:O1600,'Form responses'!S2:U1600;
'Form responses'!A2:O1600,'Form responses'!V2:X1600;
'Form responses'!A2:O1600,'Form response"&amp;"s'!Z2:AB1600;
'Form responses'!A2:O1600,'Form responses'!AC2:AE1600;
'Form responses'!A2:O1600,'Form responses'!AF2:AH1600;
'Form responses'!A2:O1600,'Form responses'!AI2:AK1600;
'Form responses'!A2:O1600,'Form responses'!AM2:AO1600;
'Form responses'!A2:O"&amp;"1600,'Form responses'!AP2:AR1600;
'Form responses'!A2:O1600,'Form responses'!AS2:AU1600;
'Form responses'!A2:O1600,'Form responses'!AV2:AX1600;
'Form responses'!A2:O1600,'Form responses'!AZ2:BB1600;
'Form responses'!A2:O1600,'Form responses'!BC2:BE1600;
'"&amp;"Form responses'!A2:O1600,'Form responses'!BF2:BH1600;
'Form responses'!A2:O1600,'Form responses'!BI2:BK1600
},""select * where Col16 is not null and Col17 is not null and Col18 is not null order by Col2"")}"),"Timestamp")</f>
        <v>Timestamp</v>
      </c>
      <c r="B1" s="241" t="str">
        <f>IFERROR(__xludf.DUMMYFUNCTION("""COMPUTED_VALUE"""),"Username")</f>
        <v>Username</v>
      </c>
      <c r="C1" s="240" t="str">
        <f>IFERROR(__xludf.DUMMYFUNCTION("""COMPUTED_VALUE"""),"Region")</f>
        <v>Region</v>
      </c>
      <c r="D1" s="240" t="str">
        <f>IFERROR(__xludf.DUMMYFUNCTION("""COMPUTED_VALUE"""),"Range unit")</f>
        <v>Range unit</v>
      </c>
      <c r="E1" s="242" t="str">
        <f>IFERROR(__xludf.DUMMYFUNCTION("""COMPUTED_VALUE"""),"Manufacture date")</f>
        <v>Manufacture date</v>
      </c>
      <c r="F1" s="240" t="str">
        <f>IFERROR(__xludf.DUMMYFUNCTION("""COMPUTED_VALUE"""),"Vehicle model")</f>
        <v>Vehicle model</v>
      </c>
      <c r="G1" s="240" t="str">
        <f>IFERROR(__xludf.DUMMYFUNCTION("""COMPUTED_VALUE"""),"Supercharge frequency")</f>
        <v>Supercharge frequency</v>
      </c>
      <c r="H1" s="240" t="str">
        <f>IFERROR(__xludf.DUMMYFUNCTION("""COMPUTED_VALUE"""),"100% charge frequency")</f>
        <v>100% charge frequency</v>
      </c>
      <c r="I1" s="240" t="str">
        <f>IFERROR(__xludf.DUMMYFUNCTION("""COMPUTED_VALUE"""),"Frequency of 5% or less range")</f>
        <v>Frequency of 5% or less range</v>
      </c>
      <c r="J1" s="240" t="str">
        <f>IFERROR(__xludf.DUMMYFUNCTION("""COMPUTED_VALUE"""),"Daily charge level ?")</f>
        <v>Daily charge level ?</v>
      </c>
      <c r="K1" s="240" t="str">
        <f>IFERROR(__xludf.DUMMYFUNCTION("""COMPUTED_VALUE"""),"Range at 100% when car was new? [mi or km]")</f>
        <v>Range at 100% when car was new? [mi or km]</v>
      </c>
      <c r="L1" s="240" t="str">
        <f>IFERROR(__xludf.DUMMYFUNCTION("""COMPUTED_VALUE"""),"Rated range [Wh/mi or Wh/km]")</f>
        <v>Rated range [Wh/mi or Wh/km]</v>
      </c>
      <c r="M1" s="243" t="str">
        <f>IFERROR(__xludf.DUMMYFUNCTION("""COMPUTED_VALUE"""),"Lifetime average [Wh/mi or Wh/km]?")</f>
        <v>Lifetime average [Wh/mi or Wh/km]?</v>
      </c>
      <c r="N1" s="244" t="str">
        <f>IFERROR(__xludf.DUMMYFUNCTION("""COMPUTED_VALUE"""),"If battery was replaced, what was mileage? [mi or km]")</f>
        <v>If battery was replaced, what was mileage? [mi or km]</v>
      </c>
      <c r="O1" s="245" t="str">
        <f>IFERROR(__xludf.DUMMYFUNCTION("""COMPUTED_VALUE"""),"If battery was replaced, how did range change?")</f>
        <v>If battery was replaced, how did range change?</v>
      </c>
      <c r="P1" s="242" t="str">
        <f>IFERROR(__xludf.DUMMYFUNCTION("""COMPUTED_VALUE"""),"Date you charged to 100%")</f>
        <v>Date you charged to 100%</v>
      </c>
      <c r="Q1" s="240" t="str">
        <f>IFERROR(__xludf.DUMMYFUNCTION("""COMPUTED_VALUE"""),"Your mileage [mi or km]")</f>
        <v>Your mileage [mi or km]</v>
      </c>
      <c r="R1" s="243" t="str">
        <f>IFERROR(__xludf.DUMMYFUNCTION("""COMPUTED_VALUE"""),"Your range at 100%")</f>
        <v>Your range at 100%</v>
      </c>
      <c r="S1" s="246" t="str">
        <f t="array" ref="S1:S1600">{"100% range for this trim level";iferror(vlookup(F2:F1600&amp;C2:C1600,Administrative!$M$2:$N1600,2,0))}</f>
        <v>100% range for this trim level</v>
      </c>
      <c r="T1" s="246" t="str">
        <f t="array" ref="T1:T1600">{"Remaining battery capacity";if((R2:R1600&lt;&gt;"")*(S2:S1600&lt;&gt;""),R2:R1600/S2:S1600,)}</f>
        <v>Remaining battery capacity</v>
      </c>
      <c r="U1" s="246" t="str">
        <f t="array" ref="U1:U1600">{"Mileage [mi]";if(left(D2:D1600,2)="km",round(convert(Q2:Q1600,"km","mi"),0),Q2:Q1600)}</f>
        <v>Mileage [mi]</v>
      </c>
      <c r="V1" s="246" t="str">
        <f t="array" ref="V1:V1600">{"Mileage [km]";if(left(D2:D1600,2)="mi",round(convert(Q2:Q1600,"mi","km"),0),Q2:Q1600)}</f>
        <v>Mileage [km]</v>
      </c>
      <c r="W1" s="246" t="str">
        <f t="array" ref="W1:W1600">{"Mileage [mi/km]";if(left(iferror(vlookup(Charts!$E$1,{B:B,D:D},2,0)),2)="km",V2:V1600,U2:U1600)}</f>
        <v>Mileage [mi/km]</v>
      </c>
      <c r="X1" s="248" t="str">
        <f>IFERROR(__xludf.DUMMYFUNCTION("{""Select Username"";unique(B2:B1600)}"),"Select Username")</f>
        <v>Select Username</v>
      </c>
      <c r="Y1" s="250" t="str">
        <f t="array" ref="Y1:Y1600">{Charts!$E$1;if(B2:B1600="",,if(B2:B1600=Charts!$E$1,T2:T1600,-0.01))}</f>
        <v/>
      </c>
      <c r="Z1" s="252" t="str">
        <f t="array" ref="Z1:Z1600">{"Trendline";if(V2:V1600="",,Administrative!$B$5-V2:V1600/(Administrative!$B$6*100)+Administrative!$B$7*exp(-V2:V1600/Administrative!$B$8))}</f>
        <v>Trendline</v>
      </c>
      <c r="AA1" s="253"/>
      <c r="AB1" s="254"/>
      <c r="AC1" s="254"/>
      <c r="AD1" s="254"/>
      <c r="AE1" s="254"/>
    </row>
    <row r="2">
      <c r="A2" s="256">
        <f>IFERROR(__xludf.DUMMYFUNCTION("""COMPUTED_VALUE"""),42165.13541666667)</f>
        <v>42165.13542</v>
      </c>
      <c r="B2" s="257" t="str">
        <f>IFERROR(__xludf.DUMMYFUNCTION("""COMPUTED_VALUE"""),"220v")</f>
        <v>220v</v>
      </c>
      <c r="C2" s="258" t="str">
        <f>IFERROR(__xludf.DUMMYFUNCTION("""COMPUTED_VALUE"""),"Europe (excluding UK) &amp; Asia Pacific")</f>
        <v>Europe (excluding UK) &amp; Asia Pacific</v>
      </c>
      <c r="D2" s="258" t="str">
        <f>IFERROR(__xludf.DUMMYFUNCTION("""COMPUTED_VALUE"""),"km. My car displays range in kilometres and I will enter all range numbers in kilometres.")</f>
        <v>km. My car displays range in kilometres and I will enter all range numbers in kilometres.</v>
      </c>
      <c r="E2" s="259">
        <f>IFERROR(__xludf.DUMMYFUNCTION("""COMPUTED_VALUE"""),42108.0)</f>
        <v>42108</v>
      </c>
      <c r="F2" s="258" t="str">
        <f>IFERROR(__xludf.DUMMYFUNCTION("""COMPUTED_VALUE"""),"Model S 85")</f>
        <v>Model S 85</v>
      </c>
      <c r="G2" s="258" t="str">
        <f>IFERROR(__xludf.DUMMYFUNCTION("""COMPUTED_VALUE"""),"Never")</f>
        <v>Never</v>
      </c>
      <c r="H2" s="258" t="str">
        <f>IFERROR(__xludf.DUMMYFUNCTION("""COMPUTED_VALUE"""),"Twice a month")</f>
        <v>Twice a month</v>
      </c>
      <c r="I2" s="258" t="str">
        <f>IFERROR(__xludf.DUMMYFUNCTION("""COMPUTED_VALUE"""),"Never")</f>
        <v>Never</v>
      </c>
      <c r="J2" s="260" t="str">
        <f>IFERROR(__xludf.DUMMYFUNCTION("""COMPUTED_VALUE"""),"")</f>
        <v/>
      </c>
      <c r="K2" s="258" t="str">
        <f>IFERROR(__xludf.DUMMYFUNCTION("""COMPUTED_VALUE"""),"")</f>
        <v/>
      </c>
      <c r="L2" s="258" t="str">
        <f>IFERROR(__xludf.DUMMYFUNCTION("""COMPUTED_VALUE"""),"")</f>
        <v/>
      </c>
      <c r="M2" s="261">
        <f>IFERROR(__xludf.DUMMYFUNCTION("""COMPUTED_VALUE"""),225.0)</f>
        <v>225</v>
      </c>
      <c r="N2" s="262" t="str">
        <f>IFERROR(__xludf.DUMMYFUNCTION("""COMPUTED_VALUE"""),"")</f>
        <v/>
      </c>
      <c r="O2" s="259" t="str">
        <f>IFERROR(__xludf.DUMMYFUNCTION("""COMPUTED_VALUE"""),"")</f>
        <v/>
      </c>
      <c r="P2" s="259">
        <f>IFERROR(__xludf.DUMMYFUNCTION("""COMPUTED_VALUE"""),42165.0)</f>
        <v>42165</v>
      </c>
      <c r="Q2" s="258">
        <f>IFERROR(__xludf.DUMMYFUNCTION("""COMPUTED_VALUE"""),3400.0)</f>
        <v>3400</v>
      </c>
      <c r="R2" s="261">
        <f>IFERROR(__xludf.DUMMYFUNCTION("""COMPUTED_VALUE"""),401.0)</f>
        <v>401</v>
      </c>
      <c r="S2" s="258">
        <v>395.0</v>
      </c>
      <c r="T2" s="263">
        <v>1.0151898734177216</v>
      </c>
      <c r="U2" s="264">
        <v>2113.0</v>
      </c>
      <c r="V2" s="265">
        <v>3400.0</v>
      </c>
      <c r="W2" s="264">
        <v>2113.0</v>
      </c>
      <c r="X2" s="266" t="str">
        <f>IFERROR(__xludf.DUMMYFUNCTION("""COMPUTED_VALUE"""),"220v")</f>
        <v>220v</v>
      </c>
      <c r="Y2" s="267">
        <v>-0.01</v>
      </c>
      <c r="Z2" s="267">
        <v>0.9937558998955323</v>
      </c>
      <c r="AA2" s="269"/>
      <c r="AB2" s="270"/>
      <c r="AC2" s="270"/>
      <c r="AD2" s="270"/>
      <c r="AE2" s="270"/>
    </row>
    <row r="3">
      <c r="A3" s="256">
        <f>IFERROR(__xludf.DUMMYFUNCTION("""COMPUTED_VALUE"""),42728.89375)</f>
        <v>42728.89375</v>
      </c>
      <c r="B3" s="257" t="str">
        <f>IFERROR(__xludf.DUMMYFUNCTION("""COMPUTED_VALUE"""),"4dme")</f>
        <v>4dme</v>
      </c>
      <c r="C3" s="258" t="str">
        <f>IFERROR(__xludf.DUMMYFUNCTION("""COMPUTED_VALUE"""),"UK")</f>
        <v>UK</v>
      </c>
      <c r="D3" s="258" t="str">
        <f>IFERROR(__xludf.DUMMYFUNCTION("""COMPUTED_VALUE"""),"mi. My car displays range in miles and I will enter all range numbers in miles.")</f>
        <v>mi. My car displays range in miles and I will enter all range numbers in miles.</v>
      </c>
      <c r="E3" s="259">
        <f>IFERROR(__xludf.DUMMYFUNCTION("""COMPUTED_VALUE"""),42541.0)</f>
        <v>42541</v>
      </c>
      <c r="F3" s="258" t="str">
        <f>IFERROR(__xludf.DUMMYFUNCTION("""COMPUTED_VALUE"""),"Model S 85")</f>
        <v>Model S 85</v>
      </c>
      <c r="G3" s="258" t="str">
        <f>IFERROR(__xludf.DUMMYFUNCTION("""COMPUTED_VALUE"""),"Monthly")</f>
        <v>Monthly</v>
      </c>
      <c r="H3" s="258" t="str">
        <f>IFERROR(__xludf.DUMMYFUNCTION("""COMPUTED_VALUE"""),"A few times a year")</f>
        <v>A few times a year</v>
      </c>
      <c r="I3" s="258" t="str">
        <f>IFERROR(__xludf.DUMMYFUNCTION("""COMPUTED_VALUE"""),"Never")</f>
        <v>Never</v>
      </c>
      <c r="J3" s="260">
        <f>IFERROR(__xludf.DUMMYFUNCTION("""COMPUTED_VALUE"""),0.9)</f>
        <v>0.9</v>
      </c>
      <c r="K3" s="258" t="str">
        <f>IFERROR(__xludf.DUMMYFUNCTION("""COMPUTED_VALUE"""),"")</f>
        <v/>
      </c>
      <c r="L3" s="258" t="str">
        <f>IFERROR(__xludf.DUMMYFUNCTION("""COMPUTED_VALUE"""),"")</f>
        <v/>
      </c>
      <c r="M3" s="261">
        <f>IFERROR(__xludf.DUMMYFUNCTION("""COMPUTED_VALUE"""),318.0)</f>
        <v>318</v>
      </c>
      <c r="N3" s="262" t="str">
        <f>IFERROR(__xludf.DUMMYFUNCTION("""COMPUTED_VALUE"""),"")</f>
        <v/>
      </c>
      <c r="O3" s="259" t="str">
        <f>IFERROR(__xludf.DUMMYFUNCTION("""COMPUTED_VALUE"""),"")</f>
        <v/>
      </c>
      <c r="P3" s="259">
        <f>IFERROR(__xludf.DUMMYFUNCTION("""COMPUTED_VALUE"""),42728.0)</f>
        <v>42728</v>
      </c>
      <c r="Q3" s="258">
        <f>IFERROR(__xludf.DUMMYFUNCTION("""COMPUTED_VALUE"""),16800.0)</f>
        <v>16800</v>
      </c>
      <c r="R3" s="261">
        <f>IFERROR(__xludf.DUMMYFUNCTION("""COMPUTED_VALUE"""),242.0)</f>
        <v>242</v>
      </c>
      <c r="S3" s="258">
        <v>245.0</v>
      </c>
      <c r="T3" s="263">
        <v>0.9877551020408163</v>
      </c>
      <c r="U3" s="264">
        <v>16800.0</v>
      </c>
      <c r="V3" s="265">
        <v>27037.0</v>
      </c>
      <c r="W3" s="264">
        <v>16800.0</v>
      </c>
      <c r="X3" s="266" t="str">
        <f>IFERROR(__xludf.DUMMYFUNCTION("""COMPUTED_VALUE"""),"4dme")</f>
        <v>4dme</v>
      </c>
      <c r="Y3" s="267">
        <v>-0.01</v>
      </c>
      <c r="Z3" s="267">
        <v>0.9696443542630547</v>
      </c>
      <c r="AA3" s="269"/>
      <c r="AB3" s="270"/>
      <c r="AC3" s="270"/>
      <c r="AD3" s="270"/>
      <c r="AE3" s="270"/>
    </row>
    <row r="4">
      <c r="A4" s="256">
        <f>IFERROR(__xludf.DUMMYFUNCTION("""COMPUTED_VALUE"""),43118.675)</f>
        <v>43118.675</v>
      </c>
      <c r="B4" s="257" t="str">
        <f>IFERROR(__xludf.DUMMYFUNCTION("""COMPUTED_VALUE"""),"600sl")</f>
        <v>600sl</v>
      </c>
      <c r="C4" s="258" t="str">
        <f>IFERROR(__xludf.DUMMYFUNCTION("""COMPUTED_VALUE"""),"Europe (excluding UK) &amp; Asia Pacific")</f>
        <v>Europe (excluding UK) &amp; Asia Pacific</v>
      </c>
      <c r="D4" s="258" t="str">
        <f>IFERROR(__xludf.DUMMYFUNCTION("""COMPUTED_VALUE"""),"km. My car displays range in kilometres and I will enter all range numbers in kilometres.")</f>
        <v>km. My car displays range in kilometres and I will enter all range numbers in kilometres.</v>
      </c>
      <c r="E4" s="259">
        <f>IFERROR(__xludf.DUMMYFUNCTION("""COMPUTED_VALUE"""),42604.0)</f>
        <v>42604</v>
      </c>
      <c r="F4" s="258" t="str">
        <f>IFERROR(__xludf.DUMMYFUNCTION("""COMPUTED_VALUE"""),"Model S 90D")</f>
        <v>Model S 90D</v>
      </c>
      <c r="G4" s="258" t="str">
        <f>IFERROR(__xludf.DUMMYFUNCTION("""COMPUTED_VALUE"""),"Monthly")</f>
        <v>Monthly</v>
      </c>
      <c r="H4" s="258" t="str">
        <f>IFERROR(__xludf.DUMMYFUNCTION("""COMPUTED_VALUE"""),"A few times a year")</f>
        <v>A few times a year</v>
      </c>
      <c r="I4" s="258" t="str">
        <f>IFERROR(__xludf.DUMMYFUNCTION("""COMPUTED_VALUE"""),"A few times a year")</f>
        <v>A few times a year</v>
      </c>
      <c r="J4" s="260">
        <f>IFERROR(__xludf.DUMMYFUNCTION("""COMPUTED_VALUE"""),0.5)</f>
        <v>0.5</v>
      </c>
      <c r="K4" s="258" t="str">
        <f>IFERROR(__xludf.DUMMYFUNCTION("""COMPUTED_VALUE"""),"")</f>
        <v/>
      </c>
      <c r="L4" s="258" t="str">
        <f>IFERROR(__xludf.DUMMYFUNCTION("""COMPUTED_VALUE"""),"")</f>
        <v/>
      </c>
      <c r="M4" s="261">
        <f>IFERROR(__xludf.DUMMYFUNCTION("""COMPUTED_VALUE"""),210.0)</f>
        <v>210</v>
      </c>
      <c r="N4" s="262" t="str">
        <f>IFERROR(__xludf.DUMMYFUNCTION("""COMPUTED_VALUE"""),"")</f>
        <v/>
      </c>
      <c r="O4" s="259" t="str">
        <f>IFERROR(__xludf.DUMMYFUNCTION("""COMPUTED_VALUE"""),"")</f>
        <v/>
      </c>
      <c r="P4" s="259">
        <f>IFERROR(__xludf.DUMMYFUNCTION("""COMPUTED_VALUE"""),43118.0)</f>
        <v>43118</v>
      </c>
      <c r="Q4" s="258">
        <f>IFERROR(__xludf.DUMMYFUNCTION("""COMPUTED_VALUE"""),25500.0)</f>
        <v>25500</v>
      </c>
      <c r="R4" s="261">
        <f>IFERROR(__xludf.DUMMYFUNCTION("""COMPUTED_VALUE"""),431.0)</f>
        <v>431</v>
      </c>
      <c r="S4" s="258">
        <v>447.0</v>
      </c>
      <c r="T4" s="263">
        <v>0.9642058165548099</v>
      </c>
      <c r="U4" s="264">
        <v>15845.0</v>
      </c>
      <c r="V4" s="265">
        <v>25500.0</v>
      </c>
      <c r="W4" s="264">
        <v>15845.0</v>
      </c>
      <c r="X4" s="266" t="str">
        <f>IFERROR(__xludf.DUMMYFUNCTION("""COMPUTED_VALUE"""),"600sl")</f>
        <v>600sl</v>
      </c>
      <c r="Y4" s="267">
        <v>-0.01</v>
      </c>
      <c r="Z4" s="267">
        <v>0.9705896996155151</v>
      </c>
      <c r="AA4" s="269"/>
      <c r="AB4" s="270"/>
      <c r="AC4" s="270"/>
      <c r="AD4" s="270"/>
      <c r="AE4" s="270"/>
    </row>
    <row r="5">
      <c r="A5" s="256">
        <f>IFERROR(__xludf.DUMMYFUNCTION("""COMPUTED_VALUE"""),43841.46127678241)</f>
        <v>43841.46128</v>
      </c>
      <c r="B5" s="257" t="str">
        <f>IFERROR(__xludf.DUMMYFUNCTION("""COMPUTED_VALUE"""),"ABC123")</f>
        <v>ABC123</v>
      </c>
      <c r="C5" s="258" t="str">
        <f>IFERROR(__xludf.DUMMYFUNCTION("""COMPUTED_VALUE"""),"Europe (excluding UK) &amp; Asia Pacific")</f>
        <v>Europe (excluding UK) &amp; Asia Pacific</v>
      </c>
      <c r="D5" s="258" t="str">
        <f>IFERROR(__xludf.DUMMYFUNCTION("""COMPUTED_VALUE"""),"km. My car displays range in kilometres and I will enter all range numbers in kilometres.")</f>
        <v>km. My car displays range in kilometres and I will enter all range numbers in kilometres.</v>
      </c>
      <c r="E5" s="259">
        <f>IFERROR(__xludf.DUMMYFUNCTION("""COMPUTED_VALUE"""),42494.0)</f>
        <v>42494</v>
      </c>
      <c r="F5" s="258" t="str">
        <f>IFERROR(__xludf.DUMMYFUNCTION("""COMPUTED_VALUE"""),"Model S 90D")</f>
        <v>Model S 90D</v>
      </c>
      <c r="G5" s="258" t="str">
        <f>IFERROR(__xludf.DUMMYFUNCTION("""COMPUTED_VALUE"""),"A few times a year")</f>
        <v>A few times a year</v>
      </c>
      <c r="H5" s="258" t="str">
        <f>IFERROR(__xludf.DUMMYFUNCTION("""COMPUTED_VALUE"""),"A few times a year")</f>
        <v>A few times a year</v>
      </c>
      <c r="I5" s="258" t="str">
        <f>IFERROR(__xludf.DUMMYFUNCTION("""COMPUTED_VALUE"""),"Once or twice a year")</f>
        <v>Once or twice a year</v>
      </c>
      <c r="J5" s="260">
        <f>IFERROR(__xludf.DUMMYFUNCTION("""COMPUTED_VALUE"""),0.8)</f>
        <v>0.8</v>
      </c>
      <c r="K5" s="258" t="str">
        <f>IFERROR(__xludf.DUMMYFUNCTION("""COMPUTED_VALUE"""),"")</f>
        <v/>
      </c>
      <c r="L5" s="258" t="str">
        <f>IFERROR(__xludf.DUMMYFUNCTION("""COMPUTED_VALUE"""),"")</f>
        <v/>
      </c>
      <c r="M5" s="261" t="str">
        <f>IFERROR(__xludf.DUMMYFUNCTION("""COMPUTED_VALUE"""),"")</f>
        <v/>
      </c>
      <c r="N5" s="262" t="str">
        <f>IFERROR(__xludf.DUMMYFUNCTION("""COMPUTED_VALUE"""),"")</f>
        <v/>
      </c>
      <c r="O5" s="259" t="str">
        <f>IFERROR(__xludf.DUMMYFUNCTION("""COMPUTED_VALUE"""),"I don't know")</f>
        <v>I don't know</v>
      </c>
      <c r="P5" s="259">
        <f>IFERROR(__xludf.DUMMYFUNCTION("""COMPUTED_VALUE"""),43841.0)</f>
        <v>43841</v>
      </c>
      <c r="Q5" s="258">
        <f>IFERROR(__xludf.DUMMYFUNCTION("""COMPUTED_VALUE"""),423.0)</f>
        <v>423</v>
      </c>
      <c r="R5" s="261">
        <f>IFERROR(__xludf.DUMMYFUNCTION("""COMPUTED_VALUE"""),423.0)</f>
        <v>423</v>
      </c>
      <c r="S5" s="258">
        <v>447.0</v>
      </c>
      <c r="T5" s="263">
        <v>0.9463087248322147</v>
      </c>
      <c r="U5" s="264">
        <v>263.0</v>
      </c>
      <c r="V5" s="265">
        <v>423.0</v>
      </c>
      <c r="W5" s="264">
        <v>263.0</v>
      </c>
      <c r="X5" s="266" t="str">
        <f>IFERROR(__xludf.DUMMYFUNCTION("""COMPUTED_VALUE"""),"ABC123")</f>
        <v>ABC123</v>
      </c>
      <c r="Y5" s="267">
        <v>-0.01</v>
      </c>
      <c r="Z5" s="267">
        <v>0.9991629427594586</v>
      </c>
      <c r="AA5" s="269"/>
      <c r="AB5" s="270"/>
      <c r="AC5" s="270"/>
      <c r="AD5" s="270"/>
      <c r="AE5" s="270"/>
    </row>
    <row r="6">
      <c r="A6" s="256">
        <f>IFERROR(__xludf.DUMMYFUNCTION("""COMPUTED_VALUE"""),42970.92361111111)</f>
        <v>42970.92361</v>
      </c>
      <c r="B6" s="257" t="str">
        <f>IFERROR(__xludf.DUMMYFUNCTION("""COMPUTED_VALUE"""),"AC1K")</f>
        <v>AC1K</v>
      </c>
      <c r="C6" s="258" t="str">
        <f>IFERROR(__xludf.DUMMYFUNCTION("""COMPUTED_VALUE"""),"Canada")</f>
        <v>Canada</v>
      </c>
      <c r="D6" s="258" t="str">
        <f>IFERROR(__xludf.DUMMYFUNCTION("""COMPUTED_VALUE"""),"km. My car displays range in kilometres and I will enter all range numbers in kilometres.")</f>
        <v>km. My car displays range in kilometres and I will enter all range numbers in kilometres.</v>
      </c>
      <c r="E6" s="259">
        <f>IFERROR(__xludf.DUMMYFUNCTION("""COMPUTED_VALUE"""),41475.0)</f>
        <v>41475</v>
      </c>
      <c r="F6" s="258" t="str">
        <f>IFERROR(__xludf.DUMMYFUNCTION("""COMPUTED_VALUE"""),"Model S P85")</f>
        <v>Model S P85</v>
      </c>
      <c r="G6" s="258" t="str">
        <f>IFERROR(__xludf.DUMMYFUNCTION("""COMPUTED_VALUE"""),"Twice a month")</f>
        <v>Twice a month</v>
      </c>
      <c r="H6" s="258" t="str">
        <f>IFERROR(__xludf.DUMMYFUNCTION("""COMPUTED_VALUE"""),"Once or twice a year")</f>
        <v>Once or twice a year</v>
      </c>
      <c r="I6" s="258" t="str">
        <f>IFERROR(__xludf.DUMMYFUNCTION("""COMPUTED_VALUE"""),"Never")</f>
        <v>Never</v>
      </c>
      <c r="J6" s="260">
        <f>IFERROR(__xludf.DUMMYFUNCTION("""COMPUTED_VALUE"""),0.6)</f>
        <v>0.6</v>
      </c>
      <c r="K6" s="258">
        <f>IFERROR(__xludf.DUMMYFUNCTION("""COMPUTED_VALUE"""),425.0)</f>
        <v>425</v>
      </c>
      <c r="L6" s="258" t="str">
        <f>IFERROR(__xludf.DUMMYFUNCTION("""COMPUTED_VALUE"""),"")</f>
        <v/>
      </c>
      <c r="M6" s="261">
        <f>IFERROR(__xludf.DUMMYFUNCTION("""COMPUTED_VALUE"""),176.0)</f>
        <v>176</v>
      </c>
      <c r="N6" s="262" t="str">
        <f>IFERROR(__xludf.DUMMYFUNCTION("""COMPUTED_VALUE"""),"")</f>
        <v/>
      </c>
      <c r="O6" s="259" t="str">
        <f>IFERROR(__xludf.DUMMYFUNCTION("""COMPUTED_VALUE"""),"")</f>
        <v/>
      </c>
      <c r="P6" s="259">
        <f>IFERROR(__xludf.DUMMYFUNCTION("""COMPUTED_VALUE"""),42970.0)</f>
        <v>42970</v>
      </c>
      <c r="Q6" s="258">
        <f>IFERROR(__xludf.DUMMYFUNCTION("""COMPUTED_VALUE"""),60113.0)</f>
        <v>60113</v>
      </c>
      <c r="R6" s="261">
        <f>IFERROR(__xludf.DUMMYFUNCTION("""COMPUTED_VALUE"""),418.0)</f>
        <v>418</v>
      </c>
      <c r="S6" s="258">
        <v>428.0</v>
      </c>
      <c r="T6" s="263">
        <v>0.9766355140186916</v>
      </c>
      <c r="U6" s="264">
        <v>37352.0</v>
      </c>
      <c r="V6" s="265">
        <v>60113.0</v>
      </c>
      <c r="W6" s="264">
        <v>37352.0</v>
      </c>
      <c r="X6" s="266" t="str">
        <f>IFERROR(__xludf.DUMMYFUNCTION("""COMPUTED_VALUE"""),"AC1K")</f>
        <v>AC1K</v>
      </c>
      <c r="Y6" s="267">
        <v>-0.01</v>
      </c>
      <c r="Z6" s="267">
        <v>0.9566184973168133</v>
      </c>
      <c r="AA6" s="269"/>
      <c r="AB6" s="270"/>
      <c r="AC6" s="270"/>
      <c r="AD6" s="270"/>
      <c r="AE6" s="270"/>
    </row>
    <row r="7">
      <c r="A7" s="256">
        <f>IFERROR(__xludf.DUMMYFUNCTION("""COMPUTED_VALUE"""),42651.45486111111)</f>
        <v>42651.45486</v>
      </c>
      <c r="B7" s="257" t="str">
        <f>IFERROR(__xludf.DUMMYFUNCTION("""COMPUTED_VALUE"""),"Aggregate")</f>
        <v>Aggregate</v>
      </c>
      <c r="C7" s="258" t="str">
        <f>IFERROR(__xludf.DUMMYFUNCTION("""COMPUTED_VALUE"""),"Europe (excluding UK) &amp; Asia Pacific")</f>
        <v>Europe (excluding UK) &amp; Asia Pacific</v>
      </c>
      <c r="D7" s="258" t="str">
        <f>IFERROR(__xludf.DUMMYFUNCTION("""COMPUTED_VALUE"""),"km. My car displays range in kilometres and I will enter all range numbers in kilometres.")</f>
        <v>km. My car displays range in kilometres and I will enter all range numbers in kilometres.</v>
      </c>
      <c r="E7" s="259">
        <f>IFERROR(__xludf.DUMMYFUNCTION("""COMPUTED_VALUE"""),42545.0)</f>
        <v>42545</v>
      </c>
      <c r="F7" s="258" t="str">
        <f>IFERROR(__xludf.DUMMYFUNCTION("""COMPUTED_VALUE"""),"Model S 75")</f>
        <v>Model S 75</v>
      </c>
      <c r="G7" s="258" t="str">
        <f>IFERROR(__xludf.DUMMYFUNCTION("""COMPUTED_VALUE"""),"")</f>
        <v/>
      </c>
      <c r="H7" s="258" t="str">
        <f>IFERROR(__xludf.DUMMYFUNCTION("""COMPUTED_VALUE"""),"")</f>
        <v/>
      </c>
      <c r="I7" s="258" t="str">
        <f>IFERROR(__xludf.DUMMYFUNCTION("""COMPUTED_VALUE"""),"")</f>
        <v/>
      </c>
      <c r="J7" s="260">
        <f>IFERROR(__xludf.DUMMYFUNCTION("""COMPUTED_VALUE"""),0.9)</f>
        <v>0.9</v>
      </c>
      <c r="K7" s="258">
        <f>IFERROR(__xludf.DUMMYFUNCTION("""COMPUTED_VALUE"""),384.0)</f>
        <v>384</v>
      </c>
      <c r="L7" s="258" t="str">
        <f>IFERROR(__xludf.DUMMYFUNCTION("""COMPUTED_VALUE"""),"")</f>
        <v/>
      </c>
      <c r="M7" s="261">
        <f>IFERROR(__xludf.DUMMYFUNCTION("""COMPUTED_VALUE"""),188.0)</f>
        <v>188</v>
      </c>
      <c r="N7" s="262" t="str">
        <f>IFERROR(__xludf.DUMMYFUNCTION("""COMPUTED_VALUE"""),"")</f>
        <v/>
      </c>
      <c r="O7" s="259" t="str">
        <f>IFERROR(__xludf.DUMMYFUNCTION("""COMPUTED_VALUE"""),"")</f>
        <v/>
      </c>
      <c r="P7" s="259">
        <f>IFERROR(__xludf.DUMMYFUNCTION("""COMPUTED_VALUE"""),42651.0)</f>
        <v>42651</v>
      </c>
      <c r="Q7" s="258">
        <f>IFERROR(__xludf.DUMMYFUNCTION("""COMPUTED_VALUE"""),1322.0)</f>
        <v>1322</v>
      </c>
      <c r="R7" s="261">
        <f>IFERROR(__xludf.DUMMYFUNCTION("""COMPUTED_VALUE"""),381.0)</f>
        <v>381</v>
      </c>
      <c r="S7" s="258">
        <v>375.0</v>
      </c>
      <c r="T7" s="263">
        <v>1.016</v>
      </c>
      <c r="U7" s="264">
        <v>821.0</v>
      </c>
      <c r="V7" s="265">
        <v>1322.0</v>
      </c>
      <c r="W7" s="264">
        <v>821.0</v>
      </c>
      <c r="X7" s="266" t="str">
        <f>IFERROR(__xludf.DUMMYFUNCTION("""COMPUTED_VALUE"""),"Aggregate")</f>
        <v>Aggregate</v>
      </c>
      <c r="Y7" s="267">
        <v>-0.01</v>
      </c>
      <c r="Z7" s="267">
        <v>0.9974430674635768</v>
      </c>
      <c r="AA7" s="269"/>
      <c r="AB7" s="270"/>
      <c r="AC7" s="270"/>
      <c r="AD7" s="270"/>
      <c r="AE7" s="270"/>
    </row>
    <row r="8">
      <c r="A8" s="256">
        <f>IFERROR(__xludf.DUMMYFUNCTION("""COMPUTED_VALUE"""),42658.455555555556)</f>
        <v>42658.45556</v>
      </c>
      <c r="B8" s="257" t="str">
        <f>IFERROR(__xludf.DUMMYFUNCTION("""COMPUTED_VALUE"""),"Aggregate")</f>
        <v>Aggregate</v>
      </c>
      <c r="C8" s="258" t="str">
        <f>IFERROR(__xludf.DUMMYFUNCTION("""COMPUTED_VALUE"""),"Europe (excluding UK) &amp; Asia Pacific")</f>
        <v>Europe (excluding UK) &amp; Asia Pacific</v>
      </c>
      <c r="D8" s="258" t="str">
        <f>IFERROR(__xludf.DUMMYFUNCTION("""COMPUTED_VALUE"""),"km. My car displays range in kilometres and I will enter all range numbers in kilometres.")</f>
        <v>km. My car displays range in kilometres and I will enter all range numbers in kilometres.</v>
      </c>
      <c r="E8" s="259">
        <f>IFERROR(__xludf.DUMMYFUNCTION("""COMPUTED_VALUE"""),42545.0)</f>
        <v>42545</v>
      </c>
      <c r="F8" s="258" t="str">
        <f>IFERROR(__xludf.DUMMYFUNCTION("""COMPUTED_VALUE"""),"Model S 75")</f>
        <v>Model S 75</v>
      </c>
      <c r="G8" s="258" t="str">
        <f>IFERROR(__xludf.DUMMYFUNCTION("""COMPUTED_VALUE"""),"")</f>
        <v/>
      </c>
      <c r="H8" s="258" t="str">
        <f>IFERROR(__xludf.DUMMYFUNCTION("""COMPUTED_VALUE"""),"")</f>
        <v/>
      </c>
      <c r="I8" s="258" t="str">
        <f>IFERROR(__xludf.DUMMYFUNCTION("""COMPUTED_VALUE"""),"")</f>
        <v/>
      </c>
      <c r="J8" s="260">
        <f>IFERROR(__xludf.DUMMYFUNCTION("""COMPUTED_VALUE"""),0.9)</f>
        <v>0.9</v>
      </c>
      <c r="K8" s="258" t="str">
        <f>IFERROR(__xludf.DUMMYFUNCTION("""COMPUTED_VALUE"""),"")</f>
        <v/>
      </c>
      <c r="L8" s="258" t="str">
        <f>IFERROR(__xludf.DUMMYFUNCTION("""COMPUTED_VALUE"""),"")</f>
        <v/>
      </c>
      <c r="M8" s="261">
        <f>IFERROR(__xludf.DUMMYFUNCTION("""COMPUTED_VALUE"""),187.0)</f>
        <v>187</v>
      </c>
      <c r="N8" s="262" t="str">
        <f>IFERROR(__xludf.DUMMYFUNCTION("""COMPUTED_VALUE"""),"")</f>
        <v/>
      </c>
      <c r="O8" s="259" t="str">
        <f>IFERROR(__xludf.DUMMYFUNCTION("""COMPUTED_VALUE"""),"")</f>
        <v/>
      </c>
      <c r="P8" s="259">
        <f>IFERROR(__xludf.DUMMYFUNCTION("""COMPUTED_VALUE"""),42658.0)</f>
        <v>42658</v>
      </c>
      <c r="Q8" s="258">
        <f>IFERROR(__xludf.DUMMYFUNCTION("""COMPUTED_VALUE"""),3164.0)</f>
        <v>3164</v>
      </c>
      <c r="R8" s="261">
        <f>IFERROR(__xludf.DUMMYFUNCTION("""COMPUTED_VALUE"""),381.0)</f>
        <v>381</v>
      </c>
      <c r="S8" s="258">
        <v>375.0</v>
      </c>
      <c r="T8" s="263">
        <v>1.016</v>
      </c>
      <c r="U8" s="264">
        <v>1966.0</v>
      </c>
      <c r="V8" s="265">
        <v>3164.0</v>
      </c>
      <c r="W8" s="264">
        <v>1966.0</v>
      </c>
      <c r="X8" s="266" t="str">
        <f>IFERROR(__xludf.DUMMYFUNCTION("""COMPUTED_VALUE"""),"ahkahn")</f>
        <v>ahkahn</v>
      </c>
      <c r="Y8" s="267">
        <v>-0.01</v>
      </c>
      <c r="Z8" s="267">
        <v>0.9941554519730386</v>
      </c>
      <c r="AA8" s="269"/>
      <c r="AB8" s="270"/>
      <c r="AC8" s="270"/>
      <c r="AD8" s="270"/>
      <c r="AE8" s="270"/>
    </row>
    <row r="9">
      <c r="A9" s="256">
        <f>IFERROR(__xludf.DUMMYFUNCTION("""COMPUTED_VALUE"""),42677.45625)</f>
        <v>42677.45625</v>
      </c>
      <c r="B9" s="257" t="str">
        <f>IFERROR(__xludf.DUMMYFUNCTION("""COMPUTED_VALUE"""),"Aggregate")</f>
        <v>Aggregate</v>
      </c>
      <c r="C9" s="258" t="str">
        <f>IFERROR(__xludf.DUMMYFUNCTION("""COMPUTED_VALUE"""),"Europe (excluding UK) &amp; Asia Pacific")</f>
        <v>Europe (excluding UK) &amp; Asia Pacific</v>
      </c>
      <c r="D9" s="258" t="str">
        <f>IFERROR(__xludf.DUMMYFUNCTION("""COMPUTED_VALUE"""),"km. My car displays range in kilometres and I will enter all range numbers in kilometres.")</f>
        <v>km. My car displays range in kilometres and I will enter all range numbers in kilometres.</v>
      </c>
      <c r="E9" s="259">
        <f>IFERROR(__xludf.DUMMYFUNCTION("""COMPUTED_VALUE"""),42545.0)</f>
        <v>42545</v>
      </c>
      <c r="F9" s="258" t="str">
        <f>IFERROR(__xludf.DUMMYFUNCTION("""COMPUTED_VALUE"""),"Model S 75")</f>
        <v>Model S 75</v>
      </c>
      <c r="G9" s="258" t="str">
        <f>IFERROR(__xludf.DUMMYFUNCTION("""COMPUTED_VALUE"""),"")</f>
        <v/>
      </c>
      <c r="H9" s="258" t="str">
        <f>IFERROR(__xludf.DUMMYFUNCTION("""COMPUTED_VALUE"""),"")</f>
        <v/>
      </c>
      <c r="I9" s="258" t="str">
        <f>IFERROR(__xludf.DUMMYFUNCTION("""COMPUTED_VALUE"""),"")</f>
        <v/>
      </c>
      <c r="J9" s="260">
        <f>IFERROR(__xludf.DUMMYFUNCTION("""COMPUTED_VALUE"""),0.9)</f>
        <v>0.9</v>
      </c>
      <c r="K9" s="258" t="str">
        <f>IFERROR(__xludf.DUMMYFUNCTION("""COMPUTED_VALUE"""),"")</f>
        <v/>
      </c>
      <c r="L9" s="258" t="str">
        <f>IFERROR(__xludf.DUMMYFUNCTION("""COMPUTED_VALUE"""),"")</f>
        <v/>
      </c>
      <c r="M9" s="261">
        <f>IFERROR(__xludf.DUMMYFUNCTION("""COMPUTED_VALUE"""),188.0)</f>
        <v>188</v>
      </c>
      <c r="N9" s="262" t="str">
        <f>IFERROR(__xludf.DUMMYFUNCTION("""COMPUTED_VALUE"""),"")</f>
        <v/>
      </c>
      <c r="O9" s="259" t="str">
        <f>IFERROR(__xludf.DUMMYFUNCTION("""COMPUTED_VALUE"""),"")</f>
        <v/>
      </c>
      <c r="P9" s="259">
        <f>IFERROR(__xludf.DUMMYFUNCTION("""COMPUTED_VALUE"""),42677.0)</f>
        <v>42677</v>
      </c>
      <c r="Q9" s="258">
        <f>IFERROR(__xludf.DUMMYFUNCTION("""COMPUTED_VALUE"""),4752.0)</f>
        <v>4752</v>
      </c>
      <c r="R9" s="261">
        <f>IFERROR(__xludf.DUMMYFUNCTION("""COMPUTED_VALUE"""),383.0)</f>
        <v>383</v>
      </c>
      <c r="S9" s="258">
        <v>375.0</v>
      </c>
      <c r="T9" s="263">
        <v>1.0213333333333334</v>
      </c>
      <c r="U9" s="264">
        <v>2953.0</v>
      </c>
      <c r="V9" s="265">
        <v>4752.0</v>
      </c>
      <c r="W9" s="264">
        <v>2953.0</v>
      </c>
      <c r="X9" s="266" t="str">
        <f>IFERROR(__xludf.DUMMYFUNCTION("""COMPUTED_VALUE"""),"aikisteve")</f>
        <v>aikisteve</v>
      </c>
      <c r="Y9" s="267">
        <v>-0.01</v>
      </c>
      <c r="Z9" s="267">
        <v>0.9915556642779473</v>
      </c>
      <c r="AA9" s="269"/>
      <c r="AB9" s="270"/>
      <c r="AC9" s="270"/>
      <c r="AD9" s="270"/>
      <c r="AE9" s="270"/>
    </row>
    <row r="10">
      <c r="A10" s="256">
        <f>IFERROR(__xludf.DUMMYFUNCTION("""COMPUTED_VALUE"""),42697.461111111115)</f>
        <v>42697.46111</v>
      </c>
      <c r="B10" s="257" t="str">
        <f>IFERROR(__xludf.DUMMYFUNCTION("""COMPUTED_VALUE"""),"Aggregate")</f>
        <v>Aggregate</v>
      </c>
      <c r="C10" s="258" t="str">
        <f>IFERROR(__xludf.DUMMYFUNCTION("""COMPUTED_VALUE"""),"Europe (excluding UK) &amp; Asia Pacific")</f>
        <v>Europe (excluding UK) &amp; Asia Pacific</v>
      </c>
      <c r="D10" s="258" t="str">
        <f>IFERROR(__xludf.DUMMYFUNCTION("""COMPUTED_VALUE"""),"km. My car displays range in kilometres and I will enter all range numbers in kilometres.")</f>
        <v>km. My car displays range in kilometres and I will enter all range numbers in kilometres.</v>
      </c>
      <c r="E10" s="259">
        <f>IFERROR(__xludf.DUMMYFUNCTION("""COMPUTED_VALUE"""),42545.0)</f>
        <v>42545</v>
      </c>
      <c r="F10" s="258" t="str">
        <f>IFERROR(__xludf.DUMMYFUNCTION("""COMPUTED_VALUE"""),"Model S 75")</f>
        <v>Model S 75</v>
      </c>
      <c r="G10" s="258" t="str">
        <f>IFERROR(__xludf.DUMMYFUNCTION("""COMPUTED_VALUE"""),"Twice a month")</f>
        <v>Twice a month</v>
      </c>
      <c r="H10" s="258" t="str">
        <f>IFERROR(__xludf.DUMMYFUNCTION("""COMPUTED_VALUE"""),"Twice a month")</f>
        <v>Twice a month</v>
      </c>
      <c r="I10" s="258" t="str">
        <f>IFERROR(__xludf.DUMMYFUNCTION("""COMPUTED_VALUE"""),"Once or twice a year")</f>
        <v>Once or twice a year</v>
      </c>
      <c r="J10" s="260">
        <f>IFERROR(__xludf.DUMMYFUNCTION("""COMPUTED_VALUE"""),0.9)</f>
        <v>0.9</v>
      </c>
      <c r="K10" s="258">
        <f>IFERROR(__xludf.DUMMYFUNCTION("""COMPUTED_VALUE"""),384.0)</f>
        <v>384</v>
      </c>
      <c r="L10" s="258" t="str">
        <f>IFERROR(__xludf.DUMMYFUNCTION("""COMPUTED_VALUE"""),"")</f>
        <v/>
      </c>
      <c r="M10" s="261">
        <f>IFERROR(__xludf.DUMMYFUNCTION("""COMPUTED_VALUE"""),189.0)</f>
        <v>189</v>
      </c>
      <c r="N10" s="262" t="str">
        <f>IFERROR(__xludf.DUMMYFUNCTION("""COMPUTED_VALUE"""),"")</f>
        <v/>
      </c>
      <c r="O10" s="259" t="str">
        <f>IFERROR(__xludf.DUMMYFUNCTION("""COMPUTED_VALUE"""),"")</f>
        <v/>
      </c>
      <c r="P10" s="259">
        <f>IFERROR(__xludf.DUMMYFUNCTION("""COMPUTED_VALUE"""),42697.0)</f>
        <v>42697</v>
      </c>
      <c r="Q10" s="258">
        <f>IFERROR(__xludf.DUMMYFUNCTION("""COMPUTED_VALUE"""),6500.0)</f>
        <v>6500</v>
      </c>
      <c r="R10" s="261">
        <f>IFERROR(__xludf.DUMMYFUNCTION("""COMPUTED_VALUE"""),382.0)</f>
        <v>382</v>
      </c>
      <c r="S10" s="258">
        <v>375.0</v>
      </c>
      <c r="T10" s="263">
        <v>1.0186666666666666</v>
      </c>
      <c r="U10" s="264">
        <v>4039.0</v>
      </c>
      <c r="V10" s="265">
        <v>6500.0</v>
      </c>
      <c r="W10" s="264">
        <v>4039.0</v>
      </c>
      <c r="X10" s="266" t="str">
        <f>IFERROR(__xludf.DUMMYFUNCTION("""COMPUTED_VALUE"""),"Alain13")</f>
        <v>Alain13</v>
      </c>
      <c r="Y10" s="267">
        <v>-0.01</v>
      </c>
      <c r="Z10" s="267">
        <v>0.9889209927366314</v>
      </c>
      <c r="AA10" s="269"/>
      <c r="AB10" s="270"/>
      <c r="AC10" s="270"/>
      <c r="AD10" s="270"/>
      <c r="AE10" s="270"/>
    </row>
    <row r="11">
      <c r="A11" s="256">
        <f>IFERROR(__xludf.DUMMYFUNCTION("""COMPUTED_VALUE"""),42713.47152777778)</f>
        <v>42713.47153</v>
      </c>
      <c r="B11" s="257" t="str">
        <f>IFERROR(__xludf.DUMMYFUNCTION("""COMPUTED_VALUE"""),"Aggregate")</f>
        <v>Aggregate</v>
      </c>
      <c r="C11" s="258" t="str">
        <f>IFERROR(__xludf.DUMMYFUNCTION("""COMPUTED_VALUE"""),"Europe (excluding UK) &amp; Asia Pacific")</f>
        <v>Europe (excluding UK) &amp; Asia Pacific</v>
      </c>
      <c r="D11" s="258" t="str">
        <f>IFERROR(__xludf.DUMMYFUNCTION("""COMPUTED_VALUE"""),"km. My car displays range in kilometres and I will enter all range numbers in kilometres.")</f>
        <v>km. My car displays range in kilometres and I will enter all range numbers in kilometres.</v>
      </c>
      <c r="E11" s="259">
        <f>IFERROR(__xludf.DUMMYFUNCTION("""COMPUTED_VALUE"""),42545.0)</f>
        <v>42545</v>
      </c>
      <c r="F11" s="258" t="str">
        <f>IFERROR(__xludf.DUMMYFUNCTION("""COMPUTED_VALUE"""),"Model S 75")</f>
        <v>Model S 75</v>
      </c>
      <c r="G11" s="258" t="str">
        <f>IFERROR(__xludf.DUMMYFUNCTION("""COMPUTED_VALUE"""),"")</f>
        <v/>
      </c>
      <c r="H11" s="258" t="str">
        <f>IFERROR(__xludf.DUMMYFUNCTION("""COMPUTED_VALUE"""),"")</f>
        <v/>
      </c>
      <c r="I11" s="258" t="str">
        <f>IFERROR(__xludf.DUMMYFUNCTION("""COMPUTED_VALUE"""),"")</f>
        <v/>
      </c>
      <c r="J11" s="260" t="str">
        <f>IFERROR(__xludf.DUMMYFUNCTION("""COMPUTED_VALUE"""),"")</f>
        <v/>
      </c>
      <c r="K11" s="258" t="str">
        <f>IFERROR(__xludf.DUMMYFUNCTION("""COMPUTED_VALUE"""),"")</f>
        <v/>
      </c>
      <c r="L11" s="258" t="str">
        <f>IFERROR(__xludf.DUMMYFUNCTION("""COMPUTED_VALUE"""),"")</f>
        <v/>
      </c>
      <c r="M11" s="261">
        <f>IFERROR(__xludf.DUMMYFUNCTION("""COMPUTED_VALUE"""),192.0)</f>
        <v>192</v>
      </c>
      <c r="N11" s="262" t="str">
        <f>IFERROR(__xludf.DUMMYFUNCTION("""COMPUTED_VALUE"""),"")</f>
        <v/>
      </c>
      <c r="O11" s="259" t="str">
        <f>IFERROR(__xludf.DUMMYFUNCTION("""COMPUTED_VALUE"""),"")</f>
        <v/>
      </c>
      <c r="P11" s="259">
        <f>IFERROR(__xludf.DUMMYFUNCTION("""COMPUTED_VALUE"""),42713.0)</f>
        <v>42713</v>
      </c>
      <c r="Q11" s="258">
        <f>IFERROR(__xludf.DUMMYFUNCTION("""COMPUTED_VALUE"""),8000.0)</f>
        <v>8000</v>
      </c>
      <c r="R11" s="261">
        <f>IFERROR(__xludf.DUMMYFUNCTION("""COMPUTED_VALUE"""),379.0)</f>
        <v>379</v>
      </c>
      <c r="S11" s="258">
        <v>375.0</v>
      </c>
      <c r="T11" s="263">
        <v>1.0106666666666666</v>
      </c>
      <c r="U11" s="264">
        <v>4971.0</v>
      </c>
      <c r="V11" s="265">
        <v>8000.0</v>
      </c>
      <c r="W11" s="264">
        <v>4971.0</v>
      </c>
      <c r="X11" s="266" t="str">
        <f>IFERROR(__xludf.DUMMYFUNCTION("""COMPUTED_VALUE"""),"alertic")</f>
        <v>alertic</v>
      </c>
      <c r="Y11" s="267">
        <v>-0.01</v>
      </c>
      <c r="Z11" s="267">
        <v>0.9868328459645701</v>
      </c>
      <c r="AA11" s="269"/>
      <c r="AB11" s="270"/>
      <c r="AC11" s="270"/>
      <c r="AD11" s="270"/>
      <c r="AE11" s="270"/>
    </row>
    <row r="12">
      <c r="A12" s="256">
        <f>IFERROR(__xludf.DUMMYFUNCTION("""COMPUTED_VALUE"""),42720.475)</f>
        <v>42720.475</v>
      </c>
      <c r="B12" s="257" t="str">
        <f>IFERROR(__xludf.DUMMYFUNCTION("""COMPUTED_VALUE"""),"Aggregate")</f>
        <v>Aggregate</v>
      </c>
      <c r="C12" s="258" t="str">
        <f>IFERROR(__xludf.DUMMYFUNCTION("""COMPUTED_VALUE"""),"Europe (excluding UK) &amp; Asia Pacific")</f>
        <v>Europe (excluding UK) &amp; Asia Pacific</v>
      </c>
      <c r="D12" s="258" t="str">
        <f>IFERROR(__xludf.DUMMYFUNCTION("""COMPUTED_VALUE"""),"km. My car displays range in kilometres and I will enter all range numbers in kilometres.")</f>
        <v>km. My car displays range in kilometres and I will enter all range numbers in kilometres.</v>
      </c>
      <c r="E12" s="259">
        <f>IFERROR(__xludf.DUMMYFUNCTION("""COMPUTED_VALUE"""),42545.0)</f>
        <v>42545</v>
      </c>
      <c r="F12" s="258" t="str">
        <f>IFERROR(__xludf.DUMMYFUNCTION("""COMPUTED_VALUE"""),"Model S 75")</f>
        <v>Model S 75</v>
      </c>
      <c r="G12" s="258" t="str">
        <f>IFERROR(__xludf.DUMMYFUNCTION("""COMPUTED_VALUE"""),"")</f>
        <v/>
      </c>
      <c r="H12" s="258" t="str">
        <f>IFERROR(__xludf.DUMMYFUNCTION("""COMPUTED_VALUE"""),"")</f>
        <v/>
      </c>
      <c r="I12" s="258" t="str">
        <f>IFERROR(__xludf.DUMMYFUNCTION("""COMPUTED_VALUE"""),"A few times a year")</f>
        <v>A few times a year</v>
      </c>
      <c r="J12" s="260" t="str">
        <f>IFERROR(__xludf.DUMMYFUNCTION("""COMPUTED_VALUE"""),"")</f>
        <v/>
      </c>
      <c r="K12" s="258" t="str">
        <f>IFERROR(__xludf.DUMMYFUNCTION("""COMPUTED_VALUE"""),"")</f>
        <v/>
      </c>
      <c r="L12" s="258" t="str">
        <f>IFERROR(__xludf.DUMMYFUNCTION("""COMPUTED_VALUE"""),"")</f>
        <v/>
      </c>
      <c r="M12" s="261">
        <f>IFERROR(__xludf.DUMMYFUNCTION("""COMPUTED_VALUE"""),194.0)</f>
        <v>194</v>
      </c>
      <c r="N12" s="262" t="str">
        <f>IFERROR(__xludf.DUMMYFUNCTION("""COMPUTED_VALUE"""),"")</f>
        <v/>
      </c>
      <c r="O12" s="259" t="str">
        <f>IFERROR(__xludf.DUMMYFUNCTION("""COMPUTED_VALUE"""),"")</f>
        <v/>
      </c>
      <c r="P12" s="259">
        <f>IFERROR(__xludf.DUMMYFUNCTION("""COMPUTED_VALUE"""),42720.0)</f>
        <v>42720</v>
      </c>
      <c r="Q12" s="258">
        <f>IFERROR(__xludf.DUMMYFUNCTION("""COMPUTED_VALUE"""),8400.0)</f>
        <v>8400</v>
      </c>
      <c r="R12" s="261">
        <f>IFERROR(__xludf.DUMMYFUNCTION("""COMPUTED_VALUE"""),380.0)</f>
        <v>380</v>
      </c>
      <c r="S12" s="258">
        <v>375.0</v>
      </c>
      <c r="T12" s="263">
        <v>1.0133333333333334</v>
      </c>
      <c r="U12" s="264">
        <v>5220.0</v>
      </c>
      <c r="V12" s="265">
        <v>8400.0</v>
      </c>
      <c r="W12" s="264">
        <v>5220.0</v>
      </c>
      <c r="X12" s="266" t="str">
        <f>IFERROR(__xludf.DUMMYFUNCTION("""COMPUTED_VALUE"""),"Alex F")</f>
        <v>Alex F</v>
      </c>
      <c r="Y12" s="267">
        <v>-0.01</v>
      </c>
      <c r="Z12" s="267">
        <v>0.9863011003988025</v>
      </c>
      <c r="AA12" s="269"/>
      <c r="AB12" s="270"/>
      <c r="AC12" s="270"/>
      <c r="AD12" s="270"/>
      <c r="AE12" s="270"/>
    </row>
    <row r="13">
      <c r="A13" s="256">
        <f>IFERROR(__xludf.DUMMYFUNCTION("""COMPUTED_VALUE"""),42735.48888888889)</f>
        <v>42735.48889</v>
      </c>
      <c r="B13" s="257" t="str">
        <f>IFERROR(__xludf.DUMMYFUNCTION("""COMPUTED_VALUE"""),"Aggregate")</f>
        <v>Aggregate</v>
      </c>
      <c r="C13" s="258" t="str">
        <f>IFERROR(__xludf.DUMMYFUNCTION("""COMPUTED_VALUE"""),"Europe (excluding UK) &amp; Asia Pacific")</f>
        <v>Europe (excluding UK) &amp; Asia Pacific</v>
      </c>
      <c r="D13" s="258" t="str">
        <f>IFERROR(__xludf.DUMMYFUNCTION("""COMPUTED_VALUE"""),"km. My car displays range in kilometres and I will enter all range numbers in kilometres.")</f>
        <v>km. My car displays range in kilometres and I will enter all range numbers in kilometres.</v>
      </c>
      <c r="E13" s="259">
        <f>IFERROR(__xludf.DUMMYFUNCTION("""COMPUTED_VALUE"""),42545.0)</f>
        <v>42545</v>
      </c>
      <c r="F13" s="258" t="str">
        <f>IFERROR(__xludf.DUMMYFUNCTION("""COMPUTED_VALUE"""),"Model S 75")</f>
        <v>Model S 75</v>
      </c>
      <c r="G13" s="258" t="str">
        <f>IFERROR(__xludf.DUMMYFUNCTION("""COMPUTED_VALUE"""),"Weekly")</f>
        <v>Weekly</v>
      </c>
      <c r="H13" s="258" t="str">
        <f>IFERROR(__xludf.DUMMYFUNCTION("""COMPUTED_VALUE"""),"Monthly")</f>
        <v>Monthly</v>
      </c>
      <c r="I13" s="258" t="str">
        <f>IFERROR(__xludf.DUMMYFUNCTION("""COMPUTED_VALUE"""),"Twice a month")</f>
        <v>Twice a month</v>
      </c>
      <c r="J13" s="260">
        <f>IFERROR(__xludf.DUMMYFUNCTION("""COMPUTED_VALUE"""),0.9)</f>
        <v>0.9</v>
      </c>
      <c r="K13" s="258">
        <f>IFERROR(__xludf.DUMMYFUNCTION("""COMPUTED_VALUE"""),384.0)</f>
        <v>384</v>
      </c>
      <c r="L13" s="258" t="str">
        <f>IFERROR(__xludf.DUMMYFUNCTION("""COMPUTED_VALUE"""),"")</f>
        <v/>
      </c>
      <c r="M13" s="261">
        <f>IFERROR(__xludf.DUMMYFUNCTION("""COMPUTED_VALUE"""),199.0)</f>
        <v>199</v>
      </c>
      <c r="N13" s="262" t="str">
        <f>IFERROR(__xludf.DUMMYFUNCTION("""COMPUTED_VALUE"""),"")</f>
        <v/>
      </c>
      <c r="O13" s="259" t="str">
        <f>IFERROR(__xludf.DUMMYFUNCTION("""COMPUTED_VALUE"""),"")</f>
        <v/>
      </c>
      <c r="P13" s="259">
        <f>IFERROR(__xludf.DUMMYFUNCTION("""COMPUTED_VALUE"""),42735.0)</f>
        <v>42735</v>
      </c>
      <c r="Q13" s="258">
        <f>IFERROR(__xludf.DUMMYFUNCTION("""COMPUTED_VALUE"""),10239.0)</f>
        <v>10239</v>
      </c>
      <c r="R13" s="261">
        <f>IFERROR(__xludf.DUMMYFUNCTION("""COMPUTED_VALUE"""),377.0)</f>
        <v>377</v>
      </c>
      <c r="S13" s="258">
        <v>375.0</v>
      </c>
      <c r="T13" s="263">
        <v>1.0053333333333334</v>
      </c>
      <c r="U13" s="264">
        <v>6362.0</v>
      </c>
      <c r="V13" s="265">
        <v>10239.0</v>
      </c>
      <c r="W13" s="264">
        <v>6362.0</v>
      </c>
      <c r="X13" s="266" t="str">
        <f>IFERROR(__xludf.DUMMYFUNCTION("""COMPUTED_VALUE"""),"Alkiter")</f>
        <v>Alkiter</v>
      </c>
      <c r="Y13" s="267">
        <v>-0.01</v>
      </c>
      <c r="Z13" s="267">
        <v>0.9839828637890021</v>
      </c>
      <c r="AA13" s="269"/>
      <c r="AB13" s="270"/>
      <c r="AC13" s="270"/>
      <c r="AD13" s="270"/>
      <c r="AE13" s="270"/>
    </row>
    <row r="14">
      <c r="A14" s="256">
        <f>IFERROR(__xludf.DUMMYFUNCTION("""COMPUTED_VALUE"""),42780.5)</f>
        <v>42780.5</v>
      </c>
      <c r="B14" s="257" t="str">
        <f>IFERROR(__xludf.DUMMYFUNCTION("""COMPUTED_VALUE"""),"Aggregate")</f>
        <v>Aggregate</v>
      </c>
      <c r="C14" s="258" t="str">
        <f>IFERROR(__xludf.DUMMYFUNCTION("""COMPUTED_VALUE"""),"Europe (excluding UK) &amp; Asia Pacific")</f>
        <v>Europe (excluding UK) &amp; Asia Pacific</v>
      </c>
      <c r="D14" s="258" t="str">
        <f>IFERROR(__xludf.DUMMYFUNCTION("""COMPUTED_VALUE"""),"km. My car displays range in kilometres and I will enter all range numbers in kilometres.")</f>
        <v>km. My car displays range in kilometres and I will enter all range numbers in kilometres.</v>
      </c>
      <c r="E14" s="259">
        <f>IFERROR(__xludf.DUMMYFUNCTION("""COMPUTED_VALUE"""),42545.0)</f>
        <v>42545</v>
      </c>
      <c r="F14" s="258" t="str">
        <f>IFERROR(__xludf.DUMMYFUNCTION("""COMPUTED_VALUE"""),"Model S 75")</f>
        <v>Model S 75</v>
      </c>
      <c r="G14" s="258" t="str">
        <f>IFERROR(__xludf.DUMMYFUNCTION("""COMPUTED_VALUE"""),"")</f>
        <v/>
      </c>
      <c r="H14" s="258" t="str">
        <f>IFERROR(__xludf.DUMMYFUNCTION("""COMPUTED_VALUE"""),"")</f>
        <v/>
      </c>
      <c r="I14" s="258" t="str">
        <f>IFERROR(__xludf.DUMMYFUNCTION("""COMPUTED_VALUE"""),"")</f>
        <v/>
      </c>
      <c r="J14" s="260" t="str">
        <f>IFERROR(__xludf.DUMMYFUNCTION("""COMPUTED_VALUE"""),"")</f>
        <v/>
      </c>
      <c r="K14" s="258" t="str">
        <f>IFERROR(__xludf.DUMMYFUNCTION("""COMPUTED_VALUE"""),"")</f>
        <v/>
      </c>
      <c r="L14" s="258" t="str">
        <f>IFERROR(__xludf.DUMMYFUNCTION("""COMPUTED_VALUE"""),"")</f>
        <v/>
      </c>
      <c r="M14" s="261">
        <f>IFERROR(__xludf.DUMMYFUNCTION("""COMPUTED_VALUE"""),201.0)</f>
        <v>201</v>
      </c>
      <c r="N14" s="262" t="str">
        <f>IFERROR(__xludf.DUMMYFUNCTION("""COMPUTED_VALUE"""),"")</f>
        <v/>
      </c>
      <c r="O14" s="259" t="str">
        <f>IFERROR(__xludf.DUMMYFUNCTION("""COMPUTED_VALUE"""),"")</f>
        <v/>
      </c>
      <c r="P14" s="259">
        <f>IFERROR(__xludf.DUMMYFUNCTION("""COMPUTED_VALUE"""),42780.0)</f>
        <v>42780</v>
      </c>
      <c r="Q14" s="258">
        <f>IFERROR(__xludf.DUMMYFUNCTION("""COMPUTED_VALUE"""),14950.0)</f>
        <v>14950</v>
      </c>
      <c r="R14" s="261">
        <f>IFERROR(__xludf.DUMMYFUNCTION("""COMPUTED_VALUE"""),372.0)</f>
        <v>372</v>
      </c>
      <c r="S14" s="258">
        <v>375.0</v>
      </c>
      <c r="T14" s="263">
        <v>0.992</v>
      </c>
      <c r="U14" s="264">
        <v>9289.0</v>
      </c>
      <c r="V14" s="265">
        <v>14950.0</v>
      </c>
      <c r="W14" s="264">
        <v>9289.0</v>
      </c>
      <c r="X14" s="266" t="str">
        <f>IFERROR(__xludf.DUMMYFUNCTION("""COMPUTED_VALUE"""),"AmpedRealtor")</f>
        <v>AmpedRealtor</v>
      </c>
      <c r="Y14" s="267">
        <v>-0.01</v>
      </c>
      <c r="Z14" s="267">
        <v>0.9788748042780336</v>
      </c>
      <c r="AA14" s="269"/>
      <c r="AB14" s="270"/>
      <c r="AC14" s="270"/>
      <c r="AD14" s="270"/>
      <c r="AE14" s="270"/>
    </row>
    <row r="15">
      <c r="A15" s="256">
        <f>IFERROR(__xludf.DUMMYFUNCTION("""COMPUTED_VALUE"""),42828.518055555556)</f>
        <v>42828.51806</v>
      </c>
      <c r="B15" s="257" t="str">
        <f>IFERROR(__xludf.DUMMYFUNCTION("""COMPUTED_VALUE"""),"Aggregate")</f>
        <v>Aggregate</v>
      </c>
      <c r="C15" s="258" t="str">
        <f>IFERROR(__xludf.DUMMYFUNCTION("""COMPUTED_VALUE"""),"Europe (excluding UK) &amp; Asia Pacific")</f>
        <v>Europe (excluding UK) &amp; Asia Pacific</v>
      </c>
      <c r="D15" s="258" t="str">
        <f>IFERROR(__xludf.DUMMYFUNCTION("""COMPUTED_VALUE"""),"km. My car displays range in kilometres and I will enter all range numbers in kilometres.")</f>
        <v>km. My car displays range in kilometres and I will enter all range numbers in kilometres.</v>
      </c>
      <c r="E15" s="259">
        <f>IFERROR(__xludf.DUMMYFUNCTION("""COMPUTED_VALUE"""),42545.0)</f>
        <v>42545</v>
      </c>
      <c r="F15" s="258" t="str">
        <f>IFERROR(__xludf.DUMMYFUNCTION("""COMPUTED_VALUE"""),"Model S 75")</f>
        <v>Model S 75</v>
      </c>
      <c r="G15" s="258" t="str">
        <f>IFERROR(__xludf.DUMMYFUNCTION("""COMPUTED_VALUE"""),"Twice a week")</f>
        <v>Twice a week</v>
      </c>
      <c r="H15" s="258" t="str">
        <f>IFERROR(__xludf.DUMMYFUNCTION("""COMPUTED_VALUE"""),"Monthly")</f>
        <v>Monthly</v>
      </c>
      <c r="I15" s="258" t="str">
        <f>IFERROR(__xludf.DUMMYFUNCTION("""COMPUTED_VALUE"""),"Monthly")</f>
        <v>Monthly</v>
      </c>
      <c r="J15" s="260">
        <f>IFERROR(__xludf.DUMMYFUNCTION("""COMPUTED_VALUE"""),0.7)</f>
        <v>0.7</v>
      </c>
      <c r="K15" s="258">
        <f>IFERROR(__xludf.DUMMYFUNCTION("""COMPUTED_VALUE"""),384.0)</f>
        <v>384</v>
      </c>
      <c r="L15" s="258" t="str">
        <f>IFERROR(__xludf.DUMMYFUNCTION("""COMPUTED_VALUE"""),"")</f>
        <v/>
      </c>
      <c r="M15" s="261">
        <f>IFERROR(__xludf.DUMMYFUNCTION("""COMPUTED_VALUE"""),200.0)</f>
        <v>200</v>
      </c>
      <c r="N15" s="262" t="str">
        <f>IFERROR(__xludf.DUMMYFUNCTION("""COMPUTED_VALUE"""),"")</f>
        <v/>
      </c>
      <c r="O15" s="259" t="str">
        <f>IFERROR(__xludf.DUMMYFUNCTION("""COMPUTED_VALUE"""),"")</f>
        <v/>
      </c>
      <c r="P15" s="259">
        <f>IFERROR(__xludf.DUMMYFUNCTION("""COMPUTED_VALUE"""),42828.0)</f>
        <v>42828</v>
      </c>
      <c r="Q15" s="258">
        <f>IFERROR(__xludf.DUMMYFUNCTION("""COMPUTED_VALUE"""),21634.0)</f>
        <v>21634</v>
      </c>
      <c r="R15" s="261">
        <f>IFERROR(__xludf.DUMMYFUNCTION("""COMPUTED_VALUE"""),375.0)</f>
        <v>375</v>
      </c>
      <c r="S15" s="258">
        <v>375.0</v>
      </c>
      <c r="T15" s="263">
        <v>1.0</v>
      </c>
      <c r="U15" s="264">
        <v>13443.0</v>
      </c>
      <c r="V15" s="265">
        <v>21634.0</v>
      </c>
      <c r="W15" s="264">
        <v>13443.0</v>
      </c>
      <c r="X15" s="266" t="str">
        <f>IFERROR(__xludf.DUMMYFUNCTION("""COMPUTED_VALUE"""),"AnalysiZ")</f>
        <v>AnalysiZ</v>
      </c>
      <c r="Y15" s="267">
        <v>-0.01</v>
      </c>
      <c r="Z15" s="267">
        <v>0.973223347714957</v>
      </c>
      <c r="AA15" s="269"/>
      <c r="AB15" s="270"/>
      <c r="AC15" s="270"/>
      <c r="AD15" s="270"/>
      <c r="AE15" s="270"/>
    </row>
    <row r="16">
      <c r="A16" s="256">
        <f>IFERROR(__xludf.DUMMYFUNCTION("""COMPUTED_VALUE"""),42914.52916666667)</f>
        <v>42914.52917</v>
      </c>
      <c r="B16" s="257" t="str">
        <f>IFERROR(__xludf.DUMMYFUNCTION("""COMPUTED_VALUE"""),"Aggregate")</f>
        <v>Aggregate</v>
      </c>
      <c r="C16" s="258" t="str">
        <f>IFERROR(__xludf.DUMMYFUNCTION("""COMPUTED_VALUE"""),"Europe (excluding UK) &amp; Asia Pacific")</f>
        <v>Europe (excluding UK) &amp; Asia Pacific</v>
      </c>
      <c r="D16" s="258" t="str">
        <f>IFERROR(__xludf.DUMMYFUNCTION("""COMPUTED_VALUE"""),"km. My car displays range in kilometres and I will enter all range numbers in kilometres.")</f>
        <v>km. My car displays range in kilometres and I will enter all range numbers in kilometres.</v>
      </c>
      <c r="E16" s="259">
        <f>IFERROR(__xludf.DUMMYFUNCTION("""COMPUTED_VALUE"""),42545.0)</f>
        <v>42545</v>
      </c>
      <c r="F16" s="258" t="str">
        <f>IFERROR(__xludf.DUMMYFUNCTION("""COMPUTED_VALUE"""),"Model S 75")</f>
        <v>Model S 75</v>
      </c>
      <c r="G16" s="258" t="str">
        <f>IFERROR(__xludf.DUMMYFUNCTION("""COMPUTED_VALUE"""),"Weekly")</f>
        <v>Weekly</v>
      </c>
      <c r="H16" s="258" t="str">
        <f>IFERROR(__xludf.DUMMYFUNCTION("""COMPUTED_VALUE"""),"Twice a month")</f>
        <v>Twice a month</v>
      </c>
      <c r="I16" s="258" t="str">
        <f>IFERROR(__xludf.DUMMYFUNCTION("""COMPUTED_VALUE"""),"Monthly")</f>
        <v>Monthly</v>
      </c>
      <c r="J16" s="260">
        <f>IFERROR(__xludf.DUMMYFUNCTION("""COMPUTED_VALUE"""),0.9)</f>
        <v>0.9</v>
      </c>
      <c r="K16" s="258">
        <f>IFERROR(__xludf.DUMMYFUNCTION("""COMPUTED_VALUE"""),384.0)</f>
        <v>384</v>
      </c>
      <c r="L16" s="258" t="str">
        <f>IFERROR(__xludf.DUMMYFUNCTION("""COMPUTED_VALUE"""),"")</f>
        <v/>
      </c>
      <c r="M16" s="261">
        <f>IFERROR(__xludf.DUMMYFUNCTION("""COMPUTED_VALUE"""),196.0)</f>
        <v>196</v>
      </c>
      <c r="N16" s="262" t="str">
        <f>IFERROR(__xludf.DUMMYFUNCTION("""COMPUTED_VALUE"""),"")</f>
        <v/>
      </c>
      <c r="O16" s="259" t="str">
        <f>IFERROR(__xludf.DUMMYFUNCTION("""COMPUTED_VALUE"""),"")</f>
        <v/>
      </c>
      <c r="P16" s="259">
        <f>IFERROR(__xludf.DUMMYFUNCTION("""COMPUTED_VALUE"""),42914.0)</f>
        <v>42914</v>
      </c>
      <c r="Q16" s="258">
        <f>IFERROR(__xludf.DUMMYFUNCTION("""COMPUTED_VALUE"""),24000.0)</f>
        <v>24000</v>
      </c>
      <c r="R16" s="261">
        <f>IFERROR(__xludf.DUMMYFUNCTION("""COMPUTED_VALUE"""),367.0)</f>
        <v>367</v>
      </c>
      <c r="S16" s="258">
        <v>375.0</v>
      </c>
      <c r="T16" s="263">
        <v>0.9786666666666667</v>
      </c>
      <c r="U16" s="264">
        <v>14913.0</v>
      </c>
      <c r="V16" s="265">
        <v>24000.0</v>
      </c>
      <c r="W16" s="264">
        <v>14913.0</v>
      </c>
      <c r="X16" s="266" t="str">
        <f>IFERROR(__xludf.DUMMYFUNCTION("""COMPUTED_VALUE"""),"AnalysiZ P85")</f>
        <v>AnalysiZ P85</v>
      </c>
      <c r="Y16" s="267">
        <v>-0.01</v>
      </c>
      <c r="Z16" s="267">
        <v>0.9715654992072524</v>
      </c>
      <c r="AA16" s="269"/>
      <c r="AB16" s="270"/>
      <c r="AC16" s="270"/>
      <c r="AD16" s="270"/>
      <c r="AE16" s="270"/>
    </row>
    <row r="17">
      <c r="A17" s="256">
        <f>IFERROR(__xludf.DUMMYFUNCTION("""COMPUTED_VALUE"""),42874.53958333333)</f>
        <v>42874.53958</v>
      </c>
      <c r="B17" s="257" t="str">
        <f>IFERROR(__xludf.DUMMYFUNCTION("""COMPUTED_VALUE"""),"Aggregate")</f>
        <v>Aggregate</v>
      </c>
      <c r="C17" s="258" t="str">
        <f>IFERROR(__xludf.DUMMYFUNCTION("""COMPUTED_VALUE"""),"Europe (excluding UK) &amp; Asia Pacific")</f>
        <v>Europe (excluding UK) &amp; Asia Pacific</v>
      </c>
      <c r="D17" s="258" t="str">
        <f>IFERROR(__xludf.DUMMYFUNCTION("""COMPUTED_VALUE"""),"km. My car displays range in kilometres and I will enter all range numbers in kilometres.")</f>
        <v>km. My car displays range in kilometres and I will enter all range numbers in kilometres.</v>
      </c>
      <c r="E17" s="259">
        <f>IFERROR(__xludf.DUMMYFUNCTION("""COMPUTED_VALUE"""),42545.0)</f>
        <v>42545</v>
      </c>
      <c r="F17" s="258" t="str">
        <f>IFERROR(__xludf.DUMMYFUNCTION("""COMPUTED_VALUE"""),"Model S 75")</f>
        <v>Model S 75</v>
      </c>
      <c r="G17" s="258" t="str">
        <f>IFERROR(__xludf.DUMMYFUNCTION("""COMPUTED_VALUE"""),"Weekly")</f>
        <v>Weekly</v>
      </c>
      <c r="H17" s="258" t="str">
        <f>IFERROR(__xludf.DUMMYFUNCTION("""COMPUTED_VALUE"""),"Monthly")</f>
        <v>Monthly</v>
      </c>
      <c r="I17" s="258" t="str">
        <f>IFERROR(__xludf.DUMMYFUNCTION("""COMPUTED_VALUE"""),"A few times a year")</f>
        <v>A few times a year</v>
      </c>
      <c r="J17" s="260">
        <f>IFERROR(__xludf.DUMMYFUNCTION("""COMPUTED_VALUE"""),0.9)</f>
        <v>0.9</v>
      </c>
      <c r="K17" s="258">
        <f>IFERROR(__xludf.DUMMYFUNCTION("""COMPUTED_VALUE"""),384.0)</f>
        <v>384</v>
      </c>
      <c r="L17" s="258" t="str">
        <f>IFERROR(__xludf.DUMMYFUNCTION("""COMPUTED_VALUE"""),"")</f>
        <v/>
      </c>
      <c r="M17" s="261">
        <f>IFERROR(__xludf.DUMMYFUNCTION("""COMPUTED_VALUE"""),194.0)</f>
        <v>194</v>
      </c>
      <c r="N17" s="262" t="str">
        <f>IFERROR(__xludf.DUMMYFUNCTION("""COMPUTED_VALUE"""),"")</f>
        <v/>
      </c>
      <c r="O17" s="259" t="str">
        <f>IFERROR(__xludf.DUMMYFUNCTION("""COMPUTED_VALUE"""),"")</f>
        <v/>
      </c>
      <c r="P17" s="259">
        <f>IFERROR(__xludf.DUMMYFUNCTION("""COMPUTED_VALUE"""),42874.0)</f>
        <v>42874</v>
      </c>
      <c r="Q17" s="258">
        <f>IFERROR(__xludf.DUMMYFUNCTION("""COMPUTED_VALUE"""),27000.0)</f>
        <v>27000</v>
      </c>
      <c r="R17" s="261">
        <f>IFERROR(__xludf.DUMMYFUNCTION("""COMPUTED_VALUE"""),370.0)</f>
        <v>370</v>
      </c>
      <c r="S17" s="258">
        <v>375.0</v>
      </c>
      <c r="T17" s="263">
        <v>0.9866666666666667</v>
      </c>
      <c r="U17" s="264">
        <v>16777.0</v>
      </c>
      <c r="V17" s="265">
        <v>27000.0</v>
      </c>
      <c r="W17" s="264">
        <v>16777.0</v>
      </c>
      <c r="X17" s="266" t="str">
        <f>IFERROR(__xludf.DUMMYFUNCTION("""COMPUTED_VALUE"""),"AnalysiZ S70")</f>
        <v>AnalysiZ S70</v>
      </c>
      <c r="Y17" s="267">
        <v>-0.01</v>
      </c>
      <c r="Z17" s="267">
        <v>0.9696665000394786</v>
      </c>
      <c r="AA17" s="269"/>
      <c r="AB17" s="270"/>
      <c r="AC17" s="270"/>
      <c r="AD17" s="270"/>
      <c r="AE17" s="270"/>
    </row>
    <row r="18">
      <c r="A18" s="256">
        <f>IFERROR(__xludf.DUMMYFUNCTION("""COMPUTED_VALUE"""),42944.56458333333)</f>
        <v>42944.56458</v>
      </c>
      <c r="B18" s="257" t="str">
        <f>IFERROR(__xludf.DUMMYFUNCTION("""COMPUTED_VALUE"""),"Aggregate")</f>
        <v>Aggregate</v>
      </c>
      <c r="C18" s="258" t="str">
        <f>IFERROR(__xludf.DUMMYFUNCTION("""COMPUTED_VALUE"""),"Europe (excluding UK) &amp; Asia Pacific")</f>
        <v>Europe (excluding UK) &amp; Asia Pacific</v>
      </c>
      <c r="D18" s="258" t="str">
        <f>IFERROR(__xludf.DUMMYFUNCTION("""COMPUTED_VALUE"""),"km. My car displays range in kilometres and I will enter all range numbers in kilometres.")</f>
        <v>km. My car displays range in kilometres and I will enter all range numbers in kilometres.</v>
      </c>
      <c r="E18" s="259">
        <f>IFERROR(__xludf.DUMMYFUNCTION("""COMPUTED_VALUE"""),42545.0)</f>
        <v>42545</v>
      </c>
      <c r="F18" s="258" t="str">
        <f>IFERROR(__xludf.DUMMYFUNCTION("""COMPUTED_VALUE"""),"Model S 75")</f>
        <v>Model S 75</v>
      </c>
      <c r="G18" s="258" t="str">
        <f>IFERROR(__xludf.DUMMYFUNCTION("""COMPUTED_VALUE"""),"Monthly")</f>
        <v>Monthly</v>
      </c>
      <c r="H18" s="258" t="str">
        <f>IFERROR(__xludf.DUMMYFUNCTION("""COMPUTED_VALUE"""),"A few times a year")</f>
        <v>A few times a year</v>
      </c>
      <c r="I18" s="258" t="str">
        <f>IFERROR(__xludf.DUMMYFUNCTION("""COMPUTED_VALUE"""),"A few times a year")</f>
        <v>A few times a year</v>
      </c>
      <c r="J18" s="260">
        <f>IFERROR(__xludf.DUMMYFUNCTION("""COMPUTED_VALUE"""),0.9)</f>
        <v>0.9</v>
      </c>
      <c r="K18" s="258">
        <f>IFERROR(__xludf.DUMMYFUNCTION("""COMPUTED_VALUE"""),384.0)</f>
        <v>384</v>
      </c>
      <c r="L18" s="258" t="str">
        <f>IFERROR(__xludf.DUMMYFUNCTION("""COMPUTED_VALUE"""),"")</f>
        <v/>
      </c>
      <c r="M18" s="261">
        <f>IFERROR(__xludf.DUMMYFUNCTION("""COMPUTED_VALUE"""),189.0)</f>
        <v>189</v>
      </c>
      <c r="N18" s="262" t="str">
        <f>IFERROR(__xludf.DUMMYFUNCTION("""COMPUTED_VALUE"""),"")</f>
        <v/>
      </c>
      <c r="O18" s="259" t="str">
        <f>IFERROR(__xludf.DUMMYFUNCTION("""COMPUTED_VALUE"""),"")</f>
        <v/>
      </c>
      <c r="P18" s="259">
        <f>IFERROR(__xludf.DUMMYFUNCTION("""COMPUTED_VALUE"""),42944.0)</f>
        <v>42944</v>
      </c>
      <c r="Q18" s="258">
        <f>IFERROR(__xludf.DUMMYFUNCTION("""COMPUTED_VALUE"""),32600.0)</f>
        <v>32600</v>
      </c>
      <c r="R18" s="261">
        <f>IFERROR(__xludf.DUMMYFUNCTION("""COMPUTED_VALUE"""),372.0)</f>
        <v>372</v>
      </c>
      <c r="S18" s="258">
        <v>375.0</v>
      </c>
      <c r="T18" s="263">
        <v>0.992</v>
      </c>
      <c r="U18" s="264">
        <v>20257.0</v>
      </c>
      <c r="V18" s="265">
        <v>32600.0</v>
      </c>
      <c r="W18" s="264">
        <v>20257.0</v>
      </c>
      <c r="X18" s="266" t="str">
        <f>IFERROR(__xludf.DUMMYFUNCTION("""COMPUTED_VALUE"""),"Anco")</f>
        <v>Anco</v>
      </c>
      <c r="Y18" s="267">
        <v>-0.01</v>
      </c>
      <c r="Z18" s="267">
        <v>0.9666145735788836</v>
      </c>
      <c r="AA18" s="269"/>
      <c r="AB18" s="270"/>
      <c r="AC18" s="270"/>
      <c r="AD18" s="270"/>
      <c r="AE18" s="270"/>
    </row>
    <row r="19">
      <c r="A19" s="256">
        <f>IFERROR(__xludf.DUMMYFUNCTION("""COMPUTED_VALUE"""),42987.60416666667)</f>
        <v>42987.60417</v>
      </c>
      <c r="B19" s="257" t="str">
        <f>IFERROR(__xludf.DUMMYFUNCTION("""COMPUTED_VALUE"""),"Aggregate")</f>
        <v>Aggregate</v>
      </c>
      <c r="C19" s="258" t="str">
        <f>IFERROR(__xludf.DUMMYFUNCTION("""COMPUTED_VALUE"""),"Europe (excluding UK) &amp; Asia Pacific")</f>
        <v>Europe (excluding UK) &amp; Asia Pacific</v>
      </c>
      <c r="D19" s="258" t="str">
        <f>IFERROR(__xludf.DUMMYFUNCTION("""COMPUTED_VALUE"""),"km. My car displays range in kilometres and I will enter all range numbers in kilometres.")</f>
        <v>km. My car displays range in kilometres and I will enter all range numbers in kilometres.</v>
      </c>
      <c r="E19" s="259">
        <f>IFERROR(__xludf.DUMMYFUNCTION("""COMPUTED_VALUE"""),42545.0)</f>
        <v>42545</v>
      </c>
      <c r="F19" s="258" t="str">
        <f>IFERROR(__xludf.DUMMYFUNCTION("""COMPUTED_VALUE"""),"Model S 75")</f>
        <v>Model S 75</v>
      </c>
      <c r="G19" s="258" t="str">
        <f>IFERROR(__xludf.DUMMYFUNCTION("""COMPUTED_VALUE"""),"")</f>
        <v/>
      </c>
      <c r="H19" s="258" t="str">
        <f>IFERROR(__xludf.DUMMYFUNCTION("""COMPUTED_VALUE"""),"")</f>
        <v/>
      </c>
      <c r="I19" s="258" t="str">
        <f>IFERROR(__xludf.DUMMYFUNCTION("""COMPUTED_VALUE"""),"")</f>
        <v/>
      </c>
      <c r="J19" s="260" t="str">
        <f>IFERROR(__xludf.DUMMYFUNCTION("""COMPUTED_VALUE"""),"")</f>
        <v/>
      </c>
      <c r="K19" s="258" t="str">
        <f>IFERROR(__xludf.DUMMYFUNCTION("""COMPUTED_VALUE"""),"")</f>
        <v/>
      </c>
      <c r="L19" s="258" t="str">
        <f>IFERROR(__xludf.DUMMYFUNCTION("""COMPUTED_VALUE"""),"")</f>
        <v/>
      </c>
      <c r="M19" s="261">
        <f>IFERROR(__xludf.DUMMYFUNCTION("""COMPUTED_VALUE"""),186.0)</f>
        <v>186</v>
      </c>
      <c r="N19" s="262" t="str">
        <f>IFERROR(__xludf.DUMMYFUNCTION("""COMPUTED_VALUE"""),"")</f>
        <v/>
      </c>
      <c r="O19" s="259" t="str">
        <f>IFERROR(__xludf.DUMMYFUNCTION("""COMPUTED_VALUE"""),"")</f>
        <v/>
      </c>
      <c r="P19" s="259">
        <f>IFERROR(__xludf.DUMMYFUNCTION("""COMPUTED_VALUE"""),42987.0)</f>
        <v>42987</v>
      </c>
      <c r="Q19" s="258">
        <f>IFERROR(__xludf.DUMMYFUNCTION("""COMPUTED_VALUE"""),37850.0)</f>
        <v>37850</v>
      </c>
      <c r="R19" s="261">
        <f>IFERROR(__xludf.DUMMYFUNCTION("""COMPUTED_VALUE"""),371.0)</f>
        <v>371</v>
      </c>
      <c r="S19" s="258">
        <v>375.0</v>
      </c>
      <c r="T19" s="263">
        <v>0.9893333333333333</v>
      </c>
      <c r="U19" s="264">
        <v>23519.0</v>
      </c>
      <c r="V19" s="265">
        <v>37850.0</v>
      </c>
      <c r="W19" s="264">
        <v>23519.0</v>
      </c>
      <c r="X19" s="266" t="str">
        <f>IFERROR(__xludf.DUMMYFUNCTION("""COMPUTED_VALUE"""),"anco")</f>
        <v>anco</v>
      </c>
      <c r="Y19" s="267">
        <v>-0.01</v>
      </c>
      <c r="Z19" s="267">
        <v>0.964200450379826</v>
      </c>
      <c r="AA19" s="269"/>
      <c r="AB19" s="270"/>
      <c r="AC19" s="270"/>
      <c r="AD19" s="270"/>
      <c r="AE19" s="270"/>
    </row>
    <row r="20">
      <c r="A20" s="256">
        <f>IFERROR(__xludf.DUMMYFUNCTION("""COMPUTED_VALUE"""),43002.61041666666)</f>
        <v>43002.61042</v>
      </c>
      <c r="B20" s="257" t="str">
        <f>IFERROR(__xludf.DUMMYFUNCTION("""COMPUTED_VALUE"""),"Aggregate")</f>
        <v>Aggregate</v>
      </c>
      <c r="C20" s="258" t="str">
        <f>IFERROR(__xludf.DUMMYFUNCTION("""COMPUTED_VALUE"""),"Europe (excluding UK) &amp; Asia Pacific")</f>
        <v>Europe (excluding UK) &amp; Asia Pacific</v>
      </c>
      <c r="D20" s="258" t="str">
        <f>IFERROR(__xludf.DUMMYFUNCTION("""COMPUTED_VALUE"""),"km. My car displays range in kilometres and I will enter all range numbers in kilometres.")</f>
        <v>km. My car displays range in kilometres and I will enter all range numbers in kilometres.</v>
      </c>
      <c r="E20" s="259">
        <f>IFERROR(__xludf.DUMMYFUNCTION("""COMPUTED_VALUE"""),42545.0)</f>
        <v>42545</v>
      </c>
      <c r="F20" s="258" t="str">
        <f>IFERROR(__xludf.DUMMYFUNCTION("""COMPUTED_VALUE"""),"Model S 75")</f>
        <v>Model S 75</v>
      </c>
      <c r="G20" s="258" t="str">
        <f>IFERROR(__xludf.DUMMYFUNCTION("""COMPUTED_VALUE"""),"")</f>
        <v/>
      </c>
      <c r="H20" s="258" t="str">
        <f>IFERROR(__xludf.DUMMYFUNCTION("""COMPUTED_VALUE"""),"")</f>
        <v/>
      </c>
      <c r="I20" s="258" t="str">
        <f>IFERROR(__xludf.DUMMYFUNCTION("""COMPUTED_VALUE"""),"")</f>
        <v/>
      </c>
      <c r="J20" s="260" t="str">
        <f>IFERROR(__xludf.DUMMYFUNCTION("""COMPUTED_VALUE"""),"")</f>
        <v/>
      </c>
      <c r="K20" s="258" t="str">
        <f>IFERROR(__xludf.DUMMYFUNCTION("""COMPUTED_VALUE"""),"")</f>
        <v/>
      </c>
      <c r="L20" s="258" t="str">
        <f>IFERROR(__xludf.DUMMYFUNCTION("""COMPUTED_VALUE"""),"")</f>
        <v/>
      </c>
      <c r="M20" s="261">
        <f>IFERROR(__xludf.DUMMYFUNCTION("""COMPUTED_VALUE"""),185.0)</f>
        <v>185</v>
      </c>
      <c r="N20" s="262" t="str">
        <f>IFERROR(__xludf.DUMMYFUNCTION("""COMPUTED_VALUE"""),"")</f>
        <v/>
      </c>
      <c r="O20" s="259" t="str">
        <f>IFERROR(__xludf.DUMMYFUNCTION("""COMPUTED_VALUE"""),"")</f>
        <v/>
      </c>
      <c r="P20" s="259">
        <f>IFERROR(__xludf.DUMMYFUNCTION("""COMPUTED_VALUE"""),43002.0)</f>
        <v>43002</v>
      </c>
      <c r="Q20" s="258">
        <f>IFERROR(__xludf.DUMMYFUNCTION("""COMPUTED_VALUE"""),40000.0)</f>
        <v>40000</v>
      </c>
      <c r="R20" s="261">
        <f>IFERROR(__xludf.DUMMYFUNCTION("""COMPUTED_VALUE"""),370.0)</f>
        <v>370</v>
      </c>
      <c r="S20" s="258">
        <v>375.0</v>
      </c>
      <c r="T20" s="263">
        <v>0.9866666666666667</v>
      </c>
      <c r="U20" s="264">
        <v>24855.0</v>
      </c>
      <c r="V20" s="265">
        <v>40000.0</v>
      </c>
      <c r="W20" s="264">
        <v>24855.0</v>
      </c>
      <c r="X20" s="266" t="str">
        <f>IFERROR(__xludf.DUMMYFUNCTION("""COMPUTED_VALUE"""),"ancreserve")</f>
        <v>ancreserve</v>
      </c>
      <c r="Y20" s="267">
        <v>-0.01</v>
      </c>
      <c r="Z20" s="267">
        <v>0.9633084629971033</v>
      </c>
      <c r="AA20" s="269"/>
      <c r="AB20" s="270"/>
      <c r="AC20" s="270"/>
      <c r="AD20" s="270"/>
      <c r="AE20" s="270"/>
    </row>
    <row r="21">
      <c r="A21" s="256">
        <f>IFERROR(__xludf.DUMMYFUNCTION("""COMPUTED_VALUE"""),43102.660416666666)</f>
        <v>43102.66042</v>
      </c>
      <c r="B21" s="257" t="str">
        <f>IFERROR(__xludf.DUMMYFUNCTION("""COMPUTED_VALUE"""),"Aggregate")</f>
        <v>Aggregate</v>
      </c>
      <c r="C21" s="258" t="str">
        <f>IFERROR(__xludf.DUMMYFUNCTION("""COMPUTED_VALUE"""),"Europe (excluding UK) &amp; Asia Pacific")</f>
        <v>Europe (excluding UK) &amp; Asia Pacific</v>
      </c>
      <c r="D21" s="258" t="str">
        <f>IFERROR(__xludf.DUMMYFUNCTION("""COMPUTED_VALUE"""),"km. My car displays range in kilometres and I will enter all range numbers in kilometres.")</f>
        <v>km. My car displays range in kilometres and I will enter all range numbers in kilometres.</v>
      </c>
      <c r="E21" s="259">
        <f>IFERROR(__xludf.DUMMYFUNCTION("""COMPUTED_VALUE"""),42545.0)</f>
        <v>42545</v>
      </c>
      <c r="F21" s="258" t="str">
        <f>IFERROR(__xludf.DUMMYFUNCTION("""COMPUTED_VALUE"""),"Model S 75")</f>
        <v>Model S 75</v>
      </c>
      <c r="G21" s="258" t="str">
        <f>IFERROR(__xludf.DUMMYFUNCTION("""COMPUTED_VALUE"""),"Twice a month")</f>
        <v>Twice a month</v>
      </c>
      <c r="H21" s="258" t="str">
        <f>IFERROR(__xludf.DUMMYFUNCTION("""COMPUTED_VALUE"""),"Monthly")</f>
        <v>Monthly</v>
      </c>
      <c r="I21" s="258" t="str">
        <f>IFERROR(__xludf.DUMMYFUNCTION("""COMPUTED_VALUE"""),"Once or twice a year")</f>
        <v>Once or twice a year</v>
      </c>
      <c r="J21" s="260">
        <f>IFERROR(__xludf.DUMMYFUNCTION("""COMPUTED_VALUE"""),0.7)</f>
        <v>0.7</v>
      </c>
      <c r="K21" s="258" t="str">
        <f>IFERROR(__xludf.DUMMYFUNCTION("""COMPUTED_VALUE"""),"")</f>
        <v/>
      </c>
      <c r="L21" s="258" t="str">
        <f>IFERROR(__xludf.DUMMYFUNCTION("""COMPUTED_VALUE"""),"")</f>
        <v/>
      </c>
      <c r="M21" s="261">
        <f>IFERROR(__xludf.DUMMYFUNCTION("""COMPUTED_VALUE"""),187.0)</f>
        <v>187</v>
      </c>
      <c r="N21" s="262" t="str">
        <f>IFERROR(__xludf.DUMMYFUNCTION("""COMPUTED_VALUE"""),"")</f>
        <v/>
      </c>
      <c r="O21" s="259" t="str">
        <f>IFERROR(__xludf.DUMMYFUNCTION("""COMPUTED_VALUE"""),"")</f>
        <v/>
      </c>
      <c r="P21" s="259">
        <f>IFERROR(__xludf.DUMMYFUNCTION("""COMPUTED_VALUE"""),43102.0)</f>
        <v>43102</v>
      </c>
      <c r="Q21" s="258">
        <f>IFERROR(__xludf.DUMMYFUNCTION("""COMPUTED_VALUE"""),51500.0)</f>
        <v>51500</v>
      </c>
      <c r="R21" s="261">
        <f>IFERROR(__xludf.DUMMYFUNCTION("""COMPUTED_VALUE"""),366.0)</f>
        <v>366</v>
      </c>
      <c r="S21" s="258">
        <v>375.0</v>
      </c>
      <c r="T21" s="263">
        <v>0.976</v>
      </c>
      <c r="U21" s="264">
        <v>32001.0</v>
      </c>
      <c r="V21" s="265">
        <v>51500.0</v>
      </c>
      <c r="W21" s="264">
        <v>32001.0</v>
      </c>
      <c r="X21" s="266" t="str">
        <f>IFERROR(__xludf.DUMMYFUNCTION("""COMPUTED_VALUE"""),"Andre68")</f>
        <v>Andre68</v>
      </c>
      <c r="Y21" s="267">
        <v>-0.01</v>
      </c>
      <c r="Z21" s="267">
        <v>0.9592055555327416</v>
      </c>
      <c r="AA21" s="269"/>
      <c r="AB21" s="270"/>
      <c r="AC21" s="270"/>
      <c r="AD21" s="270"/>
      <c r="AE21" s="270"/>
    </row>
    <row r="22">
      <c r="A22" s="256">
        <f>IFERROR(__xludf.DUMMYFUNCTION("""COMPUTED_VALUE"""),43152.697222222225)</f>
        <v>43152.69722</v>
      </c>
      <c r="B22" s="257" t="str">
        <f>IFERROR(__xludf.DUMMYFUNCTION("""COMPUTED_VALUE"""),"Aggregate")</f>
        <v>Aggregate</v>
      </c>
      <c r="C22" s="258" t="str">
        <f>IFERROR(__xludf.DUMMYFUNCTION("""COMPUTED_VALUE"""),"Europe (excluding UK) &amp; Asia Pacific")</f>
        <v>Europe (excluding UK) &amp; Asia Pacific</v>
      </c>
      <c r="D22" s="258" t="str">
        <f>IFERROR(__xludf.DUMMYFUNCTION("""COMPUTED_VALUE"""),"km. My car displays range in kilometres and I will enter all range numbers in kilometres.")</f>
        <v>km. My car displays range in kilometres and I will enter all range numbers in kilometres.</v>
      </c>
      <c r="E22" s="259">
        <f>IFERROR(__xludf.DUMMYFUNCTION("""COMPUTED_VALUE"""),42545.0)</f>
        <v>42545</v>
      </c>
      <c r="F22" s="258" t="str">
        <f>IFERROR(__xludf.DUMMYFUNCTION("""COMPUTED_VALUE"""),"Model S 75")</f>
        <v>Model S 75</v>
      </c>
      <c r="G22" s="258" t="str">
        <f>IFERROR(__xludf.DUMMYFUNCTION("""COMPUTED_VALUE"""),"")</f>
        <v/>
      </c>
      <c r="H22" s="258" t="str">
        <f>IFERROR(__xludf.DUMMYFUNCTION("""COMPUTED_VALUE"""),"")</f>
        <v/>
      </c>
      <c r="I22" s="258" t="str">
        <f>IFERROR(__xludf.DUMMYFUNCTION("""COMPUTED_VALUE"""),"")</f>
        <v/>
      </c>
      <c r="J22" s="260" t="str">
        <f>IFERROR(__xludf.DUMMYFUNCTION("""COMPUTED_VALUE"""),"")</f>
        <v/>
      </c>
      <c r="K22" s="258" t="str">
        <f>IFERROR(__xludf.DUMMYFUNCTION("""COMPUTED_VALUE"""),"")</f>
        <v/>
      </c>
      <c r="L22" s="258" t="str">
        <f>IFERROR(__xludf.DUMMYFUNCTION("""COMPUTED_VALUE"""),"")</f>
        <v/>
      </c>
      <c r="M22" s="261">
        <f>IFERROR(__xludf.DUMMYFUNCTION("""COMPUTED_VALUE"""),188.0)</f>
        <v>188</v>
      </c>
      <c r="N22" s="262" t="str">
        <f>IFERROR(__xludf.DUMMYFUNCTION("""COMPUTED_VALUE"""),"")</f>
        <v/>
      </c>
      <c r="O22" s="259" t="str">
        <f>IFERROR(__xludf.DUMMYFUNCTION("""COMPUTED_VALUE"""),"")</f>
        <v/>
      </c>
      <c r="P22" s="259">
        <f>IFERROR(__xludf.DUMMYFUNCTION("""COMPUTED_VALUE"""),43152.0)</f>
        <v>43152</v>
      </c>
      <c r="Q22" s="258">
        <f>IFERROR(__xludf.DUMMYFUNCTION("""COMPUTED_VALUE"""),55200.0)</f>
        <v>55200</v>
      </c>
      <c r="R22" s="261">
        <f>IFERROR(__xludf.DUMMYFUNCTION("""COMPUTED_VALUE"""),364.0)</f>
        <v>364</v>
      </c>
      <c r="S22" s="258">
        <v>375.0</v>
      </c>
      <c r="T22" s="263">
        <v>0.9706666666666667</v>
      </c>
      <c r="U22" s="264">
        <v>34300.0</v>
      </c>
      <c r="V22" s="265">
        <v>55200.0</v>
      </c>
      <c r="W22" s="264">
        <v>34300.0</v>
      </c>
      <c r="X22" s="266" t="str">
        <f>IFERROR(__xludf.DUMMYFUNCTION("""COMPUTED_VALUE"""),"Andyw2100")</f>
        <v>Andyw2100</v>
      </c>
      <c r="Y22" s="267">
        <v>-0.01</v>
      </c>
      <c r="Z22" s="267">
        <v>0.9580571141964792</v>
      </c>
      <c r="AA22" s="269"/>
      <c r="AB22" s="270"/>
      <c r="AC22" s="270"/>
      <c r="AD22" s="270"/>
      <c r="AE22" s="270"/>
    </row>
    <row r="23">
      <c r="A23" s="256">
        <f>IFERROR(__xludf.DUMMYFUNCTION("""COMPUTED_VALUE"""),43588.47595778935)</f>
        <v>43588.47596</v>
      </c>
      <c r="B23" s="257" t="str">
        <f>IFERROR(__xludf.DUMMYFUNCTION("""COMPUTED_VALUE"""),"Aggregate")</f>
        <v>Aggregate</v>
      </c>
      <c r="C23" s="258" t="str">
        <f>IFERROR(__xludf.DUMMYFUNCTION("""COMPUTED_VALUE"""),"Europe (excluding UK) &amp; Asia Pacific")</f>
        <v>Europe (excluding UK) &amp; Asia Pacific</v>
      </c>
      <c r="D23" s="258" t="str">
        <f>IFERROR(__xludf.DUMMYFUNCTION("""COMPUTED_VALUE"""),"km. My car displays range in kilometres and I will enter all range numbers in kilometres.")</f>
        <v>km. My car displays range in kilometres and I will enter all range numbers in kilometres.</v>
      </c>
      <c r="E23" s="259">
        <f>IFERROR(__xludf.DUMMYFUNCTION("""COMPUTED_VALUE"""),42545.0)</f>
        <v>42545</v>
      </c>
      <c r="F23" s="258" t="str">
        <f>IFERROR(__xludf.DUMMYFUNCTION("""COMPUTED_VALUE"""),"Model S 75")</f>
        <v>Model S 75</v>
      </c>
      <c r="G23" s="258" t="str">
        <f>IFERROR(__xludf.DUMMYFUNCTION("""COMPUTED_VALUE"""),"A few times a year")</f>
        <v>A few times a year</v>
      </c>
      <c r="H23" s="258" t="str">
        <f>IFERROR(__xludf.DUMMYFUNCTION("""COMPUTED_VALUE"""),"A few times a year")</f>
        <v>A few times a year</v>
      </c>
      <c r="I23" s="258" t="str">
        <f>IFERROR(__xludf.DUMMYFUNCTION("""COMPUTED_VALUE"""),"Never")</f>
        <v>Never</v>
      </c>
      <c r="J23" s="260">
        <f>IFERROR(__xludf.DUMMYFUNCTION("""COMPUTED_VALUE"""),0.8)</f>
        <v>0.8</v>
      </c>
      <c r="K23" s="258">
        <f>IFERROR(__xludf.DUMMYFUNCTION("""COMPUTED_VALUE"""),384.0)</f>
        <v>384</v>
      </c>
      <c r="L23" s="258" t="str">
        <f>IFERROR(__xludf.DUMMYFUNCTION("""COMPUTED_VALUE"""),"")</f>
        <v/>
      </c>
      <c r="M23" s="261">
        <f>IFERROR(__xludf.DUMMYFUNCTION("""COMPUTED_VALUE"""),184.0)</f>
        <v>184</v>
      </c>
      <c r="N23" s="262" t="str">
        <f>IFERROR(__xludf.DUMMYFUNCTION("""COMPUTED_VALUE"""),"")</f>
        <v/>
      </c>
      <c r="O23" s="259" t="str">
        <f>IFERROR(__xludf.DUMMYFUNCTION("""COMPUTED_VALUE"""),"")</f>
        <v/>
      </c>
      <c r="P23" s="259">
        <f>IFERROR(__xludf.DUMMYFUNCTION("""COMPUTED_VALUE"""),43772.0)</f>
        <v>43772</v>
      </c>
      <c r="Q23" s="258">
        <f>IFERROR(__xludf.DUMMYFUNCTION("""COMPUTED_VALUE"""),93053.0)</f>
        <v>93053</v>
      </c>
      <c r="R23" s="261">
        <f>IFERROR(__xludf.DUMMYFUNCTION("""COMPUTED_VALUE"""),348.0)</f>
        <v>348</v>
      </c>
      <c r="S23" s="258">
        <v>375.0</v>
      </c>
      <c r="T23" s="263">
        <v>0.928</v>
      </c>
      <c r="U23" s="264">
        <v>57820.0</v>
      </c>
      <c r="V23" s="265">
        <v>93053.0</v>
      </c>
      <c r="W23" s="264">
        <v>57820.0</v>
      </c>
      <c r="X23" s="266" t="str">
        <f>IFERROR(__xludf.DUMMYFUNCTION("""COMPUTED_VALUE"""),"Anssi")</f>
        <v>Anssi</v>
      </c>
      <c r="Y23" s="267">
        <v>-0.01</v>
      </c>
      <c r="Z23" s="267">
        <v>0.9482332109035263</v>
      </c>
      <c r="AA23" s="269"/>
      <c r="AB23" s="270"/>
      <c r="AC23" s="270"/>
      <c r="AD23" s="270"/>
      <c r="AE23" s="270"/>
    </row>
    <row r="24">
      <c r="A24" s="256">
        <f>IFERROR(__xludf.DUMMYFUNCTION("""COMPUTED_VALUE"""),43855.78672140046)</f>
        <v>43855.78672</v>
      </c>
      <c r="B24" s="257" t="str">
        <f>IFERROR(__xludf.DUMMYFUNCTION("""COMPUTED_VALUE"""),"ahkahn")</f>
        <v>ahkahn</v>
      </c>
      <c r="C24" s="258" t="str">
        <f>IFERROR(__xludf.DUMMYFUNCTION("""COMPUTED_VALUE"""),"USA")</f>
        <v>USA</v>
      </c>
      <c r="D24" s="258" t="str">
        <f>IFERROR(__xludf.DUMMYFUNCTION("""COMPUTED_VALUE"""),"mi. My car displays range in miles and I will enter all range numbers in miles.")</f>
        <v>mi. My car displays range in miles and I will enter all range numbers in miles.</v>
      </c>
      <c r="E24" s="259">
        <f>IFERROR(__xludf.DUMMYFUNCTION("""COMPUTED_VALUE"""),42811.0)</f>
        <v>42811</v>
      </c>
      <c r="F24" s="258" t="str">
        <f>IFERROR(__xludf.DUMMYFUNCTION("""COMPUTED_VALUE"""),"Model S 90D")</f>
        <v>Model S 90D</v>
      </c>
      <c r="G24" s="258" t="str">
        <f>IFERROR(__xludf.DUMMYFUNCTION("""COMPUTED_VALUE"""),"Monthly")</f>
        <v>Monthly</v>
      </c>
      <c r="H24" s="258" t="str">
        <f>IFERROR(__xludf.DUMMYFUNCTION("""COMPUTED_VALUE"""),"Monthly")</f>
        <v>Monthly</v>
      </c>
      <c r="I24" s="258" t="str">
        <f>IFERROR(__xludf.DUMMYFUNCTION("""COMPUTED_VALUE"""),"")</f>
        <v/>
      </c>
      <c r="J24" s="260">
        <f>IFERROR(__xludf.DUMMYFUNCTION("""COMPUTED_VALUE"""),0.9)</f>
        <v>0.9</v>
      </c>
      <c r="K24" s="258">
        <f>IFERROR(__xludf.DUMMYFUNCTION("""COMPUTED_VALUE"""),297.0)</f>
        <v>297</v>
      </c>
      <c r="L24" s="258" t="str">
        <f>IFERROR(__xludf.DUMMYFUNCTION("""COMPUTED_VALUE"""),"")</f>
        <v/>
      </c>
      <c r="M24" s="261" t="str">
        <f>IFERROR(__xludf.DUMMYFUNCTION("""COMPUTED_VALUE"""),"")</f>
        <v/>
      </c>
      <c r="N24" s="262" t="str">
        <f>IFERROR(__xludf.DUMMYFUNCTION("""COMPUTED_VALUE"""),"")</f>
        <v/>
      </c>
      <c r="O24" s="259" t="str">
        <f>IFERROR(__xludf.DUMMYFUNCTION("""COMPUTED_VALUE"""),"")</f>
        <v/>
      </c>
      <c r="P24" s="259">
        <f>IFERROR(__xludf.DUMMYFUNCTION("""COMPUTED_VALUE"""),43842.0)</f>
        <v>43842</v>
      </c>
      <c r="Q24" s="258">
        <f>IFERROR(__xludf.DUMMYFUNCTION("""COMPUTED_VALUE"""),70220.0)</f>
        <v>70220</v>
      </c>
      <c r="R24" s="261">
        <f>IFERROR(__xludf.DUMMYFUNCTION("""COMPUTED_VALUE"""),266.0)</f>
        <v>266</v>
      </c>
      <c r="S24" s="258">
        <v>292.0</v>
      </c>
      <c r="T24" s="263">
        <v>0.910958904109589</v>
      </c>
      <c r="U24" s="264">
        <v>70220.0</v>
      </c>
      <c r="V24" s="265">
        <v>113008.0</v>
      </c>
      <c r="W24" s="264">
        <v>70220.0</v>
      </c>
      <c r="X24" s="266" t="str">
        <f>IFERROR(__xludf.DUMMYFUNCTION("""COMPUTED_VALUE"""),"apollo 46")</f>
        <v>apollo 46</v>
      </c>
      <c r="Y24" s="267">
        <v>-0.01</v>
      </c>
      <c r="Z24" s="267">
        <v>0.943537200208044</v>
      </c>
      <c r="AA24" s="269"/>
      <c r="AB24" s="270"/>
      <c r="AC24" s="270"/>
      <c r="AD24" s="270"/>
      <c r="AE24" s="270"/>
    </row>
    <row r="25">
      <c r="A25" s="256">
        <f>IFERROR(__xludf.DUMMYFUNCTION("""COMPUTED_VALUE"""),42683.4875)</f>
        <v>42683.4875</v>
      </c>
      <c r="B25" s="257" t="str">
        <f>IFERROR(__xludf.DUMMYFUNCTION("""COMPUTED_VALUE"""),"aikisteve")</f>
        <v>aikisteve</v>
      </c>
      <c r="C25" s="258" t="str">
        <f>IFERROR(__xludf.DUMMYFUNCTION("""COMPUTED_VALUE"""),"Europe (excluding UK) &amp; Asia Pacific")</f>
        <v>Europe (excluding UK) &amp; Asia Pacific</v>
      </c>
      <c r="D25" s="258" t="str">
        <f>IFERROR(__xludf.DUMMYFUNCTION("""COMPUTED_VALUE"""),"km. My car displays range in kilometres and I will enter all range numbers in kilometres.")</f>
        <v>km. My car displays range in kilometres and I will enter all range numbers in kilometres.</v>
      </c>
      <c r="E25" s="259">
        <f>IFERROR(__xludf.DUMMYFUNCTION("""COMPUTED_VALUE"""),42019.0)</f>
        <v>42019</v>
      </c>
      <c r="F25" s="258" t="str">
        <f>IFERROR(__xludf.DUMMYFUNCTION("""COMPUTED_VALUE"""),"Model S P85D")</f>
        <v>Model S P85D</v>
      </c>
      <c r="G25" s="258" t="str">
        <f>IFERROR(__xludf.DUMMYFUNCTION("""COMPUTED_VALUE"""),"Weekly")</f>
        <v>Weekly</v>
      </c>
      <c r="H25" s="258" t="str">
        <f>IFERROR(__xludf.DUMMYFUNCTION("""COMPUTED_VALUE"""),"A few times a year")</f>
        <v>A few times a year</v>
      </c>
      <c r="I25" s="258" t="str">
        <f>IFERROR(__xludf.DUMMYFUNCTION("""COMPUTED_VALUE"""),"A few times a year")</f>
        <v>A few times a year</v>
      </c>
      <c r="J25" s="260">
        <f>IFERROR(__xludf.DUMMYFUNCTION("""COMPUTED_VALUE"""),0.9)</f>
        <v>0.9</v>
      </c>
      <c r="K25" s="258">
        <f>IFERROR(__xludf.DUMMYFUNCTION("""COMPUTED_VALUE"""),411.0)</f>
        <v>411</v>
      </c>
      <c r="L25" s="258" t="str">
        <f>IFERROR(__xludf.DUMMYFUNCTION("""COMPUTED_VALUE"""),"")</f>
        <v/>
      </c>
      <c r="M25" s="261">
        <f>IFERROR(__xludf.DUMMYFUNCTION("""COMPUTED_VALUE"""),220.0)</f>
        <v>220</v>
      </c>
      <c r="N25" s="262" t="str">
        <f>IFERROR(__xludf.DUMMYFUNCTION("""COMPUTED_VALUE"""),"")</f>
        <v/>
      </c>
      <c r="O25" s="259" t="str">
        <f>IFERROR(__xludf.DUMMYFUNCTION("""COMPUTED_VALUE"""),"")</f>
        <v/>
      </c>
      <c r="P25" s="259">
        <f>IFERROR(__xludf.DUMMYFUNCTION("""COMPUTED_VALUE"""),42683.0)</f>
        <v>42683</v>
      </c>
      <c r="Q25" s="258">
        <f>IFERROR(__xludf.DUMMYFUNCTION("""COMPUTED_VALUE"""),63000.0)</f>
        <v>63000</v>
      </c>
      <c r="R25" s="261">
        <f>IFERROR(__xludf.DUMMYFUNCTION("""COMPUTED_VALUE"""),379.0)</f>
        <v>379</v>
      </c>
      <c r="S25" s="258">
        <v>403.0</v>
      </c>
      <c r="T25" s="263">
        <v>0.9404466501240695</v>
      </c>
      <c r="U25" s="264">
        <v>39146.0</v>
      </c>
      <c r="V25" s="265">
        <v>63000.0</v>
      </c>
      <c r="W25" s="264">
        <v>39146.0</v>
      </c>
      <c r="X25" s="266" t="str">
        <f>IFERROR(__xludf.DUMMYFUNCTION("""COMPUTED_VALUE"""),"arjan.a")</f>
        <v>arjan.a</v>
      </c>
      <c r="Y25" s="267">
        <v>-0.01</v>
      </c>
      <c r="Z25" s="267">
        <v>0.9558098622040557</v>
      </c>
      <c r="AA25" s="269"/>
      <c r="AB25" s="270"/>
      <c r="AC25" s="270"/>
      <c r="AD25" s="270"/>
      <c r="AE25" s="270"/>
    </row>
    <row r="26">
      <c r="A26" s="256">
        <f>IFERROR(__xludf.DUMMYFUNCTION("""COMPUTED_VALUE"""),41956.0375)</f>
        <v>41956.0375</v>
      </c>
      <c r="B26" s="257" t="str">
        <f>IFERROR(__xludf.DUMMYFUNCTION("""COMPUTED_VALUE"""),"Alain13")</f>
        <v>Alain13</v>
      </c>
      <c r="C26" s="258" t="str">
        <f>IFERROR(__xludf.DUMMYFUNCTION("""COMPUTED_VALUE"""),"Europe (excluding UK) &amp; Asia Pacific")</f>
        <v>Europe (excluding UK) &amp; Asia Pacific</v>
      </c>
      <c r="D26" s="258" t="str">
        <f>IFERROR(__xludf.DUMMYFUNCTION("""COMPUTED_VALUE"""),"km. My car displays range in kilometres and I will enter all range numbers in kilometres.")</f>
        <v>km. My car displays range in kilometres and I will enter all range numbers in kilometres.</v>
      </c>
      <c r="E26" s="259">
        <f>IFERROR(__xludf.DUMMYFUNCTION("""COMPUTED_VALUE"""),41740.0)</f>
        <v>41740</v>
      </c>
      <c r="F26" s="258" t="str">
        <f>IFERROR(__xludf.DUMMYFUNCTION("""COMPUTED_VALUE"""),"Unspecified 85 kWh")</f>
        <v>Unspecified 85 kWh</v>
      </c>
      <c r="G26" s="258" t="str">
        <f>IFERROR(__xludf.DUMMYFUNCTION("""COMPUTED_VALUE"""),"A few times a year")</f>
        <v>A few times a year</v>
      </c>
      <c r="H26" s="258" t="str">
        <f>IFERROR(__xludf.DUMMYFUNCTION("""COMPUTED_VALUE"""),"A few times a year")</f>
        <v>A few times a year</v>
      </c>
      <c r="I26" s="258" t="str">
        <f>IFERROR(__xludf.DUMMYFUNCTION("""COMPUTED_VALUE"""),"Never")</f>
        <v>Never</v>
      </c>
      <c r="J26" s="260" t="str">
        <f>IFERROR(__xludf.DUMMYFUNCTION("""COMPUTED_VALUE"""),"")</f>
        <v/>
      </c>
      <c r="K26" s="258" t="str">
        <f>IFERROR(__xludf.DUMMYFUNCTION("""COMPUTED_VALUE"""),"")</f>
        <v/>
      </c>
      <c r="L26" s="258" t="str">
        <f>IFERROR(__xludf.DUMMYFUNCTION("""COMPUTED_VALUE"""),"")</f>
        <v/>
      </c>
      <c r="M26" s="261">
        <f>IFERROR(__xludf.DUMMYFUNCTION("""COMPUTED_VALUE"""),224.0)</f>
        <v>224</v>
      </c>
      <c r="N26" s="262" t="str">
        <f>IFERROR(__xludf.DUMMYFUNCTION("""COMPUTED_VALUE"""),"")</f>
        <v/>
      </c>
      <c r="O26" s="259" t="str">
        <f>IFERROR(__xludf.DUMMYFUNCTION("""COMPUTED_VALUE"""),"")</f>
        <v/>
      </c>
      <c r="P26" s="259">
        <f>IFERROR(__xludf.DUMMYFUNCTION("""COMPUTED_VALUE"""),41956.0)</f>
        <v>41956</v>
      </c>
      <c r="Q26" s="258">
        <f>IFERROR(__xludf.DUMMYFUNCTION("""COMPUTED_VALUE"""),12000.0)</f>
        <v>12000</v>
      </c>
      <c r="R26" s="261">
        <f>IFERROR(__xludf.DUMMYFUNCTION("""COMPUTED_VALUE"""),388.0)</f>
        <v>388</v>
      </c>
      <c r="S26" s="258">
        <v>395.0</v>
      </c>
      <c r="T26" s="263">
        <v>0.9822784810126582</v>
      </c>
      <c r="U26" s="264">
        <v>7456.0</v>
      </c>
      <c r="V26" s="265">
        <v>12000.0</v>
      </c>
      <c r="W26" s="264">
        <v>7456.0</v>
      </c>
      <c r="X26" s="266" t="str">
        <f>IFERROR(__xludf.DUMMYFUNCTION("""COMPUTED_VALUE"""),"arnkl")</f>
        <v>arnkl</v>
      </c>
      <c r="Y26" s="267">
        <v>-0.01</v>
      </c>
      <c r="Z26" s="267">
        <v>0.9819432340176522</v>
      </c>
      <c r="AA26" s="269"/>
      <c r="AB26" s="270"/>
      <c r="AC26" s="270"/>
      <c r="AD26" s="270"/>
      <c r="AE26" s="270"/>
    </row>
    <row r="27">
      <c r="A27" s="256">
        <f>IFERROR(__xludf.DUMMYFUNCTION("""COMPUTED_VALUE"""),43216.73125)</f>
        <v>43216.73125</v>
      </c>
      <c r="B27" s="257" t="str">
        <f>IFERROR(__xludf.DUMMYFUNCTION("""COMPUTED_VALUE"""),"alertic")</f>
        <v>alertic</v>
      </c>
      <c r="C27" s="258" t="str">
        <f>IFERROR(__xludf.DUMMYFUNCTION("""COMPUTED_VALUE"""),"Europe (excluding UK) &amp; Asia Pacific")</f>
        <v>Europe (excluding UK) &amp; Asia Pacific</v>
      </c>
      <c r="D27" s="258" t="str">
        <f>IFERROR(__xludf.DUMMYFUNCTION("""COMPUTED_VALUE"""),"km. My car displays range in kilometres and I will enter all range numbers in kilometres.")</f>
        <v>km. My car displays range in kilometres and I will enter all range numbers in kilometres.</v>
      </c>
      <c r="E27" s="259">
        <f>IFERROR(__xludf.DUMMYFUNCTION("""COMPUTED_VALUE"""),42170.0)</f>
        <v>42170</v>
      </c>
      <c r="F27" s="258" t="str">
        <f>IFERROR(__xludf.DUMMYFUNCTION("""COMPUTED_VALUE"""),"Model S 85D")</f>
        <v>Model S 85D</v>
      </c>
      <c r="G27" s="258" t="str">
        <f>IFERROR(__xludf.DUMMYFUNCTION("""COMPUTED_VALUE"""),"A few times a year")</f>
        <v>A few times a year</v>
      </c>
      <c r="H27" s="258" t="str">
        <f>IFERROR(__xludf.DUMMYFUNCTION("""COMPUTED_VALUE"""),"A few times a year")</f>
        <v>A few times a year</v>
      </c>
      <c r="I27" s="258" t="str">
        <f>IFERROR(__xludf.DUMMYFUNCTION("""COMPUTED_VALUE"""),"Never")</f>
        <v>Never</v>
      </c>
      <c r="J27" s="260">
        <f>IFERROR(__xludf.DUMMYFUNCTION("""COMPUTED_VALUE"""),0.9)</f>
        <v>0.9</v>
      </c>
      <c r="K27" s="258" t="str">
        <f>IFERROR(__xludf.DUMMYFUNCTION("""COMPUTED_VALUE"""),"")</f>
        <v/>
      </c>
      <c r="L27" s="258" t="str">
        <f>IFERROR(__xludf.DUMMYFUNCTION("""COMPUTED_VALUE"""),"")</f>
        <v/>
      </c>
      <c r="M27" s="261">
        <f>IFERROR(__xludf.DUMMYFUNCTION("""COMPUTED_VALUE"""),218.0)</f>
        <v>218</v>
      </c>
      <c r="N27" s="262" t="str">
        <f>IFERROR(__xludf.DUMMYFUNCTION("""COMPUTED_VALUE"""),"")</f>
        <v/>
      </c>
      <c r="O27" s="259" t="str">
        <f>IFERROR(__xludf.DUMMYFUNCTION("""COMPUTED_VALUE"""),"")</f>
        <v/>
      </c>
      <c r="P27" s="259">
        <f>IFERROR(__xludf.DUMMYFUNCTION("""COMPUTED_VALUE"""),43216.0)</f>
        <v>43216</v>
      </c>
      <c r="Q27" s="258">
        <f>IFERROR(__xludf.DUMMYFUNCTION("""COMPUTED_VALUE"""),56469.0)</f>
        <v>56469</v>
      </c>
      <c r="R27" s="261">
        <f>IFERROR(__xludf.DUMMYFUNCTION("""COMPUTED_VALUE"""),418.0)</f>
        <v>418</v>
      </c>
      <c r="S27" s="258">
        <v>425.0</v>
      </c>
      <c r="T27" s="263">
        <v>0.9835294117647059</v>
      </c>
      <c r="U27" s="264">
        <v>35088.0</v>
      </c>
      <c r="V27" s="265">
        <v>56469.0</v>
      </c>
      <c r="W27" s="264">
        <v>35088.0</v>
      </c>
      <c r="X27" s="266" t="str">
        <f>IFERROR(__xludf.DUMMYFUNCTION("""COMPUTED_VALUE"""),"Ashtorak")</f>
        <v>Ashtorak</v>
      </c>
      <c r="Y27" s="267">
        <v>-0.01</v>
      </c>
      <c r="Z27" s="267">
        <v>0.9576769891488321</v>
      </c>
      <c r="AA27" s="269"/>
      <c r="AB27" s="270"/>
      <c r="AC27" s="270"/>
      <c r="AD27" s="270"/>
      <c r="AE27" s="270"/>
    </row>
    <row r="28">
      <c r="A28" s="256">
        <f>IFERROR(__xludf.DUMMYFUNCTION("""COMPUTED_VALUE"""),42903.839583333334)</f>
        <v>42903.83958</v>
      </c>
      <c r="B28" s="257" t="str">
        <f>IFERROR(__xludf.DUMMYFUNCTION("""COMPUTED_VALUE"""),"Alex F")</f>
        <v>Alex F</v>
      </c>
      <c r="C28" s="258" t="str">
        <f>IFERROR(__xludf.DUMMYFUNCTION("""COMPUTED_VALUE"""),"USA")</f>
        <v>USA</v>
      </c>
      <c r="D28" s="258" t="str">
        <f>IFERROR(__xludf.DUMMYFUNCTION("""COMPUTED_VALUE"""),"mi. My car displays range in miles and I will enter all range numbers in miles.")</f>
        <v>mi. My car displays range in miles and I will enter all range numbers in miles.</v>
      </c>
      <c r="E28" s="259">
        <f>IFERROR(__xludf.DUMMYFUNCTION("""COMPUTED_VALUE"""),42430.0)</f>
        <v>42430</v>
      </c>
      <c r="F28" s="258" t="str">
        <f>IFERROR(__xludf.DUMMYFUNCTION("""COMPUTED_VALUE"""),"Model S 70D")</f>
        <v>Model S 70D</v>
      </c>
      <c r="G28" s="258" t="str">
        <f>IFERROR(__xludf.DUMMYFUNCTION("""COMPUTED_VALUE"""),"Once or twice a year")</f>
        <v>Once or twice a year</v>
      </c>
      <c r="H28" s="258" t="str">
        <f>IFERROR(__xludf.DUMMYFUNCTION("""COMPUTED_VALUE"""),"Once or twice a year")</f>
        <v>Once or twice a year</v>
      </c>
      <c r="I28" s="258" t="str">
        <f>IFERROR(__xludf.DUMMYFUNCTION("""COMPUTED_VALUE"""),"Never")</f>
        <v>Never</v>
      </c>
      <c r="J28" s="260">
        <f>IFERROR(__xludf.DUMMYFUNCTION("""COMPUTED_VALUE"""),0.8)</f>
        <v>0.8</v>
      </c>
      <c r="K28" s="258" t="str">
        <f>IFERROR(__xludf.DUMMYFUNCTION("""COMPUTED_VALUE"""),"")</f>
        <v/>
      </c>
      <c r="L28" s="258" t="str">
        <f>IFERROR(__xludf.DUMMYFUNCTION("""COMPUTED_VALUE"""),"")</f>
        <v/>
      </c>
      <c r="M28" s="261" t="str">
        <f>IFERROR(__xludf.DUMMYFUNCTION("""COMPUTED_VALUE"""),"")</f>
        <v/>
      </c>
      <c r="N28" s="262" t="str">
        <f>IFERROR(__xludf.DUMMYFUNCTION("""COMPUTED_VALUE"""),"")</f>
        <v/>
      </c>
      <c r="O28" s="259" t="str">
        <f>IFERROR(__xludf.DUMMYFUNCTION("""COMPUTED_VALUE"""),"")</f>
        <v/>
      </c>
      <c r="P28" s="259">
        <f>IFERROR(__xludf.DUMMYFUNCTION("""COMPUTED_VALUE"""),42903.0)</f>
        <v>42903</v>
      </c>
      <c r="Q28" s="258">
        <f>IFERROR(__xludf.DUMMYFUNCTION("""COMPUTED_VALUE"""),17165.0)</f>
        <v>17165</v>
      </c>
      <c r="R28" s="261">
        <f>IFERROR(__xludf.DUMMYFUNCTION("""COMPUTED_VALUE"""),238.0)</f>
        <v>238</v>
      </c>
      <c r="S28" s="258">
        <v>240.0</v>
      </c>
      <c r="T28" s="263">
        <v>0.9916666666666667</v>
      </c>
      <c r="U28" s="264">
        <v>17165.0</v>
      </c>
      <c r="V28" s="265">
        <v>27624.0</v>
      </c>
      <c r="W28" s="264">
        <v>17165.0</v>
      </c>
      <c r="X28" s="266" t="str">
        <f>IFERROR(__xludf.DUMMYFUNCTION("""COMPUTED_VALUE"""),"Astrid")</f>
        <v>Astrid</v>
      </c>
      <c r="Y28" s="267">
        <v>-0.01</v>
      </c>
      <c r="Z28" s="267">
        <v>0.9692968861790939</v>
      </c>
      <c r="AA28" s="269"/>
      <c r="AB28" s="270"/>
      <c r="AC28" s="270"/>
      <c r="AD28" s="270"/>
      <c r="AE28" s="270"/>
    </row>
    <row r="29">
      <c r="A29" s="256">
        <f>IFERROR(__xludf.DUMMYFUNCTION("""COMPUTED_VALUE"""),42842.825)</f>
        <v>42842.825</v>
      </c>
      <c r="B29" s="257" t="str">
        <f>IFERROR(__xludf.DUMMYFUNCTION("""COMPUTED_VALUE"""),"Alkiter")</f>
        <v>Alkiter</v>
      </c>
      <c r="C29" s="258" t="str">
        <f>IFERROR(__xludf.DUMMYFUNCTION("""COMPUTED_VALUE"""),"USA")</f>
        <v>USA</v>
      </c>
      <c r="D29" s="258" t="str">
        <f>IFERROR(__xludf.DUMMYFUNCTION("""COMPUTED_VALUE"""),"mi. My car displays range in miles and I will enter all range numbers in miles.")</f>
        <v>mi. My car displays range in miles and I will enter all range numbers in miles.</v>
      </c>
      <c r="E29" s="259">
        <f>IFERROR(__xludf.DUMMYFUNCTION("""COMPUTED_VALUE"""),42004.0)</f>
        <v>42004</v>
      </c>
      <c r="F29" s="258" t="str">
        <f>IFERROR(__xludf.DUMMYFUNCTION("""COMPUTED_VALUE"""),"Model S P85D")</f>
        <v>Model S P85D</v>
      </c>
      <c r="G29" s="258" t="str">
        <f>IFERROR(__xludf.DUMMYFUNCTION("""COMPUTED_VALUE"""),"Never")</f>
        <v>Never</v>
      </c>
      <c r="H29" s="258" t="str">
        <f>IFERROR(__xludf.DUMMYFUNCTION("""COMPUTED_VALUE"""),"Once or twice a year")</f>
        <v>Once or twice a year</v>
      </c>
      <c r="I29" s="258" t="str">
        <f>IFERROR(__xludf.DUMMYFUNCTION("""COMPUTED_VALUE"""),"Never")</f>
        <v>Never</v>
      </c>
      <c r="J29" s="260">
        <f>IFERROR(__xludf.DUMMYFUNCTION("""COMPUTED_VALUE"""),0.9)</f>
        <v>0.9</v>
      </c>
      <c r="K29" s="258">
        <f>IFERROR(__xludf.DUMMYFUNCTION("""COMPUTED_VALUE"""),265.0)</f>
        <v>265</v>
      </c>
      <c r="L29" s="258" t="str">
        <f>IFERROR(__xludf.DUMMYFUNCTION("""COMPUTED_VALUE"""),"")</f>
        <v/>
      </c>
      <c r="M29" s="261">
        <f>IFERROR(__xludf.DUMMYFUNCTION("""COMPUTED_VALUE"""),331.0)</f>
        <v>331</v>
      </c>
      <c r="N29" s="262" t="str">
        <f>IFERROR(__xludf.DUMMYFUNCTION("""COMPUTED_VALUE"""),"")</f>
        <v/>
      </c>
      <c r="O29" s="259" t="str">
        <f>IFERROR(__xludf.DUMMYFUNCTION("""COMPUTED_VALUE"""),"")</f>
        <v/>
      </c>
      <c r="P29" s="259">
        <f>IFERROR(__xludf.DUMMYFUNCTION("""COMPUTED_VALUE"""),42842.0)</f>
        <v>42842</v>
      </c>
      <c r="Q29" s="258">
        <f>IFERROR(__xludf.DUMMYFUNCTION("""COMPUTED_VALUE"""),24252.0)</f>
        <v>24252</v>
      </c>
      <c r="R29" s="261">
        <f>IFERROR(__xludf.DUMMYFUNCTION("""COMPUTED_VALUE"""),245.0)</f>
        <v>245</v>
      </c>
      <c r="S29" s="258">
        <v>253.0</v>
      </c>
      <c r="T29" s="263">
        <v>0.9683794466403162</v>
      </c>
      <c r="U29" s="264">
        <v>24252.0</v>
      </c>
      <c r="V29" s="265">
        <v>39030.0</v>
      </c>
      <c r="W29" s="264">
        <v>24252.0</v>
      </c>
      <c r="X29" s="266" t="str">
        <f>IFERROR(__xludf.DUMMYFUNCTION("""COMPUTED_VALUE"""),"AustinP")</f>
        <v>AustinP</v>
      </c>
      <c r="Y29" s="267">
        <v>-0.01</v>
      </c>
      <c r="Z29" s="267">
        <v>0.9637047789977987</v>
      </c>
      <c r="AA29" s="269"/>
      <c r="AB29" s="270"/>
      <c r="AC29" s="270"/>
      <c r="AD29" s="270"/>
      <c r="AE29" s="270"/>
    </row>
    <row r="30">
      <c r="A30" s="256">
        <f>IFERROR(__xludf.DUMMYFUNCTION("""COMPUTED_VALUE"""),42220.74652777778)</f>
        <v>42220.74653</v>
      </c>
      <c r="B30" s="257" t="str">
        <f>IFERROR(__xludf.DUMMYFUNCTION("""COMPUTED_VALUE"""),"AmpedRealtor")</f>
        <v>AmpedRealtor</v>
      </c>
      <c r="C30" s="258" t="str">
        <f>IFERROR(__xludf.DUMMYFUNCTION("""COMPUTED_VALUE"""),"USA")</f>
        <v>USA</v>
      </c>
      <c r="D30" s="258" t="str">
        <f>IFERROR(__xludf.DUMMYFUNCTION("""COMPUTED_VALUE"""),"mi. My car displays range in miles and I will enter all range numbers in miles.")</f>
        <v>mi. My car displays range in miles and I will enter all range numbers in miles.</v>
      </c>
      <c r="E30" s="259">
        <f>IFERROR(__xludf.DUMMYFUNCTION("""COMPUTED_VALUE"""),41512.0)</f>
        <v>41512</v>
      </c>
      <c r="F30" s="258" t="str">
        <f>IFERROR(__xludf.DUMMYFUNCTION("""COMPUTED_VALUE"""),"Model S P85")</f>
        <v>Model S P85</v>
      </c>
      <c r="G30" s="258" t="str">
        <f>IFERROR(__xludf.DUMMYFUNCTION("""COMPUTED_VALUE"""),"A few times a year")</f>
        <v>A few times a year</v>
      </c>
      <c r="H30" s="258" t="str">
        <f>IFERROR(__xludf.DUMMYFUNCTION("""COMPUTED_VALUE"""),"A few times a year")</f>
        <v>A few times a year</v>
      </c>
      <c r="I30" s="258" t="str">
        <f>IFERROR(__xludf.DUMMYFUNCTION("""COMPUTED_VALUE"""),"A few times a year")</f>
        <v>A few times a year</v>
      </c>
      <c r="J30" s="260">
        <f>IFERROR(__xludf.DUMMYFUNCTION("""COMPUTED_VALUE"""),0.9)</f>
        <v>0.9</v>
      </c>
      <c r="K30" s="258" t="str">
        <f>IFERROR(__xludf.DUMMYFUNCTION("""COMPUTED_VALUE"""),"")</f>
        <v/>
      </c>
      <c r="L30" s="258" t="str">
        <f>IFERROR(__xludf.DUMMYFUNCTION("""COMPUTED_VALUE"""),"")</f>
        <v/>
      </c>
      <c r="M30" s="261">
        <f>IFERROR(__xludf.DUMMYFUNCTION("""COMPUTED_VALUE"""),294.0)</f>
        <v>294</v>
      </c>
      <c r="N30" s="262" t="str">
        <f>IFERROR(__xludf.DUMMYFUNCTION("""COMPUTED_VALUE"""),"")</f>
        <v/>
      </c>
      <c r="O30" s="259" t="str">
        <f>IFERROR(__xludf.DUMMYFUNCTION("""COMPUTED_VALUE"""),"")</f>
        <v/>
      </c>
      <c r="P30" s="259">
        <f>IFERROR(__xludf.DUMMYFUNCTION("""COMPUTED_VALUE"""),42220.0)</f>
        <v>42220</v>
      </c>
      <c r="Q30" s="258">
        <f>IFERROR(__xludf.DUMMYFUNCTION("""COMPUTED_VALUE"""),27319.0)</f>
        <v>27319</v>
      </c>
      <c r="R30" s="261">
        <f>IFERROR(__xludf.DUMMYFUNCTION("""COMPUTED_VALUE"""),258.0)</f>
        <v>258</v>
      </c>
      <c r="S30" s="258">
        <v>266.0</v>
      </c>
      <c r="T30" s="263">
        <v>0.9699248120300752</v>
      </c>
      <c r="U30" s="264">
        <v>27319.0</v>
      </c>
      <c r="V30" s="265">
        <v>43966.0</v>
      </c>
      <c r="W30" s="264">
        <v>27319.0</v>
      </c>
      <c r="X30" s="266" t="str">
        <f>IFERROR(__xludf.DUMMYFUNCTION("""COMPUTED_VALUE"""),"Az_Rael")</f>
        <v>Az_Rael</v>
      </c>
      <c r="Y30" s="267">
        <v>-0.01</v>
      </c>
      <c r="Z30" s="267">
        <v>0.9617811120078132</v>
      </c>
      <c r="AA30" s="269"/>
      <c r="AB30" s="270"/>
      <c r="AC30" s="270"/>
      <c r="AD30" s="270"/>
      <c r="AE30" s="270"/>
    </row>
    <row r="31">
      <c r="A31" s="256">
        <f>IFERROR(__xludf.DUMMYFUNCTION("""COMPUTED_VALUE"""),42101.09097222222)</f>
        <v>42101.09097</v>
      </c>
      <c r="B31" s="257" t="str">
        <f>IFERROR(__xludf.DUMMYFUNCTION("""COMPUTED_VALUE"""),"AnalysiZ")</f>
        <v>AnalysiZ</v>
      </c>
      <c r="C31" s="258" t="str">
        <f>IFERROR(__xludf.DUMMYFUNCTION("""COMPUTED_VALUE"""),"Europe (excluding UK) &amp; Asia Pacific")</f>
        <v>Europe (excluding UK) &amp; Asia Pacific</v>
      </c>
      <c r="D31" s="258" t="str">
        <f>IFERROR(__xludf.DUMMYFUNCTION("""COMPUTED_VALUE"""),"km. My car displays range in kilometres and I will enter all range numbers in kilometres.")</f>
        <v>km. My car displays range in kilometres and I will enter all range numbers in kilometres.</v>
      </c>
      <c r="E31" s="259">
        <f>IFERROR(__xludf.DUMMYFUNCTION("""COMPUTED_VALUE"""),42093.0)</f>
        <v>42093</v>
      </c>
      <c r="F31" s="258" t="str">
        <f>IFERROR(__xludf.DUMMYFUNCTION("""COMPUTED_VALUE"""),"Model S P85D")</f>
        <v>Model S P85D</v>
      </c>
      <c r="G31" s="258" t="str">
        <f>IFERROR(__xludf.DUMMYFUNCTION("""COMPUTED_VALUE"""),"Twice a month")</f>
        <v>Twice a month</v>
      </c>
      <c r="H31" s="258" t="str">
        <f>IFERROR(__xludf.DUMMYFUNCTION("""COMPUTED_VALUE"""),"Twice a month")</f>
        <v>Twice a month</v>
      </c>
      <c r="I31" s="258" t="str">
        <f>IFERROR(__xludf.DUMMYFUNCTION("""COMPUTED_VALUE"""),"Never")</f>
        <v>Never</v>
      </c>
      <c r="J31" s="260" t="str">
        <f>IFERROR(__xludf.DUMMYFUNCTION("""COMPUTED_VALUE"""),"")</f>
        <v/>
      </c>
      <c r="K31" s="258" t="str">
        <f>IFERROR(__xludf.DUMMYFUNCTION("""COMPUTED_VALUE"""),"")</f>
        <v/>
      </c>
      <c r="L31" s="258" t="str">
        <f>IFERROR(__xludf.DUMMYFUNCTION("""COMPUTED_VALUE"""),"")</f>
        <v/>
      </c>
      <c r="M31" s="261">
        <f>IFERROR(__xludf.DUMMYFUNCTION("""COMPUTED_VALUE"""),225.0)</f>
        <v>225</v>
      </c>
      <c r="N31" s="262" t="str">
        <f>IFERROR(__xludf.DUMMYFUNCTION("""COMPUTED_VALUE"""),"")</f>
        <v/>
      </c>
      <c r="O31" s="259" t="str">
        <f>IFERROR(__xludf.DUMMYFUNCTION("""COMPUTED_VALUE"""),"")</f>
        <v/>
      </c>
      <c r="P31" s="259">
        <f>IFERROR(__xludf.DUMMYFUNCTION("""COMPUTED_VALUE"""),42101.0)</f>
        <v>42101</v>
      </c>
      <c r="Q31" s="258">
        <f>IFERROR(__xludf.DUMMYFUNCTION("""COMPUTED_VALUE"""),317.0)</f>
        <v>317</v>
      </c>
      <c r="R31" s="261">
        <f>IFERROR(__xludf.DUMMYFUNCTION("""COMPUTED_VALUE"""),404.0)</f>
        <v>404</v>
      </c>
      <c r="S31" s="258">
        <v>403.0</v>
      </c>
      <c r="T31" s="263">
        <v>1.0024813895781637</v>
      </c>
      <c r="U31" s="264">
        <v>197.0</v>
      </c>
      <c r="V31" s="265">
        <v>317.0</v>
      </c>
      <c r="W31" s="264">
        <v>197.0</v>
      </c>
      <c r="X31" s="266" t="str">
        <f>IFERROR(__xludf.DUMMYFUNCTION("""COMPUTED_VALUE"""),"azulMx")</f>
        <v>azulMx</v>
      </c>
      <c r="Y31" s="267">
        <v>-0.01</v>
      </c>
      <c r="Z31" s="267">
        <v>0.9993709976345476</v>
      </c>
      <c r="AA31" s="269"/>
      <c r="AB31" s="270"/>
      <c r="AC31" s="270"/>
      <c r="AD31" s="270"/>
      <c r="AE31" s="270"/>
    </row>
    <row r="32">
      <c r="A32" s="256">
        <f>IFERROR(__xludf.DUMMYFUNCTION("""COMPUTED_VALUE"""),42125.10972222222)</f>
        <v>42125.10972</v>
      </c>
      <c r="B32" s="257" t="str">
        <f>IFERROR(__xludf.DUMMYFUNCTION("""COMPUTED_VALUE"""),"AnalysiZ")</f>
        <v>AnalysiZ</v>
      </c>
      <c r="C32" s="258" t="str">
        <f>IFERROR(__xludf.DUMMYFUNCTION("""COMPUTED_VALUE"""),"Europe (excluding UK) &amp; Asia Pacific")</f>
        <v>Europe (excluding UK) &amp; Asia Pacific</v>
      </c>
      <c r="D32" s="258" t="str">
        <f>IFERROR(__xludf.DUMMYFUNCTION("""COMPUTED_VALUE"""),"km. My car displays range in kilometres and I will enter all range numbers in kilometres.")</f>
        <v>km. My car displays range in kilometres and I will enter all range numbers in kilometres.</v>
      </c>
      <c r="E32" s="259">
        <f>IFERROR(__xludf.DUMMYFUNCTION("""COMPUTED_VALUE"""),42093.0)</f>
        <v>42093</v>
      </c>
      <c r="F32" s="258" t="str">
        <f>IFERROR(__xludf.DUMMYFUNCTION("""COMPUTED_VALUE"""),"Model S P85D")</f>
        <v>Model S P85D</v>
      </c>
      <c r="G32" s="258" t="str">
        <f>IFERROR(__xludf.DUMMYFUNCTION("""COMPUTED_VALUE"""),"Twice a month")</f>
        <v>Twice a month</v>
      </c>
      <c r="H32" s="258" t="str">
        <f>IFERROR(__xludf.DUMMYFUNCTION("""COMPUTED_VALUE"""),"Twice a month")</f>
        <v>Twice a month</v>
      </c>
      <c r="I32" s="258" t="str">
        <f>IFERROR(__xludf.DUMMYFUNCTION("""COMPUTED_VALUE"""),"Never")</f>
        <v>Never</v>
      </c>
      <c r="J32" s="260">
        <f>IFERROR(__xludf.DUMMYFUNCTION("""COMPUTED_VALUE"""),0.8)</f>
        <v>0.8</v>
      </c>
      <c r="K32" s="258" t="str">
        <f>IFERROR(__xludf.DUMMYFUNCTION("""COMPUTED_VALUE"""),"")</f>
        <v/>
      </c>
      <c r="L32" s="258" t="str">
        <f>IFERROR(__xludf.DUMMYFUNCTION("""COMPUTED_VALUE"""),"")</f>
        <v/>
      </c>
      <c r="M32" s="261">
        <f>IFERROR(__xludf.DUMMYFUNCTION("""COMPUTED_VALUE"""),212.0)</f>
        <v>212</v>
      </c>
      <c r="N32" s="262" t="str">
        <f>IFERROR(__xludf.DUMMYFUNCTION("""COMPUTED_VALUE"""),"")</f>
        <v/>
      </c>
      <c r="O32" s="259" t="str">
        <f>IFERROR(__xludf.DUMMYFUNCTION("""COMPUTED_VALUE"""),"")</f>
        <v/>
      </c>
      <c r="P32" s="259">
        <f>IFERROR(__xludf.DUMMYFUNCTION("""COMPUTED_VALUE"""),42125.0)</f>
        <v>42125</v>
      </c>
      <c r="Q32" s="258">
        <f>IFERROR(__xludf.DUMMYFUNCTION("""COMPUTED_VALUE"""),1875.0)</f>
        <v>1875</v>
      </c>
      <c r="R32" s="261">
        <f>IFERROR(__xludf.DUMMYFUNCTION("""COMPUTED_VALUE"""),405.0)</f>
        <v>405</v>
      </c>
      <c r="S32" s="258">
        <v>403.0</v>
      </c>
      <c r="T32" s="263">
        <v>1.0049627791563276</v>
      </c>
      <c r="U32" s="264">
        <v>1165.0</v>
      </c>
      <c r="V32" s="265">
        <v>1875.0</v>
      </c>
      <c r="W32" s="264">
        <v>1165.0</v>
      </c>
      <c r="X32" s="266" t="str">
        <f>IFERROR(__xludf.DUMMYFUNCTION("""COMPUTED_VALUE"""),"Baselland")</f>
        <v>Baselland</v>
      </c>
      <c r="Y32" s="267">
        <v>-0.01</v>
      </c>
      <c r="Z32" s="267">
        <v>0.9964236413346198</v>
      </c>
      <c r="AA32" s="269"/>
      <c r="AB32" s="270"/>
      <c r="AC32" s="270"/>
      <c r="AD32" s="270"/>
      <c r="AE32" s="270"/>
    </row>
    <row r="33">
      <c r="A33" s="256">
        <f>IFERROR(__xludf.DUMMYFUNCTION("""COMPUTED_VALUE"""),42134.11597222222)</f>
        <v>42134.11597</v>
      </c>
      <c r="B33" s="257" t="str">
        <f>IFERROR(__xludf.DUMMYFUNCTION("""COMPUTED_VALUE"""),"AnalysiZ")</f>
        <v>AnalysiZ</v>
      </c>
      <c r="C33" s="258" t="str">
        <f>IFERROR(__xludf.DUMMYFUNCTION("""COMPUTED_VALUE"""),"Europe (excluding UK) &amp; Asia Pacific")</f>
        <v>Europe (excluding UK) &amp; Asia Pacific</v>
      </c>
      <c r="D33" s="258" t="str">
        <f>IFERROR(__xludf.DUMMYFUNCTION("""COMPUTED_VALUE"""),"km. My car displays range in kilometres and I will enter all range numbers in kilometres.")</f>
        <v>km. My car displays range in kilometres and I will enter all range numbers in kilometres.</v>
      </c>
      <c r="E33" s="259">
        <f>IFERROR(__xludf.DUMMYFUNCTION("""COMPUTED_VALUE"""),42093.0)</f>
        <v>42093</v>
      </c>
      <c r="F33" s="258" t="str">
        <f>IFERROR(__xludf.DUMMYFUNCTION("""COMPUTED_VALUE"""),"Model S P85D")</f>
        <v>Model S P85D</v>
      </c>
      <c r="G33" s="258" t="str">
        <f>IFERROR(__xludf.DUMMYFUNCTION("""COMPUTED_VALUE"""),"Twice a week")</f>
        <v>Twice a week</v>
      </c>
      <c r="H33" s="258" t="str">
        <f>IFERROR(__xludf.DUMMYFUNCTION("""COMPUTED_VALUE"""),"Weekly")</f>
        <v>Weekly</v>
      </c>
      <c r="I33" s="258" t="str">
        <f>IFERROR(__xludf.DUMMYFUNCTION("""COMPUTED_VALUE"""),"Once or twice a year")</f>
        <v>Once or twice a year</v>
      </c>
      <c r="J33" s="260">
        <f>IFERROR(__xludf.DUMMYFUNCTION("""COMPUTED_VALUE"""),0.8)</f>
        <v>0.8</v>
      </c>
      <c r="K33" s="258" t="str">
        <f>IFERROR(__xludf.DUMMYFUNCTION("""COMPUTED_VALUE"""),"")</f>
        <v/>
      </c>
      <c r="L33" s="258" t="str">
        <f>IFERROR(__xludf.DUMMYFUNCTION("""COMPUTED_VALUE"""),"")</f>
        <v/>
      </c>
      <c r="M33" s="261">
        <f>IFERROR(__xludf.DUMMYFUNCTION("""COMPUTED_VALUE"""),205.0)</f>
        <v>205</v>
      </c>
      <c r="N33" s="262" t="str">
        <f>IFERROR(__xludf.DUMMYFUNCTION("""COMPUTED_VALUE"""),"")</f>
        <v/>
      </c>
      <c r="O33" s="259" t="str">
        <f>IFERROR(__xludf.DUMMYFUNCTION("""COMPUTED_VALUE"""),"")</f>
        <v/>
      </c>
      <c r="P33" s="259">
        <f>IFERROR(__xludf.DUMMYFUNCTION("""COMPUTED_VALUE"""),42134.0)</f>
        <v>42134</v>
      </c>
      <c r="Q33" s="258">
        <f>IFERROR(__xludf.DUMMYFUNCTION("""COMPUTED_VALUE"""),3772.0)</f>
        <v>3772</v>
      </c>
      <c r="R33" s="261">
        <f>IFERROR(__xludf.DUMMYFUNCTION("""COMPUTED_VALUE"""),410.0)</f>
        <v>410</v>
      </c>
      <c r="S33" s="258">
        <v>403.0</v>
      </c>
      <c r="T33" s="263">
        <v>1.0173697270471465</v>
      </c>
      <c r="U33" s="264">
        <v>2344.0</v>
      </c>
      <c r="V33" s="265">
        <v>3772.0</v>
      </c>
      <c r="W33" s="264">
        <v>2344.0</v>
      </c>
      <c r="X33" s="266" t="str">
        <f>IFERROR(__xludf.DUMMYFUNCTION("""COMPUTED_VALUE"""),"BaselLandShrooms")</f>
        <v>BaselLandShrooms</v>
      </c>
      <c r="Y33" s="267">
        <v>-0.01</v>
      </c>
      <c r="Z33" s="267">
        <v>0.9931356216876862</v>
      </c>
      <c r="AA33" s="269"/>
      <c r="AB33" s="270"/>
      <c r="AC33" s="270"/>
      <c r="AD33" s="270"/>
      <c r="AE33" s="270"/>
    </row>
    <row r="34">
      <c r="A34" s="256">
        <f>IFERROR(__xludf.DUMMYFUNCTION("""COMPUTED_VALUE"""),42146.12152777778)</f>
        <v>42146.12153</v>
      </c>
      <c r="B34" s="257" t="str">
        <f>IFERROR(__xludf.DUMMYFUNCTION("""COMPUTED_VALUE"""),"AnalysiZ")</f>
        <v>AnalysiZ</v>
      </c>
      <c r="C34" s="258" t="str">
        <f>IFERROR(__xludf.DUMMYFUNCTION("""COMPUTED_VALUE"""),"Europe (excluding UK) &amp; Asia Pacific")</f>
        <v>Europe (excluding UK) &amp; Asia Pacific</v>
      </c>
      <c r="D34" s="258" t="str">
        <f>IFERROR(__xludf.DUMMYFUNCTION("""COMPUTED_VALUE"""),"km. My car displays range in kilometres and I will enter all range numbers in kilometres.")</f>
        <v>km. My car displays range in kilometres and I will enter all range numbers in kilometres.</v>
      </c>
      <c r="E34" s="259">
        <f>IFERROR(__xludf.DUMMYFUNCTION("""COMPUTED_VALUE"""),42093.0)</f>
        <v>42093</v>
      </c>
      <c r="F34" s="258" t="str">
        <f>IFERROR(__xludf.DUMMYFUNCTION("""COMPUTED_VALUE"""),"Model S P85D")</f>
        <v>Model S P85D</v>
      </c>
      <c r="G34" s="258" t="str">
        <f>IFERROR(__xludf.DUMMYFUNCTION("""COMPUTED_VALUE"""),"Weekly")</f>
        <v>Weekly</v>
      </c>
      <c r="H34" s="258" t="str">
        <f>IFERROR(__xludf.DUMMYFUNCTION("""COMPUTED_VALUE"""),"Weekly")</f>
        <v>Weekly</v>
      </c>
      <c r="I34" s="258" t="str">
        <f>IFERROR(__xludf.DUMMYFUNCTION("""COMPUTED_VALUE"""),"Never")</f>
        <v>Never</v>
      </c>
      <c r="J34" s="260">
        <f>IFERROR(__xludf.DUMMYFUNCTION("""COMPUTED_VALUE"""),0.8)</f>
        <v>0.8</v>
      </c>
      <c r="K34" s="258" t="str">
        <f>IFERROR(__xludf.DUMMYFUNCTION("""COMPUTED_VALUE"""),"")</f>
        <v/>
      </c>
      <c r="L34" s="258" t="str">
        <f>IFERROR(__xludf.DUMMYFUNCTION("""COMPUTED_VALUE"""),"")</f>
        <v/>
      </c>
      <c r="M34" s="261">
        <f>IFERROR(__xludf.DUMMYFUNCTION("""COMPUTED_VALUE"""),208.0)</f>
        <v>208</v>
      </c>
      <c r="N34" s="262" t="str">
        <f>IFERROR(__xludf.DUMMYFUNCTION("""COMPUTED_VALUE"""),"")</f>
        <v/>
      </c>
      <c r="O34" s="259" t="str">
        <f>IFERROR(__xludf.DUMMYFUNCTION("""COMPUTED_VALUE"""),"")</f>
        <v/>
      </c>
      <c r="P34" s="259">
        <f>IFERROR(__xludf.DUMMYFUNCTION("""COMPUTED_VALUE"""),42146.0)</f>
        <v>42146</v>
      </c>
      <c r="Q34" s="258">
        <f>IFERROR(__xludf.DUMMYFUNCTION("""COMPUTED_VALUE"""),4815.0)</f>
        <v>4815</v>
      </c>
      <c r="R34" s="261">
        <f>IFERROR(__xludf.DUMMYFUNCTION("""COMPUTED_VALUE"""),409.0)</f>
        <v>409</v>
      </c>
      <c r="S34" s="258">
        <v>403.0</v>
      </c>
      <c r="T34" s="263">
        <v>1.0148883374689825</v>
      </c>
      <c r="U34" s="264">
        <v>2992.0</v>
      </c>
      <c r="V34" s="265">
        <v>4815.0</v>
      </c>
      <c r="W34" s="264">
        <v>2992.0</v>
      </c>
      <c r="X34" s="266" t="str">
        <f>IFERROR(__xludf.DUMMYFUNCTION("""COMPUTED_VALUE"""),"BasvdPoel")</f>
        <v>BasvdPoel</v>
      </c>
      <c r="Y34" s="267">
        <v>-0.01</v>
      </c>
      <c r="Z34" s="267">
        <v>0.9914567063251597</v>
      </c>
      <c r="AA34" s="269"/>
      <c r="AB34" s="270"/>
      <c r="AC34" s="270"/>
      <c r="AD34" s="270"/>
      <c r="AE34" s="270"/>
    </row>
    <row r="35">
      <c r="A35" s="256">
        <f>IFERROR(__xludf.DUMMYFUNCTION("""COMPUTED_VALUE"""),42151.12638888889)</f>
        <v>42151.12639</v>
      </c>
      <c r="B35" s="257" t="str">
        <f>IFERROR(__xludf.DUMMYFUNCTION("""COMPUTED_VALUE"""),"AnalysiZ")</f>
        <v>AnalysiZ</v>
      </c>
      <c r="C35" s="258" t="str">
        <f>IFERROR(__xludf.DUMMYFUNCTION("""COMPUTED_VALUE"""),"Europe (excluding UK) &amp; Asia Pacific")</f>
        <v>Europe (excluding UK) &amp; Asia Pacific</v>
      </c>
      <c r="D35" s="258" t="str">
        <f>IFERROR(__xludf.DUMMYFUNCTION("""COMPUTED_VALUE"""),"km. My car displays range in kilometres and I will enter all range numbers in kilometres.")</f>
        <v>km. My car displays range in kilometres and I will enter all range numbers in kilometres.</v>
      </c>
      <c r="E35" s="259">
        <f>IFERROR(__xludf.DUMMYFUNCTION("""COMPUTED_VALUE"""),42093.0)</f>
        <v>42093</v>
      </c>
      <c r="F35" s="258" t="str">
        <f>IFERROR(__xludf.DUMMYFUNCTION("""COMPUTED_VALUE"""),"Model S P85D")</f>
        <v>Model S P85D</v>
      </c>
      <c r="G35" s="258" t="str">
        <f>IFERROR(__xludf.DUMMYFUNCTION("""COMPUTED_VALUE"""),"Weekly")</f>
        <v>Weekly</v>
      </c>
      <c r="H35" s="258" t="str">
        <f>IFERROR(__xludf.DUMMYFUNCTION("""COMPUTED_VALUE"""),"Weekly")</f>
        <v>Weekly</v>
      </c>
      <c r="I35" s="258" t="str">
        <f>IFERROR(__xludf.DUMMYFUNCTION("""COMPUTED_VALUE"""),"Never")</f>
        <v>Never</v>
      </c>
      <c r="J35" s="260">
        <f>IFERROR(__xludf.DUMMYFUNCTION("""COMPUTED_VALUE"""),0.8)</f>
        <v>0.8</v>
      </c>
      <c r="K35" s="258" t="str">
        <f>IFERROR(__xludf.DUMMYFUNCTION("""COMPUTED_VALUE"""),"")</f>
        <v/>
      </c>
      <c r="L35" s="258" t="str">
        <f>IFERROR(__xludf.DUMMYFUNCTION("""COMPUTED_VALUE"""),"")</f>
        <v/>
      </c>
      <c r="M35" s="261">
        <f>IFERROR(__xludf.DUMMYFUNCTION("""COMPUTED_VALUE"""),206.0)</f>
        <v>206</v>
      </c>
      <c r="N35" s="262" t="str">
        <f>IFERROR(__xludf.DUMMYFUNCTION("""COMPUTED_VALUE"""),"")</f>
        <v/>
      </c>
      <c r="O35" s="259" t="str">
        <f>IFERROR(__xludf.DUMMYFUNCTION("""COMPUTED_VALUE"""),"")</f>
        <v/>
      </c>
      <c r="P35" s="259">
        <f>IFERROR(__xludf.DUMMYFUNCTION("""COMPUTED_VALUE"""),42151.0)</f>
        <v>42151</v>
      </c>
      <c r="Q35" s="258">
        <f>IFERROR(__xludf.DUMMYFUNCTION("""COMPUTED_VALUE"""),5012.0)</f>
        <v>5012</v>
      </c>
      <c r="R35" s="261">
        <f>IFERROR(__xludf.DUMMYFUNCTION("""COMPUTED_VALUE"""),410.0)</f>
        <v>410</v>
      </c>
      <c r="S35" s="258">
        <v>403.0</v>
      </c>
      <c r="T35" s="263">
        <v>1.0173697270471465</v>
      </c>
      <c r="U35" s="264">
        <v>3114.0</v>
      </c>
      <c r="V35" s="265">
        <v>5012.0</v>
      </c>
      <c r="W35" s="264">
        <v>3114.0</v>
      </c>
      <c r="X35" s="266" t="str">
        <f>IFERROR(__xludf.DUMMYFUNCTION("""COMPUTED_VALUE"""),"Beeeerock")</f>
        <v>Beeeerock</v>
      </c>
      <c r="Y35" s="267">
        <v>-0.01</v>
      </c>
      <c r="Z35" s="267">
        <v>0.9911492529378216</v>
      </c>
      <c r="AA35" s="269"/>
      <c r="AB35" s="270"/>
      <c r="AC35" s="270"/>
      <c r="AD35" s="270"/>
      <c r="AE35" s="270"/>
    </row>
    <row r="36">
      <c r="A36" s="256">
        <f>IFERROR(__xludf.DUMMYFUNCTION("""COMPUTED_VALUE"""),42164.13333333333)</f>
        <v>42164.13333</v>
      </c>
      <c r="B36" s="257" t="str">
        <f>IFERROR(__xludf.DUMMYFUNCTION("""COMPUTED_VALUE"""),"AnalysiZ")</f>
        <v>AnalysiZ</v>
      </c>
      <c r="C36" s="258" t="str">
        <f>IFERROR(__xludf.DUMMYFUNCTION("""COMPUTED_VALUE"""),"Europe (excluding UK) &amp; Asia Pacific")</f>
        <v>Europe (excluding UK) &amp; Asia Pacific</v>
      </c>
      <c r="D36" s="258" t="str">
        <f>IFERROR(__xludf.DUMMYFUNCTION("""COMPUTED_VALUE"""),"km. My car displays range in kilometres and I will enter all range numbers in kilometres.")</f>
        <v>km. My car displays range in kilometres and I will enter all range numbers in kilometres.</v>
      </c>
      <c r="E36" s="259">
        <f>IFERROR(__xludf.DUMMYFUNCTION("""COMPUTED_VALUE"""),42093.0)</f>
        <v>42093</v>
      </c>
      <c r="F36" s="258" t="str">
        <f>IFERROR(__xludf.DUMMYFUNCTION("""COMPUTED_VALUE"""),"Model S P85D")</f>
        <v>Model S P85D</v>
      </c>
      <c r="G36" s="258" t="str">
        <f>IFERROR(__xludf.DUMMYFUNCTION("""COMPUTED_VALUE"""),"Weekly")</f>
        <v>Weekly</v>
      </c>
      <c r="H36" s="258" t="str">
        <f>IFERROR(__xludf.DUMMYFUNCTION("""COMPUTED_VALUE"""),"Weekly")</f>
        <v>Weekly</v>
      </c>
      <c r="I36" s="258" t="str">
        <f>IFERROR(__xludf.DUMMYFUNCTION("""COMPUTED_VALUE"""),"Never")</f>
        <v>Never</v>
      </c>
      <c r="J36" s="260">
        <f>IFERROR(__xludf.DUMMYFUNCTION("""COMPUTED_VALUE"""),0.8)</f>
        <v>0.8</v>
      </c>
      <c r="K36" s="258" t="str">
        <f>IFERROR(__xludf.DUMMYFUNCTION("""COMPUTED_VALUE"""),"")</f>
        <v/>
      </c>
      <c r="L36" s="258" t="str">
        <f>IFERROR(__xludf.DUMMYFUNCTION("""COMPUTED_VALUE"""),"")</f>
        <v/>
      </c>
      <c r="M36" s="261">
        <f>IFERROR(__xludf.DUMMYFUNCTION("""COMPUTED_VALUE"""),205.0)</f>
        <v>205</v>
      </c>
      <c r="N36" s="262" t="str">
        <f>IFERROR(__xludf.DUMMYFUNCTION("""COMPUTED_VALUE"""),"")</f>
        <v/>
      </c>
      <c r="O36" s="259" t="str">
        <f>IFERROR(__xludf.DUMMYFUNCTION("""COMPUTED_VALUE"""),"")</f>
        <v/>
      </c>
      <c r="P36" s="259">
        <f>IFERROR(__xludf.DUMMYFUNCTION("""COMPUTED_VALUE"""),42164.0)</f>
        <v>42164</v>
      </c>
      <c r="Q36" s="258">
        <f>IFERROR(__xludf.DUMMYFUNCTION("""COMPUTED_VALUE"""),5579.0)</f>
        <v>5579</v>
      </c>
      <c r="R36" s="261">
        <f>IFERROR(__xludf.DUMMYFUNCTION("""COMPUTED_VALUE"""),410.0)</f>
        <v>410</v>
      </c>
      <c r="S36" s="258">
        <v>403.0</v>
      </c>
      <c r="T36" s="263">
        <v>1.0173697270471465</v>
      </c>
      <c r="U36" s="264">
        <v>3467.0</v>
      </c>
      <c r="V36" s="265">
        <v>5579.0</v>
      </c>
      <c r="W36" s="264">
        <v>3467.0</v>
      </c>
      <c r="X36" s="266" t="str">
        <f>IFERROR(__xludf.DUMMYFUNCTION("""COMPUTED_VALUE"""),"Benjamin Brooks")</f>
        <v>Benjamin Brooks</v>
      </c>
      <c r="Y36" s="267">
        <v>-0.01</v>
      </c>
      <c r="Z36" s="267">
        <v>0.9902808836783147</v>
      </c>
      <c r="AA36" s="269"/>
      <c r="AB36" s="270"/>
      <c r="AC36" s="270"/>
      <c r="AD36" s="270"/>
      <c r="AE36" s="270"/>
    </row>
    <row r="37">
      <c r="A37" s="256">
        <f>IFERROR(__xludf.DUMMYFUNCTION("""COMPUTED_VALUE"""),42175.14097222222)</f>
        <v>42175.14097</v>
      </c>
      <c r="B37" s="257" t="str">
        <f>IFERROR(__xludf.DUMMYFUNCTION("""COMPUTED_VALUE"""),"AnalysiZ")</f>
        <v>AnalysiZ</v>
      </c>
      <c r="C37" s="258" t="str">
        <f>IFERROR(__xludf.DUMMYFUNCTION("""COMPUTED_VALUE"""),"Europe (excluding UK) &amp; Asia Pacific")</f>
        <v>Europe (excluding UK) &amp; Asia Pacific</v>
      </c>
      <c r="D37" s="258" t="str">
        <f>IFERROR(__xludf.DUMMYFUNCTION("""COMPUTED_VALUE"""),"km. My car displays range in kilometres and I will enter all range numbers in kilometres.")</f>
        <v>km. My car displays range in kilometres and I will enter all range numbers in kilometres.</v>
      </c>
      <c r="E37" s="259">
        <f>IFERROR(__xludf.DUMMYFUNCTION("""COMPUTED_VALUE"""),42093.0)</f>
        <v>42093</v>
      </c>
      <c r="F37" s="258" t="str">
        <f>IFERROR(__xludf.DUMMYFUNCTION("""COMPUTED_VALUE"""),"Model S P85D")</f>
        <v>Model S P85D</v>
      </c>
      <c r="G37" s="258" t="str">
        <f>IFERROR(__xludf.DUMMYFUNCTION("""COMPUTED_VALUE"""),"Weekly")</f>
        <v>Weekly</v>
      </c>
      <c r="H37" s="258" t="str">
        <f>IFERROR(__xludf.DUMMYFUNCTION("""COMPUTED_VALUE"""),"Weekly")</f>
        <v>Weekly</v>
      </c>
      <c r="I37" s="258" t="str">
        <f>IFERROR(__xludf.DUMMYFUNCTION("""COMPUTED_VALUE"""),"Once or twice a year")</f>
        <v>Once or twice a year</v>
      </c>
      <c r="J37" s="260">
        <f>IFERROR(__xludf.DUMMYFUNCTION("""COMPUTED_VALUE"""),0.8)</f>
        <v>0.8</v>
      </c>
      <c r="K37" s="258" t="str">
        <f>IFERROR(__xludf.DUMMYFUNCTION("""COMPUTED_VALUE"""),"")</f>
        <v/>
      </c>
      <c r="L37" s="258" t="str">
        <f>IFERROR(__xludf.DUMMYFUNCTION("""COMPUTED_VALUE"""),"")</f>
        <v/>
      </c>
      <c r="M37" s="261">
        <f>IFERROR(__xludf.DUMMYFUNCTION("""COMPUTED_VALUE"""),203.0)</f>
        <v>203</v>
      </c>
      <c r="N37" s="262" t="str">
        <f>IFERROR(__xludf.DUMMYFUNCTION("""COMPUTED_VALUE"""),"")</f>
        <v/>
      </c>
      <c r="O37" s="259" t="str">
        <f>IFERROR(__xludf.DUMMYFUNCTION("""COMPUTED_VALUE"""),"")</f>
        <v/>
      </c>
      <c r="P37" s="259">
        <f>IFERROR(__xludf.DUMMYFUNCTION("""COMPUTED_VALUE"""),42175.0)</f>
        <v>42175</v>
      </c>
      <c r="Q37" s="258">
        <f>IFERROR(__xludf.DUMMYFUNCTION("""COMPUTED_VALUE"""),7339.0)</f>
        <v>7339</v>
      </c>
      <c r="R37" s="261">
        <f>IFERROR(__xludf.DUMMYFUNCTION("""COMPUTED_VALUE"""),410.0)</f>
        <v>410</v>
      </c>
      <c r="S37" s="258">
        <v>403.0</v>
      </c>
      <c r="T37" s="263">
        <v>1.0173697270471465</v>
      </c>
      <c r="U37" s="264">
        <v>4560.0</v>
      </c>
      <c r="V37" s="265">
        <v>7339.0</v>
      </c>
      <c r="W37" s="264">
        <v>4560.0</v>
      </c>
      <c r="X37" s="266" t="str">
        <f>IFERROR(__xludf.DUMMYFUNCTION("""COMPUTED_VALUE"""),"Benjamin Brooks S85")</f>
        <v>Benjamin Brooks S85</v>
      </c>
      <c r="Y37" s="267">
        <v>-0.01</v>
      </c>
      <c r="Z37" s="267">
        <v>0.9877343335458979</v>
      </c>
      <c r="AA37" s="269"/>
      <c r="AB37" s="270"/>
      <c r="AC37" s="270"/>
      <c r="AD37" s="270"/>
      <c r="AE37" s="270"/>
    </row>
    <row r="38">
      <c r="A38" s="256">
        <f>IFERROR(__xludf.DUMMYFUNCTION("""COMPUTED_VALUE"""),42218.14791666667)</f>
        <v>42218.14792</v>
      </c>
      <c r="B38" s="257" t="str">
        <f>IFERROR(__xludf.DUMMYFUNCTION("""COMPUTED_VALUE"""),"AnalysiZ")</f>
        <v>AnalysiZ</v>
      </c>
      <c r="C38" s="258" t="str">
        <f>IFERROR(__xludf.DUMMYFUNCTION("""COMPUTED_VALUE"""),"Europe (excluding UK) &amp; Asia Pacific")</f>
        <v>Europe (excluding UK) &amp; Asia Pacific</v>
      </c>
      <c r="D38" s="258" t="str">
        <f>IFERROR(__xludf.DUMMYFUNCTION("""COMPUTED_VALUE"""),"km. My car displays range in kilometres and I will enter all range numbers in kilometres.")</f>
        <v>km. My car displays range in kilometres and I will enter all range numbers in kilometres.</v>
      </c>
      <c r="E38" s="259">
        <f>IFERROR(__xludf.DUMMYFUNCTION("""COMPUTED_VALUE"""),42093.0)</f>
        <v>42093</v>
      </c>
      <c r="F38" s="258" t="str">
        <f>IFERROR(__xludf.DUMMYFUNCTION("""COMPUTED_VALUE"""),"Model S P85D")</f>
        <v>Model S P85D</v>
      </c>
      <c r="G38" s="258" t="str">
        <f>IFERROR(__xludf.DUMMYFUNCTION("""COMPUTED_VALUE"""),"Twice a month")</f>
        <v>Twice a month</v>
      </c>
      <c r="H38" s="258" t="str">
        <f>IFERROR(__xludf.DUMMYFUNCTION("""COMPUTED_VALUE"""),"Monthly")</f>
        <v>Monthly</v>
      </c>
      <c r="I38" s="258" t="str">
        <f>IFERROR(__xludf.DUMMYFUNCTION("""COMPUTED_VALUE"""),"Once or twice a year")</f>
        <v>Once or twice a year</v>
      </c>
      <c r="J38" s="260">
        <f>IFERROR(__xludf.DUMMYFUNCTION("""COMPUTED_VALUE"""),0.8)</f>
        <v>0.8</v>
      </c>
      <c r="K38" s="258">
        <f>IFERROR(__xludf.DUMMYFUNCTION("""COMPUTED_VALUE"""),404.0)</f>
        <v>404</v>
      </c>
      <c r="L38" s="258" t="str">
        <f>IFERROR(__xludf.DUMMYFUNCTION("""COMPUTED_VALUE"""),"")</f>
        <v/>
      </c>
      <c r="M38" s="261">
        <f>IFERROR(__xludf.DUMMYFUNCTION("""COMPUTED_VALUE"""),200.0)</f>
        <v>200</v>
      </c>
      <c r="N38" s="262" t="str">
        <f>IFERROR(__xludf.DUMMYFUNCTION("""COMPUTED_VALUE"""),"")</f>
        <v/>
      </c>
      <c r="O38" s="259" t="str">
        <f>IFERROR(__xludf.DUMMYFUNCTION("""COMPUTED_VALUE"""),"")</f>
        <v/>
      </c>
      <c r="P38" s="259">
        <f>IFERROR(__xludf.DUMMYFUNCTION("""COMPUTED_VALUE"""),42218.0)</f>
        <v>42218</v>
      </c>
      <c r="Q38" s="258">
        <f>IFERROR(__xludf.DUMMYFUNCTION("""COMPUTED_VALUE"""),9484.0)</f>
        <v>9484</v>
      </c>
      <c r="R38" s="261">
        <f>IFERROR(__xludf.DUMMYFUNCTION("""COMPUTED_VALUE"""),409.0)</f>
        <v>409</v>
      </c>
      <c r="S38" s="258">
        <v>403.0</v>
      </c>
      <c r="T38" s="263">
        <v>1.0148883374689825</v>
      </c>
      <c r="U38" s="264">
        <v>5893.0</v>
      </c>
      <c r="V38" s="265">
        <v>9484.0</v>
      </c>
      <c r="W38" s="264">
        <v>5893.0</v>
      </c>
      <c r="X38" s="266" t="str">
        <f>IFERROR(__xludf.DUMMYFUNCTION("""COMPUTED_VALUE"""),"BennyG")</f>
        <v>BennyG</v>
      </c>
      <c r="Y38" s="267">
        <v>-0.01</v>
      </c>
      <c r="Z38" s="267">
        <v>0.9849101939296653</v>
      </c>
      <c r="AA38" s="269"/>
      <c r="AB38" s="270"/>
      <c r="AC38" s="270"/>
      <c r="AD38" s="270"/>
      <c r="AE38" s="270"/>
    </row>
    <row r="39">
      <c r="A39" s="256">
        <f>IFERROR(__xludf.DUMMYFUNCTION("""COMPUTED_VALUE"""),42231.16805555555)</f>
        <v>42231.16806</v>
      </c>
      <c r="B39" s="257" t="str">
        <f>IFERROR(__xludf.DUMMYFUNCTION("""COMPUTED_VALUE"""),"AnalysiZ")</f>
        <v>AnalysiZ</v>
      </c>
      <c r="C39" s="258" t="str">
        <f>IFERROR(__xludf.DUMMYFUNCTION("""COMPUTED_VALUE"""),"Europe (excluding UK) &amp; Asia Pacific")</f>
        <v>Europe (excluding UK) &amp; Asia Pacific</v>
      </c>
      <c r="D39" s="258" t="str">
        <f>IFERROR(__xludf.DUMMYFUNCTION("""COMPUTED_VALUE"""),"km. My car displays range in kilometres and I will enter all range numbers in kilometres.")</f>
        <v>km. My car displays range in kilometres and I will enter all range numbers in kilometres.</v>
      </c>
      <c r="E39" s="259">
        <f>IFERROR(__xludf.DUMMYFUNCTION("""COMPUTED_VALUE"""),42093.0)</f>
        <v>42093</v>
      </c>
      <c r="F39" s="258" t="str">
        <f>IFERROR(__xludf.DUMMYFUNCTION("""COMPUTED_VALUE"""),"Model S P85D")</f>
        <v>Model S P85D</v>
      </c>
      <c r="G39" s="258" t="str">
        <f>IFERROR(__xludf.DUMMYFUNCTION("""COMPUTED_VALUE"""),"Twice a month")</f>
        <v>Twice a month</v>
      </c>
      <c r="H39" s="258" t="str">
        <f>IFERROR(__xludf.DUMMYFUNCTION("""COMPUTED_VALUE"""),"Twice a month")</f>
        <v>Twice a month</v>
      </c>
      <c r="I39" s="258" t="str">
        <f>IFERROR(__xludf.DUMMYFUNCTION("""COMPUTED_VALUE"""),"A few times a year")</f>
        <v>A few times a year</v>
      </c>
      <c r="J39" s="260">
        <f>IFERROR(__xludf.DUMMYFUNCTION("""COMPUTED_VALUE"""),0.8)</f>
        <v>0.8</v>
      </c>
      <c r="K39" s="258" t="str">
        <f>IFERROR(__xludf.DUMMYFUNCTION("""COMPUTED_VALUE"""),"")</f>
        <v/>
      </c>
      <c r="L39" s="258" t="str">
        <f>IFERROR(__xludf.DUMMYFUNCTION("""COMPUTED_VALUE"""),"")</f>
        <v/>
      </c>
      <c r="M39" s="261">
        <f>IFERROR(__xludf.DUMMYFUNCTION("""COMPUTED_VALUE"""),199.0)</f>
        <v>199</v>
      </c>
      <c r="N39" s="262" t="str">
        <f>IFERROR(__xludf.DUMMYFUNCTION("""COMPUTED_VALUE"""),"")</f>
        <v/>
      </c>
      <c r="O39" s="259" t="str">
        <f>IFERROR(__xludf.DUMMYFUNCTION("""COMPUTED_VALUE"""),"")</f>
        <v/>
      </c>
      <c r="P39" s="259">
        <f>IFERROR(__xludf.DUMMYFUNCTION("""COMPUTED_VALUE"""),42231.0)</f>
        <v>42231</v>
      </c>
      <c r="Q39" s="258">
        <f>IFERROR(__xludf.DUMMYFUNCTION("""COMPUTED_VALUE"""),10843.0)</f>
        <v>10843</v>
      </c>
      <c r="R39" s="261">
        <f>IFERROR(__xludf.DUMMYFUNCTION("""COMPUTED_VALUE"""),408.0)</f>
        <v>408</v>
      </c>
      <c r="S39" s="258">
        <v>403.0</v>
      </c>
      <c r="T39" s="263">
        <v>1.0124069478908189</v>
      </c>
      <c r="U39" s="264">
        <v>6738.0</v>
      </c>
      <c r="V39" s="265">
        <v>10843.0</v>
      </c>
      <c r="W39" s="264">
        <v>6738.0</v>
      </c>
      <c r="X39" s="266" t="str">
        <f>IFERROR(__xludf.DUMMYFUNCTION("""COMPUTED_VALUE"""),"Berg")</f>
        <v>Berg</v>
      </c>
      <c r="Y39" s="267">
        <v>-0.01</v>
      </c>
      <c r="Z39" s="267">
        <v>0.9832643567014461</v>
      </c>
      <c r="AA39" s="269"/>
      <c r="AB39" s="270"/>
      <c r="AC39" s="270"/>
      <c r="AD39" s="270"/>
      <c r="AE39" s="270"/>
    </row>
    <row r="40">
      <c r="A40" s="256">
        <f>IFERROR(__xludf.DUMMYFUNCTION("""COMPUTED_VALUE"""),42255.17847222222)</f>
        <v>42255.17847</v>
      </c>
      <c r="B40" s="257" t="str">
        <f>IFERROR(__xludf.DUMMYFUNCTION("""COMPUTED_VALUE"""),"AnalysiZ")</f>
        <v>AnalysiZ</v>
      </c>
      <c r="C40" s="258" t="str">
        <f>IFERROR(__xludf.DUMMYFUNCTION("""COMPUTED_VALUE"""),"Europe (excluding UK) &amp; Asia Pacific")</f>
        <v>Europe (excluding UK) &amp; Asia Pacific</v>
      </c>
      <c r="D40" s="258" t="str">
        <f>IFERROR(__xludf.DUMMYFUNCTION("""COMPUTED_VALUE"""),"km. My car displays range in kilometres and I will enter all range numbers in kilometres.")</f>
        <v>km. My car displays range in kilometres and I will enter all range numbers in kilometres.</v>
      </c>
      <c r="E40" s="259">
        <f>IFERROR(__xludf.DUMMYFUNCTION("""COMPUTED_VALUE"""),42093.0)</f>
        <v>42093</v>
      </c>
      <c r="F40" s="258" t="str">
        <f>IFERROR(__xludf.DUMMYFUNCTION("""COMPUTED_VALUE"""),"Model S P85D")</f>
        <v>Model S P85D</v>
      </c>
      <c r="G40" s="258" t="str">
        <f>IFERROR(__xludf.DUMMYFUNCTION("""COMPUTED_VALUE"""),"")</f>
        <v/>
      </c>
      <c r="H40" s="258" t="str">
        <f>IFERROR(__xludf.DUMMYFUNCTION("""COMPUTED_VALUE"""),"")</f>
        <v/>
      </c>
      <c r="I40" s="258" t="str">
        <f>IFERROR(__xludf.DUMMYFUNCTION("""COMPUTED_VALUE"""),"")</f>
        <v/>
      </c>
      <c r="J40" s="260">
        <f>IFERROR(__xludf.DUMMYFUNCTION("""COMPUTED_VALUE"""),0.8)</f>
        <v>0.8</v>
      </c>
      <c r="K40" s="258" t="str">
        <f>IFERROR(__xludf.DUMMYFUNCTION("""COMPUTED_VALUE"""),"")</f>
        <v/>
      </c>
      <c r="L40" s="258" t="str">
        <f>IFERROR(__xludf.DUMMYFUNCTION("""COMPUTED_VALUE"""),"")</f>
        <v/>
      </c>
      <c r="M40" s="261">
        <f>IFERROR(__xludf.DUMMYFUNCTION("""COMPUTED_VALUE"""),198.0)</f>
        <v>198</v>
      </c>
      <c r="N40" s="262" t="str">
        <f>IFERROR(__xludf.DUMMYFUNCTION("""COMPUTED_VALUE"""),"")</f>
        <v/>
      </c>
      <c r="O40" s="259" t="str">
        <f>IFERROR(__xludf.DUMMYFUNCTION("""COMPUTED_VALUE"""),"")</f>
        <v/>
      </c>
      <c r="P40" s="259">
        <f>IFERROR(__xludf.DUMMYFUNCTION("""COMPUTED_VALUE"""),42255.0)</f>
        <v>42255</v>
      </c>
      <c r="Q40" s="258">
        <f>IFERROR(__xludf.DUMMYFUNCTION("""COMPUTED_VALUE"""),13087.0)</f>
        <v>13087</v>
      </c>
      <c r="R40" s="261">
        <f>IFERROR(__xludf.DUMMYFUNCTION("""COMPUTED_VALUE"""),407.0)</f>
        <v>407</v>
      </c>
      <c r="S40" s="258">
        <v>403.0</v>
      </c>
      <c r="T40" s="263">
        <v>1.0099255583126552</v>
      </c>
      <c r="U40" s="264">
        <v>8132.0</v>
      </c>
      <c r="V40" s="265">
        <v>13087.0</v>
      </c>
      <c r="W40" s="264">
        <v>8132.0</v>
      </c>
      <c r="X40" s="266" t="str">
        <f>IFERROR(__xludf.DUMMYFUNCTION("""COMPUTED_VALUE"""),"Bernhard")</f>
        <v>Bernhard</v>
      </c>
      <c r="Y40" s="267">
        <v>-0.01</v>
      </c>
      <c r="Z40" s="267">
        <v>0.9807646107221552</v>
      </c>
      <c r="AA40" s="269"/>
      <c r="AB40" s="270"/>
      <c r="AC40" s="270"/>
      <c r="AD40" s="270"/>
      <c r="AE40" s="270"/>
    </row>
    <row r="41">
      <c r="A41" s="256">
        <f>IFERROR(__xludf.DUMMYFUNCTION("""COMPUTED_VALUE"""),42264.18472222222)</f>
        <v>42264.18472</v>
      </c>
      <c r="B41" s="257" t="str">
        <f>IFERROR(__xludf.DUMMYFUNCTION("""COMPUTED_VALUE"""),"AnalysiZ")</f>
        <v>AnalysiZ</v>
      </c>
      <c r="C41" s="258" t="str">
        <f>IFERROR(__xludf.DUMMYFUNCTION("""COMPUTED_VALUE"""),"Europe (excluding UK) &amp; Asia Pacific")</f>
        <v>Europe (excluding UK) &amp; Asia Pacific</v>
      </c>
      <c r="D41" s="258" t="str">
        <f>IFERROR(__xludf.DUMMYFUNCTION("""COMPUTED_VALUE"""),"km. My car displays range in kilometres and I will enter all range numbers in kilometres.")</f>
        <v>km. My car displays range in kilometres and I will enter all range numbers in kilometres.</v>
      </c>
      <c r="E41" s="259">
        <f>IFERROR(__xludf.DUMMYFUNCTION("""COMPUTED_VALUE"""),42093.0)</f>
        <v>42093</v>
      </c>
      <c r="F41" s="258" t="str">
        <f>IFERROR(__xludf.DUMMYFUNCTION("""COMPUTED_VALUE"""),"Model S P85D")</f>
        <v>Model S P85D</v>
      </c>
      <c r="G41" s="258" t="str">
        <f>IFERROR(__xludf.DUMMYFUNCTION("""COMPUTED_VALUE"""),"")</f>
        <v/>
      </c>
      <c r="H41" s="258" t="str">
        <f>IFERROR(__xludf.DUMMYFUNCTION("""COMPUTED_VALUE"""),"")</f>
        <v/>
      </c>
      <c r="I41" s="258" t="str">
        <f>IFERROR(__xludf.DUMMYFUNCTION("""COMPUTED_VALUE"""),"")</f>
        <v/>
      </c>
      <c r="J41" s="260">
        <f>IFERROR(__xludf.DUMMYFUNCTION("""COMPUTED_VALUE"""),0.8)</f>
        <v>0.8</v>
      </c>
      <c r="K41" s="258" t="str">
        <f>IFERROR(__xludf.DUMMYFUNCTION("""COMPUTED_VALUE"""),"")</f>
        <v/>
      </c>
      <c r="L41" s="258" t="str">
        <f>IFERROR(__xludf.DUMMYFUNCTION("""COMPUTED_VALUE"""),"")</f>
        <v/>
      </c>
      <c r="M41" s="261">
        <f>IFERROR(__xludf.DUMMYFUNCTION("""COMPUTED_VALUE"""),197.0)</f>
        <v>197</v>
      </c>
      <c r="N41" s="262" t="str">
        <f>IFERROR(__xludf.DUMMYFUNCTION("""COMPUTED_VALUE"""),"")</f>
        <v/>
      </c>
      <c r="O41" s="259" t="str">
        <f>IFERROR(__xludf.DUMMYFUNCTION("""COMPUTED_VALUE"""),"")</f>
        <v/>
      </c>
      <c r="P41" s="259">
        <f>IFERROR(__xludf.DUMMYFUNCTION("""COMPUTED_VALUE"""),42264.0)</f>
        <v>42264</v>
      </c>
      <c r="Q41" s="258">
        <f>IFERROR(__xludf.DUMMYFUNCTION("""COMPUTED_VALUE"""),16302.0)</f>
        <v>16302</v>
      </c>
      <c r="R41" s="261">
        <f>IFERROR(__xludf.DUMMYFUNCTION("""COMPUTED_VALUE"""),406.0)</f>
        <v>406</v>
      </c>
      <c r="S41" s="258">
        <v>403.0</v>
      </c>
      <c r="T41" s="263">
        <v>1.0074441687344913</v>
      </c>
      <c r="U41" s="264">
        <v>10130.0</v>
      </c>
      <c r="V41" s="265">
        <v>16302.0</v>
      </c>
      <c r="W41" s="264">
        <v>10130.0</v>
      </c>
      <c r="X41" s="266" t="str">
        <f>IFERROR(__xludf.DUMMYFUNCTION("""COMPUTED_VALUE"""),"Bernie")</f>
        <v>Bernie</v>
      </c>
      <c r="Y41" s="267">
        <v>-0.01</v>
      </c>
      <c r="Z41" s="267">
        <v>0.9775981181998507</v>
      </c>
      <c r="AA41" s="269"/>
      <c r="AB41" s="270"/>
      <c r="AC41" s="270"/>
      <c r="AD41" s="270"/>
      <c r="AE41" s="270"/>
    </row>
    <row r="42">
      <c r="A42" s="256">
        <f>IFERROR(__xludf.DUMMYFUNCTION("""COMPUTED_VALUE"""),42272.1875)</f>
        <v>42272.1875</v>
      </c>
      <c r="B42" s="257" t="str">
        <f>IFERROR(__xludf.DUMMYFUNCTION("""COMPUTED_VALUE"""),"AnalysiZ")</f>
        <v>AnalysiZ</v>
      </c>
      <c r="C42" s="258" t="str">
        <f>IFERROR(__xludf.DUMMYFUNCTION("""COMPUTED_VALUE"""),"Europe (excluding UK) &amp; Asia Pacific")</f>
        <v>Europe (excluding UK) &amp; Asia Pacific</v>
      </c>
      <c r="D42" s="258" t="str">
        <f>IFERROR(__xludf.DUMMYFUNCTION("""COMPUTED_VALUE"""),"km. My car displays range in kilometres and I will enter all range numbers in kilometres.")</f>
        <v>km. My car displays range in kilometres and I will enter all range numbers in kilometres.</v>
      </c>
      <c r="E42" s="259">
        <f>IFERROR(__xludf.DUMMYFUNCTION("""COMPUTED_VALUE"""),42093.0)</f>
        <v>42093</v>
      </c>
      <c r="F42" s="258" t="str">
        <f>IFERROR(__xludf.DUMMYFUNCTION("""COMPUTED_VALUE"""),"Model S P85D")</f>
        <v>Model S P85D</v>
      </c>
      <c r="G42" s="258" t="str">
        <f>IFERROR(__xludf.DUMMYFUNCTION("""COMPUTED_VALUE"""),"")</f>
        <v/>
      </c>
      <c r="H42" s="258" t="str">
        <f>IFERROR(__xludf.DUMMYFUNCTION("""COMPUTED_VALUE"""),"")</f>
        <v/>
      </c>
      <c r="I42" s="258" t="str">
        <f>IFERROR(__xludf.DUMMYFUNCTION("""COMPUTED_VALUE"""),"")</f>
        <v/>
      </c>
      <c r="J42" s="260" t="str">
        <f>IFERROR(__xludf.DUMMYFUNCTION("""COMPUTED_VALUE"""),"")</f>
        <v/>
      </c>
      <c r="K42" s="258" t="str">
        <f>IFERROR(__xludf.DUMMYFUNCTION("""COMPUTED_VALUE"""),"")</f>
        <v/>
      </c>
      <c r="L42" s="258" t="str">
        <f>IFERROR(__xludf.DUMMYFUNCTION("""COMPUTED_VALUE"""),"")</f>
        <v/>
      </c>
      <c r="M42" s="261">
        <f>IFERROR(__xludf.DUMMYFUNCTION("""COMPUTED_VALUE"""),197.0)</f>
        <v>197</v>
      </c>
      <c r="N42" s="262" t="str">
        <f>IFERROR(__xludf.DUMMYFUNCTION("""COMPUTED_VALUE"""),"")</f>
        <v/>
      </c>
      <c r="O42" s="259" t="str">
        <f>IFERROR(__xludf.DUMMYFUNCTION("""COMPUTED_VALUE"""),"")</f>
        <v/>
      </c>
      <c r="P42" s="259">
        <f>IFERROR(__xludf.DUMMYFUNCTION("""COMPUTED_VALUE"""),42272.0)</f>
        <v>42272</v>
      </c>
      <c r="Q42" s="258">
        <f>IFERROR(__xludf.DUMMYFUNCTION("""COMPUTED_VALUE"""),18610.0)</f>
        <v>18610</v>
      </c>
      <c r="R42" s="261">
        <f>IFERROR(__xludf.DUMMYFUNCTION("""COMPUTED_VALUE"""),407.0)</f>
        <v>407</v>
      </c>
      <c r="S42" s="258">
        <v>403.0</v>
      </c>
      <c r="T42" s="263">
        <v>1.0099255583126552</v>
      </c>
      <c r="U42" s="264">
        <v>11564.0</v>
      </c>
      <c r="V42" s="265">
        <v>18610.0</v>
      </c>
      <c r="W42" s="264">
        <v>11564.0</v>
      </c>
      <c r="X42" s="266" t="str">
        <f>IFERROR(__xludf.DUMMYFUNCTION("""COMPUTED_VALUE"""),"Bernie 75D")</f>
        <v>Bernie 75D</v>
      </c>
      <c r="Y42" s="267">
        <v>-0.01</v>
      </c>
      <c r="Z42" s="267">
        <v>0.9755841998987704</v>
      </c>
      <c r="AA42" s="269"/>
      <c r="AB42" s="270"/>
      <c r="AC42" s="270"/>
      <c r="AD42" s="270"/>
      <c r="AE42" s="270"/>
    </row>
    <row r="43">
      <c r="A43" s="256">
        <f>IFERROR(__xludf.DUMMYFUNCTION("""COMPUTED_VALUE"""),41904.00902777778)</f>
        <v>41904.00903</v>
      </c>
      <c r="B43" s="257" t="str">
        <f>IFERROR(__xludf.DUMMYFUNCTION("""COMPUTED_VALUE"""),"AnalysiZ P85")</f>
        <v>AnalysiZ P85</v>
      </c>
      <c r="C43" s="258" t="str">
        <f>IFERROR(__xludf.DUMMYFUNCTION("""COMPUTED_VALUE"""),"Europe (excluding UK) &amp; Asia Pacific")</f>
        <v>Europe (excluding UK) &amp; Asia Pacific</v>
      </c>
      <c r="D43" s="258" t="str">
        <f>IFERROR(__xludf.DUMMYFUNCTION("""COMPUTED_VALUE"""),"km. My car displays range in kilometres and I will enter all range numbers in kilometres.")</f>
        <v>km. My car displays range in kilometres and I will enter all range numbers in kilometres.</v>
      </c>
      <c r="E43" s="259">
        <f>IFERROR(__xludf.DUMMYFUNCTION("""COMPUTED_VALUE"""),41591.0)</f>
        <v>41591</v>
      </c>
      <c r="F43" s="258" t="str">
        <f>IFERROR(__xludf.DUMMYFUNCTION("""COMPUTED_VALUE"""),"Model S P85")</f>
        <v>Model S P85</v>
      </c>
      <c r="G43" s="258" t="str">
        <f>IFERROR(__xludf.DUMMYFUNCTION("""COMPUTED_VALUE"""),"Never")</f>
        <v>Never</v>
      </c>
      <c r="H43" s="258" t="str">
        <f>IFERROR(__xludf.DUMMYFUNCTION("""COMPUTED_VALUE"""),"Never")</f>
        <v>Never</v>
      </c>
      <c r="I43" s="258" t="str">
        <f>IFERROR(__xludf.DUMMYFUNCTION("""COMPUTED_VALUE"""),"Never")</f>
        <v>Never</v>
      </c>
      <c r="J43" s="260" t="str">
        <f>IFERROR(__xludf.DUMMYFUNCTION("""COMPUTED_VALUE"""),"")</f>
        <v/>
      </c>
      <c r="K43" s="258" t="str">
        <f>IFERROR(__xludf.DUMMYFUNCTION("""COMPUTED_VALUE"""),"")</f>
        <v/>
      </c>
      <c r="L43" s="258" t="str">
        <f>IFERROR(__xludf.DUMMYFUNCTION("""COMPUTED_VALUE"""),"")</f>
        <v/>
      </c>
      <c r="M43" s="261">
        <f>IFERROR(__xludf.DUMMYFUNCTION("""COMPUTED_VALUE"""),200.0)</f>
        <v>200</v>
      </c>
      <c r="N43" s="262" t="str">
        <f>IFERROR(__xludf.DUMMYFUNCTION("""COMPUTED_VALUE"""),"")</f>
        <v/>
      </c>
      <c r="O43" s="259" t="str">
        <f>IFERROR(__xludf.DUMMYFUNCTION("""COMPUTED_VALUE"""),"")</f>
        <v/>
      </c>
      <c r="P43" s="259">
        <f>IFERROR(__xludf.DUMMYFUNCTION("""COMPUTED_VALUE"""),41904.0)</f>
        <v>41904</v>
      </c>
      <c r="Q43" s="258">
        <f>IFERROR(__xludf.DUMMYFUNCTION("""COMPUTED_VALUE"""),16045.0)</f>
        <v>16045</v>
      </c>
      <c r="R43" s="261">
        <f>IFERROR(__xludf.DUMMYFUNCTION("""COMPUTED_VALUE"""),383.0)</f>
        <v>383</v>
      </c>
      <c r="S43" s="258">
        <v>395.0</v>
      </c>
      <c r="T43" s="263">
        <v>0.9696202531645569</v>
      </c>
      <c r="U43" s="264">
        <v>9970.0</v>
      </c>
      <c r="V43" s="265">
        <v>16045.0</v>
      </c>
      <c r="W43" s="264">
        <v>9970.0</v>
      </c>
      <c r="X43" s="266" t="str">
        <f>IFERROR(__xludf.DUMMYFUNCTION("""COMPUTED_VALUE"""),"Bianco")</f>
        <v>Bianco</v>
      </c>
      <c r="Y43" s="267">
        <v>-0.01</v>
      </c>
      <c r="Z43" s="267">
        <v>0.9778350116189307</v>
      </c>
      <c r="AA43" s="269"/>
      <c r="AB43" s="270"/>
      <c r="AC43" s="270"/>
      <c r="AD43" s="270"/>
      <c r="AE43" s="270"/>
    </row>
    <row r="44">
      <c r="A44" s="256">
        <f>IFERROR(__xludf.DUMMYFUNCTION("""COMPUTED_VALUE"""),42354.25)</f>
        <v>42354.25</v>
      </c>
      <c r="B44" s="257" t="str">
        <f>IFERROR(__xludf.DUMMYFUNCTION("""COMPUTED_VALUE"""),"AnalysiZ S70")</f>
        <v>AnalysiZ S70</v>
      </c>
      <c r="C44" s="258" t="str">
        <f>IFERROR(__xludf.DUMMYFUNCTION("""COMPUTED_VALUE"""),"Europe (excluding UK) &amp; Asia Pacific")</f>
        <v>Europe (excluding UK) &amp; Asia Pacific</v>
      </c>
      <c r="D44" s="258" t="str">
        <f>IFERROR(__xludf.DUMMYFUNCTION("""COMPUTED_VALUE"""),"km. My car displays range in kilometres and I will enter all range numbers in kilometres.")</f>
        <v>km. My car displays range in kilometres and I will enter all range numbers in kilometres.</v>
      </c>
      <c r="E44" s="259">
        <f>IFERROR(__xludf.DUMMYFUNCTION("""COMPUTED_VALUE"""),42291.0)</f>
        <v>42291</v>
      </c>
      <c r="F44" s="258" t="str">
        <f>IFERROR(__xludf.DUMMYFUNCTION("""COMPUTED_VALUE"""),"Model S 70")</f>
        <v>Model S 70</v>
      </c>
      <c r="G44" s="258" t="str">
        <f>IFERROR(__xludf.DUMMYFUNCTION("""COMPUTED_VALUE"""),"")</f>
        <v/>
      </c>
      <c r="H44" s="258" t="str">
        <f>IFERROR(__xludf.DUMMYFUNCTION("""COMPUTED_VALUE"""),"")</f>
        <v/>
      </c>
      <c r="I44" s="258" t="str">
        <f>IFERROR(__xludf.DUMMYFUNCTION("""COMPUTED_VALUE"""),"")</f>
        <v/>
      </c>
      <c r="J44" s="260">
        <f>IFERROR(__xludf.DUMMYFUNCTION("""COMPUTED_VALUE"""),0.8)</f>
        <v>0.8</v>
      </c>
      <c r="K44" s="258" t="str">
        <f>IFERROR(__xludf.DUMMYFUNCTION("""COMPUTED_VALUE"""),"")</f>
        <v/>
      </c>
      <c r="L44" s="258" t="str">
        <f>IFERROR(__xludf.DUMMYFUNCTION("""COMPUTED_VALUE"""),"")</f>
        <v/>
      </c>
      <c r="M44" s="261">
        <f>IFERROR(__xludf.DUMMYFUNCTION("""COMPUTED_VALUE"""),189.0)</f>
        <v>189</v>
      </c>
      <c r="N44" s="262" t="str">
        <f>IFERROR(__xludf.DUMMYFUNCTION("""COMPUTED_VALUE"""),"")</f>
        <v/>
      </c>
      <c r="O44" s="259" t="str">
        <f>IFERROR(__xludf.DUMMYFUNCTION("""COMPUTED_VALUE"""),"")</f>
        <v/>
      </c>
      <c r="P44" s="259">
        <f>IFERROR(__xludf.DUMMYFUNCTION("""COMPUTED_VALUE"""),42354.0)</f>
        <v>42354</v>
      </c>
      <c r="Q44" s="258">
        <f>IFERROR(__xludf.DUMMYFUNCTION("""COMPUTED_VALUE"""),1186.0)</f>
        <v>1186</v>
      </c>
      <c r="R44" s="261">
        <f>IFERROR(__xludf.DUMMYFUNCTION("""COMPUTED_VALUE"""),368.0)</f>
        <v>368</v>
      </c>
      <c r="S44" s="258">
        <v>355.0</v>
      </c>
      <c r="T44" s="263">
        <v>1.036619718309859</v>
      </c>
      <c r="U44" s="264">
        <v>737.0</v>
      </c>
      <c r="V44" s="265">
        <v>1186.0</v>
      </c>
      <c r="W44" s="264">
        <v>737.0</v>
      </c>
      <c r="X44" s="266" t="str">
        <f>IFERROR(__xludf.DUMMYFUNCTION("""COMPUTED_VALUE"""),"BiancoP85D")</f>
        <v>BiancoP85D</v>
      </c>
      <c r="Y44" s="267">
        <v>-0.01</v>
      </c>
      <c r="Z44" s="267">
        <v>0.9976982046680672</v>
      </c>
      <c r="AA44" s="269"/>
      <c r="AB44" s="270"/>
      <c r="AC44" s="270"/>
      <c r="AD44" s="270"/>
      <c r="AE44" s="270"/>
    </row>
    <row r="45">
      <c r="A45" s="256">
        <f>IFERROR(__xludf.DUMMYFUNCTION("""COMPUTED_VALUE"""),41908.01875)</f>
        <v>41908.01875</v>
      </c>
      <c r="B45" s="257" t="str">
        <f>IFERROR(__xludf.DUMMYFUNCTION("""COMPUTED_VALUE"""),"Anco")</f>
        <v>Anco</v>
      </c>
      <c r="C45" s="258" t="str">
        <f>IFERROR(__xludf.DUMMYFUNCTION("""COMPUTED_VALUE"""),"Europe (excluding UK) &amp; Asia Pacific")</f>
        <v>Europe (excluding UK) &amp; Asia Pacific</v>
      </c>
      <c r="D45" s="258" t="str">
        <f>IFERROR(__xludf.DUMMYFUNCTION("""COMPUTED_VALUE"""),"km. My car displays range in kilometres and I will enter all range numbers in kilometres.")</f>
        <v>km. My car displays range in kilometres and I will enter all range numbers in kilometres.</v>
      </c>
      <c r="E45" s="259">
        <f>IFERROR(__xludf.DUMMYFUNCTION("""COMPUTED_VALUE"""),41795.0)</f>
        <v>41795</v>
      </c>
      <c r="F45" s="258" t="str">
        <f>IFERROR(__xludf.DUMMYFUNCTION("""COMPUTED_VALUE"""),"Model S 85")</f>
        <v>Model S 85</v>
      </c>
      <c r="G45" s="258" t="str">
        <f>IFERROR(__xludf.DUMMYFUNCTION("""COMPUTED_VALUE"""),"Never")</f>
        <v>Never</v>
      </c>
      <c r="H45" s="258" t="str">
        <f>IFERROR(__xludf.DUMMYFUNCTION("""COMPUTED_VALUE"""),"Monthly")</f>
        <v>Monthly</v>
      </c>
      <c r="I45" s="258" t="str">
        <f>IFERROR(__xludf.DUMMYFUNCTION("""COMPUTED_VALUE"""),"Never")</f>
        <v>Never</v>
      </c>
      <c r="J45" s="260" t="str">
        <f>IFERROR(__xludf.DUMMYFUNCTION("""COMPUTED_VALUE"""),"")</f>
        <v/>
      </c>
      <c r="K45" s="258" t="str">
        <f>IFERROR(__xludf.DUMMYFUNCTION("""COMPUTED_VALUE"""),"")</f>
        <v/>
      </c>
      <c r="L45" s="258" t="str">
        <f>IFERROR(__xludf.DUMMYFUNCTION("""COMPUTED_VALUE"""),"")</f>
        <v/>
      </c>
      <c r="M45" s="261">
        <f>IFERROR(__xludf.DUMMYFUNCTION("""COMPUTED_VALUE"""),215.0)</f>
        <v>215</v>
      </c>
      <c r="N45" s="262" t="str">
        <f>IFERROR(__xludf.DUMMYFUNCTION("""COMPUTED_VALUE"""),"")</f>
        <v/>
      </c>
      <c r="O45" s="259" t="str">
        <f>IFERROR(__xludf.DUMMYFUNCTION("""COMPUTED_VALUE"""),"")</f>
        <v/>
      </c>
      <c r="P45" s="259">
        <f>IFERROR(__xludf.DUMMYFUNCTION("""COMPUTED_VALUE"""),41908.0)</f>
        <v>41908</v>
      </c>
      <c r="Q45" s="258">
        <f>IFERROR(__xludf.DUMMYFUNCTION("""COMPUTED_VALUE"""),4397.0)</f>
        <v>4397</v>
      </c>
      <c r="R45" s="261">
        <f>IFERROR(__xludf.DUMMYFUNCTION("""COMPUTED_VALUE"""),392.0)</f>
        <v>392</v>
      </c>
      <c r="S45" s="258">
        <v>395.0</v>
      </c>
      <c r="T45" s="263">
        <v>0.9924050632911392</v>
      </c>
      <c r="U45" s="264">
        <v>2732.0</v>
      </c>
      <c r="V45" s="265">
        <v>4397.0</v>
      </c>
      <c r="W45" s="264">
        <v>2732.0</v>
      </c>
      <c r="X45" s="266" t="str">
        <f>IFERROR(__xludf.DUMMYFUNCTION("""COMPUTED_VALUE"""),"Biet")</f>
        <v>Biet</v>
      </c>
      <c r="Y45" s="267">
        <v>-0.01</v>
      </c>
      <c r="Z45" s="267">
        <v>0.9921191088313147</v>
      </c>
      <c r="AA45" s="269"/>
      <c r="AB45" s="270"/>
      <c r="AC45" s="270"/>
      <c r="AD45" s="270"/>
      <c r="AE45" s="270"/>
    </row>
    <row r="46">
      <c r="A46" s="256">
        <f>IFERROR(__xludf.DUMMYFUNCTION("""COMPUTED_VALUE"""),42320.23125)</f>
        <v>42320.23125</v>
      </c>
      <c r="B46" s="257" t="str">
        <f>IFERROR(__xludf.DUMMYFUNCTION("""COMPUTED_VALUE"""),"Anco")</f>
        <v>Anco</v>
      </c>
      <c r="C46" s="258" t="str">
        <f>IFERROR(__xludf.DUMMYFUNCTION("""COMPUTED_VALUE"""),"Europe (excluding UK) &amp; Asia Pacific")</f>
        <v>Europe (excluding UK) &amp; Asia Pacific</v>
      </c>
      <c r="D46" s="258" t="str">
        <f>IFERROR(__xludf.DUMMYFUNCTION("""COMPUTED_VALUE"""),"km. My car displays range in kilometres and I will enter all range numbers in kilometres.")</f>
        <v>km. My car displays range in kilometres and I will enter all range numbers in kilometres.</v>
      </c>
      <c r="E46" s="259">
        <f>IFERROR(__xludf.DUMMYFUNCTION("""COMPUTED_VALUE"""),41795.0)</f>
        <v>41795</v>
      </c>
      <c r="F46" s="258" t="str">
        <f>IFERROR(__xludf.DUMMYFUNCTION("""COMPUTED_VALUE"""),"Model S 85")</f>
        <v>Model S 85</v>
      </c>
      <c r="G46" s="258" t="str">
        <f>IFERROR(__xludf.DUMMYFUNCTION("""COMPUTED_VALUE"""),"Twice a month")</f>
        <v>Twice a month</v>
      </c>
      <c r="H46" s="258" t="str">
        <f>IFERROR(__xludf.DUMMYFUNCTION("""COMPUTED_VALUE"""),"A few times a year")</f>
        <v>A few times a year</v>
      </c>
      <c r="I46" s="258" t="str">
        <f>IFERROR(__xludf.DUMMYFUNCTION("""COMPUTED_VALUE"""),"Once or twice a year")</f>
        <v>Once or twice a year</v>
      </c>
      <c r="J46" s="260">
        <f>IFERROR(__xludf.DUMMYFUNCTION("""COMPUTED_VALUE"""),0.9)</f>
        <v>0.9</v>
      </c>
      <c r="K46" s="258">
        <f>IFERROR(__xludf.DUMMYFUNCTION("""COMPUTED_VALUE"""),392.0)</f>
        <v>392</v>
      </c>
      <c r="L46" s="258" t="str">
        <f>IFERROR(__xludf.DUMMYFUNCTION("""COMPUTED_VALUE"""),"")</f>
        <v/>
      </c>
      <c r="M46" s="261">
        <f>IFERROR(__xludf.DUMMYFUNCTION("""COMPUTED_VALUE"""),223.0)</f>
        <v>223</v>
      </c>
      <c r="N46" s="262" t="str">
        <f>IFERROR(__xludf.DUMMYFUNCTION("""COMPUTED_VALUE"""),"")</f>
        <v/>
      </c>
      <c r="O46" s="259" t="str">
        <f>IFERROR(__xludf.DUMMYFUNCTION("""COMPUTED_VALUE"""),"")</f>
        <v/>
      </c>
      <c r="P46" s="259">
        <f>IFERROR(__xludf.DUMMYFUNCTION("""COMPUTED_VALUE"""),42320.0)</f>
        <v>42320</v>
      </c>
      <c r="Q46" s="258">
        <f>IFERROR(__xludf.DUMMYFUNCTION("""COMPUTED_VALUE"""),43123.0)</f>
        <v>43123</v>
      </c>
      <c r="R46" s="261">
        <f>IFERROR(__xludf.DUMMYFUNCTION("""COMPUTED_VALUE"""),355.0)</f>
        <v>355</v>
      </c>
      <c r="S46" s="258">
        <v>395.0</v>
      </c>
      <c r="T46" s="263">
        <v>0.8987341772151899</v>
      </c>
      <c r="U46" s="264">
        <v>26795.0</v>
      </c>
      <c r="V46" s="265">
        <v>43123.0</v>
      </c>
      <c r="W46" s="264">
        <v>26795.0</v>
      </c>
      <c r="X46" s="266" t="str">
        <f>IFERROR(__xludf.DUMMYFUNCTION("""COMPUTED_VALUE"""),"Big daddy G")</f>
        <v>Big daddy G</v>
      </c>
      <c r="Y46" s="267">
        <v>-0.01</v>
      </c>
      <c r="Z46" s="267">
        <v>0.9620942089228955</v>
      </c>
      <c r="AA46" s="269"/>
      <c r="AB46" s="270"/>
      <c r="AC46" s="270"/>
      <c r="AD46" s="270"/>
      <c r="AE46" s="270"/>
    </row>
    <row r="47">
      <c r="A47" s="256">
        <f>IFERROR(__xludf.DUMMYFUNCTION("""COMPUTED_VALUE"""),42347.23958333333)</f>
        <v>42347.23958</v>
      </c>
      <c r="B47" s="257" t="str">
        <f>IFERROR(__xludf.DUMMYFUNCTION("""COMPUTED_VALUE"""),"Anco")</f>
        <v>Anco</v>
      </c>
      <c r="C47" s="258" t="str">
        <f>IFERROR(__xludf.DUMMYFUNCTION("""COMPUTED_VALUE"""),"Europe (excluding UK) &amp; Asia Pacific")</f>
        <v>Europe (excluding UK) &amp; Asia Pacific</v>
      </c>
      <c r="D47" s="258" t="str">
        <f>IFERROR(__xludf.DUMMYFUNCTION("""COMPUTED_VALUE"""),"km. My car displays range in kilometres and I will enter all range numbers in kilometres.")</f>
        <v>km. My car displays range in kilometres and I will enter all range numbers in kilometres.</v>
      </c>
      <c r="E47" s="259">
        <f>IFERROR(__xludf.DUMMYFUNCTION("""COMPUTED_VALUE"""),41795.0)</f>
        <v>41795</v>
      </c>
      <c r="F47" s="258" t="str">
        <f>IFERROR(__xludf.DUMMYFUNCTION("""COMPUTED_VALUE"""),"Model S 85")</f>
        <v>Model S 85</v>
      </c>
      <c r="G47" s="258" t="str">
        <f>IFERROR(__xludf.DUMMYFUNCTION("""COMPUTED_VALUE"""),"Twice a month")</f>
        <v>Twice a month</v>
      </c>
      <c r="H47" s="258" t="str">
        <f>IFERROR(__xludf.DUMMYFUNCTION("""COMPUTED_VALUE"""),"A few times a year")</f>
        <v>A few times a year</v>
      </c>
      <c r="I47" s="258" t="str">
        <f>IFERROR(__xludf.DUMMYFUNCTION("""COMPUTED_VALUE"""),"A few times a year")</f>
        <v>A few times a year</v>
      </c>
      <c r="J47" s="260">
        <f>IFERROR(__xludf.DUMMYFUNCTION("""COMPUTED_VALUE"""),0.9)</f>
        <v>0.9</v>
      </c>
      <c r="K47" s="258">
        <f>IFERROR(__xludf.DUMMYFUNCTION("""COMPUTED_VALUE"""),392.0)</f>
        <v>392</v>
      </c>
      <c r="L47" s="258" t="str">
        <f>IFERROR(__xludf.DUMMYFUNCTION("""COMPUTED_VALUE"""),"")</f>
        <v/>
      </c>
      <c r="M47" s="261">
        <f>IFERROR(__xludf.DUMMYFUNCTION("""COMPUTED_VALUE"""),222.0)</f>
        <v>222</v>
      </c>
      <c r="N47" s="262" t="str">
        <f>IFERROR(__xludf.DUMMYFUNCTION("""COMPUTED_VALUE"""),"")</f>
        <v/>
      </c>
      <c r="O47" s="259" t="str">
        <f>IFERROR(__xludf.DUMMYFUNCTION("""COMPUTED_VALUE"""),"")</f>
        <v/>
      </c>
      <c r="P47" s="259">
        <f>IFERROR(__xludf.DUMMYFUNCTION("""COMPUTED_VALUE"""),42347.0)</f>
        <v>42347</v>
      </c>
      <c r="Q47" s="258">
        <f>IFERROR(__xludf.DUMMYFUNCTION("""COMPUTED_VALUE"""),46500.0)</f>
        <v>46500</v>
      </c>
      <c r="R47" s="261">
        <f>IFERROR(__xludf.DUMMYFUNCTION("""COMPUTED_VALUE"""),374.0)</f>
        <v>374</v>
      </c>
      <c r="S47" s="258">
        <v>395.0</v>
      </c>
      <c r="T47" s="263">
        <v>0.9468354430379747</v>
      </c>
      <c r="U47" s="264">
        <v>28894.0</v>
      </c>
      <c r="V47" s="265">
        <v>46500.0</v>
      </c>
      <c r="W47" s="264">
        <v>28894.0</v>
      </c>
      <c r="X47" s="266" t="str">
        <f>IFERROR(__xludf.DUMMYFUNCTION("""COMPUTED_VALUE"""),"Blackbird")</f>
        <v>Blackbird</v>
      </c>
      <c r="Y47" s="267">
        <v>-0.01</v>
      </c>
      <c r="Z47" s="267">
        <v>0.960873055878162</v>
      </c>
      <c r="AA47" s="269"/>
      <c r="AB47" s="270"/>
      <c r="AC47" s="270"/>
      <c r="AD47" s="270"/>
      <c r="AE47" s="270"/>
    </row>
    <row r="48">
      <c r="A48" s="256">
        <f>IFERROR(__xludf.DUMMYFUNCTION("""COMPUTED_VALUE"""),42502.33472222222)</f>
        <v>42502.33472</v>
      </c>
      <c r="B48" s="257" t="str">
        <f>IFERROR(__xludf.DUMMYFUNCTION("""COMPUTED_VALUE"""),"anco")</f>
        <v>anco</v>
      </c>
      <c r="C48" s="258" t="str">
        <f>IFERROR(__xludf.DUMMYFUNCTION("""COMPUTED_VALUE"""),"Europe (excluding UK) &amp; Asia Pacific")</f>
        <v>Europe (excluding UK) &amp; Asia Pacific</v>
      </c>
      <c r="D48" s="258" t="str">
        <f>IFERROR(__xludf.DUMMYFUNCTION("""COMPUTED_VALUE"""),"km. My car displays range in kilometres and I will enter all range numbers in kilometres.")</f>
        <v>km. My car displays range in kilometres and I will enter all range numbers in kilometres.</v>
      </c>
      <c r="E48" s="259">
        <f>IFERROR(__xludf.DUMMYFUNCTION("""COMPUTED_VALUE"""),41795.0)</f>
        <v>41795</v>
      </c>
      <c r="F48" s="258" t="str">
        <f>IFERROR(__xludf.DUMMYFUNCTION("""COMPUTED_VALUE"""),"Model S 85")</f>
        <v>Model S 85</v>
      </c>
      <c r="G48" s="258" t="str">
        <f>IFERROR(__xludf.DUMMYFUNCTION("""COMPUTED_VALUE"""),"Twice a month")</f>
        <v>Twice a month</v>
      </c>
      <c r="H48" s="258" t="str">
        <f>IFERROR(__xludf.DUMMYFUNCTION("""COMPUTED_VALUE"""),"Monthly")</f>
        <v>Monthly</v>
      </c>
      <c r="I48" s="258" t="str">
        <f>IFERROR(__xludf.DUMMYFUNCTION("""COMPUTED_VALUE"""),"A few times a year")</f>
        <v>A few times a year</v>
      </c>
      <c r="J48" s="260">
        <f>IFERROR(__xludf.DUMMYFUNCTION("""COMPUTED_VALUE"""),0.9)</f>
        <v>0.9</v>
      </c>
      <c r="K48" s="258">
        <f>IFERROR(__xludf.DUMMYFUNCTION("""COMPUTED_VALUE"""),392.0)</f>
        <v>392</v>
      </c>
      <c r="L48" s="258" t="str">
        <f>IFERROR(__xludf.DUMMYFUNCTION("""COMPUTED_VALUE"""),"")</f>
        <v/>
      </c>
      <c r="M48" s="261">
        <f>IFERROR(__xludf.DUMMYFUNCTION("""COMPUTED_VALUE"""),223.0)</f>
        <v>223</v>
      </c>
      <c r="N48" s="262" t="str">
        <f>IFERROR(__xludf.DUMMYFUNCTION("""COMPUTED_VALUE"""),"")</f>
        <v/>
      </c>
      <c r="O48" s="259" t="str">
        <f>IFERROR(__xludf.DUMMYFUNCTION("""COMPUTED_VALUE"""),"")</f>
        <v/>
      </c>
      <c r="P48" s="259">
        <f>IFERROR(__xludf.DUMMYFUNCTION("""COMPUTED_VALUE"""),42502.0)</f>
        <v>42502</v>
      </c>
      <c r="Q48" s="258">
        <f>IFERROR(__xludf.DUMMYFUNCTION("""COMPUTED_VALUE"""),62660.0)</f>
        <v>62660</v>
      </c>
      <c r="R48" s="261">
        <f>IFERROR(__xludf.DUMMYFUNCTION("""COMPUTED_VALUE"""),374.0)</f>
        <v>374</v>
      </c>
      <c r="S48" s="258">
        <v>395.0</v>
      </c>
      <c r="T48" s="263">
        <v>0.9468354430379747</v>
      </c>
      <c r="U48" s="264">
        <v>38935.0</v>
      </c>
      <c r="V48" s="265">
        <v>62660.0</v>
      </c>
      <c r="W48" s="264">
        <v>38935.0</v>
      </c>
      <c r="X48" s="266" t="str">
        <f>IFERROR(__xludf.DUMMYFUNCTION("""COMPUTED_VALUE"""),"Blitz")</f>
        <v>Blitz</v>
      </c>
      <c r="Y48" s="267">
        <v>-0.01</v>
      </c>
      <c r="Z48" s="267">
        <v>0.9559038767089275</v>
      </c>
      <c r="AA48" s="269"/>
      <c r="AB48" s="270"/>
      <c r="AC48" s="270"/>
      <c r="AD48" s="270"/>
      <c r="AE48" s="270"/>
    </row>
    <row r="49">
      <c r="A49" s="256">
        <f>IFERROR(__xludf.DUMMYFUNCTION("""COMPUTED_VALUE"""),42980.60625)</f>
        <v>42980.60625</v>
      </c>
      <c r="B49" s="257" t="str">
        <f>IFERROR(__xludf.DUMMYFUNCTION("""COMPUTED_VALUE"""),"Anco")</f>
        <v>Anco</v>
      </c>
      <c r="C49" s="258" t="str">
        <f>IFERROR(__xludf.DUMMYFUNCTION("""COMPUTED_VALUE"""),"Europe (excluding UK) &amp; Asia Pacific")</f>
        <v>Europe (excluding UK) &amp; Asia Pacific</v>
      </c>
      <c r="D49" s="258" t="str">
        <f>IFERROR(__xludf.DUMMYFUNCTION("""COMPUTED_VALUE"""),"km. My car displays range in kilometres and I will enter all range numbers in kilometres.")</f>
        <v>km. My car displays range in kilometres and I will enter all range numbers in kilometres.</v>
      </c>
      <c r="E49" s="259">
        <f>IFERROR(__xludf.DUMMYFUNCTION("""COMPUTED_VALUE"""),41792.0)</f>
        <v>41792</v>
      </c>
      <c r="F49" s="258" t="str">
        <f>IFERROR(__xludf.DUMMYFUNCTION("""COMPUTED_VALUE"""),"Model S 85")</f>
        <v>Model S 85</v>
      </c>
      <c r="G49" s="258" t="str">
        <f>IFERROR(__xludf.DUMMYFUNCTION("""COMPUTED_VALUE"""),"Twice a month")</f>
        <v>Twice a month</v>
      </c>
      <c r="H49" s="258" t="str">
        <f>IFERROR(__xludf.DUMMYFUNCTION("""COMPUTED_VALUE"""),"Twice a month")</f>
        <v>Twice a month</v>
      </c>
      <c r="I49" s="258" t="str">
        <f>IFERROR(__xludf.DUMMYFUNCTION("""COMPUTED_VALUE"""),"A few times a year")</f>
        <v>A few times a year</v>
      </c>
      <c r="J49" s="260">
        <f>IFERROR(__xludf.DUMMYFUNCTION("""COMPUTED_VALUE"""),0.9)</f>
        <v>0.9</v>
      </c>
      <c r="K49" s="258">
        <f>IFERROR(__xludf.DUMMYFUNCTION("""COMPUTED_VALUE"""),391.0)</f>
        <v>391</v>
      </c>
      <c r="L49" s="258" t="str">
        <f>IFERROR(__xludf.DUMMYFUNCTION("""COMPUTED_VALUE"""),"")</f>
        <v/>
      </c>
      <c r="M49" s="261">
        <f>IFERROR(__xludf.DUMMYFUNCTION("""COMPUTED_VALUE"""),219.0)</f>
        <v>219</v>
      </c>
      <c r="N49" s="262" t="str">
        <f>IFERROR(__xludf.DUMMYFUNCTION("""COMPUTED_VALUE"""),"")</f>
        <v/>
      </c>
      <c r="O49" s="259" t="str">
        <f>IFERROR(__xludf.DUMMYFUNCTION("""COMPUTED_VALUE"""),"")</f>
        <v/>
      </c>
      <c r="P49" s="259">
        <f>IFERROR(__xludf.DUMMYFUNCTION("""COMPUTED_VALUE"""),42980.0)</f>
        <v>42980</v>
      </c>
      <c r="Q49" s="258">
        <f>IFERROR(__xludf.DUMMYFUNCTION("""COMPUTED_VALUE"""),106200.0)</f>
        <v>106200</v>
      </c>
      <c r="R49" s="261">
        <f>IFERROR(__xludf.DUMMYFUNCTION("""COMPUTED_VALUE"""),378.0)</f>
        <v>378</v>
      </c>
      <c r="S49" s="258">
        <v>395.0</v>
      </c>
      <c r="T49" s="263">
        <v>0.9569620253164557</v>
      </c>
      <c r="U49" s="264">
        <v>65990.0</v>
      </c>
      <c r="V49" s="265">
        <v>106200.0</v>
      </c>
      <c r="W49" s="264">
        <v>65990.0</v>
      </c>
      <c r="X49" s="266" t="str">
        <f>IFERROR(__xludf.DUMMYFUNCTION("""COMPUTED_VALUE"""),"Blue Arrow")</f>
        <v>Blue Arrow</v>
      </c>
      <c r="Y49" s="267">
        <v>-0.01</v>
      </c>
      <c r="Z49" s="267">
        <v>0.945128161186212</v>
      </c>
      <c r="AA49" s="269"/>
      <c r="AB49" s="270"/>
      <c r="AC49" s="270"/>
      <c r="AD49" s="270"/>
      <c r="AE49" s="270"/>
    </row>
    <row r="50">
      <c r="A50" s="256">
        <f>IFERROR(__xludf.DUMMYFUNCTION("""COMPUTED_VALUE"""),43123.67708333333)</f>
        <v>43123.67708</v>
      </c>
      <c r="B50" s="257" t="str">
        <f>IFERROR(__xludf.DUMMYFUNCTION("""COMPUTED_VALUE"""),"anco")</f>
        <v>anco</v>
      </c>
      <c r="C50" s="258" t="str">
        <f>IFERROR(__xludf.DUMMYFUNCTION("""COMPUTED_VALUE"""),"Europe (excluding UK) &amp; Asia Pacific")</f>
        <v>Europe (excluding UK) &amp; Asia Pacific</v>
      </c>
      <c r="D50" s="258" t="str">
        <f>IFERROR(__xludf.DUMMYFUNCTION("""COMPUTED_VALUE"""),"km. My car displays range in kilometres and I will enter all range numbers in kilometres.")</f>
        <v>km. My car displays range in kilometres and I will enter all range numbers in kilometres.</v>
      </c>
      <c r="E50" s="259">
        <f>IFERROR(__xludf.DUMMYFUNCTION("""COMPUTED_VALUE"""),43063.0)</f>
        <v>43063</v>
      </c>
      <c r="F50" s="258" t="str">
        <f>IFERROR(__xludf.DUMMYFUNCTION("""COMPUTED_VALUE"""),"Model S 75D")</f>
        <v>Model S 75D</v>
      </c>
      <c r="G50" s="258" t="str">
        <f>IFERROR(__xludf.DUMMYFUNCTION("""COMPUTED_VALUE"""),"Twice a month")</f>
        <v>Twice a month</v>
      </c>
      <c r="H50" s="258" t="str">
        <f>IFERROR(__xludf.DUMMYFUNCTION("""COMPUTED_VALUE"""),"Weekly")</f>
        <v>Weekly</v>
      </c>
      <c r="I50" s="258" t="str">
        <f>IFERROR(__xludf.DUMMYFUNCTION("""COMPUTED_VALUE"""),"A few times a year")</f>
        <v>A few times a year</v>
      </c>
      <c r="J50" s="260">
        <f>IFERROR(__xludf.DUMMYFUNCTION("""COMPUTED_VALUE"""),0.9)</f>
        <v>0.9</v>
      </c>
      <c r="K50" s="258">
        <f>IFERROR(__xludf.DUMMYFUNCTION("""COMPUTED_VALUE"""),389.0)</f>
        <v>389</v>
      </c>
      <c r="L50" s="258" t="str">
        <f>IFERROR(__xludf.DUMMYFUNCTION("""COMPUTED_VALUE"""),"")</f>
        <v/>
      </c>
      <c r="M50" s="261">
        <f>IFERROR(__xludf.DUMMYFUNCTION("""COMPUTED_VALUE"""),233.0)</f>
        <v>233</v>
      </c>
      <c r="N50" s="262" t="str">
        <f>IFERROR(__xludf.DUMMYFUNCTION("""COMPUTED_VALUE"""),"")</f>
        <v/>
      </c>
      <c r="O50" s="259" t="str">
        <f>IFERROR(__xludf.DUMMYFUNCTION("""COMPUTED_VALUE"""),"")</f>
        <v/>
      </c>
      <c r="P50" s="259">
        <f>IFERROR(__xludf.DUMMYFUNCTION("""COMPUTED_VALUE"""),43123.0)</f>
        <v>43123</v>
      </c>
      <c r="Q50" s="258">
        <f>IFERROR(__xludf.DUMMYFUNCTION("""COMPUTED_VALUE"""),6900.0)</f>
        <v>6900</v>
      </c>
      <c r="R50" s="261">
        <f>IFERROR(__xludf.DUMMYFUNCTION("""COMPUTED_VALUE"""),389.0)</f>
        <v>389</v>
      </c>
      <c r="S50" s="258">
        <v>384.0</v>
      </c>
      <c r="T50" s="263">
        <v>1.0130208333333333</v>
      </c>
      <c r="U50" s="264">
        <v>4287.0</v>
      </c>
      <c r="V50" s="265">
        <v>6900.0</v>
      </c>
      <c r="W50" s="264">
        <v>4287.0</v>
      </c>
      <c r="X50" s="266" t="str">
        <f>IFERROR(__xludf.DUMMYFUNCTION("""COMPUTED_VALUE"""),"Bluezap")</f>
        <v>Bluezap</v>
      </c>
      <c r="Y50" s="267">
        <v>-0.01</v>
      </c>
      <c r="Z50" s="267">
        <v>0.9883491989262244</v>
      </c>
      <c r="AA50" s="269"/>
      <c r="AB50" s="270"/>
      <c r="AC50" s="270"/>
      <c r="AD50" s="270"/>
      <c r="AE50" s="270"/>
    </row>
    <row r="51">
      <c r="A51" s="256">
        <f>IFERROR(__xludf.DUMMYFUNCTION("""COMPUTED_VALUE"""),43763.922097187504)</f>
        <v>43763.9221</v>
      </c>
      <c r="B51" s="257" t="str">
        <f>IFERROR(__xludf.DUMMYFUNCTION("""COMPUTED_VALUE"""),"ancreserve")</f>
        <v>ancreserve</v>
      </c>
      <c r="C51" s="258" t="str">
        <f>IFERROR(__xludf.DUMMYFUNCTION("""COMPUTED_VALUE"""),"USA")</f>
        <v>USA</v>
      </c>
      <c r="D51" s="258" t="str">
        <f>IFERROR(__xludf.DUMMYFUNCTION("""COMPUTED_VALUE"""),"mi. My car displays range in miles and I will enter all range numbers in miles.")</f>
        <v>mi. My car displays range in miles and I will enter all range numbers in miles.</v>
      </c>
      <c r="E51" s="259">
        <f>IFERROR(__xludf.DUMMYFUNCTION("""COMPUTED_VALUE"""),41699.0)</f>
        <v>41699</v>
      </c>
      <c r="F51" s="258" t="str">
        <f>IFERROR(__xludf.DUMMYFUNCTION("""COMPUTED_VALUE"""),"Model S 85")</f>
        <v>Model S 85</v>
      </c>
      <c r="G51" s="258" t="str">
        <f>IFERROR(__xludf.DUMMYFUNCTION("""COMPUTED_VALUE"""),"Monthly")</f>
        <v>Monthly</v>
      </c>
      <c r="H51" s="258" t="str">
        <f>IFERROR(__xludf.DUMMYFUNCTION("""COMPUTED_VALUE"""),"Once or twice a year")</f>
        <v>Once or twice a year</v>
      </c>
      <c r="I51" s="258" t="str">
        <f>IFERROR(__xludf.DUMMYFUNCTION("""COMPUTED_VALUE"""),"")</f>
        <v/>
      </c>
      <c r="J51" s="260">
        <f>IFERROR(__xludf.DUMMYFUNCTION("""COMPUTED_VALUE"""),0.6)</f>
        <v>0.6</v>
      </c>
      <c r="K51" s="258">
        <f>IFERROR(__xludf.DUMMYFUNCTION("""COMPUTED_VALUE"""),265.0)</f>
        <v>265</v>
      </c>
      <c r="L51" s="258" t="str">
        <f>IFERROR(__xludf.DUMMYFUNCTION("""COMPUTED_VALUE"""),"")</f>
        <v/>
      </c>
      <c r="M51" s="261">
        <f>IFERROR(__xludf.DUMMYFUNCTION("""COMPUTED_VALUE"""),309.0)</f>
        <v>309</v>
      </c>
      <c r="N51" s="262" t="str">
        <f>IFERROR(__xludf.DUMMYFUNCTION("""COMPUTED_VALUE"""),"")</f>
        <v/>
      </c>
      <c r="O51" s="259" t="str">
        <f>IFERROR(__xludf.DUMMYFUNCTION("""COMPUTED_VALUE"""),"")</f>
        <v/>
      </c>
      <c r="P51" s="259">
        <f>IFERROR(__xludf.DUMMYFUNCTION("""COMPUTED_VALUE"""),43747.0)</f>
        <v>43747</v>
      </c>
      <c r="Q51" s="258">
        <f>IFERROR(__xludf.DUMMYFUNCTION("""COMPUTED_VALUE"""),82015.0)</f>
        <v>82015</v>
      </c>
      <c r="R51" s="261">
        <f>IFERROR(__xludf.DUMMYFUNCTION("""COMPUTED_VALUE"""),243.0)</f>
        <v>243</v>
      </c>
      <c r="S51" s="258">
        <v>266.0</v>
      </c>
      <c r="T51" s="263">
        <v>0.9135338345864662</v>
      </c>
      <c r="U51" s="264">
        <v>82015.0</v>
      </c>
      <c r="V51" s="265">
        <v>131990.0</v>
      </c>
      <c r="W51" s="264">
        <v>82015.0</v>
      </c>
      <c r="X51" s="266" t="str">
        <f>IFERROR(__xludf.DUMMYFUNCTION("""COMPUTED_VALUE"""),"Blumewirt")</f>
        <v>Blumewirt</v>
      </c>
      <c r="Y51" s="267">
        <v>-0.01</v>
      </c>
      <c r="Z51" s="267">
        <v>0.939130546810366</v>
      </c>
      <c r="AA51" s="269"/>
      <c r="AB51" s="270"/>
      <c r="AC51" s="270"/>
      <c r="AD51" s="270"/>
      <c r="AE51" s="270"/>
    </row>
    <row r="52">
      <c r="A52" s="256">
        <f>IFERROR(__xludf.DUMMYFUNCTION("""COMPUTED_VALUE"""),42586.37291666667)</f>
        <v>42586.37292</v>
      </c>
      <c r="B52" s="257" t="str">
        <f>IFERROR(__xludf.DUMMYFUNCTION("""COMPUTED_VALUE"""),"Andre68")</f>
        <v>Andre68</v>
      </c>
      <c r="C52" s="258" t="str">
        <f>IFERROR(__xludf.DUMMYFUNCTION("""COMPUTED_VALUE"""),"Europe (excluding UK) &amp; Asia Pacific")</f>
        <v>Europe (excluding UK) &amp; Asia Pacific</v>
      </c>
      <c r="D52" s="258" t="str">
        <f>IFERROR(__xludf.DUMMYFUNCTION("""COMPUTED_VALUE"""),"km. My car displays range in kilometres and I will enter all range numbers in kilometres.")</f>
        <v>km. My car displays range in kilometres and I will enter all range numbers in kilometres.</v>
      </c>
      <c r="E52" s="259">
        <f>IFERROR(__xludf.DUMMYFUNCTION("""COMPUTED_VALUE"""),41913.0)</f>
        <v>41913</v>
      </c>
      <c r="F52" s="258" t="str">
        <f>IFERROR(__xludf.DUMMYFUNCTION("""COMPUTED_VALUE"""),"Model S 85")</f>
        <v>Model S 85</v>
      </c>
      <c r="G52" s="258" t="str">
        <f>IFERROR(__xludf.DUMMYFUNCTION("""COMPUTED_VALUE"""),"Monthly")</f>
        <v>Monthly</v>
      </c>
      <c r="H52" s="258" t="str">
        <f>IFERROR(__xludf.DUMMYFUNCTION("""COMPUTED_VALUE"""),"Monthly")</f>
        <v>Monthly</v>
      </c>
      <c r="I52" s="258" t="str">
        <f>IFERROR(__xludf.DUMMYFUNCTION("""COMPUTED_VALUE"""),"A few times a year")</f>
        <v>A few times a year</v>
      </c>
      <c r="J52" s="260">
        <f>IFERROR(__xludf.DUMMYFUNCTION("""COMPUTED_VALUE"""),0.8)</f>
        <v>0.8</v>
      </c>
      <c r="K52" s="258">
        <f>IFERROR(__xludf.DUMMYFUNCTION("""COMPUTED_VALUE"""),384.0)</f>
        <v>384</v>
      </c>
      <c r="L52" s="258" t="str">
        <f>IFERROR(__xludf.DUMMYFUNCTION("""COMPUTED_VALUE"""),"")</f>
        <v/>
      </c>
      <c r="M52" s="261">
        <f>IFERROR(__xludf.DUMMYFUNCTION("""COMPUTED_VALUE"""),223.0)</f>
        <v>223</v>
      </c>
      <c r="N52" s="262" t="str">
        <f>IFERROR(__xludf.DUMMYFUNCTION("""COMPUTED_VALUE"""),"")</f>
        <v/>
      </c>
      <c r="O52" s="259" t="str">
        <f>IFERROR(__xludf.DUMMYFUNCTION("""COMPUTED_VALUE"""),"")</f>
        <v/>
      </c>
      <c r="P52" s="259">
        <f>IFERROR(__xludf.DUMMYFUNCTION("""COMPUTED_VALUE"""),42586.0)</f>
        <v>42586</v>
      </c>
      <c r="Q52" s="258">
        <f>IFERROR(__xludf.DUMMYFUNCTION("""COMPUTED_VALUE"""),76500.0)</f>
        <v>76500</v>
      </c>
      <c r="R52" s="261">
        <f>IFERROR(__xludf.DUMMYFUNCTION("""COMPUTED_VALUE"""),372.0)</f>
        <v>372</v>
      </c>
      <c r="S52" s="258">
        <v>395.0</v>
      </c>
      <c r="T52" s="263">
        <v>0.9417721518987342</v>
      </c>
      <c r="U52" s="264">
        <v>47535.0</v>
      </c>
      <c r="V52" s="265">
        <v>76500.0</v>
      </c>
      <c r="W52" s="264">
        <v>47535.0</v>
      </c>
      <c r="X52" s="266" t="str">
        <f>IFERROR(__xludf.DUMMYFUNCTION("""COMPUTED_VALUE"""),"BobbyKings")</f>
        <v>BobbyKings</v>
      </c>
      <c r="Y52" s="267">
        <v>-0.01</v>
      </c>
      <c r="Z52" s="267">
        <v>0.952271328998372</v>
      </c>
      <c r="AA52" s="269"/>
      <c r="AB52" s="270"/>
      <c r="AC52" s="270"/>
      <c r="AD52" s="270"/>
      <c r="AE52" s="270"/>
    </row>
    <row r="53">
      <c r="A53" s="256">
        <f>IFERROR(__xludf.DUMMYFUNCTION("""COMPUTED_VALUE"""),42316.78472222222)</f>
        <v>42316.78472</v>
      </c>
      <c r="B53" s="257" t="str">
        <f>IFERROR(__xludf.DUMMYFUNCTION("""COMPUTED_VALUE"""),"Andyw2100")</f>
        <v>Andyw2100</v>
      </c>
      <c r="C53" s="258" t="str">
        <f>IFERROR(__xludf.DUMMYFUNCTION("""COMPUTED_VALUE"""),"USA")</f>
        <v>USA</v>
      </c>
      <c r="D53" s="258" t="str">
        <f>IFERROR(__xludf.DUMMYFUNCTION("""COMPUTED_VALUE"""),"mi. My car displays range in miles and I will enter all range numbers in miles.")</f>
        <v>mi. My car displays range in miles and I will enter all range numbers in miles.</v>
      </c>
      <c r="E53" s="259">
        <f>IFERROR(__xludf.DUMMYFUNCTION("""COMPUTED_VALUE"""),41986.0)</f>
        <v>41986</v>
      </c>
      <c r="F53" s="258" t="str">
        <f>IFERROR(__xludf.DUMMYFUNCTION("""COMPUTED_VALUE"""),"Model S P85D")</f>
        <v>Model S P85D</v>
      </c>
      <c r="G53" s="258" t="str">
        <f>IFERROR(__xludf.DUMMYFUNCTION("""COMPUTED_VALUE"""),"A few times a year")</f>
        <v>A few times a year</v>
      </c>
      <c r="H53" s="258" t="str">
        <f>IFERROR(__xludf.DUMMYFUNCTION("""COMPUTED_VALUE"""),"A few times a year")</f>
        <v>A few times a year</v>
      </c>
      <c r="I53" s="258" t="str">
        <f>IFERROR(__xludf.DUMMYFUNCTION("""COMPUTED_VALUE"""),"Never")</f>
        <v>Never</v>
      </c>
      <c r="J53" s="260">
        <f>IFERROR(__xludf.DUMMYFUNCTION("""COMPUTED_VALUE"""),0.9)</f>
        <v>0.9</v>
      </c>
      <c r="K53" s="258" t="str">
        <f>IFERROR(__xludf.DUMMYFUNCTION("""COMPUTED_VALUE"""),"")</f>
        <v/>
      </c>
      <c r="L53" s="258" t="str">
        <f>IFERROR(__xludf.DUMMYFUNCTION("""COMPUTED_VALUE"""),"")</f>
        <v/>
      </c>
      <c r="M53" s="261">
        <f>IFERROR(__xludf.DUMMYFUNCTION("""COMPUTED_VALUE"""),330.0)</f>
        <v>330</v>
      </c>
      <c r="N53" s="262" t="str">
        <f>IFERROR(__xludf.DUMMYFUNCTION("""COMPUTED_VALUE"""),"")</f>
        <v/>
      </c>
      <c r="O53" s="259" t="str">
        <f>IFERROR(__xludf.DUMMYFUNCTION("""COMPUTED_VALUE"""),"")</f>
        <v/>
      </c>
      <c r="P53" s="259">
        <f>IFERROR(__xludf.DUMMYFUNCTION("""COMPUTED_VALUE"""),42316.0)</f>
        <v>42316</v>
      </c>
      <c r="Q53" s="258">
        <f>IFERROR(__xludf.DUMMYFUNCTION("""COMPUTED_VALUE"""),16839.0)</f>
        <v>16839</v>
      </c>
      <c r="R53" s="261">
        <f>IFERROR(__xludf.DUMMYFUNCTION("""COMPUTED_VALUE"""),247.0)</f>
        <v>247</v>
      </c>
      <c r="S53" s="258">
        <v>253.0</v>
      </c>
      <c r="T53" s="263">
        <v>0.9762845849802372</v>
      </c>
      <c r="U53" s="264">
        <v>16839.0</v>
      </c>
      <c r="V53" s="265">
        <v>27100.0</v>
      </c>
      <c r="W53" s="264">
        <v>16839.0</v>
      </c>
      <c r="X53" s="266" t="str">
        <f>IFERROR(__xludf.DUMMYFUNCTION("""COMPUTED_VALUE"""),"BobRob")</f>
        <v>BobRob</v>
      </c>
      <c r="Y53" s="267">
        <v>-0.01</v>
      </c>
      <c r="Z53" s="267">
        <v>0.9696067138581314</v>
      </c>
      <c r="AA53" s="269"/>
      <c r="AB53" s="270"/>
      <c r="AC53" s="270"/>
      <c r="AD53" s="270"/>
      <c r="AE53" s="270"/>
    </row>
    <row r="54">
      <c r="A54" s="256">
        <f>IFERROR(__xludf.DUMMYFUNCTION("""COMPUTED_VALUE"""),42433.30208333333)</f>
        <v>42433.30208</v>
      </c>
      <c r="B54" s="257" t="str">
        <f>IFERROR(__xludf.DUMMYFUNCTION("""COMPUTED_VALUE"""),"Anssi")</f>
        <v>Anssi</v>
      </c>
      <c r="C54" s="258" t="str">
        <f>IFERROR(__xludf.DUMMYFUNCTION("""COMPUTED_VALUE"""),"Europe (excluding UK) &amp; Asia Pacific")</f>
        <v>Europe (excluding UK) &amp; Asia Pacific</v>
      </c>
      <c r="D54" s="258" t="str">
        <f>IFERROR(__xludf.DUMMYFUNCTION("""COMPUTED_VALUE"""),"km. My car displays range in kilometres and I will enter all range numbers in kilometres.")</f>
        <v>km. My car displays range in kilometres and I will enter all range numbers in kilometres.</v>
      </c>
      <c r="E54" s="259">
        <f>IFERROR(__xludf.DUMMYFUNCTION("""COMPUTED_VALUE"""),42139.0)</f>
        <v>42139</v>
      </c>
      <c r="F54" s="258" t="str">
        <f>IFERROR(__xludf.DUMMYFUNCTION("""COMPUTED_VALUE"""),"Model S 70D")</f>
        <v>Model S 70D</v>
      </c>
      <c r="G54" s="258" t="str">
        <f>IFERROR(__xludf.DUMMYFUNCTION("""COMPUTED_VALUE"""),"")</f>
        <v/>
      </c>
      <c r="H54" s="258" t="str">
        <f>IFERROR(__xludf.DUMMYFUNCTION("""COMPUTED_VALUE"""),"")</f>
        <v/>
      </c>
      <c r="I54" s="258" t="str">
        <f>IFERROR(__xludf.DUMMYFUNCTION("""COMPUTED_VALUE"""),"")</f>
        <v/>
      </c>
      <c r="J54" s="260" t="str">
        <f>IFERROR(__xludf.DUMMYFUNCTION("""COMPUTED_VALUE"""),"")</f>
        <v/>
      </c>
      <c r="K54" s="258" t="str">
        <f>IFERROR(__xludf.DUMMYFUNCTION("""COMPUTED_VALUE"""),"")</f>
        <v/>
      </c>
      <c r="L54" s="258" t="str">
        <f>IFERROR(__xludf.DUMMYFUNCTION("""COMPUTED_VALUE"""),"")</f>
        <v/>
      </c>
      <c r="M54" s="261">
        <f>IFERROR(__xludf.DUMMYFUNCTION("""COMPUTED_VALUE"""),218.0)</f>
        <v>218</v>
      </c>
      <c r="N54" s="262" t="str">
        <f>IFERROR(__xludf.DUMMYFUNCTION("""COMPUTED_VALUE"""),"")</f>
        <v/>
      </c>
      <c r="O54" s="259" t="str">
        <f>IFERROR(__xludf.DUMMYFUNCTION("""COMPUTED_VALUE"""),"")</f>
        <v/>
      </c>
      <c r="P54" s="259">
        <f>IFERROR(__xludf.DUMMYFUNCTION("""COMPUTED_VALUE"""),42433.0)</f>
        <v>42433</v>
      </c>
      <c r="Q54" s="258">
        <f>IFERROR(__xludf.DUMMYFUNCTION("""COMPUTED_VALUE"""),17800.0)</f>
        <v>17800</v>
      </c>
      <c r="R54" s="261">
        <f>IFERROR(__xludf.DUMMYFUNCTION("""COMPUTED_VALUE"""),353.0)</f>
        <v>353</v>
      </c>
      <c r="S54" s="258">
        <v>360.0</v>
      </c>
      <c r="T54" s="263">
        <v>0.9805555555555555</v>
      </c>
      <c r="U54" s="264">
        <v>11060.0</v>
      </c>
      <c r="V54" s="265">
        <v>17800.0</v>
      </c>
      <c r="W54" s="264">
        <v>11060.0</v>
      </c>
      <c r="X54" s="266" t="str">
        <f>IFERROR(__xludf.DUMMYFUNCTION("""COMPUTED_VALUE"""),"Bollar")</f>
        <v>Bollar</v>
      </c>
      <c r="Y54" s="267">
        <v>-0.01</v>
      </c>
      <c r="Z54" s="267">
        <v>0.9762685068455196</v>
      </c>
      <c r="AA54" s="269"/>
      <c r="AB54" s="270"/>
      <c r="AC54" s="270"/>
      <c r="AD54" s="270"/>
      <c r="AE54" s="270"/>
    </row>
    <row r="55">
      <c r="A55" s="256">
        <f>IFERROR(__xludf.DUMMYFUNCTION("""COMPUTED_VALUE"""),42455.42361111111)</f>
        <v>42455.42361</v>
      </c>
      <c r="B55" s="257" t="str">
        <f>IFERROR(__xludf.DUMMYFUNCTION("""COMPUTED_VALUE"""),"apollo 46")</f>
        <v>apollo 46</v>
      </c>
      <c r="C55" s="258" t="str">
        <f>IFERROR(__xludf.DUMMYFUNCTION("""COMPUTED_VALUE"""),"Europe (excluding UK) &amp; Asia Pacific")</f>
        <v>Europe (excluding UK) &amp; Asia Pacific</v>
      </c>
      <c r="D55" s="258" t="str">
        <f>IFERROR(__xludf.DUMMYFUNCTION("""COMPUTED_VALUE"""),"km. My car displays range in kilometres and I will enter all range numbers in kilometres.")</f>
        <v>km. My car displays range in kilometres and I will enter all range numbers in kilometres.</v>
      </c>
      <c r="E55" s="259">
        <f>IFERROR(__xludf.DUMMYFUNCTION("""COMPUTED_VALUE"""),42437.0)</f>
        <v>42437</v>
      </c>
      <c r="F55" s="258" t="str">
        <f>IFERROR(__xludf.DUMMYFUNCTION("""COMPUTED_VALUE"""),"Model S 90D")</f>
        <v>Model S 90D</v>
      </c>
      <c r="G55" s="258" t="str">
        <f>IFERROR(__xludf.DUMMYFUNCTION("""COMPUTED_VALUE"""),"Twice a month")</f>
        <v>Twice a month</v>
      </c>
      <c r="H55" s="258" t="str">
        <f>IFERROR(__xludf.DUMMYFUNCTION("""COMPUTED_VALUE"""),"Monthly")</f>
        <v>Monthly</v>
      </c>
      <c r="I55" s="258" t="str">
        <f>IFERROR(__xludf.DUMMYFUNCTION("""COMPUTED_VALUE"""),"Never")</f>
        <v>Never</v>
      </c>
      <c r="J55" s="260">
        <f>IFERROR(__xludf.DUMMYFUNCTION("""COMPUTED_VALUE"""),0.9)</f>
        <v>0.9</v>
      </c>
      <c r="K55" s="258">
        <f>IFERROR(__xludf.DUMMYFUNCTION("""COMPUTED_VALUE"""),448.0)</f>
        <v>448</v>
      </c>
      <c r="L55" s="258" t="str">
        <f>IFERROR(__xludf.DUMMYFUNCTION("""COMPUTED_VALUE"""),"")</f>
        <v/>
      </c>
      <c r="M55" s="261">
        <f>IFERROR(__xludf.DUMMYFUNCTION("""COMPUTED_VALUE"""),228.0)</f>
        <v>228</v>
      </c>
      <c r="N55" s="262" t="str">
        <f>IFERROR(__xludf.DUMMYFUNCTION("""COMPUTED_VALUE"""),"")</f>
        <v/>
      </c>
      <c r="O55" s="259" t="str">
        <f>IFERROR(__xludf.DUMMYFUNCTION("""COMPUTED_VALUE"""),"")</f>
        <v/>
      </c>
      <c r="P55" s="259">
        <f>IFERROR(__xludf.DUMMYFUNCTION("""COMPUTED_VALUE"""),42455.0)</f>
        <v>42455</v>
      </c>
      <c r="Q55" s="258">
        <f>IFERROR(__xludf.DUMMYFUNCTION("""COMPUTED_VALUE"""),1196.0)</f>
        <v>1196</v>
      </c>
      <c r="R55" s="261">
        <f>IFERROR(__xludf.DUMMYFUNCTION("""COMPUTED_VALUE"""),450.0)</f>
        <v>450</v>
      </c>
      <c r="S55" s="258">
        <v>447.0</v>
      </c>
      <c r="T55" s="263">
        <v>1.0067114093959733</v>
      </c>
      <c r="U55" s="264">
        <v>743.0</v>
      </c>
      <c r="V55" s="265">
        <v>1196.0</v>
      </c>
      <c r="W55" s="264">
        <v>743.0</v>
      </c>
      <c r="X55" s="266" t="str">
        <f>IFERROR(__xludf.DUMMYFUNCTION("""COMPUTED_VALUE"""),"Bonkers")</f>
        <v>Bonkers</v>
      </c>
      <c r="Y55" s="267">
        <v>-0.01</v>
      </c>
      <c r="Z55" s="267">
        <v>0.9976793842456217</v>
      </c>
      <c r="AA55" s="269"/>
      <c r="AB55" s="270"/>
      <c r="AC55" s="270"/>
      <c r="AD55" s="270"/>
      <c r="AE55" s="270"/>
    </row>
    <row r="56">
      <c r="A56" s="256">
        <f>IFERROR(__xludf.DUMMYFUNCTION("""COMPUTED_VALUE"""),42466.424305555556)</f>
        <v>42466.42431</v>
      </c>
      <c r="B56" s="257" t="str">
        <f>IFERROR(__xludf.DUMMYFUNCTION("""COMPUTED_VALUE"""),"apollo 46")</f>
        <v>apollo 46</v>
      </c>
      <c r="C56" s="258" t="str">
        <f>IFERROR(__xludf.DUMMYFUNCTION("""COMPUTED_VALUE"""),"Europe (excluding UK) &amp; Asia Pacific")</f>
        <v>Europe (excluding UK) &amp; Asia Pacific</v>
      </c>
      <c r="D56" s="258" t="str">
        <f>IFERROR(__xludf.DUMMYFUNCTION("""COMPUTED_VALUE"""),"km. My car displays range in kilometres and I will enter all range numbers in kilometres.")</f>
        <v>km. My car displays range in kilometres and I will enter all range numbers in kilometres.</v>
      </c>
      <c r="E56" s="259">
        <f>IFERROR(__xludf.DUMMYFUNCTION("""COMPUTED_VALUE"""),42437.0)</f>
        <v>42437</v>
      </c>
      <c r="F56" s="258" t="str">
        <f>IFERROR(__xludf.DUMMYFUNCTION("""COMPUTED_VALUE"""),"Model S 90D")</f>
        <v>Model S 90D</v>
      </c>
      <c r="G56" s="258" t="str">
        <f>IFERROR(__xludf.DUMMYFUNCTION("""COMPUTED_VALUE"""),"Twice a month")</f>
        <v>Twice a month</v>
      </c>
      <c r="H56" s="258" t="str">
        <f>IFERROR(__xludf.DUMMYFUNCTION("""COMPUTED_VALUE"""),"Monthly")</f>
        <v>Monthly</v>
      </c>
      <c r="I56" s="258" t="str">
        <f>IFERROR(__xludf.DUMMYFUNCTION("""COMPUTED_VALUE"""),"Never")</f>
        <v>Never</v>
      </c>
      <c r="J56" s="260">
        <f>IFERROR(__xludf.DUMMYFUNCTION("""COMPUTED_VALUE"""),0.9)</f>
        <v>0.9</v>
      </c>
      <c r="K56" s="258">
        <f>IFERROR(__xludf.DUMMYFUNCTION("""COMPUTED_VALUE"""),448.0)</f>
        <v>448</v>
      </c>
      <c r="L56" s="258" t="str">
        <f>IFERROR(__xludf.DUMMYFUNCTION("""COMPUTED_VALUE"""),"")</f>
        <v/>
      </c>
      <c r="M56" s="261">
        <f>IFERROR(__xludf.DUMMYFUNCTION("""COMPUTED_VALUE"""),226.0)</f>
        <v>226</v>
      </c>
      <c r="N56" s="262" t="str">
        <f>IFERROR(__xludf.DUMMYFUNCTION("""COMPUTED_VALUE"""),"")</f>
        <v/>
      </c>
      <c r="O56" s="259" t="str">
        <f>IFERROR(__xludf.DUMMYFUNCTION("""COMPUTED_VALUE"""),"")</f>
        <v/>
      </c>
      <c r="P56" s="259">
        <f>IFERROR(__xludf.DUMMYFUNCTION("""COMPUTED_VALUE"""),42466.0)</f>
        <v>42466</v>
      </c>
      <c r="Q56" s="258">
        <f>IFERROR(__xludf.DUMMYFUNCTION("""COMPUTED_VALUE"""),2062.0)</f>
        <v>2062</v>
      </c>
      <c r="R56" s="261">
        <f>IFERROR(__xludf.DUMMYFUNCTION("""COMPUTED_VALUE"""),448.0)</f>
        <v>448</v>
      </c>
      <c r="S56" s="258">
        <v>447.0</v>
      </c>
      <c r="T56" s="263">
        <v>1.0022371364653244</v>
      </c>
      <c r="U56" s="264">
        <v>1281.0</v>
      </c>
      <c r="V56" s="265">
        <v>2062.0</v>
      </c>
      <c r="W56" s="264">
        <v>1281.0</v>
      </c>
      <c r="X56" s="266" t="str">
        <f>IFERROR(__xludf.DUMMYFUNCTION("""COMPUTED_VALUE"""),"Boost")</f>
        <v>Boost</v>
      </c>
      <c r="Y56" s="267">
        <v>-0.01</v>
      </c>
      <c r="Z56" s="267">
        <v>0.996085346511172</v>
      </c>
      <c r="AA56" s="269"/>
      <c r="AB56" s="270"/>
      <c r="AC56" s="270"/>
      <c r="AD56" s="270"/>
      <c r="AE56" s="270"/>
    </row>
    <row r="57">
      <c r="A57" s="256">
        <f>IFERROR(__xludf.DUMMYFUNCTION("""COMPUTED_VALUE"""),42542.425)</f>
        <v>42542.425</v>
      </c>
      <c r="B57" s="257" t="str">
        <f>IFERROR(__xludf.DUMMYFUNCTION("""COMPUTED_VALUE"""),"apollo 46")</f>
        <v>apollo 46</v>
      </c>
      <c r="C57" s="258" t="str">
        <f>IFERROR(__xludf.DUMMYFUNCTION("""COMPUTED_VALUE"""),"Europe (excluding UK) &amp; Asia Pacific")</f>
        <v>Europe (excluding UK) &amp; Asia Pacific</v>
      </c>
      <c r="D57" s="258" t="str">
        <f>IFERROR(__xludf.DUMMYFUNCTION("""COMPUTED_VALUE"""),"km. My car displays range in kilometres and I will enter all range numbers in kilometres.")</f>
        <v>km. My car displays range in kilometres and I will enter all range numbers in kilometres.</v>
      </c>
      <c r="E57" s="259">
        <f>IFERROR(__xludf.DUMMYFUNCTION("""COMPUTED_VALUE"""),42437.0)</f>
        <v>42437</v>
      </c>
      <c r="F57" s="258" t="str">
        <f>IFERROR(__xludf.DUMMYFUNCTION("""COMPUTED_VALUE"""),"Model S 90D")</f>
        <v>Model S 90D</v>
      </c>
      <c r="G57" s="258" t="str">
        <f>IFERROR(__xludf.DUMMYFUNCTION("""COMPUTED_VALUE"""),"Twice a month")</f>
        <v>Twice a month</v>
      </c>
      <c r="H57" s="258" t="str">
        <f>IFERROR(__xludf.DUMMYFUNCTION("""COMPUTED_VALUE"""),"Monthly")</f>
        <v>Monthly</v>
      </c>
      <c r="I57" s="258" t="str">
        <f>IFERROR(__xludf.DUMMYFUNCTION("""COMPUTED_VALUE"""),"Never")</f>
        <v>Never</v>
      </c>
      <c r="J57" s="260" t="str">
        <f>IFERROR(__xludf.DUMMYFUNCTION("""COMPUTED_VALUE"""),"")</f>
        <v/>
      </c>
      <c r="K57" s="258">
        <f>IFERROR(__xludf.DUMMYFUNCTION("""COMPUTED_VALUE"""),448.0)</f>
        <v>448</v>
      </c>
      <c r="L57" s="258" t="str">
        <f>IFERROR(__xludf.DUMMYFUNCTION("""COMPUTED_VALUE"""),"")</f>
        <v/>
      </c>
      <c r="M57" s="261">
        <f>IFERROR(__xludf.DUMMYFUNCTION("""COMPUTED_VALUE"""),218.0)</f>
        <v>218</v>
      </c>
      <c r="N57" s="262" t="str">
        <f>IFERROR(__xludf.DUMMYFUNCTION("""COMPUTED_VALUE"""),"")</f>
        <v/>
      </c>
      <c r="O57" s="259" t="str">
        <f>IFERROR(__xludf.DUMMYFUNCTION("""COMPUTED_VALUE"""),"")</f>
        <v/>
      </c>
      <c r="P57" s="259">
        <f>IFERROR(__xludf.DUMMYFUNCTION("""COMPUTED_VALUE"""),42542.0)</f>
        <v>42542</v>
      </c>
      <c r="Q57" s="258">
        <f>IFERROR(__xludf.DUMMYFUNCTION("""COMPUTED_VALUE"""),7133.0)</f>
        <v>7133</v>
      </c>
      <c r="R57" s="261">
        <f>IFERROR(__xludf.DUMMYFUNCTION("""COMPUTED_VALUE"""),448.0)</f>
        <v>448</v>
      </c>
      <c r="S57" s="258">
        <v>447.0</v>
      </c>
      <c r="T57" s="263">
        <v>1.0022371364653244</v>
      </c>
      <c r="U57" s="264">
        <v>4432.0</v>
      </c>
      <c r="V57" s="265">
        <v>7133.0</v>
      </c>
      <c r="W57" s="264">
        <v>4432.0</v>
      </c>
      <c r="X57" s="266" t="str">
        <f>IFERROR(__xludf.DUMMYFUNCTION("""COMPUTED_VALUE"""),"bpsmits")</f>
        <v>bpsmits</v>
      </c>
      <c r="Y57" s="267">
        <v>-0.01</v>
      </c>
      <c r="Z57" s="267">
        <v>0.9880212260934997</v>
      </c>
      <c r="AA57" s="269"/>
      <c r="AB57" s="270"/>
      <c r="AC57" s="270"/>
      <c r="AD57" s="270"/>
      <c r="AE57" s="270"/>
    </row>
    <row r="58">
      <c r="A58" s="256">
        <f>IFERROR(__xludf.DUMMYFUNCTION("""COMPUTED_VALUE"""),42587.42569444445)</f>
        <v>42587.42569</v>
      </c>
      <c r="B58" s="257" t="str">
        <f>IFERROR(__xludf.DUMMYFUNCTION("""COMPUTED_VALUE"""),"apollo 46")</f>
        <v>apollo 46</v>
      </c>
      <c r="C58" s="258" t="str">
        <f>IFERROR(__xludf.DUMMYFUNCTION("""COMPUTED_VALUE"""),"Europe (excluding UK) &amp; Asia Pacific")</f>
        <v>Europe (excluding UK) &amp; Asia Pacific</v>
      </c>
      <c r="D58" s="258" t="str">
        <f>IFERROR(__xludf.DUMMYFUNCTION("""COMPUTED_VALUE"""),"km. My car displays range in kilometres and I will enter all range numbers in kilometres.")</f>
        <v>km. My car displays range in kilometres and I will enter all range numbers in kilometres.</v>
      </c>
      <c r="E58" s="259">
        <f>IFERROR(__xludf.DUMMYFUNCTION("""COMPUTED_VALUE"""),42437.0)</f>
        <v>42437</v>
      </c>
      <c r="F58" s="258" t="str">
        <f>IFERROR(__xludf.DUMMYFUNCTION("""COMPUTED_VALUE"""),"Model S 90D")</f>
        <v>Model S 90D</v>
      </c>
      <c r="G58" s="258" t="str">
        <f>IFERROR(__xludf.DUMMYFUNCTION("""COMPUTED_VALUE"""),"Twice a month")</f>
        <v>Twice a month</v>
      </c>
      <c r="H58" s="258" t="str">
        <f>IFERROR(__xludf.DUMMYFUNCTION("""COMPUTED_VALUE"""),"Monthly")</f>
        <v>Monthly</v>
      </c>
      <c r="I58" s="258" t="str">
        <f>IFERROR(__xludf.DUMMYFUNCTION("""COMPUTED_VALUE"""),"Never")</f>
        <v>Never</v>
      </c>
      <c r="J58" s="260" t="str">
        <f>IFERROR(__xludf.DUMMYFUNCTION("""COMPUTED_VALUE"""),"")</f>
        <v/>
      </c>
      <c r="K58" s="258">
        <f>IFERROR(__xludf.DUMMYFUNCTION("""COMPUTED_VALUE"""),448.0)</f>
        <v>448</v>
      </c>
      <c r="L58" s="258" t="str">
        <f>IFERROR(__xludf.DUMMYFUNCTION("""COMPUTED_VALUE"""),"")</f>
        <v/>
      </c>
      <c r="M58" s="261">
        <f>IFERROR(__xludf.DUMMYFUNCTION("""COMPUTED_VALUE"""),215.0)</f>
        <v>215</v>
      </c>
      <c r="N58" s="262" t="str">
        <f>IFERROR(__xludf.DUMMYFUNCTION("""COMPUTED_VALUE"""),"")</f>
        <v/>
      </c>
      <c r="O58" s="259" t="str">
        <f>IFERROR(__xludf.DUMMYFUNCTION("""COMPUTED_VALUE"""),"")</f>
        <v/>
      </c>
      <c r="P58" s="259">
        <f>IFERROR(__xludf.DUMMYFUNCTION("""COMPUTED_VALUE"""),42587.0)</f>
        <v>42587</v>
      </c>
      <c r="Q58" s="258">
        <f>IFERROR(__xludf.DUMMYFUNCTION("""COMPUTED_VALUE"""),10715.0)</f>
        <v>10715</v>
      </c>
      <c r="R58" s="261">
        <f>IFERROR(__xludf.DUMMYFUNCTION("""COMPUTED_VALUE"""),446.0)</f>
        <v>446</v>
      </c>
      <c r="S58" s="258">
        <v>447.0</v>
      </c>
      <c r="T58" s="263">
        <v>0.9977628635346756</v>
      </c>
      <c r="U58" s="264">
        <v>6658.0</v>
      </c>
      <c r="V58" s="265">
        <v>10715.0</v>
      </c>
      <c r="W58" s="264">
        <v>6658.0</v>
      </c>
      <c r="X58" s="266" t="str">
        <f>IFERROR(__xludf.DUMMYFUNCTION("""COMPUTED_VALUE"""),"Bram")</f>
        <v>Bram</v>
      </c>
      <c r="Y58" s="267">
        <v>-0.01</v>
      </c>
      <c r="Z58" s="267">
        <v>0.9834149304316603</v>
      </c>
      <c r="AA58" s="269"/>
      <c r="AB58" s="270"/>
      <c r="AC58" s="270"/>
      <c r="AD58" s="270"/>
      <c r="AE58" s="270"/>
    </row>
    <row r="59">
      <c r="A59" s="256">
        <f>IFERROR(__xludf.DUMMYFUNCTION("""COMPUTED_VALUE"""),42646.42638888889)</f>
        <v>42646.42639</v>
      </c>
      <c r="B59" s="257" t="str">
        <f>IFERROR(__xludf.DUMMYFUNCTION("""COMPUTED_VALUE"""),"apollo 46")</f>
        <v>apollo 46</v>
      </c>
      <c r="C59" s="258" t="str">
        <f>IFERROR(__xludf.DUMMYFUNCTION("""COMPUTED_VALUE"""),"Europe (excluding UK) &amp; Asia Pacific")</f>
        <v>Europe (excluding UK) &amp; Asia Pacific</v>
      </c>
      <c r="D59" s="258" t="str">
        <f>IFERROR(__xludf.DUMMYFUNCTION("""COMPUTED_VALUE"""),"km. My car displays range in kilometres and I will enter all range numbers in kilometres.")</f>
        <v>km. My car displays range in kilometres and I will enter all range numbers in kilometres.</v>
      </c>
      <c r="E59" s="259">
        <f>IFERROR(__xludf.DUMMYFUNCTION("""COMPUTED_VALUE"""),42437.0)</f>
        <v>42437</v>
      </c>
      <c r="F59" s="258" t="str">
        <f>IFERROR(__xludf.DUMMYFUNCTION("""COMPUTED_VALUE"""),"Model S 90D")</f>
        <v>Model S 90D</v>
      </c>
      <c r="G59" s="258" t="str">
        <f>IFERROR(__xludf.DUMMYFUNCTION("""COMPUTED_VALUE"""),"Twice a month")</f>
        <v>Twice a month</v>
      </c>
      <c r="H59" s="258" t="str">
        <f>IFERROR(__xludf.DUMMYFUNCTION("""COMPUTED_VALUE"""),"A few times a year")</f>
        <v>A few times a year</v>
      </c>
      <c r="I59" s="258" t="str">
        <f>IFERROR(__xludf.DUMMYFUNCTION("""COMPUTED_VALUE"""),"Never")</f>
        <v>Never</v>
      </c>
      <c r="J59" s="260" t="str">
        <f>IFERROR(__xludf.DUMMYFUNCTION("""COMPUTED_VALUE"""),"")</f>
        <v/>
      </c>
      <c r="K59" s="258">
        <f>IFERROR(__xludf.DUMMYFUNCTION("""COMPUTED_VALUE"""),448.0)</f>
        <v>448</v>
      </c>
      <c r="L59" s="258" t="str">
        <f>IFERROR(__xludf.DUMMYFUNCTION("""COMPUTED_VALUE"""),"")</f>
        <v/>
      </c>
      <c r="M59" s="261">
        <f>IFERROR(__xludf.DUMMYFUNCTION("""COMPUTED_VALUE"""),216.0)</f>
        <v>216</v>
      </c>
      <c r="N59" s="262" t="str">
        <f>IFERROR(__xludf.DUMMYFUNCTION("""COMPUTED_VALUE"""),"")</f>
        <v/>
      </c>
      <c r="O59" s="259" t="str">
        <f>IFERROR(__xludf.DUMMYFUNCTION("""COMPUTED_VALUE"""),"")</f>
        <v/>
      </c>
      <c r="P59" s="259">
        <f>IFERROR(__xludf.DUMMYFUNCTION("""COMPUTED_VALUE"""),42646.0)</f>
        <v>42646</v>
      </c>
      <c r="Q59" s="258">
        <f>IFERROR(__xludf.DUMMYFUNCTION("""COMPUTED_VALUE"""),15001.0)</f>
        <v>15001</v>
      </c>
      <c r="R59" s="261">
        <f>IFERROR(__xludf.DUMMYFUNCTION("""COMPUTED_VALUE"""),439.0)</f>
        <v>439</v>
      </c>
      <c r="S59" s="258">
        <v>447.0</v>
      </c>
      <c r="T59" s="263">
        <v>0.9821029082774049</v>
      </c>
      <c r="U59" s="264">
        <v>9321.0</v>
      </c>
      <c r="V59" s="265">
        <v>15001.0</v>
      </c>
      <c r="W59" s="264">
        <v>9321.0</v>
      </c>
      <c r="X59" s="266" t="str">
        <f>IFERROR(__xludf.DUMMYFUNCTION("""COMPUTED_VALUE"""),"brderyck")</f>
        <v>brderyck</v>
      </c>
      <c r="Y59" s="267">
        <v>-0.01</v>
      </c>
      <c r="Z59" s="267">
        <v>0.9788252521278479</v>
      </c>
      <c r="AA59" s="269"/>
      <c r="AB59" s="270"/>
      <c r="AC59" s="270"/>
      <c r="AD59" s="270"/>
      <c r="AE59" s="270"/>
    </row>
    <row r="60">
      <c r="A60" s="256">
        <f>IFERROR(__xludf.DUMMYFUNCTION("""COMPUTED_VALUE"""),42656.42708333333)</f>
        <v>42656.42708</v>
      </c>
      <c r="B60" s="257" t="str">
        <f>IFERROR(__xludf.DUMMYFUNCTION("""COMPUTED_VALUE"""),"apollo 46")</f>
        <v>apollo 46</v>
      </c>
      <c r="C60" s="258" t="str">
        <f>IFERROR(__xludf.DUMMYFUNCTION("""COMPUTED_VALUE"""),"Europe (excluding UK) &amp; Asia Pacific")</f>
        <v>Europe (excluding UK) &amp; Asia Pacific</v>
      </c>
      <c r="D60" s="258" t="str">
        <f>IFERROR(__xludf.DUMMYFUNCTION("""COMPUTED_VALUE"""),"km. My car displays range in kilometres and I will enter all range numbers in kilometres.")</f>
        <v>km. My car displays range in kilometres and I will enter all range numbers in kilometres.</v>
      </c>
      <c r="E60" s="259">
        <f>IFERROR(__xludf.DUMMYFUNCTION("""COMPUTED_VALUE"""),42437.0)</f>
        <v>42437</v>
      </c>
      <c r="F60" s="258" t="str">
        <f>IFERROR(__xludf.DUMMYFUNCTION("""COMPUTED_VALUE"""),"Model S 90D")</f>
        <v>Model S 90D</v>
      </c>
      <c r="G60" s="258" t="str">
        <f>IFERROR(__xludf.DUMMYFUNCTION("""COMPUTED_VALUE"""),"Twice a month")</f>
        <v>Twice a month</v>
      </c>
      <c r="H60" s="258" t="str">
        <f>IFERROR(__xludf.DUMMYFUNCTION("""COMPUTED_VALUE"""),"A few times a year")</f>
        <v>A few times a year</v>
      </c>
      <c r="I60" s="258" t="str">
        <f>IFERROR(__xludf.DUMMYFUNCTION("""COMPUTED_VALUE"""),"Never")</f>
        <v>Never</v>
      </c>
      <c r="J60" s="260" t="str">
        <f>IFERROR(__xludf.DUMMYFUNCTION("""COMPUTED_VALUE"""),"")</f>
        <v/>
      </c>
      <c r="K60" s="258">
        <f>IFERROR(__xludf.DUMMYFUNCTION("""COMPUTED_VALUE"""),448.0)</f>
        <v>448</v>
      </c>
      <c r="L60" s="258" t="str">
        <f>IFERROR(__xludf.DUMMYFUNCTION("""COMPUTED_VALUE"""),"")</f>
        <v/>
      </c>
      <c r="M60" s="261">
        <f>IFERROR(__xludf.DUMMYFUNCTION("""COMPUTED_VALUE"""),213.0)</f>
        <v>213</v>
      </c>
      <c r="N60" s="262" t="str">
        <f>IFERROR(__xludf.DUMMYFUNCTION("""COMPUTED_VALUE"""),"")</f>
        <v/>
      </c>
      <c r="O60" s="259" t="str">
        <f>IFERROR(__xludf.DUMMYFUNCTION("""COMPUTED_VALUE"""),"")</f>
        <v/>
      </c>
      <c r="P60" s="259">
        <f>IFERROR(__xludf.DUMMYFUNCTION("""COMPUTED_VALUE"""),42656.0)</f>
        <v>42656</v>
      </c>
      <c r="Q60" s="258">
        <f>IFERROR(__xludf.DUMMYFUNCTION("""COMPUTED_VALUE"""),18602.0)</f>
        <v>18602</v>
      </c>
      <c r="R60" s="261">
        <f>IFERROR(__xludf.DUMMYFUNCTION("""COMPUTED_VALUE"""),434.0)</f>
        <v>434</v>
      </c>
      <c r="S60" s="258">
        <v>447.0</v>
      </c>
      <c r="T60" s="263">
        <v>0.970917225950783</v>
      </c>
      <c r="U60" s="264">
        <v>11559.0</v>
      </c>
      <c r="V60" s="265">
        <v>18602.0</v>
      </c>
      <c r="W60" s="264">
        <v>11559.0</v>
      </c>
      <c r="X60" s="266" t="str">
        <f>IFERROR(__xludf.DUMMYFUNCTION("""COMPUTED_VALUE"""),"Brentonator")</f>
        <v>Brentonator</v>
      </c>
      <c r="Y60" s="267">
        <v>-0.01</v>
      </c>
      <c r="Z60" s="267">
        <v>0.9755908448163687</v>
      </c>
      <c r="AA60" s="269"/>
      <c r="AB60" s="270"/>
      <c r="AC60" s="270"/>
      <c r="AD60" s="270"/>
      <c r="AE60" s="270"/>
    </row>
    <row r="61">
      <c r="A61" s="256">
        <f>IFERROR(__xludf.DUMMYFUNCTION("""COMPUTED_VALUE"""),42685.459027777775)</f>
        <v>42685.45903</v>
      </c>
      <c r="B61" s="257" t="str">
        <f>IFERROR(__xludf.DUMMYFUNCTION("""COMPUTED_VALUE"""),"apollo 46")</f>
        <v>apollo 46</v>
      </c>
      <c r="C61" s="258" t="str">
        <f>IFERROR(__xludf.DUMMYFUNCTION("""COMPUTED_VALUE"""),"Europe (excluding UK) &amp; Asia Pacific")</f>
        <v>Europe (excluding UK) &amp; Asia Pacific</v>
      </c>
      <c r="D61" s="258" t="str">
        <f>IFERROR(__xludf.DUMMYFUNCTION("""COMPUTED_VALUE"""),"km. My car displays range in kilometres and I will enter all range numbers in kilometres.")</f>
        <v>km. My car displays range in kilometres and I will enter all range numbers in kilometres.</v>
      </c>
      <c r="E61" s="259">
        <f>IFERROR(__xludf.DUMMYFUNCTION("""COMPUTED_VALUE"""),42437.0)</f>
        <v>42437</v>
      </c>
      <c r="F61" s="258" t="str">
        <f>IFERROR(__xludf.DUMMYFUNCTION("""COMPUTED_VALUE"""),"Model S 90D")</f>
        <v>Model S 90D</v>
      </c>
      <c r="G61" s="258" t="str">
        <f>IFERROR(__xludf.DUMMYFUNCTION("""COMPUTED_VALUE"""),"Twice a month")</f>
        <v>Twice a month</v>
      </c>
      <c r="H61" s="258" t="str">
        <f>IFERROR(__xludf.DUMMYFUNCTION("""COMPUTED_VALUE"""),"Twice a month")</f>
        <v>Twice a month</v>
      </c>
      <c r="I61" s="258" t="str">
        <f>IFERROR(__xludf.DUMMYFUNCTION("""COMPUTED_VALUE"""),"Never")</f>
        <v>Never</v>
      </c>
      <c r="J61" s="260">
        <f>IFERROR(__xludf.DUMMYFUNCTION("""COMPUTED_VALUE"""),0.8)</f>
        <v>0.8</v>
      </c>
      <c r="K61" s="258">
        <f>IFERROR(__xludf.DUMMYFUNCTION("""COMPUTED_VALUE"""),448.0)</f>
        <v>448</v>
      </c>
      <c r="L61" s="258" t="str">
        <f>IFERROR(__xludf.DUMMYFUNCTION("""COMPUTED_VALUE"""),"")</f>
        <v/>
      </c>
      <c r="M61" s="261">
        <f>IFERROR(__xludf.DUMMYFUNCTION("""COMPUTED_VALUE"""),214.0)</f>
        <v>214</v>
      </c>
      <c r="N61" s="262" t="str">
        <f>IFERROR(__xludf.DUMMYFUNCTION("""COMPUTED_VALUE"""),"")</f>
        <v/>
      </c>
      <c r="O61" s="259" t="str">
        <f>IFERROR(__xludf.DUMMYFUNCTION("""COMPUTED_VALUE"""),"")</f>
        <v/>
      </c>
      <c r="P61" s="259">
        <f>IFERROR(__xludf.DUMMYFUNCTION("""COMPUTED_VALUE"""),42685.0)</f>
        <v>42685</v>
      </c>
      <c r="Q61" s="258">
        <f>IFERROR(__xludf.DUMMYFUNCTION("""COMPUTED_VALUE"""),20421.0)</f>
        <v>20421</v>
      </c>
      <c r="R61" s="261">
        <f>IFERROR(__xludf.DUMMYFUNCTION("""COMPUTED_VALUE"""),439.0)</f>
        <v>439</v>
      </c>
      <c r="S61" s="258">
        <v>447.0</v>
      </c>
      <c r="T61" s="263">
        <v>0.9821029082774049</v>
      </c>
      <c r="U61" s="264">
        <v>12689.0</v>
      </c>
      <c r="V61" s="265">
        <v>20421.0</v>
      </c>
      <c r="W61" s="264">
        <v>12689.0</v>
      </c>
      <c r="X61" s="266" t="str">
        <f>IFERROR(__xludf.DUMMYFUNCTION("""COMPUTED_VALUE"""),"Broekroelofs")</f>
        <v>Broekroelofs</v>
      </c>
      <c r="Y61" s="267">
        <v>-0.01</v>
      </c>
      <c r="Z61" s="267">
        <v>0.9741354420118862</v>
      </c>
      <c r="AA61" s="269"/>
      <c r="AB61" s="270"/>
      <c r="AC61" s="270"/>
      <c r="AD61" s="270"/>
      <c r="AE61" s="270"/>
    </row>
    <row r="62">
      <c r="A62" s="256">
        <f>IFERROR(__xludf.DUMMYFUNCTION("""COMPUTED_VALUE"""),42766.49513888889)</f>
        <v>42766.49514</v>
      </c>
      <c r="B62" s="257" t="str">
        <f>IFERROR(__xludf.DUMMYFUNCTION("""COMPUTED_VALUE"""),"apollo 46")</f>
        <v>apollo 46</v>
      </c>
      <c r="C62" s="258" t="str">
        <f>IFERROR(__xludf.DUMMYFUNCTION("""COMPUTED_VALUE"""),"Europe (excluding UK) &amp; Asia Pacific")</f>
        <v>Europe (excluding UK) &amp; Asia Pacific</v>
      </c>
      <c r="D62" s="258" t="str">
        <f>IFERROR(__xludf.DUMMYFUNCTION("""COMPUTED_VALUE"""),"km. My car displays range in kilometres and I will enter all range numbers in kilometres.")</f>
        <v>km. My car displays range in kilometres and I will enter all range numbers in kilometres.</v>
      </c>
      <c r="E62" s="259">
        <f>IFERROR(__xludf.DUMMYFUNCTION("""COMPUTED_VALUE"""),42437.0)</f>
        <v>42437</v>
      </c>
      <c r="F62" s="258" t="str">
        <f>IFERROR(__xludf.DUMMYFUNCTION("""COMPUTED_VALUE"""),"Model S 90D")</f>
        <v>Model S 90D</v>
      </c>
      <c r="G62" s="258" t="str">
        <f>IFERROR(__xludf.DUMMYFUNCTION("""COMPUTED_VALUE"""),"Twice a month")</f>
        <v>Twice a month</v>
      </c>
      <c r="H62" s="258" t="str">
        <f>IFERROR(__xludf.DUMMYFUNCTION("""COMPUTED_VALUE"""),"Monthly")</f>
        <v>Monthly</v>
      </c>
      <c r="I62" s="258" t="str">
        <f>IFERROR(__xludf.DUMMYFUNCTION("""COMPUTED_VALUE"""),"Never")</f>
        <v>Never</v>
      </c>
      <c r="J62" s="260">
        <f>IFERROR(__xludf.DUMMYFUNCTION("""COMPUTED_VALUE"""),0.8)</f>
        <v>0.8</v>
      </c>
      <c r="K62" s="258">
        <f>IFERROR(__xludf.DUMMYFUNCTION("""COMPUTED_VALUE"""),448.0)</f>
        <v>448</v>
      </c>
      <c r="L62" s="258" t="str">
        <f>IFERROR(__xludf.DUMMYFUNCTION("""COMPUTED_VALUE"""),"")</f>
        <v/>
      </c>
      <c r="M62" s="261">
        <f>IFERROR(__xludf.DUMMYFUNCTION("""COMPUTED_VALUE"""),222.0)</f>
        <v>222</v>
      </c>
      <c r="N62" s="262" t="str">
        <f>IFERROR(__xludf.DUMMYFUNCTION("""COMPUTED_VALUE"""),"")</f>
        <v/>
      </c>
      <c r="O62" s="259" t="str">
        <f>IFERROR(__xludf.DUMMYFUNCTION("""COMPUTED_VALUE"""),"")</f>
        <v/>
      </c>
      <c r="P62" s="259">
        <f>IFERROR(__xludf.DUMMYFUNCTION("""COMPUTED_VALUE"""),42766.0)</f>
        <v>42766</v>
      </c>
      <c r="Q62" s="258">
        <f>IFERROR(__xludf.DUMMYFUNCTION("""COMPUTED_VALUE"""),25581.0)</f>
        <v>25581</v>
      </c>
      <c r="R62" s="261">
        <f>IFERROR(__xludf.DUMMYFUNCTION("""COMPUTED_VALUE"""),432.0)</f>
        <v>432</v>
      </c>
      <c r="S62" s="258">
        <v>447.0</v>
      </c>
      <c r="T62" s="263">
        <v>0.9664429530201343</v>
      </c>
      <c r="U62" s="264">
        <v>15895.0</v>
      </c>
      <c r="V62" s="265">
        <v>25581.0</v>
      </c>
      <c r="W62" s="264">
        <v>15895.0</v>
      </c>
      <c r="X62" s="266" t="str">
        <f>IFERROR(__xludf.DUMMYFUNCTION("""COMPUTED_VALUE"""),"BTKKBS")</f>
        <v>BTKKBS</v>
      </c>
      <c r="Y62" s="267">
        <v>-0.01</v>
      </c>
      <c r="Z62" s="267">
        <v>0.9705385444344844</v>
      </c>
      <c r="AA62" s="269"/>
      <c r="AB62" s="270"/>
      <c r="AC62" s="270"/>
      <c r="AD62" s="270"/>
      <c r="AE62" s="270"/>
    </row>
    <row r="63">
      <c r="A63" s="256">
        <f>IFERROR(__xludf.DUMMYFUNCTION("""COMPUTED_VALUE"""),42823.51736111111)</f>
        <v>42823.51736</v>
      </c>
      <c r="B63" s="257" t="str">
        <f>IFERROR(__xludf.DUMMYFUNCTION("""COMPUTED_VALUE"""),"apollo 46")</f>
        <v>apollo 46</v>
      </c>
      <c r="C63" s="258" t="str">
        <f>IFERROR(__xludf.DUMMYFUNCTION("""COMPUTED_VALUE"""),"Europe (excluding UK) &amp; Asia Pacific")</f>
        <v>Europe (excluding UK) &amp; Asia Pacific</v>
      </c>
      <c r="D63" s="258" t="str">
        <f>IFERROR(__xludf.DUMMYFUNCTION("""COMPUTED_VALUE"""),"km. My car displays range in kilometres and I will enter all range numbers in kilometres.")</f>
        <v>km. My car displays range in kilometres and I will enter all range numbers in kilometres.</v>
      </c>
      <c r="E63" s="259">
        <f>IFERROR(__xludf.DUMMYFUNCTION("""COMPUTED_VALUE"""),42437.0)</f>
        <v>42437</v>
      </c>
      <c r="F63" s="258" t="str">
        <f>IFERROR(__xludf.DUMMYFUNCTION("""COMPUTED_VALUE"""),"Model S 90D")</f>
        <v>Model S 90D</v>
      </c>
      <c r="G63" s="258" t="str">
        <f>IFERROR(__xludf.DUMMYFUNCTION("""COMPUTED_VALUE"""),"Monthly")</f>
        <v>Monthly</v>
      </c>
      <c r="H63" s="258" t="str">
        <f>IFERROR(__xludf.DUMMYFUNCTION("""COMPUTED_VALUE"""),"Twice a month")</f>
        <v>Twice a month</v>
      </c>
      <c r="I63" s="258" t="str">
        <f>IFERROR(__xludf.DUMMYFUNCTION("""COMPUTED_VALUE"""),"Never")</f>
        <v>Never</v>
      </c>
      <c r="J63" s="260">
        <f>IFERROR(__xludf.DUMMYFUNCTION("""COMPUTED_VALUE"""),0.9)</f>
        <v>0.9</v>
      </c>
      <c r="K63" s="258">
        <f>IFERROR(__xludf.DUMMYFUNCTION("""COMPUTED_VALUE"""),448.0)</f>
        <v>448</v>
      </c>
      <c r="L63" s="258" t="str">
        <f>IFERROR(__xludf.DUMMYFUNCTION("""COMPUTED_VALUE"""),"")</f>
        <v/>
      </c>
      <c r="M63" s="261">
        <f>IFERROR(__xludf.DUMMYFUNCTION("""COMPUTED_VALUE"""),222.0)</f>
        <v>222</v>
      </c>
      <c r="N63" s="262" t="str">
        <f>IFERROR(__xludf.DUMMYFUNCTION("""COMPUTED_VALUE"""),"")</f>
        <v/>
      </c>
      <c r="O63" s="259" t="str">
        <f>IFERROR(__xludf.DUMMYFUNCTION("""COMPUTED_VALUE"""),"")</f>
        <v/>
      </c>
      <c r="P63" s="259">
        <f>IFERROR(__xludf.DUMMYFUNCTION("""COMPUTED_VALUE"""),42823.0)</f>
        <v>42823</v>
      </c>
      <c r="Q63" s="258">
        <f>IFERROR(__xludf.DUMMYFUNCTION("""COMPUTED_VALUE"""),30786.0)</f>
        <v>30786</v>
      </c>
      <c r="R63" s="261">
        <f>IFERROR(__xludf.DUMMYFUNCTION("""COMPUTED_VALUE"""),431.0)</f>
        <v>431</v>
      </c>
      <c r="S63" s="258">
        <v>447.0</v>
      </c>
      <c r="T63" s="263">
        <v>0.9642058165548099</v>
      </c>
      <c r="U63" s="264">
        <v>19130.0</v>
      </c>
      <c r="V63" s="265">
        <v>30786.0</v>
      </c>
      <c r="W63" s="264">
        <v>19130.0</v>
      </c>
      <c r="X63" s="266" t="str">
        <f>IFERROR(__xludf.DUMMYFUNCTION("""COMPUTED_VALUE"""),"btrflyl8e")</f>
        <v>btrflyl8e</v>
      </c>
      <c r="Y63" s="267">
        <v>-0.01</v>
      </c>
      <c r="Z63" s="267">
        <v>0.9675417400124353</v>
      </c>
      <c r="AA63" s="269"/>
      <c r="AB63" s="270"/>
      <c r="AC63" s="270"/>
      <c r="AD63" s="270"/>
      <c r="AE63" s="270"/>
    </row>
    <row r="64">
      <c r="A64" s="256">
        <f>IFERROR(__xludf.DUMMYFUNCTION("""COMPUTED_VALUE"""),42892.54305555555)</f>
        <v>42892.54306</v>
      </c>
      <c r="B64" s="257" t="str">
        <f>IFERROR(__xludf.DUMMYFUNCTION("""COMPUTED_VALUE"""),"apollo 46")</f>
        <v>apollo 46</v>
      </c>
      <c r="C64" s="258" t="str">
        <f>IFERROR(__xludf.DUMMYFUNCTION("""COMPUTED_VALUE"""),"Europe (excluding UK) &amp; Asia Pacific")</f>
        <v>Europe (excluding UK) &amp; Asia Pacific</v>
      </c>
      <c r="D64" s="258" t="str">
        <f>IFERROR(__xludf.DUMMYFUNCTION("""COMPUTED_VALUE"""),"km. My car displays range in kilometres and I will enter all range numbers in kilometres.")</f>
        <v>km. My car displays range in kilometres and I will enter all range numbers in kilometres.</v>
      </c>
      <c r="E64" s="259">
        <f>IFERROR(__xludf.DUMMYFUNCTION("""COMPUTED_VALUE"""),42437.0)</f>
        <v>42437</v>
      </c>
      <c r="F64" s="258" t="str">
        <f>IFERROR(__xludf.DUMMYFUNCTION("""COMPUTED_VALUE"""),"Model S 90D")</f>
        <v>Model S 90D</v>
      </c>
      <c r="G64" s="258" t="str">
        <f>IFERROR(__xludf.DUMMYFUNCTION("""COMPUTED_VALUE"""),"Twice a month")</f>
        <v>Twice a month</v>
      </c>
      <c r="H64" s="258" t="str">
        <f>IFERROR(__xludf.DUMMYFUNCTION("""COMPUTED_VALUE"""),"Twice a month")</f>
        <v>Twice a month</v>
      </c>
      <c r="I64" s="258" t="str">
        <f>IFERROR(__xludf.DUMMYFUNCTION("""COMPUTED_VALUE"""),"Once or twice a year")</f>
        <v>Once or twice a year</v>
      </c>
      <c r="J64" s="260">
        <f>IFERROR(__xludf.DUMMYFUNCTION("""COMPUTED_VALUE"""),0.9)</f>
        <v>0.9</v>
      </c>
      <c r="K64" s="258">
        <f>IFERROR(__xludf.DUMMYFUNCTION("""COMPUTED_VALUE"""),448.0)</f>
        <v>448</v>
      </c>
      <c r="L64" s="258" t="str">
        <f>IFERROR(__xludf.DUMMYFUNCTION("""COMPUTED_VALUE"""),"")</f>
        <v/>
      </c>
      <c r="M64" s="261">
        <f>IFERROR(__xludf.DUMMYFUNCTION("""COMPUTED_VALUE"""),219.0)</f>
        <v>219</v>
      </c>
      <c r="N64" s="262" t="str">
        <f>IFERROR(__xludf.DUMMYFUNCTION("""COMPUTED_VALUE"""),"")</f>
        <v/>
      </c>
      <c r="O64" s="259" t="str">
        <f>IFERROR(__xludf.DUMMYFUNCTION("""COMPUTED_VALUE"""),"")</f>
        <v/>
      </c>
      <c r="P64" s="259">
        <f>IFERROR(__xludf.DUMMYFUNCTION("""COMPUTED_VALUE"""),42892.0)</f>
        <v>42892</v>
      </c>
      <c r="Q64" s="258">
        <f>IFERROR(__xludf.DUMMYFUNCTION("""COMPUTED_VALUE"""),35581.0)</f>
        <v>35581</v>
      </c>
      <c r="R64" s="261">
        <f>IFERROR(__xludf.DUMMYFUNCTION("""COMPUTED_VALUE"""),429.0)</f>
        <v>429</v>
      </c>
      <c r="S64" s="258">
        <v>447.0</v>
      </c>
      <c r="T64" s="263">
        <v>0.959731543624161</v>
      </c>
      <c r="U64" s="264">
        <v>22109.0</v>
      </c>
      <c r="V64" s="265">
        <v>35581.0</v>
      </c>
      <c r="W64" s="264">
        <v>22109.0</v>
      </c>
      <c r="X64" s="266" t="str">
        <f>IFERROR(__xludf.DUMMYFUNCTION("""COMPUTED_VALUE"""),"Buickguy")</f>
        <v>Buickguy</v>
      </c>
      <c r="Y64" s="267">
        <v>-0.01</v>
      </c>
      <c r="Z64" s="267">
        <v>0.9651991435434639</v>
      </c>
      <c r="AA64" s="269"/>
      <c r="AB64" s="270"/>
      <c r="AC64" s="270"/>
      <c r="AD64" s="270"/>
      <c r="AE64" s="270"/>
    </row>
    <row r="65">
      <c r="A65" s="256">
        <f>IFERROR(__xludf.DUMMYFUNCTION("""COMPUTED_VALUE"""),42976.59444444445)</f>
        <v>42976.59444</v>
      </c>
      <c r="B65" s="257" t="str">
        <f>IFERROR(__xludf.DUMMYFUNCTION("""COMPUTED_VALUE"""),"apollo 46")</f>
        <v>apollo 46</v>
      </c>
      <c r="C65" s="258" t="str">
        <f>IFERROR(__xludf.DUMMYFUNCTION("""COMPUTED_VALUE"""),"Europe (excluding UK) &amp; Asia Pacific")</f>
        <v>Europe (excluding UK) &amp; Asia Pacific</v>
      </c>
      <c r="D65" s="258" t="str">
        <f>IFERROR(__xludf.DUMMYFUNCTION("""COMPUTED_VALUE"""),"km. My car displays range in kilometres and I will enter all range numbers in kilometres.")</f>
        <v>km. My car displays range in kilometres and I will enter all range numbers in kilometres.</v>
      </c>
      <c r="E65" s="259">
        <f>IFERROR(__xludf.DUMMYFUNCTION("""COMPUTED_VALUE"""),42437.0)</f>
        <v>42437</v>
      </c>
      <c r="F65" s="258" t="str">
        <f>IFERROR(__xludf.DUMMYFUNCTION("""COMPUTED_VALUE"""),"Model S 90D")</f>
        <v>Model S 90D</v>
      </c>
      <c r="G65" s="258" t="str">
        <f>IFERROR(__xludf.DUMMYFUNCTION("""COMPUTED_VALUE"""),"Twice a month")</f>
        <v>Twice a month</v>
      </c>
      <c r="H65" s="258" t="str">
        <f>IFERROR(__xludf.DUMMYFUNCTION("""COMPUTED_VALUE"""),"Monthly")</f>
        <v>Monthly</v>
      </c>
      <c r="I65" s="258" t="str">
        <f>IFERROR(__xludf.DUMMYFUNCTION("""COMPUTED_VALUE"""),"Once or twice a year")</f>
        <v>Once or twice a year</v>
      </c>
      <c r="J65" s="260">
        <f>IFERROR(__xludf.DUMMYFUNCTION("""COMPUTED_VALUE"""),0.9)</f>
        <v>0.9</v>
      </c>
      <c r="K65" s="258">
        <f>IFERROR(__xludf.DUMMYFUNCTION("""COMPUTED_VALUE"""),448.0)</f>
        <v>448</v>
      </c>
      <c r="L65" s="258" t="str">
        <f>IFERROR(__xludf.DUMMYFUNCTION("""COMPUTED_VALUE"""),"")</f>
        <v/>
      </c>
      <c r="M65" s="261">
        <f>IFERROR(__xludf.DUMMYFUNCTION("""COMPUTED_VALUE"""),215.0)</f>
        <v>215</v>
      </c>
      <c r="N65" s="262" t="str">
        <f>IFERROR(__xludf.DUMMYFUNCTION("""COMPUTED_VALUE"""),"")</f>
        <v/>
      </c>
      <c r="O65" s="259" t="str">
        <f>IFERROR(__xludf.DUMMYFUNCTION("""COMPUTED_VALUE"""),"")</f>
        <v/>
      </c>
      <c r="P65" s="259">
        <f>IFERROR(__xludf.DUMMYFUNCTION("""COMPUTED_VALUE"""),42976.0)</f>
        <v>42976</v>
      </c>
      <c r="Q65" s="258">
        <f>IFERROR(__xludf.DUMMYFUNCTION("""COMPUTED_VALUE"""),42743.0)</f>
        <v>42743</v>
      </c>
      <c r="R65" s="261">
        <f>IFERROR(__xludf.DUMMYFUNCTION("""COMPUTED_VALUE"""),429.0)</f>
        <v>429</v>
      </c>
      <c r="S65" s="258">
        <v>447.0</v>
      </c>
      <c r="T65" s="263">
        <v>0.959731543624161</v>
      </c>
      <c r="U65" s="264">
        <v>26559.0</v>
      </c>
      <c r="V65" s="265">
        <v>42743.0</v>
      </c>
      <c r="W65" s="264">
        <v>26559.0</v>
      </c>
      <c r="X65" s="266" t="str">
        <f>IFERROR(__xludf.DUMMYFUNCTION("""COMPUTED_VALUE"""),"byoder1122")</f>
        <v>byoder1122</v>
      </c>
      <c r="Y65" s="267">
        <v>-0.01</v>
      </c>
      <c r="Z65" s="267">
        <v>0.9622372754025089</v>
      </c>
      <c r="AA65" s="269"/>
      <c r="AB65" s="270"/>
      <c r="AC65" s="270"/>
      <c r="AD65" s="270"/>
      <c r="AE65" s="270"/>
    </row>
    <row r="66">
      <c r="A66" s="256">
        <f>IFERROR(__xludf.DUMMYFUNCTION("""COMPUTED_VALUE"""),43066.638194444444)</f>
        <v>43066.63819</v>
      </c>
      <c r="B66" s="257" t="str">
        <f>IFERROR(__xludf.DUMMYFUNCTION("""COMPUTED_VALUE"""),"apollo 46")</f>
        <v>apollo 46</v>
      </c>
      <c r="C66" s="258" t="str">
        <f>IFERROR(__xludf.DUMMYFUNCTION("""COMPUTED_VALUE"""),"Europe (excluding UK) &amp; Asia Pacific")</f>
        <v>Europe (excluding UK) &amp; Asia Pacific</v>
      </c>
      <c r="D66" s="258" t="str">
        <f>IFERROR(__xludf.DUMMYFUNCTION("""COMPUTED_VALUE"""),"km. My car displays range in kilometres and I will enter all range numbers in kilometres.")</f>
        <v>km. My car displays range in kilometres and I will enter all range numbers in kilometres.</v>
      </c>
      <c r="E66" s="259">
        <f>IFERROR(__xludf.DUMMYFUNCTION("""COMPUTED_VALUE"""),42437.0)</f>
        <v>42437</v>
      </c>
      <c r="F66" s="258" t="str">
        <f>IFERROR(__xludf.DUMMYFUNCTION("""COMPUTED_VALUE"""),"Model S 90D")</f>
        <v>Model S 90D</v>
      </c>
      <c r="G66" s="258" t="str">
        <f>IFERROR(__xludf.DUMMYFUNCTION("""COMPUTED_VALUE"""),"Twice a month")</f>
        <v>Twice a month</v>
      </c>
      <c r="H66" s="258" t="str">
        <f>IFERROR(__xludf.DUMMYFUNCTION("""COMPUTED_VALUE"""),"Monthly")</f>
        <v>Monthly</v>
      </c>
      <c r="I66" s="258" t="str">
        <f>IFERROR(__xludf.DUMMYFUNCTION("""COMPUTED_VALUE"""),"A few times a year")</f>
        <v>A few times a year</v>
      </c>
      <c r="J66" s="260">
        <f>IFERROR(__xludf.DUMMYFUNCTION("""COMPUTED_VALUE"""),0.7)</f>
        <v>0.7</v>
      </c>
      <c r="K66" s="258">
        <f>IFERROR(__xludf.DUMMYFUNCTION("""COMPUTED_VALUE"""),448.0)</f>
        <v>448</v>
      </c>
      <c r="L66" s="258" t="str">
        <f>IFERROR(__xludf.DUMMYFUNCTION("""COMPUTED_VALUE"""),"")</f>
        <v/>
      </c>
      <c r="M66" s="261">
        <f>IFERROR(__xludf.DUMMYFUNCTION("""COMPUTED_VALUE"""),213.0)</f>
        <v>213</v>
      </c>
      <c r="N66" s="262" t="str">
        <f>IFERROR(__xludf.DUMMYFUNCTION("""COMPUTED_VALUE"""),"")</f>
        <v/>
      </c>
      <c r="O66" s="259" t="str">
        <f>IFERROR(__xludf.DUMMYFUNCTION("""COMPUTED_VALUE"""),"")</f>
        <v/>
      </c>
      <c r="P66" s="259">
        <f>IFERROR(__xludf.DUMMYFUNCTION("""COMPUTED_VALUE"""),43066.0)</f>
        <v>43066</v>
      </c>
      <c r="Q66" s="258">
        <f>IFERROR(__xludf.DUMMYFUNCTION("""COMPUTED_VALUE"""),51364.0)</f>
        <v>51364</v>
      </c>
      <c r="R66" s="261">
        <f>IFERROR(__xludf.DUMMYFUNCTION("""COMPUTED_VALUE"""),431.0)</f>
        <v>431</v>
      </c>
      <c r="S66" s="258">
        <v>447.0</v>
      </c>
      <c r="T66" s="263">
        <v>0.9642058165548099</v>
      </c>
      <c r="U66" s="264">
        <v>31916.0</v>
      </c>
      <c r="V66" s="265">
        <v>51364.0</v>
      </c>
      <c r="W66" s="264">
        <v>31916.0</v>
      </c>
      <c r="X66" s="266" t="str">
        <f>IFERROR(__xludf.DUMMYFUNCTION("""COMPUTED_VALUE"""),"bystedt")</f>
        <v>bystedt</v>
      </c>
      <c r="Y66" s="267">
        <v>-0.01</v>
      </c>
      <c r="Z66" s="267">
        <v>0.9592490245449774</v>
      </c>
      <c r="AA66" s="269"/>
      <c r="AB66" s="270"/>
      <c r="AC66" s="270"/>
      <c r="AD66" s="270"/>
      <c r="AE66" s="270"/>
    </row>
    <row r="67">
      <c r="A67" s="256">
        <f>IFERROR(__xludf.DUMMYFUNCTION("""COMPUTED_VALUE"""),42155.13125)</f>
        <v>42155.13125</v>
      </c>
      <c r="B67" s="257" t="str">
        <f>IFERROR(__xludf.DUMMYFUNCTION("""COMPUTED_VALUE"""),"arjan.a")</f>
        <v>arjan.a</v>
      </c>
      <c r="C67" s="258" t="str">
        <f>IFERROR(__xludf.DUMMYFUNCTION("""COMPUTED_VALUE"""),"Europe (excluding UK) &amp; Asia Pacific")</f>
        <v>Europe (excluding UK) &amp; Asia Pacific</v>
      </c>
      <c r="D67" s="258" t="str">
        <f>IFERROR(__xludf.DUMMYFUNCTION("""COMPUTED_VALUE"""),"km. My car displays range in kilometres and I will enter all range numbers in kilometres.")</f>
        <v>km. My car displays range in kilometres and I will enter all range numbers in kilometres.</v>
      </c>
      <c r="E67" s="259">
        <f>IFERROR(__xludf.DUMMYFUNCTION("""COMPUTED_VALUE"""),41619.0)</f>
        <v>41619</v>
      </c>
      <c r="F67" s="258" t="str">
        <f>IFERROR(__xludf.DUMMYFUNCTION("""COMPUTED_VALUE"""),"Model S 85")</f>
        <v>Model S 85</v>
      </c>
      <c r="G67" s="258" t="str">
        <f>IFERROR(__xludf.DUMMYFUNCTION("""COMPUTED_VALUE"""),"Monthly")</f>
        <v>Monthly</v>
      </c>
      <c r="H67" s="258" t="str">
        <f>IFERROR(__xludf.DUMMYFUNCTION("""COMPUTED_VALUE"""),"Monthly")</f>
        <v>Monthly</v>
      </c>
      <c r="I67" s="258" t="str">
        <f>IFERROR(__xludf.DUMMYFUNCTION("""COMPUTED_VALUE"""),"A few times a year")</f>
        <v>A few times a year</v>
      </c>
      <c r="J67" s="260">
        <f>IFERROR(__xludf.DUMMYFUNCTION("""COMPUTED_VALUE"""),0.9)</f>
        <v>0.9</v>
      </c>
      <c r="K67" s="258" t="str">
        <f>IFERROR(__xludf.DUMMYFUNCTION("""COMPUTED_VALUE"""),"")</f>
        <v/>
      </c>
      <c r="L67" s="258" t="str">
        <f>IFERROR(__xludf.DUMMYFUNCTION("""COMPUTED_VALUE"""),"")</f>
        <v/>
      </c>
      <c r="M67" s="261">
        <f>IFERROR(__xludf.DUMMYFUNCTION("""COMPUTED_VALUE"""),239.0)</f>
        <v>239</v>
      </c>
      <c r="N67" s="262" t="str">
        <f>IFERROR(__xludf.DUMMYFUNCTION("""COMPUTED_VALUE"""),"")</f>
        <v/>
      </c>
      <c r="O67" s="259" t="str">
        <f>IFERROR(__xludf.DUMMYFUNCTION("""COMPUTED_VALUE"""),"")</f>
        <v/>
      </c>
      <c r="P67" s="259">
        <f>IFERROR(__xludf.DUMMYFUNCTION("""COMPUTED_VALUE"""),42155.0)</f>
        <v>42155</v>
      </c>
      <c r="Q67" s="258">
        <f>IFERROR(__xludf.DUMMYFUNCTION("""COMPUTED_VALUE"""),26000.0)</f>
        <v>26000</v>
      </c>
      <c r="R67" s="261">
        <f>IFERROR(__xludf.DUMMYFUNCTION("""COMPUTED_VALUE"""),378.0)</f>
        <v>378</v>
      </c>
      <c r="S67" s="258">
        <v>395.0</v>
      </c>
      <c r="T67" s="263">
        <v>0.9569620253164557</v>
      </c>
      <c r="U67" s="264">
        <v>16156.0</v>
      </c>
      <c r="V67" s="265">
        <v>26000.0</v>
      </c>
      <c r="W67" s="264">
        <v>16156.0</v>
      </c>
      <c r="X67" s="266" t="str">
        <f>IFERROR(__xludf.DUMMYFUNCTION("""COMPUTED_VALUE"""),"C Bretaud")</f>
        <v>C Bretaud</v>
      </c>
      <c r="Y67" s="267">
        <v>-0.01</v>
      </c>
      <c r="Z67" s="267">
        <v>0.9702763468126842</v>
      </c>
      <c r="AA67" s="269"/>
      <c r="AB67" s="270"/>
      <c r="AC67" s="270"/>
      <c r="AD67" s="270"/>
      <c r="AE67" s="270"/>
    </row>
    <row r="68">
      <c r="A68" s="256">
        <f>IFERROR(__xludf.DUMMYFUNCTION("""COMPUTED_VALUE"""),42295.21597222222)</f>
        <v>42295.21597</v>
      </c>
      <c r="B68" s="257" t="str">
        <f>IFERROR(__xludf.DUMMYFUNCTION("""COMPUTED_VALUE"""),"arnkl")</f>
        <v>arnkl</v>
      </c>
      <c r="C68" s="258" t="str">
        <f>IFERROR(__xludf.DUMMYFUNCTION("""COMPUTED_VALUE"""),"Europe (excluding UK) &amp; Asia Pacific")</f>
        <v>Europe (excluding UK) &amp; Asia Pacific</v>
      </c>
      <c r="D68" s="258" t="str">
        <f>IFERROR(__xludf.DUMMYFUNCTION("""COMPUTED_VALUE"""),"km. My car displays range in kilometres and I will enter all range numbers in kilometres.")</f>
        <v>km. My car displays range in kilometres and I will enter all range numbers in kilometres.</v>
      </c>
      <c r="E68" s="259">
        <f>IFERROR(__xludf.DUMMYFUNCTION("""COMPUTED_VALUE"""),41644.0)</f>
        <v>41644</v>
      </c>
      <c r="F68" s="258" t="str">
        <f>IFERROR(__xludf.DUMMYFUNCTION("""COMPUTED_VALUE"""),"Model S 85")</f>
        <v>Model S 85</v>
      </c>
      <c r="G68" s="258" t="str">
        <f>IFERROR(__xludf.DUMMYFUNCTION("""COMPUTED_VALUE"""),"Monthly")</f>
        <v>Monthly</v>
      </c>
      <c r="H68" s="258" t="str">
        <f>IFERROR(__xludf.DUMMYFUNCTION("""COMPUTED_VALUE"""),"A few times a year")</f>
        <v>A few times a year</v>
      </c>
      <c r="I68" s="258" t="str">
        <f>IFERROR(__xludf.DUMMYFUNCTION("""COMPUTED_VALUE"""),"Once or twice a year")</f>
        <v>Once or twice a year</v>
      </c>
      <c r="J68" s="260">
        <f>IFERROR(__xludf.DUMMYFUNCTION("""COMPUTED_VALUE"""),0.8)</f>
        <v>0.8</v>
      </c>
      <c r="K68" s="258" t="str">
        <f>IFERROR(__xludf.DUMMYFUNCTION("""COMPUTED_VALUE"""),"")</f>
        <v/>
      </c>
      <c r="L68" s="258" t="str">
        <f>IFERROR(__xludf.DUMMYFUNCTION("""COMPUTED_VALUE"""),"")</f>
        <v/>
      </c>
      <c r="M68" s="261">
        <f>IFERROR(__xludf.DUMMYFUNCTION("""COMPUTED_VALUE"""),197.0)</f>
        <v>197</v>
      </c>
      <c r="N68" s="262" t="str">
        <f>IFERROR(__xludf.DUMMYFUNCTION("""COMPUTED_VALUE"""),"")</f>
        <v/>
      </c>
      <c r="O68" s="259" t="str">
        <f>IFERROR(__xludf.DUMMYFUNCTION("""COMPUTED_VALUE"""),"")</f>
        <v/>
      </c>
      <c r="P68" s="259">
        <f>IFERROR(__xludf.DUMMYFUNCTION("""COMPUTED_VALUE"""),42295.0)</f>
        <v>42295</v>
      </c>
      <c r="Q68" s="258">
        <f>IFERROR(__xludf.DUMMYFUNCTION("""COMPUTED_VALUE"""),57000.0)</f>
        <v>57000</v>
      </c>
      <c r="R68" s="261">
        <f>IFERROR(__xludf.DUMMYFUNCTION("""COMPUTED_VALUE"""),379.0)</f>
        <v>379</v>
      </c>
      <c r="S68" s="258">
        <v>395.0</v>
      </c>
      <c r="T68" s="263">
        <v>0.959493670886076</v>
      </c>
      <c r="U68" s="264">
        <v>35418.0</v>
      </c>
      <c r="V68" s="265">
        <v>57000.0</v>
      </c>
      <c r="W68" s="264">
        <v>35418.0</v>
      </c>
      <c r="X68" s="266" t="str">
        <f>IFERROR(__xludf.DUMMYFUNCTION("""COMPUTED_VALUE"""),"caddy123")</f>
        <v>caddy123</v>
      </c>
      <c r="Y68" s="267">
        <v>-0.01</v>
      </c>
      <c r="Z68" s="267">
        <v>0.957519801379745</v>
      </c>
      <c r="AA68" s="269"/>
      <c r="AB68" s="270"/>
      <c r="AC68" s="270"/>
      <c r="AD68" s="270"/>
      <c r="AE68" s="270"/>
    </row>
    <row r="69">
      <c r="A69" s="256">
        <f>IFERROR(__xludf.DUMMYFUNCTION("""COMPUTED_VALUE"""),42537.35763888889)</f>
        <v>42537.35764</v>
      </c>
      <c r="B69" s="257" t="str">
        <f>IFERROR(__xludf.DUMMYFUNCTION("""COMPUTED_VALUE"""),"Ashtorak")</f>
        <v>Ashtorak</v>
      </c>
      <c r="C69" s="258" t="str">
        <f>IFERROR(__xludf.DUMMYFUNCTION("""COMPUTED_VALUE"""),"Europe (excluding UK) &amp; Asia Pacific")</f>
        <v>Europe (excluding UK) &amp; Asia Pacific</v>
      </c>
      <c r="D69" s="258" t="str">
        <f>IFERROR(__xludf.DUMMYFUNCTION("""COMPUTED_VALUE"""),"km. My car displays range in kilometres and I will enter all range numbers in kilometres.")</f>
        <v>km. My car displays range in kilometres and I will enter all range numbers in kilometres.</v>
      </c>
      <c r="E69" s="259">
        <f>IFERROR(__xludf.DUMMYFUNCTION("""COMPUTED_VALUE"""),42450.0)</f>
        <v>42450</v>
      </c>
      <c r="F69" s="258" t="str">
        <f>IFERROR(__xludf.DUMMYFUNCTION("""COMPUTED_VALUE"""),"Model S 70")</f>
        <v>Model S 70</v>
      </c>
      <c r="G69" s="258" t="str">
        <f>IFERROR(__xludf.DUMMYFUNCTION("""COMPUTED_VALUE"""),"Twice a month")</f>
        <v>Twice a month</v>
      </c>
      <c r="H69" s="258" t="str">
        <f>IFERROR(__xludf.DUMMYFUNCTION("""COMPUTED_VALUE"""),"Monthly")</f>
        <v>Monthly</v>
      </c>
      <c r="I69" s="258" t="str">
        <f>IFERROR(__xludf.DUMMYFUNCTION("""COMPUTED_VALUE"""),"A few times a year")</f>
        <v>A few times a year</v>
      </c>
      <c r="J69" s="260" t="str">
        <f>IFERROR(__xludf.DUMMYFUNCTION("""COMPUTED_VALUE"""),"")</f>
        <v/>
      </c>
      <c r="K69" s="258" t="str">
        <f>IFERROR(__xludf.DUMMYFUNCTION("""COMPUTED_VALUE"""),"")</f>
        <v/>
      </c>
      <c r="L69" s="258" t="str">
        <f>IFERROR(__xludf.DUMMYFUNCTION("""COMPUTED_VALUE"""),"")</f>
        <v/>
      </c>
      <c r="M69" s="261">
        <f>IFERROR(__xludf.DUMMYFUNCTION("""COMPUTED_VALUE"""),202.0)</f>
        <v>202</v>
      </c>
      <c r="N69" s="262" t="str">
        <f>IFERROR(__xludf.DUMMYFUNCTION("""COMPUTED_VALUE"""),"")</f>
        <v/>
      </c>
      <c r="O69" s="259" t="str">
        <f>IFERROR(__xludf.DUMMYFUNCTION("""COMPUTED_VALUE"""),"")</f>
        <v/>
      </c>
      <c r="P69" s="259">
        <f>IFERROR(__xludf.DUMMYFUNCTION("""COMPUTED_VALUE"""),42537.0)</f>
        <v>42537</v>
      </c>
      <c r="Q69" s="258">
        <f>IFERROR(__xludf.DUMMYFUNCTION("""COMPUTED_VALUE"""),7080.0)</f>
        <v>7080</v>
      </c>
      <c r="R69" s="261">
        <f>IFERROR(__xludf.DUMMYFUNCTION("""COMPUTED_VALUE"""),367.0)</f>
        <v>367</v>
      </c>
      <c r="S69" s="258">
        <v>355.0</v>
      </c>
      <c r="T69" s="263">
        <v>1.0338028169014084</v>
      </c>
      <c r="U69" s="264">
        <v>4399.0</v>
      </c>
      <c r="V69" s="265">
        <v>7080.0</v>
      </c>
      <c r="W69" s="264">
        <v>4399.0</v>
      </c>
      <c r="X69" s="266" t="str">
        <f>IFERROR(__xludf.DUMMYFUNCTION("""COMPUTED_VALUE"""),"CAHL")</f>
        <v>CAHL</v>
      </c>
      <c r="Y69" s="267">
        <v>-0.01</v>
      </c>
      <c r="Z69" s="267">
        <v>0.9880955033568397</v>
      </c>
      <c r="AA69" s="269"/>
      <c r="AB69" s="270"/>
      <c r="AC69" s="270"/>
      <c r="AD69" s="270"/>
      <c r="AE69" s="270"/>
    </row>
    <row r="70">
      <c r="A70" s="256">
        <f>IFERROR(__xludf.DUMMYFUNCTION("""COMPUTED_VALUE"""),42989.603472222225)</f>
        <v>42989.60347</v>
      </c>
      <c r="B70" s="257" t="str">
        <f>IFERROR(__xludf.DUMMYFUNCTION("""COMPUTED_VALUE"""),"Astrid")</f>
        <v>Astrid</v>
      </c>
      <c r="C70" s="258" t="str">
        <f>IFERROR(__xludf.DUMMYFUNCTION("""COMPUTED_VALUE"""),"Europe (excluding UK) &amp; Asia Pacific")</f>
        <v>Europe (excluding UK) &amp; Asia Pacific</v>
      </c>
      <c r="D70" s="258" t="str">
        <f>IFERROR(__xludf.DUMMYFUNCTION("""COMPUTED_VALUE"""),"km. My car displays range in kilometres and I will enter all range numbers in kilometres.")</f>
        <v>km. My car displays range in kilometres and I will enter all range numbers in kilometres.</v>
      </c>
      <c r="E70" s="259">
        <f>IFERROR(__xludf.DUMMYFUNCTION("""COMPUTED_VALUE"""),42851.0)</f>
        <v>42851</v>
      </c>
      <c r="F70" s="258" t="str">
        <f>IFERROR(__xludf.DUMMYFUNCTION("""COMPUTED_VALUE"""),"Model X 100D")</f>
        <v>Model X 100D</v>
      </c>
      <c r="G70" s="258" t="str">
        <f>IFERROR(__xludf.DUMMYFUNCTION("""COMPUTED_VALUE"""),"Monthly")</f>
        <v>Monthly</v>
      </c>
      <c r="H70" s="258" t="str">
        <f>IFERROR(__xludf.DUMMYFUNCTION("""COMPUTED_VALUE"""),"")</f>
        <v/>
      </c>
      <c r="I70" s="258" t="str">
        <f>IFERROR(__xludf.DUMMYFUNCTION("""COMPUTED_VALUE"""),"")</f>
        <v/>
      </c>
      <c r="J70" s="260" t="str">
        <f>IFERROR(__xludf.DUMMYFUNCTION("""COMPUTED_VALUE"""),"")</f>
        <v/>
      </c>
      <c r="K70" s="258" t="str">
        <f>IFERROR(__xludf.DUMMYFUNCTION("""COMPUTED_VALUE"""),"")</f>
        <v/>
      </c>
      <c r="L70" s="258" t="str">
        <f>IFERROR(__xludf.DUMMYFUNCTION("""COMPUTED_VALUE"""),"")</f>
        <v/>
      </c>
      <c r="M70" s="261">
        <f>IFERROR(__xludf.DUMMYFUNCTION("""COMPUTED_VALUE"""),215.0)</f>
        <v>215</v>
      </c>
      <c r="N70" s="262" t="str">
        <f>IFERROR(__xludf.DUMMYFUNCTION("""COMPUTED_VALUE"""),"")</f>
        <v/>
      </c>
      <c r="O70" s="259" t="str">
        <f>IFERROR(__xludf.DUMMYFUNCTION("""COMPUTED_VALUE"""),"")</f>
        <v/>
      </c>
      <c r="P70" s="259">
        <f>IFERROR(__xludf.DUMMYFUNCTION("""COMPUTED_VALUE"""),42989.0)</f>
        <v>42989</v>
      </c>
      <c r="Q70" s="258">
        <f>IFERROR(__xludf.DUMMYFUNCTION("""COMPUTED_VALUE"""),7170.0)</f>
        <v>7170</v>
      </c>
      <c r="R70" s="261">
        <f>IFERROR(__xludf.DUMMYFUNCTION("""COMPUTED_VALUE"""),450.0)</f>
        <v>450</v>
      </c>
      <c r="S70" s="258">
        <v>448.0</v>
      </c>
      <c r="T70" s="263">
        <v>1.0044642857142858</v>
      </c>
      <c r="U70" s="264">
        <v>4455.0</v>
      </c>
      <c r="V70" s="265">
        <v>7170.0</v>
      </c>
      <c r="W70" s="264">
        <v>4455.0</v>
      </c>
      <c r="X70" s="266" t="str">
        <f>IFERROR(__xludf.DUMMYFUNCTION("""COMPUTED_VALUE"""),"cairnz")</f>
        <v>cairnz</v>
      </c>
      <c r="Y70" s="267">
        <v>-0.01</v>
      </c>
      <c r="Z70" s="267">
        <v>0.9879694853527798</v>
      </c>
      <c r="AA70" s="269"/>
      <c r="AB70" s="270"/>
      <c r="AC70" s="270"/>
      <c r="AD70" s="270"/>
      <c r="AE70" s="270"/>
    </row>
    <row r="71">
      <c r="A71" s="256">
        <f>IFERROR(__xludf.DUMMYFUNCTION("""COMPUTED_VALUE"""),43808.59729549768)</f>
        <v>43808.5973</v>
      </c>
      <c r="B71" s="257" t="str">
        <f>IFERROR(__xludf.DUMMYFUNCTION("""COMPUTED_VALUE"""),"AustinP")</f>
        <v>AustinP</v>
      </c>
      <c r="C71" s="258" t="str">
        <f>IFERROR(__xludf.DUMMYFUNCTION("""COMPUTED_VALUE"""),"Europe (excluding UK) &amp; Asia Pacific")</f>
        <v>Europe (excluding UK) &amp; Asia Pacific</v>
      </c>
      <c r="D71" s="258" t="str">
        <f>IFERROR(__xludf.DUMMYFUNCTION("""COMPUTED_VALUE"""),"km. My car displays range in kilometres and I will enter all range numbers in kilometres.")</f>
        <v>km. My car displays range in kilometres and I will enter all range numbers in kilometres.</v>
      </c>
      <c r="E71" s="259">
        <f>IFERROR(__xludf.DUMMYFUNCTION("""COMPUTED_VALUE"""),42139.0)</f>
        <v>42139</v>
      </c>
      <c r="F71" s="258" t="str">
        <f>IFERROR(__xludf.DUMMYFUNCTION("""COMPUTED_VALUE"""),"Model S 85")</f>
        <v>Model S 85</v>
      </c>
      <c r="G71" s="258" t="str">
        <f>IFERROR(__xludf.DUMMYFUNCTION("""COMPUTED_VALUE"""),"A few times a year")</f>
        <v>A few times a year</v>
      </c>
      <c r="H71" s="258" t="str">
        <f>IFERROR(__xludf.DUMMYFUNCTION("""COMPUTED_VALUE"""),"A few times a year")</f>
        <v>A few times a year</v>
      </c>
      <c r="I71" s="258" t="str">
        <f>IFERROR(__xludf.DUMMYFUNCTION("""COMPUTED_VALUE"""),"Once or twice a year")</f>
        <v>Once or twice a year</v>
      </c>
      <c r="J71" s="260">
        <f>IFERROR(__xludf.DUMMYFUNCTION("""COMPUTED_VALUE"""),0.9)</f>
        <v>0.9</v>
      </c>
      <c r="K71" s="258" t="str">
        <f>IFERROR(__xludf.DUMMYFUNCTION("""COMPUTED_VALUE"""),"")</f>
        <v/>
      </c>
      <c r="L71" s="258" t="str">
        <f>IFERROR(__xludf.DUMMYFUNCTION("""COMPUTED_VALUE"""),"")</f>
        <v/>
      </c>
      <c r="M71" s="261">
        <f>IFERROR(__xludf.DUMMYFUNCTION("""COMPUTED_VALUE"""),215.0)</f>
        <v>215</v>
      </c>
      <c r="N71" s="262" t="str">
        <f>IFERROR(__xludf.DUMMYFUNCTION("""COMPUTED_VALUE"""),"")</f>
        <v/>
      </c>
      <c r="O71" s="259" t="str">
        <f>IFERROR(__xludf.DUMMYFUNCTION("""COMPUTED_VALUE"""),"")</f>
        <v/>
      </c>
      <c r="P71" s="259">
        <f>IFERROR(__xludf.DUMMYFUNCTION("""COMPUTED_VALUE"""),43708.0)</f>
        <v>43708</v>
      </c>
      <c r="Q71" s="258">
        <f>IFERROR(__xludf.DUMMYFUNCTION("""COMPUTED_VALUE"""),178000.0)</f>
        <v>178000</v>
      </c>
      <c r="R71" s="261">
        <f>IFERROR(__xludf.DUMMYFUNCTION("""COMPUTED_VALUE"""),359.0)</f>
        <v>359</v>
      </c>
      <c r="S71" s="258">
        <v>395.0</v>
      </c>
      <c r="T71" s="263">
        <v>0.9088607594936708</v>
      </c>
      <c r="U71" s="264">
        <v>110604.0</v>
      </c>
      <c r="V71" s="265">
        <v>178000.0</v>
      </c>
      <c r="W71" s="264">
        <v>110604.0</v>
      </c>
      <c r="X71" s="266" t="str">
        <f>IFERROR(__xludf.DUMMYFUNCTION("""COMPUTED_VALUE"""),"Calif94577")</f>
        <v>Calif94577</v>
      </c>
      <c r="Y71" s="267">
        <v>-0.01</v>
      </c>
      <c r="Z71" s="267">
        <v>0.9285053031136117</v>
      </c>
      <c r="AA71" s="269"/>
      <c r="AB71" s="270"/>
      <c r="AC71" s="270"/>
      <c r="AD71" s="270"/>
      <c r="AE71" s="270"/>
    </row>
    <row r="72">
      <c r="A72" s="256">
        <f>IFERROR(__xludf.DUMMYFUNCTION("""COMPUTED_VALUE"""),43808.59729549768)</f>
        <v>43808.5973</v>
      </c>
      <c r="B72" s="257" t="str">
        <f>IFERROR(__xludf.DUMMYFUNCTION("""COMPUTED_VALUE"""),"AustinP")</f>
        <v>AustinP</v>
      </c>
      <c r="C72" s="258" t="str">
        <f>IFERROR(__xludf.DUMMYFUNCTION("""COMPUTED_VALUE"""),"Europe (excluding UK) &amp; Asia Pacific")</f>
        <v>Europe (excluding UK) &amp; Asia Pacific</v>
      </c>
      <c r="D72" s="258" t="str">
        <f>IFERROR(__xludf.DUMMYFUNCTION("""COMPUTED_VALUE"""),"km. My car displays range in kilometres and I will enter all range numbers in kilometres.")</f>
        <v>km. My car displays range in kilometres and I will enter all range numbers in kilometres.</v>
      </c>
      <c r="E72" s="259">
        <f>IFERROR(__xludf.DUMMYFUNCTION("""COMPUTED_VALUE"""),42139.0)</f>
        <v>42139</v>
      </c>
      <c r="F72" s="258" t="str">
        <f>IFERROR(__xludf.DUMMYFUNCTION("""COMPUTED_VALUE"""),"Model S 85")</f>
        <v>Model S 85</v>
      </c>
      <c r="G72" s="258" t="str">
        <f>IFERROR(__xludf.DUMMYFUNCTION("""COMPUTED_VALUE"""),"A few times a year")</f>
        <v>A few times a year</v>
      </c>
      <c r="H72" s="258" t="str">
        <f>IFERROR(__xludf.DUMMYFUNCTION("""COMPUTED_VALUE"""),"A few times a year")</f>
        <v>A few times a year</v>
      </c>
      <c r="I72" s="258" t="str">
        <f>IFERROR(__xludf.DUMMYFUNCTION("""COMPUTED_VALUE"""),"Once or twice a year")</f>
        <v>Once or twice a year</v>
      </c>
      <c r="J72" s="260">
        <f>IFERROR(__xludf.DUMMYFUNCTION("""COMPUTED_VALUE"""),0.9)</f>
        <v>0.9</v>
      </c>
      <c r="K72" s="258" t="str">
        <f>IFERROR(__xludf.DUMMYFUNCTION("""COMPUTED_VALUE"""),"")</f>
        <v/>
      </c>
      <c r="L72" s="258" t="str">
        <f>IFERROR(__xludf.DUMMYFUNCTION("""COMPUTED_VALUE"""),"")</f>
        <v/>
      </c>
      <c r="M72" s="261">
        <f>IFERROR(__xludf.DUMMYFUNCTION("""COMPUTED_VALUE"""),215.0)</f>
        <v>215</v>
      </c>
      <c r="N72" s="262" t="str">
        <f>IFERROR(__xludf.DUMMYFUNCTION("""COMPUTED_VALUE"""),"")</f>
        <v/>
      </c>
      <c r="O72" s="259" t="str">
        <f>IFERROR(__xludf.DUMMYFUNCTION("""COMPUTED_VALUE"""),"")</f>
        <v/>
      </c>
      <c r="P72" s="259">
        <f>IFERROR(__xludf.DUMMYFUNCTION("""COMPUTED_VALUE"""),43808.0)</f>
        <v>43808</v>
      </c>
      <c r="Q72" s="258">
        <f>IFERROR(__xludf.DUMMYFUNCTION("""COMPUTED_VALUE"""),189322.0)</f>
        <v>189322</v>
      </c>
      <c r="R72" s="261">
        <f>IFERROR(__xludf.DUMMYFUNCTION("""COMPUTED_VALUE"""),369.0)</f>
        <v>369</v>
      </c>
      <c r="S72" s="258">
        <v>395.0</v>
      </c>
      <c r="T72" s="263">
        <v>0.9341772151898734</v>
      </c>
      <c r="U72" s="264">
        <v>117639.0</v>
      </c>
      <c r="V72" s="265">
        <v>189322.0</v>
      </c>
      <c r="W72" s="264">
        <v>117639.0</v>
      </c>
      <c r="X72" s="266" t="str">
        <f>IFERROR(__xludf.DUMMYFUNCTION("""COMPUTED_VALUE"""),"Cambocovey")</f>
        <v>Cambocovey</v>
      </c>
      <c r="Y72" s="267">
        <v>-0.01</v>
      </c>
      <c r="Z72" s="267">
        <v>0.9258934474482577</v>
      </c>
      <c r="AA72" s="269"/>
      <c r="AB72" s="270"/>
      <c r="AC72" s="270"/>
      <c r="AD72" s="270"/>
      <c r="AE72" s="270"/>
    </row>
    <row r="73">
      <c r="A73" s="256">
        <f>IFERROR(__xludf.DUMMYFUNCTION("""COMPUTED_VALUE"""),43767.190743900464)</f>
        <v>43767.19074</v>
      </c>
      <c r="B73" s="257" t="str">
        <f>IFERROR(__xludf.DUMMYFUNCTION("""COMPUTED_VALUE"""),"Az_Rael")</f>
        <v>Az_Rael</v>
      </c>
      <c r="C73" s="258" t="str">
        <f>IFERROR(__xludf.DUMMYFUNCTION("""COMPUTED_VALUE"""),"USA")</f>
        <v>USA</v>
      </c>
      <c r="D73" s="258" t="str">
        <f>IFERROR(__xludf.DUMMYFUNCTION("""COMPUTED_VALUE"""),"mi. My car displays range in miles and I will enter all range numbers in miles.")</f>
        <v>mi. My car displays range in miles and I will enter all range numbers in miles.</v>
      </c>
      <c r="E73" s="259">
        <f>IFERROR(__xludf.DUMMYFUNCTION("""COMPUTED_VALUE"""),43084.0)</f>
        <v>43084</v>
      </c>
      <c r="F73" s="258" t="str">
        <f>IFERROR(__xludf.DUMMYFUNCTION("""COMPUTED_VALUE"""),"Model 3 LR")</f>
        <v>Model 3 LR</v>
      </c>
      <c r="G73" s="258" t="str">
        <f>IFERROR(__xludf.DUMMYFUNCTION("""COMPUTED_VALUE"""),"A few times a year")</f>
        <v>A few times a year</v>
      </c>
      <c r="H73" s="258" t="str">
        <f>IFERROR(__xludf.DUMMYFUNCTION("""COMPUTED_VALUE"""),"A few times a year")</f>
        <v>A few times a year</v>
      </c>
      <c r="I73" s="258" t="str">
        <f>IFERROR(__xludf.DUMMYFUNCTION("""COMPUTED_VALUE"""),"Never")</f>
        <v>Never</v>
      </c>
      <c r="J73" s="260">
        <f>IFERROR(__xludf.DUMMYFUNCTION("""COMPUTED_VALUE"""),0.9)</f>
        <v>0.9</v>
      </c>
      <c r="K73" s="258">
        <f>IFERROR(__xludf.DUMMYFUNCTION("""COMPUTED_VALUE"""),312.0)</f>
        <v>312</v>
      </c>
      <c r="L73" s="258" t="str">
        <f>IFERROR(__xludf.DUMMYFUNCTION("""COMPUTED_VALUE"""),"")</f>
        <v/>
      </c>
      <c r="M73" s="261">
        <f>IFERROR(__xludf.DUMMYFUNCTION("""COMPUTED_VALUE"""),260.0)</f>
        <v>260</v>
      </c>
      <c r="N73" s="262" t="str">
        <f>IFERROR(__xludf.DUMMYFUNCTION("""COMPUTED_VALUE"""),"")</f>
        <v/>
      </c>
      <c r="O73" s="259" t="str">
        <f>IFERROR(__xludf.DUMMYFUNCTION("""COMPUTED_VALUE"""),"")</f>
        <v/>
      </c>
      <c r="P73" s="259">
        <f>IFERROR(__xludf.DUMMYFUNCTION("""COMPUTED_VALUE"""),43752.0)</f>
        <v>43752</v>
      </c>
      <c r="Q73" s="258">
        <f>IFERROR(__xludf.DUMMYFUNCTION("""COMPUTED_VALUE"""),37000.0)</f>
        <v>37000</v>
      </c>
      <c r="R73" s="261">
        <f>IFERROR(__xludf.DUMMYFUNCTION("""COMPUTED_VALUE"""),308.0)</f>
        <v>308</v>
      </c>
      <c r="S73" s="258">
        <v>325.0</v>
      </c>
      <c r="T73" s="263">
        <v>0.9476923076923077</v>
      </c>
      <c r="U73" s="264">
        <v>37000.0</v>
      </c>
      <c r="V73" s="265">
        <v>59546.0</v>
      </c>
      <c r="W73" s="264">
        <v>37000.0</v>
      </c>
      <c r="X73" s="266" t="str">
        <f>IFERROR(__xludf.DUMMYFUNCTION("""COMPUTED_VALUE"""),"cambonp")</f>
        <v>cambonp</v>
      </c>
      <c r="Y73" s="267">
        <v>-0.01</v>
      </c>
      <c r="Z73" s="267">
        <v>0.9567802377001015</v>
      </c>
      <c r="AA73" s="269"/>
      <c r="AB73" s="270"/>
      <c r="AC73" s="270"/>
      <c r="AD73" s="270"/>
      <c r="AE73" s="270"/>
    </row>
    <row r="74">
      <c r="A74" s="256">
        <f>IFERROR(__xludf.DUMMYFUNCTION("""COMPUTED_VALUE"""),43810.01510690973)</f>
        <v>43810.01511</v>
      </c>
      <c r="B74" s="257" t="str">
        <f>IFERROR(__xludf.DUMMYFUNCTION("""COMPUTED_VALUE"""),"azulMx")</f>
        <v>azulMx</v>
      </c>
      <c r="C74" s="258" t="str">
        <f>IFERROR(__xludf.DUMMYFUNCTION("""COMPUTED_VALUE"""),"USA")</f>
        <v>USA</v>
      </c>
      <c r="D74" s="258" t="str">
        <f>IFERROR(__xludf.DUMMYFUNCTION("""COMPUTED_VALUE"""),"mi. My car displays range in miles and I will enter all range numbers in miles.")</f>
        <v>mi. My car displays range in miles and I will enter all range numbers in miles.</v>
      </c>
      <c r="E74" s="259">
        <f>IFERROR(__xludf.DUMMYFUNCTION("""COMPUTED_VALUE"""),43471.0)</f>
        <v>43471</v>
      </c>
      <c r="F74" s="258" t="str">
        <f>IFERROR(__xludf.DUMMYFUNCTION("""COMPUTED_VALUE"""),"Model X 75D")</f>
        <v>Model X 75D</v>
      </c>
      <c r="G74" s="258" t="str">
        <f>IFERROR(__xludf.DUMMYFUNCTION("""COMPUTED_VALUE"""),"A few times a year")</f>
        <v>A few times a year</v>
      </c>
      <c r="H74" s="258" t="str">
        <f>IFERROR(__xludf.DUMMYFUNCTION("""COMPUTED_VALUE"""),"Once or twice a year")</f>
        <v>Once or twice a year</v>
      </c>
      <c r="I74" s="258" t="str">
        <f>IFERROR(__xludf.DUMMYFUNCTION("""COMPUTED_VALUE"""),"Never")</f>
        <v>Never</v>
      </c>
      <c r="J74" s="260">
        <f>IFERROR(__xludf.DUMMYFUNCTION("""COMPUTED_VALUE"""),0.9)</f>
        <v>0.9</v>
      </c>
      <c r="K74" s="258">
        <f>IFERROR(__xludf.DUMMYFUNCTION("""COMPUTED_VALUE"""),237.0)</f>
        <v>237</v>
      </c>
      <c r="L74" s="258">
        <f>IFERROR(__xludf.DUMMYFUNCTION("""COMPUTED_VALUE"""),301.0)</f>
        <v>301</v>
      </c>
      <c r="M74" s="261">
        <f>IFERROR(__xludf.DUMMYFUNCTION("""COMPUTED_VALUE"""),318.0)</f>
        <v>318</v>
      </c>
      <c r="N74" s="262" t="str">
        <f>IFERROR(__xludf.DUMMYFUNCTION("""COMPUTED_VALUE"""),"")</f>
        <v/>
      </c>
      <c r="O74" s="259" t="str">
        <f>IFERROR(__xludf.DUMMYFUNCTION("""COMPUTED_VALUE"""),"")</f>
        <v/>
      </c>
      <c r="P74" s="259">
        <f>IFERROR(__xludf.DUMMYFUNCTION("""COMPUTED_VALUE"""),43784.0)</f>
        <v>43784</v>
      </c>
      <c r="Q74" s="258">
        <f>IFERROR(__xludf.DUMMYFUNCTION("""COMPUTED_VALUE"""),6891.0)</f>
        <v>6891</v>
      </c>
      <c r="R74" s="261">
        <f>IFERROR(__xludf.DUMMYFUNCTION("""COMPUTED_VALUE"""),222.0)</f>
        <v>222</v>
      </c>
      <c r="S74" s="258">
        <v>234.0</v>
      </c>
      <c r="T74" s="263">
        <v>0.9487179487179487</v>
      </c>
      <c r="U74" s="264">
        <v>6891.0</v>
      </c>
      <c r="V74" s="265">
        <v>11090.0</v>
      </c>
      <c r="W74" s="264">
        <v>6891.0</v>
      </c>
      <c r="X74" s="266" t="str">
        <f>IFERROR(__xludf.DUMMYFUNCTION("""COMPUTED_VALUE"""),"camthehombre")</f>
        <v>camthehombre</v>
      </c>
      <c r="Y74" s="267">
        <v>-0.01</v>
      </c>
      <c r="Z74" s="267">
        <v>0.9829763275824402</v>
      </c>
      <c r="AA74" s="269"/>
      <c r="AB74" s="270"/>
      <c r="AC74" s="270"/>
      <c r="AD74" s="270"/>
      <c r="AE74" s="270"/>
    </row>
    <row r="75">
      <c r="A75" s="256">
        <f>IFERROR(__xludf.DUMMYFUNCTION("""COMPUTED_VALUE"""),43810.01510690973)</f>
        <v>43810.01511</v>
      </c>
      <c r="B75" s="257" t="str">
        <f>IFERROR(__xludf.DUMMYFUNCTION("""COMPUTED_VALUE"""),"azulMx")</f>
        <v>azulMx</v>
      </c>
      <c r="C75" s="258" t="str">
        <f>IFERROR(__xludf.DUMMYFUNCTION("""COMPUTED_VALUE"""),"USA")</f>
        <v>USA</v>
      </c>
      <c r="D75" s="258" t="str">
        <f>IFERROR(__xludf.DUMMYFUNCTION("""COMPUTED_VALUE"""),"mi. My car displays range in miles and I will enter all range numbers in miles.")</f>
        <v>mi. My car displays range in miles and I will enter all range numbers in miles.</v>
      </c>
      <c r="E75" s="259">
        <f>IFERROR(__xludf.DUMMYFUNCTION("""COMPUTED_VALUE"""),43471.0)</f>
        <v>43471</v>
      </c>
      <c r="F75" s="258" t="str">
        <f>IFERROR(__xludf.DUMMYFUNCTION("""COMPUTED_VALUE"""),"Model X 75D")</f>
        <v>Model X 75D</v>
      </c>
      <c r="G75" s="258" t="str">
        <f>IFERROR(__xludf.DUMMYFUNCTION("""COMPUTED_VALUE"""),"A few times a year")</f>
        <v>A few times a year</v>
      </c>
      <c r="H75" s="258" t="str">
        <f>IFERROR(__xludf.DUMMYFUNCTION("""COMPUTED_VALUE"""),"Once or twice a year")</f>
        <v>Once or twice a year</v>
      </c>
      <c r="I75" s="258" t="str">
        <f>IFERROR(__xludf.DUMMYFUNCTION("""COMPUTED_VALUE"""),"Never")</f>
        <v>Never</v>
      </c>
      <c r="J75" s="260">
        <f>IFERROR(__xludf.DUMMYFUNCTION("""COMPUTED_VALUE"""),0.9)</f>
        <v>0.9</v>
      </c>
      <c r="K75" s="258">
        <f>IFERROR(__xludf.DUMMYFUNCTION("""COMPUTED_VALUE"""),237.0)</f>
        <v>237</v>
      </c>
      <c r="L75" s="258">
        <f>IFERROR(__xludf.DUMMYFUNCTION("""COMPUTED_VALUE"""),301.0)</f>
        <v>301</v>
      </c>
      <c r="M75" s="261">
        <f>IFERROR(__xludf.DUMMYFUNCTION("""COMPUTED_VALUE"""),318.0)</f>
        <v>318</v>
      </c>
      <c r="N75" s="262" t="str">
        <f>IFERROR(__xludf.DUMMYFUNCTION("""COMPUTED_VALUE"""),"")</f>
        <v/>
      </c>
      <c r="O75" s="259" t="str">
        <f>IFERROR(__xludf.DUMMYFUNCTION("""COMPUTED_VALUE"""),"")</f>
        <v/>
      </c>
      <c r="P75" s="259">
        <f>IFERROR(__xludf.DUMMYFUNCTION("""COMPUTED_VALUE"""),43589.0)</f>
        <v>43589</v>
      </c>
      <c r="Q75" s="258">
        <f>IFERROR(__xludf.DUMMYFUNCTION("""COMPUTED_VALUE"""),2300.0)</f>
        <v>2300</v>
      </c>
      <c r="R75" s="261">
        <f>IFERROR(__xludf.DUMMYFUNCTION("""COMPUTED_VALUE"""),227.0)</f>
        <v>227</v>
      </c>
      <c r="S75" s="258">
        <v>234.0</v>
      </c>
      <c r="T75" s="263">
        <v>0.9700854700854701</v>
      </c>
      <c r="U75" s="264">
        <v>2300.0</v>
      </c>
      <c r="V75" s="265">
        <v>3701.0</v>
      </c>
      <c r="W75" s="264">
        <v>2300.0</v>
      </c>
      <c r="X75" s="266" t="str">
        <f>IFERROR(__xludf.DUMMYFUNCTION("""COMPUTED_VALUE"""),"Canta")</f>
        <v>Canta</v>
      </c>
      <c r="Y75" s="267">
        <v>-0.01</v>
      </c>
      <c r="Z75" s="267">
        <v>0.9932531175226579</v>
      </c>
      <c r="AA75" s="269"/>
      <c r="AB75" s="270"/>
      <c r="AC75" s="270"/>
      <c r="AD75" s="270"/>
      <c r="AE75" s="270"/>
    </row>
    <row r="76">
      <c r="A76" s="256">
        <f>IFERROR(__xludf.DUMMYFUNCTION("""COMPUTED_VALUE"""),42581.367361111115)</f>
        <v>42581.36736</v>
      </c>
      <c r="B76" s="257" t="str">
        <f>IFERROR(__xludf.DUMMYFUNCTION("""COMPUTED_VALUE"""),"Baselland")</f>
        <v>Baselland</v>
      </c>
      <c r="C76" s="258" t="str">
        <f>IFERROR(__xludf.DUMMYFUNCTION("""COMPUTED_VALUE"""),"Europe (excluding UK) &amp; Asia Pacific")</f>
        <v>Europe (excluding UK) &amp; Asia Pacific</v>
      </c>
      <c r="D76" s="258" t="str">
        <f>IFERROR(__xludf.DUMMYFUNCTION("""COMPUTED_VALUE"""),"km. My car displays range in kilometres and I will enter all range numbers in kilometres.")</f>
        <v>km. My car displays range in kilometres and I will enter all range numbers in kilometres.</v>
      </c>
      <c r="E76" s="259">
        <f>IFERROR(__xludf.DUMMYFUNCTION("""COMPUTED_VALUE"""),42473.0)</f>
        <v>42473</v>
      </c>
      <c r="F76" s="258" t="str">
        <f>IFERROR(__xludf.DUMMYFUNCTION("""COMPUTED_VALUE"""),"Model S P90D")</f>
        <v>Model S P90D</v>
      </c>
      <c r="G76" s="258" t="str">
        <f>IFERROR(__xludf.DUMMYFUNCTION("""COMPUTED_VALUE"""),"Monthly")</f>
        <v>Monthly</v>
      </c>
      <c r="H76" s="258" t="str">
        <f>IFERROR(__xludf.DUMMYFUNCTION("""COMPUTED_VALUE"""),"Twice a month")</f>
        <v>Twice a month</v>
      </c>
      <c r="I76" s="258" t="str">
        <f>IFERROR(__xludf.DUMMYFUNCTION("""COMPUTED_VALUE"""),"A few times a year")</f>
        <v>A few times a year</v>
      </c>
      <c r="J76" s="260">
        <f>IFERROR(__xludf.DUMMYFUNCTION("""COMPUTED_VALUE"""),0.7)</f>
        <v>0.7</v>
      </c>
      <c r="K76" s="258">
        <f>IFERROR(__xludf.DUMMYFUNCTION("""COMPUTED_VALUE"""),412.0)</f>
        <v>412</v>
      </c>
      <c r="L76" s="258" t="str">
        <f>IFERROR(__xludf.DUMMYFUNCTION("""COMPUTED_VALUE"""),"")</f>
        <v/>
      </c>
      <c r="M76" s="261">
        <f>IFERROR(__xludf.DUMMYFUNCTION("""COMPUTED_VALUE"""),244.0)</f>
        <v>244</v>
      </c>
      <c r="N76" s="262" t="str">
        <f>IFERROR(__xludf.DUMMYFUNCTION("""COMPUTED_VALUE"""),"")</f>
        <v/>
      </c>
      <c r="O76" s="259" t="str">
        <f>IFERROR(__xludf.DUMMYFUNCTION("""COMPUTED_VALUE"""),"")</f>
        <v/>
      </c>
      <c r="P76" s="259">
        <f>IFERROR(__xludf.DUMMYFUNCTION("""COMPUTED_VALUE"""),42581.0)</f>
        <v>42581</v>
      </c>
      <c r="Q76" s="258">
        <f>IFERROR(__xludf.DUMMYFUNCTION("""COMPUTED_VALUE"""),1330.0)</f>
        <v>1330</v>
      </c>
      <c r="R76" s="261">
        <f>IFERROR(__xludf.DUMMYFUNCTION("""COMPUTED_VALUE"""),412.0)</f>
        <v>412</v>
      </c>
      <c r="S76" s="258">
        <v>412.0</v>
      </c>
      <c r="T76" s="263">
        <v>1.0</v>
      </c>
      <c r="U76" s="264">
        <v>826.0</v>
      </c>
      <c r="V76" s="265">
        <v>1330.0</v>
      </c>
      <c r="W76" s="264">
        <v>826.0</v>
      </c>
      <c r="X76" s="266" t="str">
        <f>IFERROR(__xludf.DUMMYFUNCTION("""COMPUTED_VALUE"""),"CarlL")</f>
        <v>CarlL</v>
      </c>
      <c r="Y76" s="267">
        <v>-0.01</v>
      </c>
      <c r="Z76" s="267">
        <v>0.9974281144120762</v>
      </c>
      <c r="AA76" s="269"/>
      <c r="AB76" s="270"/>
      <c r="AC76" s="270"/>
      <c r="AD76" s="270"/>
      <c r="AE76" s="270"/>
    </row>
    <row r="77">
      <c r="A77" s="256">
        <f>IFERROR(__xludf.DUMMYFUNCTION("""COMPUTED_VALUE"""),42722.475694444445)</f>
        <v>42722.47569</v>
      </c>
      <c r="B77" s="257" t="str">
        <f>IFERROR(__xludf.DUMMYFUNCTION("""COMPUTED_VALUE"""),"Baselland")</f>
        <v>Baselland</v>
      </c>
      <c r="C77" s="258" t="str">
        <f>IFERROR(__xludf.DUMMYFUNCTION("""COMPUTED_VALUE"""),"Europe (excluding UK) &amp; Asia Pacific")</f>
        <v>Europe (excluding UK) &amp; Asia Pacific</v>
      </c>
      <c r="D77" s="258" t="str">
        <f>IFERROR(__xludf.DUMMYFUNCTION("""COMPUTED_VALUE"""),"km. My car displays range in kilometres and I will enter all range numbers in kilometres.")</f>
        <v>km. My car displays range in kilometres and I will enter all range numbers in kilometres.</v>
      </c>
      <c r="E77" s="259">
        <f>IFERROR(__xludf.DUMMYFUNCTION("""COMPUTED_VALUE"""),42473.0)</f>
        <v>42473</v>
      </c>
      <c r="F77" s="258" t="str">
        <f>IFERROR(__xludf.DUMMYFUNCTION("""COMPUTED_VALUE"""),"Model S P90D")</f>
        <v>Model S P90D</v>
      </c>
      <c r="G77" s="258" t="str">
        <f>IFERROR(__xludf.DUMMYFUNCTION("""COMPUTED_VALUE"""),"A few times a year")</f>
        <v>A few times a year</v>
      </c>
      <c r="H77" s="258" t="str">
        <f>IFERROR(__xludf.DUMMYFUNCTION("""COMPUTED_VALUE"""),"A few times a year")</f>
        <v>A few times a year</v>
      </c>
      <c r="I77" s="258" t="str">
        <f>IFERROR(__xludf.DUMMYFUNCTION("""COMPUTED_VALUE"""),"A few times a year")</f>
        <v>A few times a year</v>
      </c>
      <c r="J77" s="260">
        <f>IFERROR(__xludf.DUMMYFUNCTION("""COMPUTED_VALUE"""),0.8)</f>
        <v>0.8</v>
      </c>
      <c r="K77" s="258">
        <f>IFERROR(__xludf.DUMMYFUNCTION("""COMPUTED_VALUE"""),412.0)</f>
        <v>412</v>
      </c>
      <c r="L77" s="258" t="str">
        <f>IFERROR(__xludf.DUMMYFUNCTION("""COMPUTED_VALUE"""),"")</f>
        <v/>
      </c>
      <c r="M77" s="261">
        <f>IFERROR(__xludf.DUMMYFUNCTION("""COMPUTED_VALUE"""),235.0)</f>
        <v>235</v>
      </c>
      <c r="N77" s="262" t="str">
        <f>IFERROR(__xludf.DUMMYFUNCTION("""COMPUTED_VALUE"""),"")</f>
        <v/>
      </c>
      <c r="O77" s="259" t="str">
        <f>IFERROR(__xludf.DUMMYFUNCTION("""COMPUTED_VALUE"""),"")</f>
        <v/>
      </c>
      <c r="P77" s="259">
        <f>IFERROR(__xludf.DUMMYFUNCTION("""COMPUTED_VALUE"""),42722.0)</f>
        <v>42722</v>
      </c>
      <c r="Q77" s="258">
        <f>IFERROR(__xludf.DUMMYFUNCTION("""COMPUTED_VALUE"""),10001.0)</f>
        <v>10001</v>
      </c>
      <c r="R77" s="261">
        <f>IFERROR(__xludf.DUMMYFUNCTION("""COMPUTED_VALUE"""),402.0)</f>
        <v>402</v>
      </c>
      <c r="S77" s="258">
        <v>412.0</v>
      </c>
      <c r="T77" s="263">
        <v>0.9757281553398058</v>
      </c>
      <c r="U77" s="264">
        <v>6214.0</v>
      </c>
      <c r="V77" s="265">
        <v>10001.0</v>
      </c>
      <c r="W77" s="264">
        <v>6214.0</v>
      </c>
      <c r="X77" s="266" t="str">
        <f>IFERROR(__xludf.DUMMYFUNCTION("""COMPUTED_VALUE"""),"CarlosW")</f>
        <v>CarlosW</v>
      </c>
      <c r="Y77" s="267">
        <v>-0.01</v>
      </c>
      <c r="Z77" s="267">
        <v>0.9842716291462666</v>
      </c>
      <c r="AA77" s="269"/>
      <c r="AB77" s="270"/>
      <c r="AC77" s="270"/>
      <c r="AD77" s="270"/>
      <c r="AE77" s="270"/>
    </row>
    <row r="78">
      <c r="A78" s="256">
        <f>IFERROR(__xludf.DUMMYFUNCTION("""COMPUTED_VALUE"""),42938.56180555555)</f>
        <v>42938.56181</v>
      </c>
      <c r="B78" s="257" t="str">
        <f>IFERROR(__xludf.DUMMYFUNCTION("""COMPUTED_VALUE"""),"Baselland")</f>
        <v>Baselland</v>
      </c>
      <c r="C78" s="258" t="str">
        <f>IFERROR(__xludf.DUMMYFUNCTION("""COMPUTED_VALUE"""),"Europe (excluding UK) &amp; Asia Pacific")</f>
        <v>Europe (excluding UK) &amp; Asia Pacific</v>
      </c>
      <c r="D78" s="258" t="str">
        <f>IFERROR(__xludf.DUMMYFUNCTION("""COMPUTED_VALUE"""),"km. My car displays range in kilometres and I will enter all range numbers in kilometres.")</f>
        <v>km. My car displays range in kilometres and I will enter all range numbers in kilometres.</v>
      </c>
      <c r="E78" s="259">
        <f>IFERROR(__xludf.DUMMYFUNCTION("""COMPUTED_VALUE"""),42473.0)</f>
        <v>42473</v>
      </c>
      <c r="F78" s="258" t="str">
        <f>IFERROR(__xludf.DUMMYFUNCTION("""COMPUTED_VALUE"""),"Model S P90D")</f>
        <v>Model S P90D</v>
      </c>
      <c r="G78" s="258" t="str">
        <f>IFERROR(__xludf.DUMMYFUNCTION("""COMPUTED_VALUE"""),"A few times a year")</f>
        <v>A few times a year</v>
      </c>
      <c r="H78" s="258" t="str">
        <f>IFERROR(__xludf.DUMMYFUNCTION("""COMPUTED_VALUE"""),"A few times a year")</f>
        <v>A few times a year</v>
      </c>
      <c r="I78" s="258" t="str">
        <f>IFERROR(__xludf.DUMMYFUNCTION("""COMPUTED_VALUE"""),"Once or twice a year")</f>
        <v>Once or twice a year</v>
      </c>
      <c r="J78" s="260">
        <f>IFERROR(__xludf.DUMMYFUNCTION("""COMPUTED_VALUE"""),0.8)</f>
        <v>0.8</v>
      </c>
      <c r="K78" s="258">
        <f>IFERROR(__xludf.DUMMYFUNCTION("""COMPUTED_VALUE"""),412.0)</f>
        <v>412</v>
      </c>
      <c r="L78" s="258" t="str">
        <f>IFERROR(__xludf.DUMMYFUNCTION("""COMPUTED_VALUE"""),"")</f>
        <v/>
      </c>
      <c r="M78" s="261">
        <f>IFERROR(__xludf.DUMMYFUNCTION("""COMPUTED_VALUE"""),230.0)</f>
        <v>230</v>
      </c>
      <c r="N78" s="262" t="str">
        <f>IFERROR(__xludf.DUMMYFUNCTION("""COMPUTED_VALUE"""),"")</f>
        <v/>
      </c>
      <c r="O78" s="259" t="str">
        <f>IFERROR(__xludf.DUMMYFUNCTION("""COMPUTED_VALUE"""),"")</f>
        <v/>
      </c>
      <c r="P78" s="259">
        <f>IFERROR(__xludf.DUMMYFUNCTION("""COMPUTED_VALUE"""),42938.0)</f>
        <v>42938</v>
      </c>
      <c r="Q78" s="258">
        <f>IFERROR(__xludf.DUMMYFUNCTION("""COMPUTED_VALUE"""),19700.0)</f>
        <v>19700</v>
      </c>
      <c r="R78" s="261">
        <f>IFERROR(__xludf.DUMMYFUNCTION("""COMPUTED_VALUE"""),400.0)</f>
        <v>400</v>
      </c>
      <c r="S78" s="258">
        <v>412.0</v>
      </c>
      <c r="T78" s="263">
        <v>0.970873786407767</v>
      </c>
      <c r="U78" s="264">
        <v>12241.0</v>
      </c>
      <c r="V78" s="265">
        <v>19700.0</v>
      </c>
      <c r="W78" s="264">
        <v>12241.0</v>
      </c>
      <c r="X78" s="266" t="str">
        <f>IFERROR(__xludf.DUMMYFUNCTION("""COMPUTED_VALUE"""),"Carmen")</f>
        <v>Carmen</v>
      </c>
      <c r="Y78" s="267">
        <v>-0.01</v>
      </c>
      <c r="Z78" s="267">
        <v>0.9746992679141214</v>
      </c>
      <c r="AA78" s="269"/>
      <c r="AB78" s="270"/>
      <c r="AC78" s="270"/>
      <c r="AD78" s="270"/>
      <c r="AE78" s="270"/>
    </row>
    <row r="79">
      <c r="A79" s="256">
        <f>IFERROR(__xludf.DUMMYFUNCTION("""COMPUTED_VALUE"""),43708.3543944676)</f>
        <v>43708.35439</v>
      </c>
      <c r="B79" s="257" t="str">
        <f>IFERROR(__xludf.DUMMYFUNCTION("""COMPUTED_VALUE"""),"Baselland")</f>
        <v>Baselland</v>
      </c>
      <c r="C79" s="258" t="str">
        <f>IFERROR(__xludf.DUMMYFUNCTION("""COMPUTED_VALUE"""),"Europe (excluding UK) &amp; Asia Pacific")</f>
        <v>Europe (excluding UK) &amp; Asia Pacific</v>
      </c>
      <c r="D79" s="258" t="str">
        <f>IFERROR(__xludf.DUMMYFUNCTION("""COMPUTED_VALUE"""),"km. My car displays range in kilometres and I will enter all range numbers in kilometres.")</f>
        <v>km. My car displays range in kilometres and I will enter all range numbers in kilometres.</v>
      </c>
      <c r="E79" s="259">
        <f>IFERROR(__xludf.DUMMYFUNCTION("""COMPUTED_VALUE"""),42475.0)</f>
        <v>42475</v>
      </c>
      <c r="F79" s="258" t="str">
        <f>IFERROR(__xludf.DUMMYFUNCTION("""COMPUTED_VALUE"""),"Model S P90D")</f>
        <v>Model S P90D</v>
      </c>
      <c r="G79" s="258" t="str">
        <f>IFERROR(__xludf.DUMMYFUNCTION("""COMPUTED_VALUE"""),"A few times a year")</f>
        <v>A few times a year</v>
      </c>
      <c r="H79" s="258" t="str">
        <f>IFERROR(__xludf.DUMMYFUNCTION("""COMPUTED_VALUE"""),"A few times a year")</f>
        <v>A few times a year</v>
      </c>
      <c r="I79" s="258" t="str">
        <f>IFERROR(__xludf.DUMMYFUNCTION("""COMPUTED_VALUE"""),"Once or twice a year")</f>
        <v>Once or twice a year</v>
      </c>
      <c r="J79" s="260">
        <f>IFERROR(__xludf.DUMMYFUNCTION("""COMPUTED_VALUE"""),0.7)</f>
        <v>0.7</v>
      </c>
      <c r="K79" s="258">
        <f>IFERROR(__xludf.DUMMYFUNCTION("""COMPUTED_VALUE"""),412.0)</f>
        <v>412</v>
      </c>
      <c r="L79" s="258" t="str">
        <f>IFERROR(__xludf.DUMMYFUNCTION("""COMPUTED_VALUE"""),"")</f>
        <v/>
      </c>
      <c r="M79" s="261">
        <f>IFERROR(__xludf.DUMMYFUNCTION("""COMPUTED_VALUE"""),232.0)</f>
        <v>232</v>
      </c>
      <c r="N79" s="262" t="str">
        <f>IFERROR(__xludf.DUMMYFUNCTION("""COMPUTED_VALUE"""),"")</f>
        <v/>
      </c>
      <c r="O79" s="259" t="str">
        <f>IFERROR(__xludf.DUMMYFUNCTION("""COMPUTED_VALUE"""),"")</f>
        <v/>
      </c>
      <c r="P79" s="259">
        <f>IFERROR(__xludf.DUMMYFUNCTION("""COMPUTED_VALUE"""),43707.0)</f>
        <v>43707</v>
      </c>
      <c r="Q79" s="258">
        <f>IFERROR(__xludf.DUMMYFUNCTION("""COMPUTED_VALUE"""),59800.0)</f>
        <v>59800</v>
      </c>
      <c r="R79" s="261">
        <f>IFERROR(__xludf.DUMMYFUNCTION("""COMPUTED_VALUE"""),388.0)</f>
        <v>388</v>
      </c>
      <c r="S79" s="258">
        <v>412.0</v>
      </c>
      <c r="T79" s="263">
        <v>0.941747572815534</v>
      </c>
      <c r="U79" s="264">
        <v>37158.0</v>
      </c>
      <c r="V79" s="265">
        <v>59800.0</v>
      </c>
      <c r="W79" s="264">
        <v>37158.0</v>
      </c>
      <c r="X79" s="266" t="str">
        <f>IFERROR(__xludf.DUMMYFUNCTION("""COMPUTED_VALUE"""),"caspakomiker")</f>
        <v>caspakomiker</v>
      </c>
      <c r="Y79" s="267">
        <v>-0.01</v>
      </c>
      <c r="Z79" s="267">
        <v>0.9567076562951368</v>
      </c>
      <c r="AA79" s="269"/>
      <c r="AB79" s="270"/>
      <c r="AC79" s="270"/>
      <c r="AD79" s="270"/>
      <c r="AE79" s="270"/>
    </row>
    <row r="80">
      <c r="A80" s="256">
        <f>IFERROR(__xludf.DUMMYFUNCTION("""COMPUTED_VALUE"""),42940.5625)</f>
        <v>42940.5625</v>
      </c>
      <c r="B80" s="257" t="str">
        <f>IFERROR(__xludf.DUMMYFUNCTION("""COMPUTED_VALUE"""),"BaselLandShrooms")</f>
        <v>BaselLandShrooms</v>
      </c>
      <c r="C80" s="258" t="str">
        <f>IFERROR(__xludf.DUMMYFUNCTION("""COMPUTED_VALUE"""),"Europe (excluding UK) &amp; Asia Pacific")</f>
        <v>Europe (excluding UK) &amp; Asia Pacific</v>
      </c>
      <c r="D80" s="258" t="str">
        <f>IFERROR(__xludf.DUMMYFUNCTION("""COMPUTED_VALUE"""),"km. My car displays range in kilometres and I will enter all range numbers in kilometres.")</f>
        <v>km. My car displays range in kilometres and I will enter all range numbers in kilometres.</v>
      </c>
      <c r="E80" s="259">
        <f>IFERROR(__xludf.DUMMYFUNCTION("""COMPUTED_VALUE"""),41969.0)</f>
        <v>41969</v>
      </c>
      <c r="F80" s="258" t="str">
        <f>IFERROR(__xludf.DUMMYFUNCTION("""COMPUTED_VALUE"""),"Model S 85")</f>
        <v>Model S 85</v>
      </c>
      <c r="G80" s="258" t="str">
        <f>IFERROR(__xludf.DUMMYFUNCTION("""COMPUTED_VALUE"""),"Twice a month")</f>
        <v>Twice a month</v>
      </c>
      <c r="H80" s="258" t="str">
        <f>IFERROR(__xludf.DUMMYFUNCTION("""COMPUTED_VALUE"""),"Never")</f>
        <v>Never</v>
      </c>
      <c r="I80" s="258" t="str">
        <f>IFERROR(__xludf.DUMMYFUNCTION("""COMPUTED_VALUE"""),"Never")</f>
        <v>Never</v>
      </c>
      <c r="J80" s="260">
        <f>IFERROR(__xludf.DUMMYFUNCTION("""COMPUTED_VALUE"""),0.8)</f>
        <v>0.8</v>
      </c>
      <c r="K80" s="258" t="str">
        <f>IFERROR(__xludf.DUMMYFUNCTION("""COMPUTED_VALUE"""),"")</f>
        <v/>
      </c>
      <c r="L80" s="258" t="str">
        <f>IFERROR(__xludf.DUMMYFUNCTION("""COMPUTED_VALUE"""),"")</f>
        <v/>
      </c>
      <c r="M80" s="261">
        <f>IFERROR(__xludf.DUMMYFUNCTION("""COMPUTED_VALUE"""),221.0)</f>
        <v>221</v>
      </c>
      <c r="N80" s="262" t="str">
        <f>IFERROR(__xludf.DUMMYFUNCTION("""COMPUTED_VALUE"""),"")</f>
        <v/>
      </c>
      <c r="O80" s="259" t="str">
        <f>IFERROR(__xludf.DUMMYFUNCTION("""COMPUTED_VALUE"""),"")</f>
        <v/>
      </c>
      <c r="P80" s="259">
        <f>IFERROR(__xludf.DUMMYFUNCTION("""COMPUTED_VALUE"""),42940.0)</f>
        <v>42940</v>
      </c>
      <c r="Q80" s="258">
        <f>IFERROR(__xludf.DUMMYFUNCTION("""COMPUTED_VALUE"""),44471.0)</f>
        <v>44471</v>
      </c>
      <c r="R80" s="261">
        <f>IFERROR(__xludf.DUMMYFUNCTION("""COMPUTED_VALUE"""),385.0)</f>
        <v>385</v>
      </c>
      <c r="S80" s="258">
        <v>395.0</v>
      </c>
      <c r="T80" s="263">
        <v>0.9746835443037974</v>
      </c>
      <c r="U80" s="264">
        <v>27633.0</v>
      </c>
      <c r="V80" s="265">
        <v>44471.0</v>
      </c>
      <c r="W80" s="264">
        <v>27633.0</v>
      </c>
      <c r="X80" s="266" t="str">
        <f>IFERROR(__xludf.DUMMYFUNCTION("""COMPUTED_VALUE"""),"Cato76")</f>
        <v>Cato76</v>
      </c>
      <c r="Y80" s="267">
        <v>-0.01</v>
      </c>
      <c r="Z80" s="267">
        <v>0.9615962870124452</v>
      </c>
      <c r="AA80" s="269"/>
      <c r="AB80" s="270"/>
      <c r="AC80" s="270"/>
      <c r="AD80" s="270"/>
      <c r="AE80" s="270"/>
    </row>
    <row r="81">
      <c r="A81" s="256">
        <f>IFERROR(__xludf.DUMMYFUNCTION("""COMPUTED_VALUE"""),41906.01111111111)</f>
        <v>41906.01111</v>
      </c>
      <c r="B81" s="257" t="str">
        <f>IFERROR(__xludf.DUMMYFUNCTION("""COMPUTED_VALUE"""),"BasvdPoel")</f>
        <v>BasvdPoel</v>
      </c>
      <c r="C81" s="258" t="str">
        <f>IFERROR(__xludf.DUMMYFUNCTION("""COMPUTED_VALUE"""),"Europe (excluding UK) &amp; Asia Pacific")</f>
        <v>Europe (excluding UK) &amp; Asia Pacific</v>
      </c>
      <c r="D81" s="258" t="str">
        <f>IFERROR(__xludf.DUMMYFUNCTION("""COMPUTED_VALUE"""),"km. My car displays range in kilometres and I will enter all range numbers in kilometres.")</f>
        <v>km. My car displays range in kilometres and I will enter all range numbers in kilometres.</v>
      </c>
      <c r="E81" s="259">
        <f>IFERROR(__xludf.DUMMYFUNCTION("""COMPUTED_VALUE"""),41787.0)</f>
        <v>41787</v>
      </c>
      <c r="F81" s="258" t="str">
        <f>IFERROR(__xludf.DUMMYFUNCTION("""COMPUTED_VALUE"""),"Model S 85")</f>
        <v>Model S 85</v>
      </c>
      <c r="G81" s="258" t="str">
        <f>IFERROR(__xludf.DUMMYFUNCTION("""COMPUTED_VALUE"""),"Once or twice a year")</f>
        <v>Once or twice a year</v>
      </c>
      <c r="H81" s="258" t="str">
        <f>IFERROR(__xludf.DUMMYFUNCTION("""COMPUTED_VALUE"""),"Monthly")</f>
        <v>Monthly</v>
      </c>
      <c r="I81" s="258" t="str">
        <f>IFERROR(__xludf.DUMMYFUNCTION("""COMPUTED_VALUE"""),"Once or twice a year")</f>
        <v>Once or twice a year</v>
      </c>
      <c r="J81" s="260" t="str">
        <f>IFERROR(__xludf.DUMMYFUNCTION("""COMPUTED_VALUE"""),"")</f>
        <v/>
      </c>
      <c r="K81" s="258" t="str">
        <f>IFERROR(__xludf.DUMMYFUNCTION("""COMPUTED_VALUE"""),"")</f>
        <v/>
      </c>
      <c r="L81" s="258" t="str">
        <f>IFERROR(__xludf.DUMMYFUNCTION("""COMPUTED_VALUE"""),"")</f>
        <v/>
      </c>
      <c r="M81" s="261">
        <f>IFERROR(__xludf.DUMMYFUNCTION("""COMPUTED_VALUE"""),216.0)</f>
        <v>216</v>
      </c>
      <c r="N81" s="262" t="str">
        <f>IFERROR(__xludf.DUMMYFUNCTION("""COMPUTED_VALUE"""),"")</f>
        <v/>
      </c>
      <c r="O81" s="259" t="str">
        <f>IFERROR(__xludf.DUMMYFUNCTION("""COMPUTED_VALUE"""),"")</f>
        <v/>
      </c>
      <c r="P81" s="259">
        <f>IFERROR(__xludf.DUMMYFUNCTION("""COMPUTED_VALUE"""),41906.0)</f>
        <v>41906</v>
      </c>
      <c r="Q81" s="258">
        <f>IFERROR(__xludf.DUMMYFUNCTION("""COMPUTED_VALUE"""),6053.0)</f>
        <v>6053</v>
      </c>
      <c r="R81" s="261">
        <f>IFERROR(__xludf.DUMMYFUNCTION("""COMPUTED_VALUE"""),392.0)</f>
        <v>392</v>
      </c>
      <c r="S81" s="258">
        <v>395.0</v>
      </c>
      <c r="T81" s="263">
        <v>0.9924050632911392</v>
      </c>
      <c r="U81" s="264">
        <v>3761.0</v>
      </c>
      <c r="V81" s="265">
        <v>6053.0</v>
      </c>
      <c r="W81" s="264">
        <v>3761.0</v>
      </c>
      <c r="X81" s="266" t="str">
        <f>IFERROR(__xludf.DUMMYFUNCTION("""COMPUTED_VALUE"""),"cbretaud")</f>
        <v>cbretaud</v>
      </c>
      <c r="Y81" s="267">
        <v>-0.01</v>
      </c>
      <c r="Z81" s="267">
        <v>0.9895733336749776</v>
      </c>
      <c r="AA81" s="269"/>
      <c r="AB81" s="270"/>
      <c r="AC81" s="270"/>
      <c r="AD81" s="270"/>
      <c r="AE81" s="270"/>
    </row>
    <row r="82">
      <c r="A82" s="256">
        <f>IFERROR(__xludf.DUMMYFUNCTION("""COMPUTED_VALUE"""),42010.04861111111)</f>
        <v>42010.04861</v>
      </c>
      <c r="B82" s="257" t="str">
        <f>IFERROR(__xludf.DUMMYFUNCTION("""COMPUTED_VALUE"""),"BasvdPoel")</f>
        <v>BasvdPoel</v>
      </c>
      <c r="C82" s="258" t="str">
        <f>IFERROR(__xludf.DUMMYFUNCTION("""COMPUTED_VALUE"""),"Europe (excluding UK) &amp; Asia Pacific")</f>
        <v>Europe (excluding UK) &amp; Asia Pacific</v>
      </c>
      <c r="D82" s="258" t="str">
        <f>IFERROR(__xludf.DUMMYFUNCTION("""COMPUTED_VALUE"""),"km. My car displays range in kilometres and I will enter all range numbers in kilometres.")</f>
        <v>km. My car displays range in kilometres and I will enter all range numbers in kilometres.</v>
      </c>
      <c r="E82" s="259">
        <f>IFERROR(__xludf.DUMMYFUNCTION("""COMPUTED_VALUE"""),41787.0)</f>
        <v>41787</v>
      </c>
      <c r="F82" s="258" t="str">
        <f>IFERROR(__xludf.DUMMYFUNCTION("""COMPUTED_VALUE"""),"Model S 85")</f>
        <v>Model S 85</v>
      </c>
      <c r="G82" s="258" t="str">
        <f>IFERROR(__xludf.DUMMYFUNCTION("""COMPUTED_VALUE"""),"Once or twice a year")</f>
        <v>Once or twice a year</v>
      </c>
      <c r="H82" s="258" t="str">
        <f>IFERROR(__xludf.DUMMYFUNCTION("""COMPUTED_VALUE"""),"A few times a year")</f>
        <v>A few times a year</v>
      </c>
      <c r="I82" s="258" t="str">
        <f>IFERROR(__xludf.DUMMYFUNCTION("""COMPUTED_VALUE"""),"Once or twice a year")</f>
        <v>Once or twice a year</v>
      </c>
      <c r="J82" s="260" t="str">
        <f>IFERROR(__xludf.DUMMYFUNCTION("""COMPUTED_VALUE"""),"")</f>
        <v/>
      </c>
      <c r="K82" s="258" t="str">
        <f>IFERROR(__xludf.DUMMYFUNCTION("""COMPUTED_VALUE"""),"")</f>
        <v/>
      </c>
      <c r="L82" s="258" t="str">
        <f>IFERROR(__xludf.DUMMYFUNCTION("""COMPUTED_VALUE"""),"")</f>
        <v/>
      </c>
      <c r="M82" s="261">
        <f>IFERROR(__xludf.DUMMYFUNCTION("""COMPUTED_VALUE"""),226.0)</f>
        <v>226</v>
      </c>
      <c r="N82" s="262" t="str">
        <f>IFERROR(__xludf.DUMMYFUNCTION("""COMPUTED_VALUE"""),"")</f>
        <v/>
      </c>
      <c r="O82" s="259" t="str">
        <f>IFERROR(__xludf.DUMMYFUNCTION("""COMPUTED_VALUE"""),"")</f>
        <v/>
      </c>
      <c r="P82" s="259">
        <f>IFERROR(__xludf.DUMMYFUNCTION("""COMPUTED_VALUE"""),42010.0)</f>
        <v>42010</v>
      </c>
      <c r="Q82" s="258">
        <f>IFERROR(__xludf.DUMMYFUNCTION("""COMPUTED_VALUE"""),10000.0)</f>
        <v>10000</v>
      </c>
      <c r="R82" s="261">
        <f>IFERROR(__xludf.DUMMYFUNCTION("""COMPUTED_VALUE"""),391.0)</f>
        <v>391</v>
      </c>
      <c r="S82" s="258">
        <v>395.0</v>
      </c>
      <c r="T82" s="263">
        <v>0.9898734177215189</v>
      </c>
      <c r="U82" s="264">
        <v>6214.0</v>
      </c>
      <c r="V82" s="265">
        <v>10000.0</v>
      </c>
      <c r="W82" s="264">
        <v>6214.0</v>
      </c>
      <c r="X82" s="266" t="str">
        <f>IFERROR(__xludf.DUMMYFUNCTION("""COMPUTED_VALUE"""),"cedv17")</f>
        <v>cedv17</v>
      </c>
      <c r="Y82" s="267">
        <v>-0.01</v>
      </c>
      <c r="Z82" s="267">
        <v>0.9842728492891164</v>
      </c>
      <c r="AA82" s="269"/>
      <c r="AB82" s="270"/>
      <c r="AC82" s="270"/>
      <c r="AD82" s="270"/>
      <c r="AE82" s="270"/>
    </row>
    <row r="83">
      <c r="A83" s="256">
        <f>IFERROR(__xludf.DUMMYFUNCTION("""COMPUTED_VALUE"""),42415.28958333333)</f>
        <v>42415.28958</v>
      </c>
      <c r="B83" s="257" t="str">
        <f>IFERROR(__xludf.DUMMYFUNCTION("""COMPUTED_VALUE"""),"BasvdPoel")</f>
        <v>BasvdPoel</v>
      </c>
      <c r="C83" s="258" t="str">
        <f>IFERROR(__xludf.DUMMYFUNCTION("""COMPUTED_VALUE"""),"Europe (excluding UK) &amp; Asia Pacific")</f>
        <v>Europe (excluding UK) &amp; Asia Pacific</v>
      </c>
      <c r="D83" s="258" t="str">
        <f>IFERROR(__xludf.DUMMYFUNCTION("""COMPUTED_VALUE"""),"km. My car displays range in kilometres and I will enter all range numbers in kilometres.")</f>
        <v>km. My car displays range in kilometres and I will enter all range numbers in kilometres.</v>
      </c>
      <c r="E83" s="259">
        <f>IFERROR(__xludf.DUMMYFUNCTION("""COMPUTED_VALUE"""),41787.0)</f>
        <v>41787</v>
      </c>
      <c r="F83" s="258" t="str">
        <f>IFERROR(__xludf.DUMMYFUNCTION("""COMPUTED_VALUE"""),"Model S 85")</f>
        <v>Model S 85</v>
      </c>
      <c r="G83" s="258" t="str">
        <f>IFERROR(__xludf.DUMMYFUNCTION("""COMPUTED_VALUE"""),"A few times a year")</f>
        <v>A few times a year</v>
      </c>
      <c r="H83" s="258" t="str">
        <f>IFERROR(__xludf.DUMMYFUNCTION("""COMPUTED_VALUE"""),"Once or twice a year")</f>
        <v>Once or twice a year</v>
      </c>
      <c r="I83" s="258" t="str">
        <f>IFERROR(__xludf.DUMMYFUNCTION("""COMPUTED_VALUE"""),"Once or twice a year")</f>
        <v>Once or twice a year</v>
      </c>
      <c r="J83" s="260">
        <f>IFERROR(__xludf.DUMMYFUNCTION("""COMPUTED_VALUE"""),0.9)</f>
        <v>0.9</v>
      </c>
      <c r="K83" s="258" t="str">
        <f>IFERROR(__xludf.DUMMYFUNCTION("""COMPUTED_VALUE"""),"")</f>
        <v/>
      </c>
      <c r="L83" s="258" t="str">
        <f>IFERROR(__xludf.DUMMYFUNCTION("""COMPUTED_VALUE"""),"")</f>
        <v/>
      </c>
      <c r="M83" s="261">
        <f>IFERROR(__xludf.DUMMYFUNCTION("""COMPUTED_VALUE"""),229.0)</f>
        <v>229</v>
      </c>
      <c r="N83" s="262" t="str">
        <f>IFERROR(__xludf.DUMMYFUNCTION("""COMPUTED_VALUE"""),"")</f>
        <v/>
      </c>
      <c r="O83" s="259" t="str">
        <f>IFERROR(__xludf.DUMMYFUNCTION("""COMPUTED_VALUE"""),"")</f>
        <v/>
      </c>
      <c r="P83" s="259">
        <f>IFERROR(__xludf.DUMMYFUNCTION("""COMPUTED_VALUE"""),42415.0)</f>
        <v>42415</v>
      </c>
      <c r="Q83" s="258">
        <f>IFERROR(__xludf.DUMMYFUNCTION("""COMPUTED_VALUE"""),34317.0)</f>
        <v>34317</v>
      </c>
      <c r="R83" s="261">
        <f>IFERROR(__xludf.DUMMYFUNCTION("""COMPUTED_VALUE"""),372.0)</f>
        <v>372</v>
      </c>
      <c r="S83" s="258">
        <v>395.0</v>
      </c>
      <c r="T83" s="263">
        <v>0.9417721518987342</v>
      </c>
      <c r="U83" s="264">
        <v>21324.0</v>
      </c>
      <c r="V83" s="265">
        <v>34317.0</v>
      </c>
      <c r="W83" s="264">
        <v>21324.0</v>
      </c>
      <c r="X83" s="266" t="str">
        <f>IFERROR(__xludf.DUMMYFUNCTION("""COMPUTED_VALUE"""),"CF777E")</f>
        <v>CF777E</v>
      </c>
      <c r="Y83" s="267">
        <v>-0.01</v>
      </c>
      <c r="Z83" s="267">
        <v>0.9657839847996467</v>
      </c>
      <c r="AA83" s="269"/>
      <c r="AB83" s="270"/>
      <c r="AC83" s="270"/>
      <c r="AD83" s="270"/>
      <c r="AE83" s="270"/>
    </row>
    <row r="84">
      <c r="A84" s="256">
        <f>IFERROR(__xludf.DUMMYFUNCTION("""COMPUTED_VALUE"""),42415.34861111111)</f>
        <v>42415.34861</v>
      </c>
      <c r="B84" s="257" t="str">
        <f>IFERROR(__xludf.DUMMYFUNCTION("""COMPUTED_VALUE"""),"BasvdPoel")</f>
        <v>BasvdPoel</v>
      </c>
      <c r="C84" s="258" t="str">
        <f>IFERROR(__xludf.DUMMYFUNCTION("""COMPUTED_VALUE"""),"Europe (excluding UK) &amp; Asia Pacific")</f>
        <v>Europe (excluding UK) &amp; Asia Pacific</v>
      </c>
      <c r="D84" s="258" t="str">
        <f>IFERROR(__xludf.DUMMYFUNCTION("""COMPUTED_VALUE"""),"km. My car displays range in kilometres and I will enter all range numbers in kilometres.")</f>
        <v>km. My car displays range in kilometres and I will enter all range numbers in kilometres.</v>
      </c>
      <c r="E84" s="259">
        <f>IFERROR(__xludf.DUMMYFUNCTION("""COMPUTED_VALUE"""),41787.0)</f>
        <v>41787</v>
      </c>
      <c r="F84" s="258" t="str">
        <f>IFERROR(__xludf.DUMMYFUNCTION("""COMPUTED_VALUE"""),"Model S 85")</f>
        <v>Model S 85</v>
      </c>
      <c r="G84" s="258" t="str">
        <f>IFERROR(__xludf.DUMMYFUNCTION("""COMPUTED_VALUE"""),"A few times a year")</f>
        <v>A few times a year</v>
      </c>
      <c r="H84" s="258" t="str">
        <f>IFERROR(__xludf.DUMMYFUNCTION("""COMPUTED_VALUE"""),"A few times a year")</f>
        <v>A few times a year</v>
      </c>
      <c r="I84" s="258" t="str">
        <f>IFERROR(__xludf.DUMMYFUNCTION("""COMPUTED_VALUE"""),"A few times a year")</f>
        <v>A few times a year</v>
      </c>
      <c r="J84" s="260">
        <f>IFERROR(__xludf.DUMMYFUNCTION("""COMPUTED_VALUE"""),0.9)</f>
        <v>0.9</v>
      </c>
      <c r="K84" s="258" t="str">
        <f>IFERROR(__xludf.DUMMYFUNCTION("""COMPUTED_VALUE"""),"")</f>
        <v/>
      </c>
      <c r="L84" s="258" t="str">
        <f>IFERROR(__xludf.DUMMYFUNCTION("""COMPUTED_VALUE"""),"")</f>
        <v/>
      </c>
      <c r="M84" s="261">
        <f>IFERROR(__xludf.DUMMYFUNCTION("""COMPUTED_VALUE"""),224.0)</f>
        <v>224</v>
      </c>
      <c r="N84" s="262" t="str">
        <f>IFERROR(__xludf.DUMMYFUNCTION("""COMPUTED_VALUE"""),"")</f>
        <v/>
      </c>
      <c r="O84" s="259" t="str">
        <f>IFERROR(__xludf.DUMMYFUNCTION("""COMPUTED_VALUE"""),"")</f>
        <v/>
      </c>
      <c r="P84" s="259">
        <f>IFERROR(__xludf.DUMMYFUNCTION("""COMPUTED_VALUE"""),42415.0)</f>
        <v>42415</v>
      </c>
      <c r="Q84" s="258">
        <f>IFERROR(__xludf.DUMMYFUNCTION("""COMPUTED_VALUE"""),40005.0)</f>
        <v>40005</v>
      </c>
      <c r="R84" s="261">
        <f>IFERROR(__xludf.DUMMYFUNCTION("""COMPUTED_VALUE"""),383.0)</f>
        <v>383</v>
      </c>
      <c r="S84" s="258">
        <v>395.0</v>
      </c>
      <c r="T84" s="263">
        <v>0.9696202531645569</v>
      </c>
      <c r="U84" s="264">
        <v>24858.0</v>
      </c>
      <c r="V84" s="265">
        <v>40005.0</v>
      </c>
      <c r="W84" s="264">
        <v>24858.0</v>
      </c>
      <c r="X84" s="266" t="str">
        <f>IFERROR(__xludf.DUMMYFUNCTION("""COMPUTED_VALUE"""),"cges")</f>
        <v>cges</v>
      </c>
      <c r="Y84" s="267">
        <v>-0.01</v>
      </c>
      <c r="Z84" s="267">
        <v>0.9633064451065543</v>
      </c>
      <c r="AA84" s="269"/>
      <c r="AB84" s="270"/>
      <c r="AC84" s="270"/>
      <c r="AD84" s="270"/>
      <c r="AE84" s="270"/>
    </row>
    <row r="85">
      <c r="A85" s="256">
        <f>IFERROR(__xludf.DUMMYFUNCTION("""COMPUTED_VALUE"""),42351.90694444445)</f>
        <v>42351.90694</v>
      </c>
      <c r="B85" s="257" t="str">
        <f>IFERROR(__xludf.DUMMYFUNCTION("""COMPUTED_VALUE"""),"Beeeerock")</f>
        <v>Beeeerock</v>
      </c>
      <c r="C85" s="258" t="str">
        <f>IFERROR(__xludf.DUMMYFUNCTION("""COMPUTED_VALUE"""),"Canada")</f>
        <v>Canada</v>
      </c>
      <c r="D85" s="258" t="str">
        <f>IFERROR(__xludf.DUMMYFUNCTION("""COMPUTED_VALUE"""),"km. My car displays range in kilometres and I will enter all range numbers in kilometres.")</f>
        <v>km. My car displays range in kilometres and I will enter all range numbers in kilometres.</v>
      </c>
      <c r="E85" s="259">
        <f>IFERROR(__xludf.DUMMYFUNCTION("""COMPUTED_VALUE"""),42144.0)</f>
        <v>42144</v>
      </c>
      <c r="F85" s="258" t="str">
        <f>IFERROR(__xludf.DUMMYFUNCTION("""COMPUTED_VALUE"""),"Model S 85D")</f>
        <v>Model S 85D</v>
      </c>
      <c r="G85" s="258" t="str">
        <f>IFERROR(__xludf.DUMMYFUNCTION("""COMPUTED_VALUE"""),"Monthly")</f>
        <v>Monthly</v>
      </c>
      <c r="H85" s="258" t="str">
        <f>IFERROR(__xludf.DUMMYFUNCTION("""COMPUTED_VALUE"""),"Monthly")</f>
        <v>Monthly</v>
      </c>
      <c r="I85" s="258" t="str">
        <f>IFERROR(__xludf.DUMMYFUNCTION("""COMPUTED_VALUE"""),"Once or twice a year")</f>
        <v>Once or twice a year</v>
      </c>
      <c r="J85" s="260">
        <f>IFERROR(__xludf.DUMMYFUNCTION("""COMPUTED_VALUE"""),0.9)</f>
        <v>0.9</v>
      </c>
      <c r="K85" s="258">
        <f>IFERROR(__xludf.DUMMYFUNCTION("""COMPUTED_VALUE"""),436.0)</f>
        <v>436</v>
      </c>
      <c r="L85" s="258" t="str">
        <f>IFERROR(__xludf.DUMMYFUNCTION("""COMPUTED_VALUE"""),"")</f>
        <v/>
      </c>
      <c r="M85" s="261">
        <f>IFERROR(__xludf.DUMMYFUNCTION("""COMPUTED_VALUE"""),195.0)</f>
        <v>195</v>
      </c>
      <c r="N85" s="262" t="str">
        <f>IFERROR(__xludf.DUMMYFUNCTION("""COMPUTED_VALUE"""),"")</f>
        <v/>
      </c>
      <c r="O85" s="259" t="str">
        <f>IFERROR(__xludf.DUMMYFUNCTION("""COMPUTED_VALUE"""),"")</f>
        <v/>
      </c>
      <c r="P85" s="259">
        <f>IFERROR(__xludf.DUMMYFUNCTION("""COMPUTED_VALUE"""),42351.0)</f>
        <v>42351</v>
      </c>
      <c r="Q85" s="258">
        <f>IFERROR(__xludf.DUMMYFUNCTION("""COMPUTED_VALUE"""),27000.0)</f>
        <v>27000</v>
      </c>
      <c r="R85" s="261">
        <f>IFERROR(__xludf.DUMMYFUNCTION("""COMPUTED_VALUE"""),430.0)</f>
        <v>430</v>
      </c>
      <c r="S85" s="258">
        <v>435.0</v>
      </c>
      <c r="T85" s="263">
        <v>0.9885057471264368</v>
      </c>
      <c r="U85" s="264">
        <v>16777.0</v>
      </c>
      <c r="V85" s="265">
        <v>27000.0</v>
      </c>
      <c r="W85" s="264">
        <v>16777.0</v>
      </c>
      <c r="X85" s="266" t="str">
        <f>IFERROR(__xludf.DUMMYFUNCTION("""COMPUTED_VALUE"""),"cgladue")</f>
        <v>cgladue</v>
      </c>
      <c r="Y85" s="267">
        <v>-0.01</v>
      </c>
      <c r="Z85" s="267">
        <v>0.9696665000394786</v>
      </c>
      <c r="AA85" s="269"/>
      <c r="AB85" s="270"/>
      <c r="AC85" s="270"/>
      <c r="AD85" s="270"/>
      <c r="AE85" s="270"/>
    </row>
    <row r="86">
      <c r="A86" s="256">
        <f>IFERROR(__xludf.DUMMYFUNCTION("""COMPUTED_VALUE"""),43125.87013888889)</f>
        <v>43125.87014</v>
      </c>
      <c r="B86" s="257" t="str">
        <f>IFERROR(__xludf.DUMMYFUNCTION("""COMPUTED_VALUE"""),"Benjamin Brooks")</f>
        <v>Benjamin Brooks</v>
      </c>
      <c r="C86" s="258" t="str">
        <f>IFERROR(__xludf.DUMMYFUNCTION("""COMPUTED_VALUE"""),"USA")</f>
        <v>USA</v>
      </c>
      <c r="D86" s="258" t="str">
        <f>IFERROR(__xludf.DUMMYFUNCTION("""COMPUTED_VALUE"""),"mi. My car displays range in miles and I will enter all range numbers in miles.")</f>
        <v>mi. My car displays range in miles and I will enter all range numbers in miles.</v>
      </c>
      <c r="E86" s="259">
        <f>IFERROR(__xludf.DUMMYFUNCTION("""COMPUTED_VALUE"""),43100.0)</f>
        <v>43100</v>
      </c>
      <c r="F86" s="258" t="str">
        <f>IFERROR(__xludf.DUMMYFUNCTION("""COMPUTED_VALUE"""),"Model 3 LR")</f>
        <v>Model 3 LR</v>
      </c>
      <c r="G86" s="258" t="str">
        <f>IFERROR(__xludf.DUMMYFUNCTION("""COMPUTED_VALUE"""),"Never")</f>
        <v>Never</v>
      </c>
      <c r="H86" s="258" t="str">
        <f>IFERROR(__xludf.DUMMYFUNCTION("""COMPUTED_VALUE"""),"Never")</f>
        <v>Never</v>
      </c>
      <c r="I86" s="258" t="str">
        <f>IFERROR(__xludf.DUMMYFUNCTION("""COMPUTED_VALUE"""),"Never")</f>
        <v>Never</v>
      </c>
      <c r="J86" s="260">
        <f>IFERROR(__xludf.DUMMYFUNCTION("""COMPUTED_VALUE"""),0.9)</f>
        <v>0.9</v>
      </c>
      <c r="K86" s="258">
        <f>IFERROR(__xludf.DUMMYFUNCTION("""COMPUTED_VALUE"""),312.0)</f>
        <v>312</v>
      </c>
      <c r="L86" s="258" t="str">
        <f>IFERROR(__xludf.DUMMYFUNCTION("""COMPUTED_VALUE"""),"")</f>
        <v/>
      </c>
      <c r="M86" s="261">
        <f>IFERROR(__xludf.DUMMYFUNCTION("""COMPUTED_VALUE"""),230.0)</f>
        <v>230</v>
      </c>
      <c r="N86" s="262" t="str">
        <f>IFERROR(__xludf.DUMMYFUNCTION("""COMPUTED_VALUE"""),"")</f>
        <v/>
      </c>
      <c r="O86" s="259" t="str">
        <f>IFERROR(__xludf.DUMMYFUNCTION("""COMPUTED_VALUE"""),"")</f>
        <v/>
      </c>
      <c r="P86" s="259">
        <f>IFERROR(__xludf.DUMMYFUNCTION("""COMPUTED_VALUE"""),43125.0)</f>
        <v>43125</v>
      </c>
      <c r="Q86" s="258">
        <f>IFERROR(__xludf.DUMMYFUNCTION("""COMPUTED_VALUE"""),120.0)</f>
        <v>120</v>
      </c>
      <c r="R86" s="261">
        <f>IFERROR(__xludf.DUMMYFUNCTION("""COMPUTED_VALUE"""),312.0)</f>
        <v>312</v>
      </c>
      <c r="S86" s="258">
        <v>325.0</v>
      </c>
      <c r="T86" s="263">
        <v>0.96</v>
      </c>
      <c r="U86" s="264">
        <v>120.0</v>
      </c>
      <c r="V86" s="265">
        <v>193.0</v>
      </c>
      <c r="W86" s="264">
        <v>120.0</v>
      </c>
      <c r="X86" s="266" t="str">
        <f>IFERROR(__xludf.DUMMYFUNCTION("""COMPUTED_VALUE"""),"ChadS")</f>
        <v>ChadS</v>
      </c>
      <c r="Y86" s="267">
        <v>-0.01</v>
      </c>
      <c r="Z86" s="267">
        <v>0.9996158235809637</v>
      </c>
      <c r="AA86" s="269"/>
      <c r="AB86" s="270"/>
      <c r="AC86" s="270"/>
      <c r="AD86" s="270"/>
      <c r="AE86" s="270"/>
    </row>
    <row r="87">
      <c r="A87" s="256">
        <f>IFERROR(__xludf.DUMMYFUNCTION("""COMPUTED_VALUE"""),43167.87847222222)</f>
        <v>43167.87847</v>
      </c>
      <c r="B87" s="257" t="str">
        <f>IFERROR(__xludf.DUMMYFUNCTION("""COMPUTED_VALUE"""),"Benjamin Brooks")</f>
        <v>Benjamin Brooks</v>
      </c>
      <c r="C87" s="258" t="str">
        <f>IFERROR(__xludf.DUMMYFUNCTION("""COMPUTED_VALUE"""),"USA")</f>
        <v>USA</v>
      </c>
      <c r="D87" s="258" t="str">
        <f>IFERROR(__xludf.DUMMYFUNCTION("""COMPUTED_VALUE"""),"mi. My car displays range in miles and I will enter all range numbers in miles.")</f>
        <v>mi. My car displays range in miles and I will enter all range numbers in miles.</v>
      </c>
      <c r="E87" s="259">
        <f>IFERROR(__xludf.DUMMYFUNCTION("""COMPUTED_VALUE"""),43100.0)</f>
        <v>43100</v>
      </c>
      <c r="F87" s="258" t="str">
        <f>IFERROR(__xludf.DUMMYFUNCTION("""COMPUTED_VALUE"""),"Model 3 LR")</f>
        <v>Model 3 LR</v>
      </c>
      <c r="G87" s="258" t="str">
        <f>IFERROR(__xludf.DUMMYFUNCTION("""COMPUTED_VALUE"""),"Never")</f>
        <v>Never</v>
      </c>
      <c r="H87" s="258" t="str">
        <f>IFERROR(__xludf.DUMMYFUNCTION("""COMPUTED_VALUE"""),"Never")</f>
        <v>Never</v>
      </c>
      <c r="I87" s="258" t="str">
        <f>IFERROR(__xludf.DUMMYFUNCTION("""COMPUTED_VALUE"""),"Never")</f>
        <v>Never</v>
      </c>
      <c r="J87" s="260">
        <f>IFERROR(__xludf.DUMMYFUNCTION("""COMPUTED_VALUE"""),0.9)</f>
        <v>0.9</v>
      </c>
      <c r="K87" s="258">
        <f>IFERROR(__xludf.DUMMYFUNCTION("""COMPUTED_VALUE"""),312.0)</f>
        <v>312</v>
      </c>
      <c r="L87" s="258" t="str">
        <f>IFERROR(__xludf.DUMMYFUNCTION("""COMPUTED_VALUE"""),"")</f>
        <v/>
      </c>
      <c r="M87" s="261">
        <f>IFERROR(__xludf.DUMMYFUNCTION("""COMPUTED_VALUE"""),216.0)</f>
        <v>216</v>
      </c>
      <c r="N87" s="262" t="str">
        <f>IFERROR(__xludf.DUMMYFUNCTION("""COMPUTED_VALUE"""),"")</f>
        <v/>
      </c>
      <c r="O87" s="259" t="str">
        <f>IFERROR(__xludf.DUMMYFUNCTION("""COMPUTED_VALUE"""),"")</f>
        <v/>
      </c>
      <c r="P87" s="259">
        <f>IFERROR(__xludf.DUMMYFUNCTION("""COMPUTED_VALUE"""),43167.0)</f>
        <v>43167</v>
      </c>
      <c r="Q87" s="258">
        <f>IFERROR(__xludf.DUMMYFUNCTION("""COMPUTED_VALUE"""),662.0)</f>
        <v>662</v>
      </c>
      <c r="R87" s="261">
        <f>IFERROR(__xludf.DUMMYFUNCTION("""COMPUTED_VALUE"""),312.0)</f>
        <v>312</v>
      </c>
      <c r="S87" s="258">
        <v>325.0</v>
      </c>
      <c r="T87" s="263">
        <v>0.96</v>
      </c>
      <c r="U87" s="264">
        <v>662.0</v>
      </c>
      <c r="V87" s="265">
        <v>1065.0</v>
      </c>
      <c r="W87" s="264">
        <v>662.0</v>
      </c>
      <c r="X87" s="266" t="str">
        <f>IFERROR(__xludf.DUMMYFUNCTION("""COMPUTED_VALUE"""),"Changedriver")</f>
        <v>Changedriver</v>
      </c>
      <c r="Y87" s="267">
        <v>-0.01</v>
      </c>
      <c r="Z87" s="267">
        <v>0.9979266945791263</v>
      </c>
      <c r="AA87" s="269"/>
      <c r="AB87" s="270"/>
      <c r="AC87" s="270"/>
      <c r="AD87" s="270"/>
      <c r="AE87" s="270"/>
    </row>
    <row r="88">
      <c r="A88" s="256">
        <f>IFERROR(__xludf.DUMMYFUNCTION("""COMPUTED_VALUE"""),43201.884722222225)</f>
        <v>43201.88472</v>
      </c>
      <c r="B88" s="257" t="str">
        <f>IFERROR(__xludf.DUMMYFUNCTION("""COMPUTED_VALUE"""),"Benjamin Brooks")</f>
        <v>Benjamin Brooks</v>
      </c>
      <c r="C88" s="258" t="str">
        <f>IFERROR(__xludf.DUMMYFUNCTION("""COMPUTED_VALUE"""),"USA")</f>
        <v>USA</v>
      </c>
      <c r="D88" s="258" t="str">
        <f>IFERROR(__xludf.DUMMYFUNCTION("""COMPUTED_VALUE"""),"mi. My car displays range in miles and I will enter all range numbers in miles.")</f>
        <v>mi. My car displays range in miles and I will enter all range numbers in miles.</v>
      </c>
      <c r="E88" s="259">
        <f>IFERROR(__xludf.DUMMYFUNCTION("""COMPUTED_VALUE"""),43100.0)</f>
        <v>43100</v>
      </c>
      <c r="F88" s="258" t="str">
        <f>IFERROR(__xludf.DUMMYFUNCTION("""COMPUTED_VALUE"""),"Model 3 LR")</f>
        <v>Model 3 LR</v>
      </c>
      <c r="G88" s="258" t="str">
        <f>IFERROR(__xludf.DUMMYFUNCTION("""COMPUTED_VALUE"""),"Never")</f>
        <v>Never</v>
      </c>
      <c r="H88" s="258" t="str">
        <f>IFERROR(__xludf.DUMMYFUNCTION("""COMPUTED_VALUE"""),"Once or twice a year")</f>
        <v>Once or twice a year</v>
      </c>
      <c r="I88" s="258" t="str">
        <f>IFERROR(__xludf.DUMMYFUNCTION("""COMPUTED_VALUE"""),"Never")</f>
        <v>Never</v>
      </c>
      <c r="J88" s="260">
        <f>IFERROR(__xludf.DUMMYFUNCTION("""COMPUTED_VALUE"""),0.9)</f>
        <v>0.9</v>
      </c>
      <c r="K88" s="258">
        <f>IFERROR(__xludf.DUMMYFUNCTION("""COMPUTED_VALUE"""),312.0)</f>
        <v>312</v>
      </c>
      <c r="L88" s="258" t="str">
        <f>IFERROR(__xludf.DUMMYFUNCTION("""COMPUTED_VALUE"""),"")</f>
        <v/>
      </c>
      <c r="M88" s="261">
        <f>IFERROR(__xludf.DUMMYFUNCTION("""COMPUTED_VALUE"""),218.0)</f>
        <v>218</v>
      </c>
      <c r="N88" s="262" t="str">
        <f>IFERROR(__xludf.DUMMYFUNCTION("""COMPUTED_VALUE"""),"")</f>
        <v/>
      </c>
      <c r="O88" s="259" t="str">
        <f>IFERROR(__xludf.DUMMYFUNCTION("""COMPUTED_VALUE"""),"")</f>
        <v/>
      </c>
      <c r="P88" s="259">
        <f>IFERROR(__xludf.DUMMYFUNCTION("""COMPUTED_VALUE"""),43201.0)</f>
        <v>43201</v>
      </c>
      <c r="Q88" s="258">
        <f>IFERROR(__xludf.DUMMYFUNCTION("""COMPUTED_VALUE"""),1152.0)</f>
        <v>1152</v>
      </c>
      <c r="R88" s="261">
        <f>IFERROR(__xludf.DUMMYFUNCTION("""COMPUTED_VALUE"""),312.0)</f>
        <v>312</v>
      </c>
      <c r="S88" s="258">
        <v>325.0</v>
      </c>
      <c r="T88" s="263">
        <v>0.96</v>
      </c>
      <c r="U88" s="264">
        <v>1152.0</v>
      </c>
      <c r="V88" s="265">
        <v>1854.0</v>
      </c>
      <c r="W88" s="264">
        <v>1152.0</v>
      </c>
      <c r="X88" s="266" t="str">
        <f>IFERROR(__xludf.DUMMYFUNCTION("""COMPUTED_VALUE"""),"chr20")</f>
        <v>chr20</v>
      </c>
      <c r="Y88" s="267">
        <v>-0.01</v>
      </c>
      <c r="Z88" s="267">
        <v>0.9964618325295199</v>
      </c>
      <c r="AA88" s="269"/>
      <c r="AB88" s="270"/>
      <c r="AC88" s="270"/>
      <c r="AD88" s="270"/>
      <c r="AE88" s="270"/>
    </row>
    <row r="89">
      <c r="A89" s="256">
        <f>IFERROR(__xludf.DUMMYFUNCTION("""COMPUTED_VALUE"""),42174.745833333334)</f>
        <v>42174.74583</v>
      </c>
      <c r="B89" s="257" t="str">
        <f>IFERROR(__xludf.DUMMYFUNCTION("""COMPUTED_VALUE"""),"Benjamin Brooks S85")</f>
        <v>Benjamin Brooks S85</v>
      </c>
      <c r="C89" s="258" t="str">
        <f>IFERROR(__xludf.DUMMYFUNCTION("""COMPUTED_VALUE"""),"USA")</f>
        <v>USA</v>
      </c>
      <c r="D89" s="258" t="str">
        <f>IFERROR(__xludf.DUMMYFUNCTION("""COMPUTED_VALUE"""),"mi. My car displays range in miles and I will enter all range numbers in miles.")</f>
        <v>mi. My car displays range in miles and I will enter all range numbers in miles.</v>
      </c>
      <c r="E89" s="259">
        <f>IFERROR(__xludf.DUMMYFUNCTION("""COMPUTED_VALUE"""),41310.0)</f>
        <v>41310</v>
      </c>
      <c r="F89" s="258" t="str">
        <f>IFERROR(__xludf.DUMMYFUNCTION("""COMPUTED_VALUE"""),"Model S 85")</f>
        <v>Model S 85</v>
      </c>
      <c r="G89" s="258" t="str">
        <f>IFERROR(__xludf.DUMMYFUNCTION("""COMPUTED_VALUE"""),"Monthly")</f>
        <v>Monthly</v>
      </c>
      <c r="H89" s="258" t="str">
        <f>IFERROR(__xludf.DUMMYFUNCTION("""COMPUTED_VALUE"""),"A few times a year")</f>
        <v>A few times a year</v>
      </c>
      <c r="I89" s="258" t="str">
        <f>IFERROR(__xludf.DUMMYFUNCTION("""COMPUTED_VALUE"""),"A few times a year")</f>
        <v>A few times a year</v>
      </c>
      <c r="J89" s="260">
        <f>IFERROR(__xludf.DUMMYFUNCTION("""COMPUTED_VALUE"""),0.9)</f>
        <v>0.9</v>
      </c>
      <c r="K89" s="258">
        <f>IFERROR(__xludf.DUMMYFUNCTION("""COMPUTED_VALUE"""),270.0)</f>
        <v>270</v>
      </c>
      <c r="L89" s="258" t="str">
        <f>IFERROR(__xludf.DUMMYFUNCTION("""COMPUTED_VALUE"""),"")</f>
        <v/>
      </c>
      <c r="M89" s="261">
        <f>IFERROR(__xludf.DUMMYFUNCTION("""COMPUTED_VALUE"""),299.0)</f>
        <v>299</v>
      </c>
      <c r="N89" s="262" t="str">
        <f>IFERROR(__xludf.DUMMYFUNCTION("""COMPUTED_VALUE"""),"")</f>
        <v/>
      </c>
      <c r="O89" s="259" t="str">
        <f>IFERROR(__xludf.DUMMYFUNCTION("""COMPUTED_VALUE"""),"")</f>
        <v/>
      </c>
      <c r="P89" s="259">
        <f>IFERROR(__xludf.DUMMYFUNCTION("""COMPUTED_VALUE"""),42174.0)</f>
        <v>42174</v>
      </c>
      <c r="Q89" s="258">
        <f>IFERROR(__xludf.DUMMYFUNCTION("""COMPUTED_VALUE"""),32660.0)</f>
        <v>32660</v>
      </c>
      <c r="R89" s="261">
        <f>IFERROR(__xludf.DUMMYFUNCTION("""COMPUTED_VALUE"""),254.0)</f>
        <v>254</v>
      </c>
      <c r="S89" s="258">
        <v>266.0</v>
      </c>
      <c r="T89" s="263">
        <v>0.9548872180451128</v>
      </c>
      <c r="U89" s="264">
        <v>32660.0</v>
      </c>
      <c r="V89" s="265">
        <v>52561.0</v>
      </c>
      <c r="W89" s="264">
        <v>32660.0</v>
      </c>
      <c r="X89" s="266" t="str">
        <f>IFERROR(__xludf.DUMMYFUNCTION("""COMPUTED_VALUE"""),"chrisdl")</f>
        <v>chrisdl</v>
      </c>
      <c r="Y89" s="267">
        <v>-0.01</v>
      </c>
      <c r="Z89" s="267">
        <v>0.9588696475876506</v>
      </c>
      <c r="AA89" s="269"/>
      <c r="AB89" s="270"/>
      <c r="AC89" s="270"/>
      <c r="AD89" s="270"/>
      <c r="AE89" s="270"/>
    </row>
    <row r="90">
      <c r="A90" s="256">
        <f>IFERROR(__xludf.DUMMYFUNCTION("""COMPUTED_VALUE"""),42202.75)</f>
        <v>42202.75</v>
      </c>
      <c r="B90" s="257" t="str">
        <f>IFERROR(__xludf.DUMMYFUNCTION("""COMPUTED_VALUE"""),"Benjamin Brooks S85")</f>
        <v>Benjamin Brooks S85</v>
      </c>
      <c r="C90" s="258" t="str">
        <f>IFERROR(__xludf.DUMMYFUNCTION("""COMPUTED_VALUE"""),"USA")</f>
        <v>USA</v>
      </c>
      <c r="D90" s="258" t="str">
        <f>IFERROR(__xludf.DUMMYFUNCTION("""COMPUTED_VALUE"""),"mi. My car displays range in miles and I will enter all range numbers in miles.")</f>
        <v>mi. My car displays range in miles and I will enter all range numbers in miles.</v>
      </c>
      <c r="E90" s="259">
        <f>IFERROR(__xludf.DUMMYFUNCTION("""COMPUTED_VALUE"""),41310.0)</f>
        <v>41310</v>
      </c>
      <c r="F90" s="258" t="str">
        <f>IFERROR(__xludf.DUMMYFUNCTION("""COMPUTED_VALUE"""),"Model S 85")</f>
        <v>Model S 85</v>
      </c>
      <c r="G90" s="258" t="str">
        <f>IFERROR(__xludf.DUMMYFUNCTION("""COMPUTED_VALUE"""),"Monthly")</f>
        <v>Monthly</v>
      </c>
      <c r="H90" s="258" t="str">
        <f>IFERROR(__xludf.DUMMYFUNCTION("""COMPUTED_VALUE"""),"A few times a year")</f>
        <v>A few times a year</v>
      </c>
      <c r="I90" s="258" t="str">
        <f>IFERROR(__xludf.DUMMYFUNCTION("""COMPUTED_VALUE"""),"A few times a year")</f>
        <v>A few times a year</v>
      </c>
      <c r="J90" s="260">
        <f>IFERROR(__xludf.DUMMYFUNCTION("""COMPUTED_VALUE"""),0.9)</f>
        <v>0.9</v>
      </c>
      <c r="K90" s="258">
        <f>IFERROR(__xludf.DUMMYFUNCTION("""COMPUTED_VALUE"""),270.0)</f>
        <v>270</v>
      </c>
      <c r="L90" s="258" t="str">
        <f>IFERROR(__xludf.DUMMYFUNCTION("""COMPUTED_VALUE"""),"")</f>
        <v/>
      </c>
      <c r="M90" s="261">
        <f>IFERROR(__xludf.DUMMYFUNCTION("""COMPUTED_VALUE"""),299.0)</f>
        <v>299</v>
      </c>
      <c r="N90" s="262" t="str">
        <f>IFERROR(__xludf.DUMMYFUNCTION("""COMPUTED_VALUE"""),"")</f>
        <v/>
      </c>
      <c r="O90" s="259" t="str">
        <f>IFERROR(__xludf.DUMMYFUNCTION("""COMPUTED_VALUE"""),"")</f>
        <v/>
      </c>
      <c r="P90" s="259">
        <f>IFERROR(__xludf.DUMMYFUNCTION("""COMPUTED_VALUE"""),42202.0)</f>
        <v>42202</v>
      </c>
      <c r="Q90" s="258">
        <f>IFERROR(__xludf.DUMMYFUNCTION("""COMPUTED_VALUE"""),34622.0)</f>
        <v>34622</v>
      </c>
      <c r="R90" s="261">
        <f>IFERROR(__xludf.DUMMYFUNCTION("""COMPUTED_VALUE"""),254.0)</f>
        <v>254</v>
      </c>
      <c r="S90" s="258">
        <v>266.0</v>
      </c>
      <c r="T90" s="263">
        <v>0.9548872180451128</v>
      </c>
      <c r="U90" s="264">
        <v>34622.0</v>
      </c>
      <c r="V90" s="265">
        <v>55719.0</v>
      </c>
      <c r="W90" s="264">
        <v>34622.0</v>
      </c>
      <c r="X90" s="266" t="str">
        <f>IFERROR(__xludf.DUMMYFUNCTION("""COMPUTED_VALUE"""),"ChrisK")</f>
        <v>ChrisK</v>
      </c>
      <c r="Y90" s="267">
        <v>-0.01</v>
      </c>
      <c r="Z90" s="267">
        <v>0.9579008680525641</v>
      </c>
      <c r="AA90" s="269"/>
      <c r="AB90" s="270"/>
      <c r="AC90" s="270"/>
      <c r="AD90" s="270"/>
      <c r="AE90" s="270"/>
    </row>
    <row r="91">
      <c r="A91" s="256">
        <f>IFERROR(__xludf.DUMMYFUNCTION("""COMPUTED_VALUE"""),42244.75347222222)</f>
        <v>42244.75347</v>
      </c>
      <c r="B91" s="257" t="str">
        <f>IFERROR(__xludf.DUMMYFUNCTION("""COMPUTED_VALUE"""),"Benjamin Brooks S85")</f>
        <v>Benjamin Brooks S85</v>
      </c>
      <c r="C91" s="258" t="str">
        <f>IFERROR(__xludf.DUMMYFUNCTION("""COMPUTED_VALUE"""),"USA")</f>
        <v>USA</v>
      </c>
      <c r="D91" s="258" t="str">
        <f>IFERROR(__xludf.DUMMYFUNCTION("""COMPUTED_VALUE"""),"mi. My car displays range in miles and I will enter all range numbers in miles.")</f>
        <v>mi. My car displays range in miles and I will enter all range numbers in miles.</v>
      </c>
      <c r="E91" s="259">
        <f>IFERROR(__xludf.DUMMYFUNCTION("""COMPUTED_VALUE"""),41310.0)</f>
        <v>41310</v>
      </c>
      <c r="F91" s="258" t="str">
        <f>IFERROR(__xludf.DUMMYFUNCTION("""COMPUTED_VALUE"""),"Model S 85")</f>
        <v>Model S 85</v>
      </c>
      <c r="G91" s="258" t="str">
        <f>IFERROR(__xludf.DUMMYFUNCTION("""COMPUTED_VALUE"""),"Monthly")</f>
        <v>Monthly</v>
      </c>
      <c r="H91" s="258" t="str">
        <f>IFERROR(__xludf.DUMMYFUNCTION("""COMPUTED_VALUE"""),"A few times a year")</f>
        <v>A few times a year</v>
      </c>
      <c r="I91" s="258" t="str">
        <f>IFERROR(__xludf.DUMMYFUNCTION("""COMPUTED_VALUE"""),"A few times a year")</f>
        <v>A few times a year</v>
      </c>
      <c r="J91" s="260">
        <f>IFERROR(__xludf.DUMMYFUNCTION("""COMPUTED_VALUE"""),0.9)</f>
        <v>0.9</v>
      </c>
      <c r="K91" s="258">
        <f>IFERROR(__xludf.DUMMYFUNCTION("""COMPUTED_VALUE"""),270.0)</f>
        <v>270</v>
      </c>
      <c r="L91" s="258" t="str">
        <f>IFERROR(__xludf.DUMMYFUNCTION("""COMPUTED_VALUE"""),"")</f>
        <v/>
      </c>
      <c r="M91" s="261">
        <f>IFERROR(__xludf.DUMMYFUNCTION("""COMPUTED_VALUE"""),299.0)</f>
        <v>299</v>
      </c>
      <c r="N91" s="262" t="str">
        <f>IFERROR(__xludf.DUMMYFUNCTION("""COMPUTED_VALUE"""),"")</f>
        <v/>
      </c>
      <c r="O91" s="259" t="str">
        <f>IFERROR(__xludf.DUMMYFUNCTION("""COMPUTED_VALUE"""),"")</f>
        <v/>
      </c>
      <c r="P91" s="259">
        <f>IFERROR(__xludf.DUMMYFUNCTION("""COMPUTED_VALUE"""),42244.0)</f>
        <v>42244</v>
      </c>
      <c r="Q91" s="258">
        <f>IFERROR(__xludf.DUMMYFUNCTION("""COMPUTED_VALUE"""),36269.0)</f>
        <v>36269</v>
      </c>
      <c r="R91" s="261">
        <f>IFERROR(__xludf.DUMMYFUNCTION("""COMPUTED_VALUE"""),254.0)</f>
        <v>254</v>
      </c>
      <c r="S91" s="258">
        <v>266.0</v>
      </c>
      <c r="T91" s="263">
        <v>0.9548872180451128</v>
      </c>
      <c r="U91" s="264">
        <v>36269.0</v>
      </c>
      <c r="V91" s="265">
        <v>58369.0</v>
      </c>
      <c r="W91" s="264">
        <v>36269.0</v>
      </c>
      <c r="X91" s="266" t="str">
        <f>IFERROR(__xludf.DUMMYFUNCTION("""COMPUTED_VALUE"""),"chrisschorsch")</f>
        <v>chrisschorsch</v>
      </c>
      <c r="Y91" s="267">
        <v>-0.01</v>
      </c>
      <c r="Z91" s="267">
        <v>0.957119337245705</v>
      </c>
      <c r="AA91" s="269"/>
      <c r="AB91" s="270"/>
      <c r="AC91" s="270"/>
      <c r="AD91" s="270"/>
      <c r="AE91" s="270"/>
    </row>
    <row r="92">
      <c r="A92" s="256">
        <f>IFERROR(__xludf.DUMMYFUNCTION("""COMPUTED_VALUE"""),42258.756944444445)</f>
        <v>42258.75694</v>
      </c>
      <c r="B92" s="257" t="str">
        <f>IFERROR(__xludf.DUMMYFUNCTION("""COMPUTED_VALUE"""),"Benjamin Brooks S85")</f>
        <v>Benjamin Brooks S85</v>
      </c>
      <c r="C92" s="258" t="str">
        <f>IFERROR(__xludf.DUMMYFUNCTION("""COMPUTED_VALUE"""),"USA")</f>
        <v>USA</v>
      </c>
      <c r="D92" s="258" t="str">
        <f>IFERROR(__xludf.DUMMYFUNCTION("""COMPUTED_VALUE"""),"mi. My car displays range in miles and I will enter all range numbers in miles.")</f>
        <v>mi. My car displays range in miles and I will enter all range numbers in miles.</v>
      </c>
      <c r="E92" s="259">
        <f>IFERROR(__xludf.DUMMYFUNCTION("""COMPUTED_VALUE"""),41310.0)</f>
        <v>41310</v>
      </c>
      <c r="F92" s="258" t="str">
        <f>IFERROR(__xludf.DUMMYFUNCTION("""COMPUTED_VALUE"""),"Model S 85")</f>
        <v>Model S 85</v>
      </c>
      <c r="G92" s="258" t="str">
        <f>IFERROR(__xludf.DUMMYFUNCTION("""COMPUTED_VALUE"""),"Monthly")</f>
        <v>Monthly</v>
      </c>
      <c r="H92" s="258" t="str">
        <f>IFERROR(__xludf.DUMMYFUNCTION("""COMPUTED_VALUE"""),"A few times a year")</f>
        <v>A few times a year</v>
      </c>
      <c r="I92" s="258" t="str">
        <f>IFERROR(__xludf.DUMMYFUNCTION("""COMPUTED_VALUE"""),"A few times a year")</f>
        <v>A few times a year</v>
      </c>
      <c r="J92" s="260">
        <f>IFERROR(__xludf.DUMMYFUNCTION("""COMPUTED_VALUE"""),0.9)</f>
        <v>0.9</v>
      </c>
      <c r="K92" s="258">
        <f>IFERROR(__xludf.DUMMYFUNCTION("""COMPUTED_VALUE"""),270.0)</f>
        <v>270</v>
      </c>
      <c r="L92" s="258" t="str">
        <f>IFERROR(__xludf.DUMMYFUNCTION("""COMPUTED_VALUE"""),"")</f>
        <v/>
      </c>
      <c r="M92" s="261">
        <f>IFERROR(__xludf.DUMMYFUNCTION("""COMPUTED_VALUE"""),299.0)</f>
        <v>299</v>
      </c>
      <c r="N92" s="262" t="str">
        <f>IFERROR(__xludf.DUMMYFUNCTION("""COMPUTED_VALUE"""),"")</f>
        <v/>
      </c>
      <c r="O92" s="259" t="str">
        <f>IFERROR(__xludf.DUMMYFUNCTION("""COMPUTED_VALUE"""),"")</f>
        <v/>
      </c>
      <c r="P92" s="259">
        <f>IFERROR(__xludf.DUMMYFUNCTION("""COMPUTED_VALUE"""),42258.0)</f>
        <v>42258</v>
      </c>
      <c r="Q92" s="258">
        <f>IFERROR(__xludf.DUMMYFUNCTION("""COMPUTED_VALUE"""),36771.0)</f>
        <v>36771</v>
      </c>
      <c r="R92" s="261">
        <f>IFERROR(__xludf.DUMMYFUNCTION("""COMPUTED_VALUE"""),253.0)</f>
        <v>253</v>
      </c>
      <c r="S92" s="258">
        <v>266.0</v>
      </c>
      <c r="T92" s="263">
        <v>0.9511278195488722</v>
      </c>
      <c r="U92" s="264">
        <v>36771.0</v>
      </c>
      <c r="V92" s="265">
        <v>59177.0</v>
      </c>
      <c r="W92" s="264">
        <v>36771.0</v>
      </c>
      <c r="X92" s="266" t="str">
        <f>IFERROR(__xludf.DUMMYFUNCTION("""COMPUTED_VALUE"""),"ChrisWorks")</f>
        <v>ChrisWorks</v>
      </c>
      <c r="Y92" s="267">
        <v>-0.01</v>
      </c>
      <c r="Z92" s="267">
        <v>0.9568860525926112</v>
      </c>
      <c r="AA92" s="269"/>
      <c r="AB92" s="270"/>
      <c r="AC92" s="270"/>
      <c r="AD92" s="270"/>
      <c r="AE92" s="270"/>
    </row>
    <row r="93">
      <c r="A93" s="256">
        <f>IFERROR(__xludf.DUMMYFUNCTION("""COMPUTED_VALUE"""),42299.76875)</f>
        <v>42299.76875</v>
      </c>
      <c r="B93" s="257" t="str">
        <f>IFERROR(__xludf.DUMMYFUNCTION("""COMPUTED_VALUE"""),"Benjamin Brooks S85")</f>
        <v>Benjamin Brooks S85</v>
      </c>
      <c r="C93" s="258" t="str">
        <f>IFERROR(__xludf.DUMMYFUNCTION("""COMPUTED_VALUE"""),"USA")</f>
        <v>USA</v>
      </c>
      <c r="D93" s="258" t="str">
        <f>IFERROR(__xludf.DUMMYFUNCTION("""COMPUTED_VALUE"""),"mi. My car displays range in miles and I will enter all range numbers in miles.")</f>
        <v>mi. My car displays range in miles and I will enter all range numbers in miles.</v>
      </c>
      <c r="E93" s="259">
        <f>IFERROR(__xludf.DUMMYFUNCTION("""COMPUTED_VALUE"""),41310.0)</f>
        <v>41310</v>
      </c>
      <c r="F93" s="258" t="str">
        <f>IFERROR(__xludf.DUMMYFUNCTION("""COMPUTED_VALUE"""),"Model S 85")</f>
        <v>Model S 85</v>
      </c>
      <c r="G93" s="258" t="str">
        <f>IFERROR(__xludf.DUMMYFUNCTION("""COMPUTED_VALUE"""),"Monthly")</f>
        <v>Monthly</v>
      </c>
      <c r="H93" s="258" t="str">
        <f>IFERROR(__xludf.DUMMYFUNCTION("""COMPUTED_VALUE"""),"A few times a year")</f>
        <v>A few times a year</v>
      </c>
      <c r="I93" s="258" t="str">
        <f>IFERROR(__xludf.DUMMYFUNCTION("""COMPUTED_VALUE"""),"A few times a year")</f>
        <v>A few times a year</v>
      </c>
      <c r="J93" s="260">
        <f>IFERROR(__xludf.DUMMYFUNCTION("""COMPUTED_VALUE"""),0.9)</f>
        <v>0.9</v>
      </c>
      <c r="K93" s="258">
        <f>IFERROR(__xludf.DUMMYFUNCTION("""COMPUTED_VALUE"""),270.0)</f>
        <v>270</v>
      </c>
      <c r="L93" s="258" t="str">
        <f>IFERROR(__xludf.DUMMYFUNCTION("""COMPUTED_VALUE"""),"")</f>
        <v/>
      </c>
      <c r="M93" s="261">
        <f>IFERROR(__xludf.DUMMYFUNCTION("""COMPUTED_VALUE"""),298.0)</f>
        <v>298</v>
      </c>
      <c r="N93" s="262" t="str">
        <f>IFERROR(__xludf.DUMMYFUNCTION("""COMPUTED_VALUE"""),"")</f>
        <v/>
      </c>
      <c r="O93" s="259" t="str">
        <f>IFERROR(__xludf.DUMMYFUNCTION("""COMPUTED_VALUE"""),"")</f>
        <v/>
      </c>
      <c r="P93" s="259">
        <f>IFERROR(__xludf.DUMMYFUNCTION("""COMPUTED_VALUE"""),42299.0)</f>
        <v>42299</v>
      </c>
      <c r="Q93" s="258">
        <f>IFERROR(__xludf.DUMMYFUNCTION("""COMPUTED_VALUE"""),39139.0)</f>
        <v>39139</v>
      </c>
      <c r="R93" s="261">
        <f>IFERROR(__xludf.DUMMYFUNCTION("""COMPUTED_VALUE"""),252.0)</f>
        <v>252</v>
      </c>
      <c r="S93" s="258">
        <v>266.0</v>
      </c>
      <c r="T93" s="263">
        <v>0.9473684210526315</v>
      </c>
      <c r="U93" s="264">
        <v>39139.0</v>
      </c>
      <c r="V93" s="265">
        <v>62988.0</v>
      </c>
      <c r="W93" s="264">
        <v>39139.0</v>
      </c>
      <c r="X93" s="266" t="str">
        <f>IFERROR(__xludf.DUMMYFUNCTION("""COMPUTED_VALUE"""),"CJAHulskamp")</f>
        <v>CJAHulskamp</v>
      </c>
      <c r="Y93" s="267">
        <v>-0.01</v>
      </c>
      <c r="Z93" s="267">
        <v>0.9558131751311754</v>
      </c>
      <c r="AA93" s="269"/>
      <c r="AB93" s="270"/>
      <c r="AC93" s="270"/>
      <c r="AD93" s="270"/>
      <c r="AE93" s="270"/>
    </row>
    <row r="94">
      <c r="A94" s="256">
        <f>IFERROR(__xludf.DUMMYFUNCTION("""COMPUTED_VALUE"""),42337.774305555555)</f>
        <v>42337.77431</v>
      </c>
      <c r="B94" s="257" t="str">
        <f>IFERROR(__xludf.DUMMYFUNCTION("""COMPUTED_VALUE"""),"Benjamin Brooks S85")</f>
        <v>Benjamin Brooks S85</v>
      </c>
      <c r="C94" s="258" t="str">
        <f>IFERROR(__xludf.DUMMYFUNCTION("""COMPUTED_VALUE"""),"USA")</f>
        <v>USA</v>
      </c>
      <c r="D94" s="258" t="str">
        <f>IFERROR(__xludf.DUMMYFUNCTION("""COMPUTED_VALUE"""),"mi. My car displays range in miles and I will enter all range numbers in miles.")</f>
        <v>mi. My car displays range in miles and I will enter all range numbers in miles.</v>
      </c>
      <c r="E94" s="259">
        <f>IFERROR(__xludf.DUMMYFUNCTION("""COMPUTED_VALUE"""),41310.0)</f>
        <v>41310</v>
      </c>
      <c r="F94" s="258" t="str">
        <f>IFERROR(__xludf.DUMMYFUNCTION("""COMPUTED_VALUE"""),"Model S 85")</f>
        <v>Model S 85</v>
      </c>
      <c r="G94" s="258" t="str">
        <f>IFERROR(__xludf.DUMMYFUNCTION("""COMPUTED_VALUE"""),"Monthly")</f>
        <v>Monthly</v>
      </c>
      <c r="H94" s="258" t="str">
        <f>IFERROR(__xludf.DUMMYFUNCTION("""COMPUTED_VALUE"""),"A few times a year")</f>
        <v>A few times a year</v>
      </c>
      <c r="I94" s="258" t="str">
        <f>IFERROR(__xludf.DUMMYFUNCTION("""COMPUTED_VALUE"""),"A few times a year")</f>
        <v>A few times a year</v>
      </c>
      <c r="J94" s="260">
        <f>IFERROR(__xludf.DUMMYFUNCTION("""COMPUTED_VALUE"""),0.9)</f>
        <v>0.9</v>
      </c>
      <c r="K94" s="258">
        <f>IFERROR(__xludf.DUMMYFUNCTION("""COMPUTED_VALUE"""),270.0)</f>
        <v>270</v>
      </c>
      <c r="L94" s="258" t="str">
        <f>IFERROR(__xludf.DUMMYFUNCTION("""COMPUTED_VALUE"""),"")</f>
        <v/>
      </c>
      <c r="M94" s="261">
        <f>IFERROR(__xludf.DUMMYFUNCTION("""COMPUTED_VALUE"""),298.0)</f>
        <v>298</v>
      </c>
      <c r="N94" s="262" t="str">
        <f>IFERROR(__xludf.DUMMYFUNCTION("""COMPUTED_VALUE"""),"")</f>
        <v/>
      </c>
      <c r="O94" s="259" t="str">
        <f>IFERROR(__xludf.DUMMYFUNCTION("""COMPUTED_VALUE"""),"")</f>
        <v/>
      </c>
      <c r="P94" s="259">
        <f>IFERROR(__xludf.DUMMYFUNCTION("""COMPUTED_VALUE"""),42337.0)</f>
        <v>42337</v>
      </c>
      <c r="Q94" s="258">
        <f>IFERROR(__xludf.DUMMYFUNCTION("""COMPUTED_VALUE"""),39940.0)</f>
        <v>39940</v>
      </c>
      <c r="R94" s="261">
        <f>IFERROR(__xludf.DUMMYFUNCTION("""COMPUTED_VALUE"""),253.0)</f>
        <v>253</v>
      </c>
      <c r="S94" s="258">
        <v>266.0</v>
      </c>
      <c r="T94" s="263">
        <v>0.9511278195488722</v>
      </c>
      <c r="U94" s="264">
        <v>39940.0</v>
      </c>
      <c r="V94" s="265">
        <v>64277.0</v>
      </c>
      <c r="W94" s="264">
        <v>39940.0</v>
      </c>
      <c r="X94" s="266" t="str">
        <f>IFERROR(__xludf.DUMMYFUNCTION("""COMPUTED_VALUE"""),"CJAhulskamp")</f>
        <v>CJAhulskamp</v>
      </c>
      <c r="Y94" s="267">
        <v>-0.01</v>
      </c>
      <c r="Z94" s="267">
        <v>0.9554594323392428</v>
      </c>
      <c r="AA94" s="269"/>
      <c r="AB94" s="270"/>
      <c r="AC94" s="270"/>
      <c r="AD94" s="270"/>
      <c r="AE94" s="270"/>
    </row>
    <row r="95">
      <c r="A95" s="256">
        <f>IFERROR(__xludf.DUMMYFUNCTION("""COMPUTED_VALUE"""),42374.78680555556)</f>
        <v>42374.78681</v>
      </c>
      <c r="B95" s="257" t="str">
        <f>IFERROR(__xludf.DUMMYFUNCTION("""COMPUTED_VALUE"""),"Benjamin Brooks S85")</f>
        <v>Benjamin Brooks S85</v>
      </c>
      <c r="C95" s="258" t="str">
        <f>IFERROR(__xludf.DUMMYFUNCTION("""COMPUTED_VALUE"""),"USA")</f>
        <v>USA</v>
      </c>
      <c r="D95" s="258" t="str">
        <f>IFERROR(__xludf.DUMMYFUNCTION("""COMPUTED_VALUE"""),"mi. My car displays range in miles and I will enter all range numbers in miles.")</f>
        <v>mi. My car displays range in miles and I will enter all range numbers in miles.</v>
      </c>
      <c r="E95" s="259">
        <f>IFERROR(__xludf.DUMMYFUNCTION("""COMPUTED_VALUE"""),41310.0)</f>
        <v>41310</v>
      </c>
      <c r="F95" s="258" t="str">
        <f>IFERROR(__xludf.DUMMYFUNCTION("""COMPUTED_VALUE"""),"Model S 85")</f>
        <v>Model S 85</v>
      </c>
      <c r="G95" s="258" t="str">
        <f>IFERROR(__xludf.DUMMYFUNCTION("""COMPUTED_VALUE"""),"Monthly")</f>
        <v>Monthly</v>
      </c>
      <c r="H95" s="258" t="str">
        <f>IFERROR(__xludf.DUMMYFUNCTION("""COMPUTED_VALUE"""),"A few times a year")</f>
        <v>A few times a year</v>
      </c>
      <c r="I95" s="258" t="str">
        <f>IFERROR(__xludf.DUMMYFUNCTION("""COMPUTED_VALUE"""),"A few times a year")</f>
        <v>A few times a year</v>
      </c>
      <c r="J95" s="260">
        <f>IFERROR(__xludf.DUMMYFUNCTION("""COMPUTED_VALUE"""),0.9)</f>
        <v>0.9</v>
      </c>
      <c r="K95" s="258">
        <f>IFERROR(__xludf.DUMMYFUNCTION("""COMPUTED_VALUE"""),270.0)</f>
        <v>270</v>
      </c>
      <c r="L95" s="258" t="str">
        <f>IFERROR(__xludf.DUMMYFUNCTION("""COMPUTED_VALUE"""),"")</f>
        <v/>
      </c>
      <c r="M95" s="261">
        <f>IFERROR(__xludf.DUMMYFUNCTION("""COMPUTED_VALUE"""),298.0)</f>
        <v>298</v>
      </c>
      <c r="N95" s="262" t="str">
        <f>IFERROR(__xludf.DUMMYFUNCTION("""COMPUTED_VALUE"""),"")</f>
        <v/>
      </c>
      <c r="O95" s="259" t="str">
        <f>IFERROR(__xludf.DUMMYFUNCTION("""COMPUTED_VALUE"""),"")</f>
        <v/>
      </c>
      <c r="P95" s="259">
        <f>IFERROR(__xludf.DUMMYFUNCTION("""COMPUTED_VALUE"""),42374.0)</f>
        <v>42374</v>
      </c>
      <c r="Q95" s="258">
        <f>IFERROR(__xludf.DUMMYFUNCTION("""COMPUTED_VALUE"""),41800.0)</f>
        <v>41800</v>
      </c>
      <c r="R95" s="261">
        <f>IFERROR(__xludf.DUMMYFUNCTION("""COMPUTED_VALUE"""),252.0)</f>
        <v>252</v>
      </c>
      <c r="S95" s="258">
        <v>266.0</v>
      </c>
      <c r="T95" s="263">
        <v>0.9473684210526315</v>
      </c>
      <c r="U95" s="264">
        <v>41800.0</v>
      </c>
      <c r="V95" s="265">
        <v>67271.0</v>
      </c>
      <c r="W95" s="264">
        <v>41800.0</v>
      </c>
      <c r="X95" s="266" t="str">
        <f>IFERROR(__xludf.DUMMYFUNCTION("""COMPUTED_VALUE"""),"ckcland2")</f>
        <v>ckcland2</v>
      </c>
      <c r="Y95" s="267">
        <v>-0.01</v>
      </c>
      <c r="Z95" s="267">
        <v>0.954653010536409</v>
      </c>
      <c r="AA95" s="269"/>
      <c r="AB95" s="270"/>
      <c r="AC95" s="270"/>
      <c r="AD95" s="270"/>
      <c r="AE95" s="270"/>
    </row>
    <row r="96">
      <c r="A96" s="256">
        <f>IFERROR(__xludf.DUMMYFUNCTION("""COMPUTED_VALUE"""),42437.79027777778)</f>
        <v>42437.79028</v>
      </c>
      <c r="B96" s="257" t="str">
        <f>IFERROR(__xludf.DUMMYFUNCTION("""COMPUTED_VALUE"""),"Benjamin Brooks S85")</f>
        <v>Benjamin Brooks S85</v>
      </c>
      <c r="C96" s="258" t="str">
        <f>IFERROR(__xludf.DUMMYFUNCTION("""COMPUTED_VALUE"""),"USA")</f>
        <v>USA</v>
      </c>
      <c r="D96" s="258" t="str">
        <f>IFERROR(__xludf.DUMMYFUNCTION("""COMPUTED_VALUE"""),"mi. My car displays range in miles and I will enter all range numbers in miles.")</f>
        <v>mi. My car displays range in miles and I will enter all range numbers in miles.</v>
      </c>
      <c r="E96" s="259">
        <f>IFERROR(__xludf.DUMMYFUNCTION("""COMPUTED_VALUE"""),41310.0)</f>
        <v>41310</v>
      </c>
      <c r="F96" s="258" t="str">
        <f>IFERROR(__xludf.DUMMYFUNCTION("""COMPUTED_VALUE"""),"Model S 85")</f>
        <v>Model S 85</v>
      </c>
      <c r="G96" s="258" t="str">
        <f>IFERROR(__xludf.DUMMYFUNCTION("""COMPUTED_VALUE"""),"Monthly")</f>
        <v>Monthly</v>
      </c>
      <c r="H96" s="258" t="str">
        <f>IFERROR(__xludf.DUMMYFUNCTION("""COMPUTED_VALUE"""),"A few times a year")</f>
        <v>A few times a year</v>
      </c>
      <c r="I96" s="258" t="str">
        <f>IFERROR(__xludf.DUMMYFUNCTION("""COMPUTED_VALUE"""),"A few times a year")</f>
        <v>A few times a year</v>
      </c>
      <c r="J96" s="260">
        <f>IFERROR(__xludf.DUMMYFUNCTION("""COMPUTED_VALUE"""),0.9)</f>
        <v>0.9</v>
      </c>
      <c r="K96" s="258">
        <f>IFERROR(__xludf.DUMMYFUNCTION("""COMPUTED_VALUE"""),270.0)</f>
        <v>270</v>
      </c>
      <c r="L96" s="258" t="str">
        <f>IFERROR(__xludf.DUMMYFUNCTION("""COMPUTED_VALUE"""),"")</f>
        <v/>
      </c>
      <c r="M96" s="261">
        <f>IFERROR(__xludf.DUMMYFUNCTION("""COMPUTED_VALUE"""),298.0)</f>
        <v>298</v>
      </c>
      <c r="N96" s="262" t="str">
        <f>IFERROR(__xludf.DUMMYFUNCTION("""COMPUTED_VALUE"""),"")</f>
        <v/>
      </c>
      <c r="O96" s="259" t="str">
        <f>IFERROR(__xludf.DUMMYFUNCTION("""COMPUTED_VALUE"""),"")</f>
        <v/>
      </c>
      <c r="P96" s="259">
        <f>IFERROR(__xludf.DUMMYFUNCTION("""COMPUTED_VALUE"""),42437.0)</f>
        <v>42437</v>
      </c>
      <c r="Q96" s="258">
        <f>IFERROR(__xludf.DUMMYFUNCTION("""COMPUTED_VALUE"""),43603.0)</f>
        <v>43603</v>
      </c>
      <c r="R96" s="261">
        <f>IFERROR(__xludf.DUMMYFUNCTION("""COMPUTED_VALUE"""),253.0)</f>
        <v>253</v>
      </c>
      <c r="S96" s="258">
        <v>266.0</v>
      </c>
      <c r="T96" s="263">
        <v>0.9511278195488722</v>
      </c>
      <c r="U96" s="264">
        <v>43603.0</v>
      </c>
      <c r="V96" s="265">
        <v>70172.0</v>
      </c>
      <c r="W96" s="264">
        <v>43603.0</v>
      </c>
      <c r="X96" s="266" t="str">
        <f>IFERROR(__xludf.DUMMYFUNCTION("""COMPUTED_VALUE"""),"CliffG")</f>
        <v>CliffG</v>
      </c>
      <c r="Y96" s="267">
        <v>-0.01</v>
      </c>
      <c r="Z96" s="267">
        <v>0.9538893255959442</v>
      </c>
      <c r="AA96" s="269"/>
      <c r="AB96" s="270"/>
      <c r="AC96" s="270"/>
      <c r="AD96" s="270"/>
      <c r="AE96" s="270"/>
    </row>
    <row r="97">
      <c r="A97" s="256">
        <f>IFERROR(__xludf.DUMMYFUNCTION("""COMPUTED_VALUE"""),42459.790972222225)</f>
        <v>42459.79097</v>
      </c>
      <c r="B97" s="257" t="str">
        <f>IFERROR(__xludf.DUMMYFUNCTION("""COMPUTED_VALUE"""),"Benjamin Brooks S85")</f>
        <v>Benjamin Brooks S85</v>
      </c>
      <c r="C97" s="258" t="str">
        <f>IFERROR(__xludf.DUMMYFUNCTION("""COMPUTED_VALUE"""),"USA")</f>
        <v>USA</v>
      </c>
      <c r="D97" s="258" t="str">
        <f>IFERROR(__xludf.DUMMYFUNCTION("""COMPUTED_VALUE"""),"mi. My car displays range in miles and I will enter all range numbers in miles.")</f>
        <v>mi. My car displays range in miles and I will enter all range numbers in miles.</v>
      </c>
      <c r="E97" s="259">
        <f>IFERROR(__xludf.DUMMYFUNCTION("""COMPUTED_VALUE"""),41310.0)</f>
        <v>41310</v>
      </c>
      <c r="F97" s="258" t="str">
        <f>IFERROR(__xludf.DUMMYFUNCTION("""COMPUTED_VALUE"""),"Model S 85")</f>
        <v>Model S 85</v>
      </c>
      <c r="G97" s="258" t="str">
        <f>IFERROR(__xludf.DUMMYFUNCTION("""COMPUTED_VALUE"""),"Monthly")</f>
        <v>Monthly</v>
      </c>
      <c r="H97" s="258" t="str">
        <f>IFERROR(__xludf.DUMMYFUNCTION("""COMPUTED_VALUE"""),"A few times a year")</f>
        <v>A few times a year</v>
      </c>
      <c r="I97" s="258" t="str">
        <f>IFERROR(__xludf.DUMMYFUNCTION("""COMPUTED_VALUE"""),"A few times a year")</f>
        <v>A few times a year</v>
      </c>
      <c r="J97" s="260">
        <f>IFERROR(__xludf.DUMMYFUNCTION("""COMPUTED_VALUE"""),0.9)</f>
        <v>0.9</v>
      </c>
      <c r="K97" s="258">
        <f>IFERROR(__xludf.DUMMYFUNCTION("""COMPUTED_VALUE"""),270.0)</f>
        <v>270</v>
      </c>
      <c r="L97" s="258" t="str">
        <f>IFERROR(__xludf.DUMMYFUNCTION("""COMPUTED_VALUE"""),"")</f>
        <v/>
      </c>
      <c r="M97" s="261">
        <f>IFERROR(__xludf.DUMMYFUNCTION("""COMPUTED_VALUE"""),297.0)</f>
        <v>297</v>
      </c>
      <c r="N97" s="262" t="str">
        <f>IFERROR(__xludf.DUMMYFUNCTION("""COMPUTED_VALUE"""),"")</f>
        <v/>
      </c>
      <c r="O97" s="259" t="str">
        <f>IFERROR(__xludf.DUMMYFUNCTION("""COMPUTED_VALUE"""),"")</f>
        <v/>
      </c>
      <c r="P97" s="259">
        <f>IFERROR(__xludf.DUMMYFUNCTION("""COMPUTED_VALUE"""),42459.0)</f>
        <v>42459</v>
      </c>
      <c r="Q97" s="258">
        <f>IFERROR(__xludf.DUMMYFUNCTION("""COMPUTED_VALUE"""),44219.0)</f>
        <v>44219</v>
      </c>
      <c r="R97" s="261">
        <f>IFERROR(__xludf.DUMMYFUNCTION("""COMPUTED_VALUE"""),253.0)</f>
        <v>253</v>
      </c>
      <c r="S97" s="258">
        <v>266.0</v>
      </c>
      <c r="T97" s="263">
        <v>0.9511278195488722</v>
      </c>
      <c r="U97" s="264">
        <v>44219.0</v>
      </c>
      <c r="V97" s="265">
        <v>71164.0</v>
      </c>
      <c r="W97" s="264">
        <v>44219.0</v>
      </c>
      <c r="X97" s="266" t="str">
        <f>IFERROR(__xludf.DUMMYFUNCTION("""COMPUTED_VALUE"""),"cmorgan")</f>
        <v>cmorgan</v>
      </c>
      <c r="Y97" s="267">
        <v>-0.01</v>
      </c>
      <c r="Z97" s="267">
        <v>0.9536316734208623</v>
      </c>
      <c r="AA97" s="269"/>
      <c r="AB97" s="270"/>
      <c r="AC97" s="270"/>
      <c r="AD97" s="270"/>
      <c r="AE97" s="270"/>
    </row>
    <row r="98">
      <c r="A98" s="256">
        <f>IFERROR(__xludf.DUMMYFUNCTION("""COMPUTED_VALUE"""),42481.79305555555)</f>
        <v>42481.79306</v>
      </c>
      <c r="B98" s="257" t="str">
        <f>IFERROR(__xludf.DUMMYFUNCTION("""COMPUTED_VALUE"""),"Benjamin Brooks S85")</f>
        <v>Benjamin Brooks S85</v>
      </c>
      <c r="C98" s="258" t="str">
        <f>IFERROR(__xludf.DUMMYFUNCTION("""COMPUTED_VALUE"""),"USA")</f>
        <v>USA</v>
      </c>
      <c r="D98" s="258" t="str">
        <f>IFERROR(__xludf.DUMMYFUNCTION("""COMPUTED_VALUE"""),"mi. My car displays range in miles and I will enter all range numbers in miles.")</f>
        <v>mi. My car displays range in miles and I will enter all range numbers in miles.</v>
      </c>
      <c r="E98" s="259">
        <f>IFERROR(__xludf.DUMMYFUNCTION("""COMPUTED_VALUE"""),41310.0)</f>
        <v>41310</v>
      </c>
      <c r="F98" s="258" t="str">
        <f>IFERROR(__xludf.DUMMYFUNCTION("""COMPUTED_VALUE"""),"Model S 85")</f>
        <v>Model S 85</v>
      </c>
      <c r="G98" s="258" t="str">
        <f>IFERROR(__xludf.DUMMYFUNCTION("""COMPUTED_VALUE"""),"Monthly")</f>
        <v>Monthly</v>
      </c>
      <c r="H98" s="258" t="str">
        <f>IFERROR(__xludf.DUMMYFUNCTION("""COMPUTED_VALUE"""),"A few times a year")</f>
        <v>A few times a year</v>
      </c>
      <c r="I98" s="258" t="str">
        <f>IFERROR(__xludf.DUMMYFUNCTION("""COMPUTED_VALUE"""),"A few times a year")</f>
        <v>A few times a year</v>
      </c>
      <c r="J98" s="260">
        <f>IFERROR(__xludf.DUMMYFUNCTION("""COMPUTED_VALUE"""),0.9)</f>
        <v>0.9</v>
      </c>
      <c r="K98" s="258">
        <f>IFERROR(__xludf.DUMMYFUNCTION("""COMPUTED_VALUE"""),270.0)</f>
        <v>270</v>
      </c>
      <c r="L98" s="258" t="str">
        <f>IFERROR(__xludf.DUMMYFUNCTION("""COMPUTED_VALUE"""),"")</f>
        <v/>
      </c>
      <c r="M98" s="261">
        <f>IFERROR(__xludf.DUMMYFUNCTION("""COMPUTED_VALUE"""),297.0)</f>
        <v>297</v>
      </c>
      <c r="N98" s="262" t="str">
        <f>IFERROR(__xludf.DUMMYFUNCTION("""COMPUTED_VALUE"""),"")</f>
        <v/>
      </c>
      <c r="O98" s="259" t="str">
        <f>IFERROR(__xludf.DUMMYFUNCTION("""COMPUTED_VALUE"""),"")</f>
        <v/>
      </c>
      <c r="P98" s="259">
        <f>IFERROR(__xludf.DUMMYFUNCTION("""COMPUTED_VALUE"""),42481.0)</f>
        <v>42481</v>
      </c>
      <c r="Q98" s="258">
        <f>IFERROR(__xludf.DUMMYFUNCTION("""COMPUTED_VALUE"""),44883.0)</f>
        <v>44883</v>
      </c>
      <c r="R98" s="261">
        <f>IFERROR(__xludf.DUMMYFUNCTION("""COMPUTED_VALUE"""),254.0)</f>
        <v>254</v>
      </c>
      <c r="S98" s="258">
        <v>266.0</v>
      </c>
      <c r="T98" s="263">
        <v>0.9548872180451128</v>
      </c>
      <c r="U98" s="264">
        <v>44883.0</v>
      </c>
      <c r="V98" s="265">
        <v>72232.0</v>
      </c>
      <c r="W98" s="264">
        <v>44883.0</v>
      </c>
      <c r="X98" s="266" t="str">
        <f>IFERROR(__xludf.DUMMYFUNCTION("""COMPUTED_VALUE"""),"Coltsmild")</f>
        <v>Coltsmild</v>
      </c>
      <c r="Y98" s="267">
        <v>-0.01</v>
      </c>
      <c r="Z98" s="267">
        <v>0.9533560865492878</v>
      </c>
      <c r="AA98" s="269"/>
      <c r="AB98" s="270"/>
      <c r="AC98" s="270"/>
      <c r="AD98" s="270"/>
      <c r="AE98" s="270"/>
    </row>
    <row r="99">
      <c r="A99" s="256">
        <f>IFERROR(__xludf.DUMMYFUNCTION("""COMPUTED_VALUE"""),42524.79722222222)</f>
        <v>42524.79722</v>
      </c>
      <c r="B99" s="257" t="str">
        <f>IFERROR(__xludf.DUMMYFUNCTION("""COMPUTED_VALUE"""),"Benjamin Brooks S85")</f>
        <v>Benjamin Brooks S85</v>
      </c>
      <c r="C99" s="258" t="str">
        <f>IFERROR(__xludf.DUMMYFUNCTION("""COMPUTED_VALUE"""),"USA")</f>
        <v>USA</v>
      </c>
      <c r="D99" s="258" t="str">
        <f>IFERROR(__xludf.DUMMYFUNCTION("""COMPUTED_VALUE"""),"mi. My car displays range in miles and I will enter all range numbers in miles.")</f>
        <v>mi. My car displays range in miles and I will enter all range numbers in miles.</v>
      </c>
      <c r="E99" s="259">
        <f>IFERROR(__xludf.DUMMYFUNCTION("""COMPUTED_VALUE"""),41310.0)</f>
        <v>41310</v>
      </c>
      <c r="F99" s="258" t="str">
        <f>IFERROR(__xludf.DUMMYFUNCTION("""COMPUTED_VALUE"""),"Model S 85")</f>
        <v>Model S 85</v>
      </c>
      <c r="G99" s="258" t="str">
        <f>IFERROR(__xludf.DUMMYFUNCTION("""COMPUTED_VALUE"""),"Monthly")</f>
        <v>Monthly</v>
      </c>
      <c r="H99" s="258" t="str">
        <f>IFERROR(__xludf.DUMMYFUNCTION("""COMPUTED_VALUE"""),"A few times a year")</f>
        <v>A few times a year</v>
      </c>
      <c r="I99" s="258" t="str">
        <f>IFERROR(__xludf.DUMMYFUNCTION("""COMPUTED_VALUE"""),"A few times a year")</f>
        <v>A few times a year</v>
      </c>
      <c r="J99" s="260">
        <f>IFERROR(__xludf.DUMMYFUNCTION("""COMPUTED_VALUE"""),0.9)</f>
        <v>0.9</v>
      </c>
      <c r="K99" s="258">
        <f>IFERROR(__xludf.DUMMYFUNCTION("""COMPUTED_VALUE"""),270.0)</f>
        <v>270</v>
      </c>
      <c r="L99" s="258" t="str">
        <f>IFERROR(__xludf.DUMMYFUNCTION("""COMPUTED_VALUE"""),"")</f>
        <v/>
      </c>
      <c r="M99" s="261">
        <f>IFERROR(__xludf.DUMMYFUNCTION("""COMPUTED_VALUE"""),297.0)</f>
        <v>297</v>
      </c>
      <c r="N99" s="262" t="str">
        <f>IFERROR(__xludf.DUMMYFUNCTION("""COMPUTED_VALUE"""),"")</f>
        <v/>
      </c>
      <c r="O99" s="259" t="str">
        <f>IFERROR(__xludf.DUMMYFUNCTION("""COMPUTED_VALUE"""),"")</f>
        <v/>
      </c>
      <c r="P99" s="259">
        <f>IFERROR(__xludf.DUMMYFUNCTION("""COMPUTED_VALUE"""),42524.0)</f>
        <v>42524</v>
      </c>
      <c r="Q99" s="258">
        <f>IFERROR(__xludf.DUMMYFUNCTION("""COMPUTED_VALUE"""),46559.0)</f>
        <v>46559</v>
      </c>
      <c r="R99" s="261">
        <f>IFERROR(__xludf.DUMMYFUNCTION("""COMPUTED_VALUE"""),254.0)</f>
        <v>254</v>
      </c>
      <c r="S99" s="258">
        <v>266.0</v>
      </c>
      <c r="T99" s="263">
        <v>0.9548872180451128</v>
      </c>
      <c r="U99" s="264">
        <v>46559.0</v>
      </c>
      <c r="V99" s="265">
        <v>74929.0</v>
      </c>
      <c r="W99" s="264">
        <v>46559.0</v>
      </c>
      <c r="X99" s="266" t="str">
        <f>IFERROR(__xludf.DUMMYFUNCTION("""COMPUTED_VALUE"""),"Consolaus")</f>
        <v>Consolaus</v>
      </c>
      <c r="Y99" s="267">
        <v>-0.01</v>
      </c>
      <c r="Z99" s="267">
        <v>0.9526677542069907</v>
      </c>
      <c r="AA99" s="269"/>
      <c r="AB99" s="270"/>
      <c r="AC99" s="270"/>
      <c r="AD99" s="270"/>
      <c r="AE99" s="270"/>
    </row>
    <row r="100">
      <c r="A100" s="256">
        <f>IFERROR(__xludf.DUMMYFUNCTION("""COMPUTED_VALUE"""),42559.8)</f>
        <v>42559.8</v>
      </c>
      <c r="B100" s="257" t="str">
        <f>IFERROR(__xludf.DUMMYFUNCTION("""COMPUTED_VALUE"""),"Benjamin Brooks S85")</f>
        <v>Benjamin Brooks S85</v>
      </c>
      <c r="C100" s="258" t="str">
        <f>IFERROR(__xludf.DUMMYFUNCTION("""COMPUTED_VALUE"""),"USA")</f>
        <v>USA</v>
      </c>
      <c r="D100" s="258" t="str">
        <f>IFERROR(__xludf.DUMMYFUNCTION("""COMPUTED_VALUE"""),"mi. My car displays range in miles and I will enter all range numbers in miles.")</f>
        <v>mi. My car displays range in miles and I will enter all range numbers in miles.</v>
      </c>
      <c r="E100" s="259">
        <f>IFERROR(__xludf.DUMMYFUNCTION("""COMPUTED_VALUE"""),41310.0)</f>
        <v>41310</v>
      </c>
      <c r="F100" s="258" t="str">
        <f>IFERROR(__xludf.DUMMYFUNCTION("""COMPUTED_VALUE"""),"Model S 85")</f>
        <v>Model S 85</v>
      </c>
      <c r="G100" s="258" t="str">
        <f>IFERROR(__xludf.DUMMYFUNCTION("""COMPUTED_VALUE"""),"Monthly")</f>
        <v>Monthly</v>
      </c>
      <c r="H100" s="258" t="str">
        <f>IFERROR(__xludf.DUMMYFUNCTION("""COMPUTED_VALUE"""),"A few times a year")</f>
        <v>A few times a year</v>
      </c>
      <c r="I100" s="258" t="str">
        <f>IFERROR(__xludf.DUMMYFUNCTION("""COMPUTED_VALUE"""),"A few times a year")</f>
        <v>A few times a year</v>
      </c>
      <c r="J100" s="260">
        <f>IFERROR(__xludf.DUMMYFUNCTION("""COMPUTED_VALUE"""),0.9)</f>
        <v>0.9</v>
      </c>
      <c r="K100" s="258">
        <f>IFERROR(__xludf.DUMMYFUNCTION("""COMPUTED_VALUE"""),270.0)</f>
        <v>270</v>
      </c>
      <c r="L100" s="258" t="str">
        <f>IFERROR(__xludf.DUMMYFUNCTION("""COMPUTED_VALUE"""),"")</f>
        <v/>
      </c>
      <c r="M100" s="261">
        <f>IFERROR(__xludf.DUMMYFUNCTION("""COMPUTED_VALUE"""),297.0)</f>
        <v>297</v>
      </c>
      <c r="N100" s="262" t="str">
        <f>IFERROR(__xludf.DUMMYFUNCTION("""COMPUTED_VALUE"""),"")</f>
        <v/>
      </c>
      <c r="O100" s="259" t="str">
        <f>IFERROR(__xludf.DUMMYFUNCTION("""COMPUTED_VALUE"""),"")</f>
        <v/>
      </c>
      <c r="P100" s="259">
        <f>IFERROR(__xludf.DUMMYFUNCTION("""COMPUTED_VALUE"""),42559.0)</f>
        <v>42559</v>
      </c>
      <c r="Q100" s="258">
        <f>IFERROR(__xludf.DUMMYFUNCTION("""COMPUTED_VALUE"""),48053.0)</f>
        <v>48053</v>
      </c>
      <c r="R100" s="261">
        <f>IFERROR(__xludf.DUMMYFUNCTION("""COMPUTED_VALUE"""),253.0)</f>
        <v>253</v>
      </c>
      <c r="S100" s="258">
        <v>266.0</v>
      </c>
      <c r="T100" s="263">
        <v>0.9511278195488722</v>
      </c>
      <c r="U100" s="264">
        <v>48053.0</v>
      </c>
      <c r="V100" s="265">
        <v>77334.0</v>
      </c>
      <c r="W100" s="264">
        <v>48053.0</v>
      </c>
      <c r="X100" s="266" t="str">
        <f>IFERROR(__xludf.DUMMYFUNCTION("""COMPUTED_VALUE"""),"Cookie Monster")</f>
        <v>Cookie Monster</v>
      </c>
      <c r="Y100" s="267">
        <v>-0.01</v>
      </c>
      <c r="Z100" s="267">
        <v>0.9520621037664955</v>
      </c>
      <c r="AA100" s="269"/>
      <c r="AB100" s="270"/>
      <c r="AC100" s="270"/>
      <c r="AD100" s="270"/>
      <c r="AE100" s="270"/>
    </row>
    <row r="101">
      <c r="A101" s="256">
        <f>IFERROR(__xludf.DUMMYFUNCTION("""COMPUTED_VALUE"""),42619.805555555555)</f>
        <v>42619.80556</v>
      </c>
      <c r="B101" s="257" t="str">
        <f>IFERROR(__xludf.DUMMYFUNCTION("""COMPUTED_VALUE"""),"Benjamin Brooks S85")</f>
        <v>Benjamin Brooks S85</v>
      </c>
      <c r="C101" s="258" t="str">
        <f>IFERROR(__xludf.DUMMYFUNCTION("""COMPUTED_VALUE"""),"USA")</f>
        <v>USA</v>
      </c>
      <c r="D101" s="258" t="str">
        <f>IFERROR(__xludf.DUMMYFUNCTION("""COMPUTED_VALUE"""),"mi. My car displays range in miles and I will enter all range numbers in miles.")</f>
        <v>mi. My car displays range in miles and I will enter all range numbers in miles.</v>
      </c>
      <c r="E101" s="259">
        <f>IFERROR(__xludf.DUMMYFUNCTION("""COMPUTED_VALUE"""),41310.0)</f>
        <v>41310</v>
      </c>
      <c r="F101" s="258" t="str">
        <f>IFERROR(__xludf.DUMMYFUNCTION("""COMPUTED_VALUE"""),"Model S 85")</f>
        <v>Model S 85</v>
      </c>
      <c r="G101" s="258" t="str">
        <f>IFERROR(__xludf.DUMMYFUNCTION("""COMPUTED_VALUE"""),"Monthly")</f>
        <v>Monthly</v>
      </c>
      <c r="H101" s="258" t="str">
        <f>IFERROR(__xludf.DUMMYFUNCTION("""COMPUTED_VALUE"""),"A few times a year")</f>
        <v>A few times a year</v>
      </c>
      <c r="I101" s="258" t="str">
        <f>IFERROR(__xludf.DUMMYFUNCTION("""COMPUTED_VALUE"""),"A few times a year")</f>
        <v>A few times a year</v>
      </c>
      <c r="J101" s="260">
        <f>IFERROR(__xludf.DUMMYFUNCTION("""COMPUTED_VALUE"""),0.9)</f>
        <v>0.9</v>
      </c>
      <c r="K101" s="258">
        <f>IFERROR(__xludf.DUMMYFUNCTION("""COMPUTED_VALUE"""),270.0)</f>
        <v>270</v>
      </c>
      <c r="L101" s="258" t="str">
        <f>IFERROR(__xludf.DUMMYFUNCTION("""COMPUTED_VALUE"""),"")</f>
        <v/>
      </c>
      <c r="M101" s="261">
        <f>IFERROR(__xludf.DUMMYFUNCTION("""COMPUTED_VALUE"""),297.0)</f>
        <v>297</v>
      </c>
      <c r="N101" s="262" t="str">
        <f>IFERROR(__xludf.DUMMYFUNCTION("""COMPUTED_VALUE"""),"")</f>
        <v/>
      </c>
      <c r="O101" s="259" t="str">
        <f>IFERROR(__xludf.DUMMYFUNCTION("""COMPUTED_VALUE"""),"")</f>
        <v/>
      </c>
      <c r="P101" s="259">
        <f>IFERROR(__xludf.DUMMYFUNCTION("""COMPUTED_VALUE"""),42619.0)</f>
        <v>42619</v>
      </c>
      <c r="Q101" s="258">
        <f>IFERROR(__xludf.DUMMYFUNCTION("""COMPUTED_VALUE"""),49639.0)</f>
        <v>49639</v>
      </c>
      <c r="R101" s="261">
        <f>IFERROR(__xludf.DUMMYFUNCTION("""COMPUTED_VALUE"""),253.0)</f>
        <v>253</v>
      </c>
      <c r="S101" s="258">
        <v>266.0</v>
      </c>
      <c r="T101" s="263">
        <v>0.9511278195488722</v>
      </c>
      <c r="U101" s="264">
        <v>49639.0</v>
      </c>
      <c r="V101" s="265">
        <v>79886.0</v>
      </c>
      <c r="W101" s="264">
        <v>49639.0</v>
      </c>
      <c r="X101" s="266" t="str">
        <f>IFERROR(__xludf.DUMMYFUNCTION("""COMPUTED_VALUE"""),"CPA")</f>
        <v>CPA</v>
      </c>
      <c r="Y101" s="267">
        <v>-0.01</v>
      </c>
      <c r="Z101" s="267">
        <v>0.951426684054844</v>
      </c>
      <c r="AA101" s="269"/>
      <c r="AB101" s="270"/>
      <c r="AC101" s="270"/>
      <c r="AD101" s="270"/>
      <c r="AE101" s="270"/>
    </row>
    <row r="102">
      <c r="A102" s="256">
        <f>IFERROR(__xludf.DUMMYFUNCTION("""COMPUTED_VALUE"""),42649.80763888889)</f>
        <v>42649.80764</v>
      </c>
      <c r="B102" s="257" t="str">
        <f>IFERROR(__xludf.DUMMYFUNCTION("""COMPUTED_VALUE"""),"Benjamin Brooks S85")</f>
        <v>Benjamin Brooks S85</v>
      </c>
      <c r="C102" s="258" t="str">
        <f>IFERROR(__xludf.DUMMYFUNCTION("""COMPUTED_VALUE"""),"USA")</f>
        <v>USA</v>
      </c>
      <c r="D102" s="258" t="str">
        <f>IFERROR(__xludf.DUMMYFUNCTION("""COMPUTED_VALUE"""),"mi. My car displays range in miles and I will enter all range numbers in miles.")</f>
        <v>mi. My car displays range in miles and I will enter all range numbers in miles.</v>
      </c>
      <c r="E102" s="259">
        <f>IFERROR(__xludf.DUMMYFUNCTION("""COMPUTED_VALUE"""),41310.0)</f>
        <v>41310</v>
      </c>
      <c r="F102" s="258" t="str">
        <f>IFERROR(__xludf.DUMMYFUNCTION("""COMPUTED_VALUE"""),"Model S 85")</f>
        <v>Model S 85</v>
      </c>
      <c r="G102" s="258" t="str">
        <f>IFERROR(__xludf.DUMMYFUNCTION("""COMPUTED_VALUE"""),"Monthly")</f>
        <v>Monthly</v>
      </c>
      <c r="H102" s="258" t="str">
        <f>IFERROR(__xludf.DUMMYFUNCTION("""COMPUTED_VALUE"""),"A few times a year")</f>
        <v>A few times a year</v>
      </c>
      <c r="I102" s="258" t="str">
        <f>IFERROR(__xludf.DUMMYFUNCTION("""COMPUTED_VALUE"""),"A few times a year")</f>
        <v>A few times a year</v>
      </c>
      <c r="J102" s="260">
        <f>IFERROR(__xludf.DUMMYFUNCTION("""COMPUTED_VALUE"""),0.9)</f>
        <v>0.9</v>
      </c>
      <c r="K102" s="258">
        <f>IFERROR(__xludf.DUMMYFUNCTION("""COMPUTED_VALUE"""),270.0)</f>
        <v>270</v>
      </c>
      <c r="L102" s="258" t="str">
        <f>IFERROR(__xludf.DUMMYFUNCTION("""COMPUTED_VALUE"""),"")</f>
        <v/>
      </c>
      <c r="M102" s="261">
        <f>IFERROR(__xludf.DUMMYFUNCTION("""COMPUTED_VALUE"""),297.0)</f>
        <v>297</v>
      </c>
      <c r="N102" s="262" t="str">
        <f>IFERROR(__xludf.DUMMYFUNCTION("""COMPUTED_VALUE"""),"")</f>
        <v/>
      </c>
      <c r="O102" s="259" t="str">
        <f>IFERROR(__xludf.DUMMYFUNCTION("""COMPUTED_VALUE"""),"")</f>
        <v/>
      </c>
      <c r="P102" s="259">
        <f>IFERROR(__xludf.DUMMYFUNCTION("""COMPUTED_VALUE"""),42649.0)</f>
        <v>42649</v>
      </c>
      <c r="Q102" s="258">
        <f>IFERROR(__xludf.DUMMYFUNCTION("""COMPUTED_VALUE"""),50510.0)</f>
        <v>50510</v>
      </c>
      <c r="R102" s="261">
        <f>IFERROR(__xludf.DUMMYFUNCTION("""COMPUTED_VALUE"""),252.0)</f>
        <v>252</v>
      </c>
      <c r="S102" s="258">
        <v>266.0</v>
      </c>
      <c r="T102" s="263">
        <v>0.9473684210526315</v>
      </c>
      <c r="U102" s="264">
        <v>50510.0</v>
      </c>
      <c r="V102" s="265">
        <v>81288.0</v>
      </c>
      <c r="W102" s="264">
        <v>50510.0</v>
      </c>
      <c r="X102" s="266" t="str">
        <f>IFERROR(__xludf.DUMMYFUNCTION("""COMPUTED_VALUE"""),"CrypticError")</f>
        <v>CrypticError</v>
      </c>
      <c r="Y102" s="267">
        <v>-0.01</v>
      </c>
      <c r="Z102" s="267">
        <v>0.9510804084927148</v>
      </c>
      <c r="AA102" s="269"/>
      <c r="AB102" s="270"/>
      <c r="AC102" s="270"/>
      <c r="AD102" s="270"/>
      <c r="AE102" s="270"/>
    </row>
    <row r="103">
      <c r="A103" s="256">
        <f>IFERROR(__xludf.DUMMYFUNCTION("""COMPUTED_VALUE"""),42822.822222222225)</f>
        <v>42822.82222</v>
      </c>
      <c r="B103" s="257" t="str">
        <f>IFERROR(__xludf.DUMMYFUNCTION("""COMPUTED_VALUE"""),"Benjamin Brooks S85")</f>
        <v>Benjamin Brooks S85</v>
      </c>
      <c r="C103" s="258" t="str">
        <f>IFERROR(__xludf.DUMMYFUNCTION("""COMPUTED_VALUE"""),"USA")</f>
        <v>USA</v>
      </c>
      <c r="D103" s="258" t="str">
        <f>IFERROR(__xludf.DUMMYFUNCTION("""COMPUTED_VALUE"""),"mi. My car displays range in miles and I will enter all range numbers in miles.")</f>
        <v>mi. My car displays range in miles and I will enter all range numbers in miles.</v>
      </c>
      <c r="E103" s="259">
        <f>IFERROR(__xludf.DUMMYFUNCTION("""COMPUTED_VALUE"""),41310.0)</f>
        <v>41310</v>
      </c>
      <c r="F103" s="258" t="str">
        <f>IFERROR(__xludf.DUMMYFUNCTION("""COMPUTED_VALUE"""),"Model S 85")</f>
        <v>Model S 85</v>
      </c>
      <c r="G103" s="258" t="str">
        <f>IFERROR(__xludf.DUMMYFUNCTION("""COMPUTED_VALUE"""),"Monthly")</f>
        <v>Monthly</v>
      </c>
      <c r="H103" s="258" t="str">
        <f>IFERROR(__xludf.DUMMYFUNCTION("""COMPUTED_VALUE"""),"A few times a year")</f>
        <v>A few times a year</v>
      </c>
      <c r="I103" s="258" t="str">
        <f>IFERROR(__xludf.DUMMYFUNCTION("""COMPUTED_VALUE"""),"A few times a year")</f>
        <v>A few times a year</v>
      </c>
      <c r="J103" s="260">
        <f>IFERROR(__xludf.DUMMYFUNCTION("""COMPUTED_VALUE"""),0.9)</f>
        <v>0.9</v>
      </c>
      <c r="K103" s="258">
        <f>IFERROR(__xludf.DUMMYFUNCTION("""COMPUTED_VALUE"""),270.0)</f>
        <v>270</v>
      </c>
      <c r="L103" s="258" t="str">
        <f>IFERROR(__xludf.DUMMYFUNCTION("""COMPUTED_VALUE"""),"")</f>
        <v/>
      </c>
      <c r="M103" s="261">
        <f>IFERROR(__xludf.DUMMYFUNCTION("""COMPUTED_VALUE"""),297.0)</f>
        <v>297</v>
      </c>
      <c r="N103" s="262" t="str">
        <f>IFERROR(__xludf.DUMMYFUNCTION("""COMPUTED_VALUE"""),"")</f>
        <v/>
      </c>
      <c r="O103" s="259" t="str">
        <f>IFERROR(__xludf.DUMMYFUNCTION("""COMPUTED_VALUE"""),"")</f>
        <v/>
      </c>
      <c r="P103" s="259">
        <f>IFERROR(__xludf.DUMMYFUNCTION("""COMPUTED_VALUE"""),42822.0)</f>
        <v>42822</v>
      </c>
      <c r="Q103" s="258">
        <f>IFERROR(__xludf.DUMMYFUNCTION("""COMPUTED_VALUE"""),55213.0)</f>
        <v>55213</v>
      </c>
      <c r="R103" s="261">
        <f>IFERROR(__xludf.DUMMYFUNCTION("""COMPUTED_VALUE"""),252.0)</f>
        <v>252</v>
      </c>
      <c r="S103" s="258">
        <v>266.0</v>
      </c>
      <c r="T103" s="263">
        <v>0.9473684210526315</v>
      </c>
      <c r="U103" s="264">
        <v>55213.0</v>
      </c>
      <c r="V103" s="265">
        <v>88857.0</v>
      </c>
      <c r="W103" s="264">
        <v>55213.0</v>
      </c>
      <c r="X103" s="266" t="str">
        <f>IFERROR(__xludf.DUMMYFUNCTION("""COMPUTED_VALUE"""),"D4Ha (NL)")</f>
        <v>D4Ha (NL)</v>
      </c>
      <c r="Y103" s="267">
        <v>-0.01</v>
      </c>
      <c r="Z103" s="267">
        <v>0.9492386112077371</v>
      </c>
      <c r="AA103" s="269"/>
      <c r="AB103" s="270"/>
      <c r="AC103" s="270"/>
      <c r="AD103" s="270"/>
      <c r="AE103" s="270"/>
    </row>
    <row r="104">
      <c r="A104" s="256">
        <f>IFERROR(__xludf.DUMMYFUNCTION("""COMPUTED_VALUE"""),42849.82638888889)</f>
        <v>42849.82639</v>
      </c>
      <c r="B104" s="257" t="str">
        <f>IFERROR(__xludf.DUMMYFUNCTION("""COMPUTED_VALUE"""),"Benjamin Brooks S85")</f>
        <v>Benjamin Brooks S85</v>
      </c>
      <c r="C104" s="258" t="str">
        <f>IFERROR(__xludf.DUMMYFUNCTION("""COMPUTED_VALUE"""),"USA")</f>
        <v>USA</v>
      </c>
      <c r="D104" s="258" t="str">
        <f>IFERROR(__xludf.DUMMYFUNCTION("""COMPUTED_VALUE"""),"mi. My car displays range in miles and I will enter all range numbers in miles.")</f>
        <v>mi. My car displays range in miles and I will enter all range numbers in miles.</v>
      </c>
      <c r="E104" s="259">
        <f>IFERROR(__xludf.DUMMYFUNCTION("""COMPUTED_VALUE"""),41310.0)</f>
        <v>41310</v>
      </c>
      <c r="F104" s="258" t="str">
        <f>IFERROR(__xludf.DUMMYFUNCTION("""COMPUTED_VALUE"""),"Model S 85")</f>
        <v>Model S 85</v>
      </c>
      <c r="G104" s="258" t="str">
        <f>IFERROR(__xludf.DUMMYFUNCTION("""COMPUTED_VALUE"""),"Monthly")</f>
        <v>Monthly</v>
      </c>
      <c r="H104" s="258" t="str">
        <f>IFERROR(__xludf.DUMMYFUNCTION("""COMPUTED_VALUE"""),"A few times a year")</f>
        <v>A few times a year</v>
      </c>
      <c r="I104" s="258" t="str">
        <f>IFERROR(__xludf.DUMMYFUNCTION("""COMPUTED_VALUE"""),"A few times a year")</f>
        <v>A few times a year</v>
      </c>
      <c r="J104" s="260">
        <f>IFERROR(__xludf.DUMMYFUNCTION("""COMPUTED_VALUE"""),0.9)</f>
        <v>0.9</v>
      </c>
      <c r="K104" s="258">
        <f>IFERROR(__xludf.DUMMYFUNCTION("""COMPUTED_VALUE"""),270.0)</f>
        <v>270</v>
      </c>
      <c r="L104" s="258" t="str">
        <f>IFERROR(__xludf.DUMMYFUNCTION("""COMPUTED_VALUE"""),"")</f>
        <v/>
      </c>
      <c r="M104" s="261">
        <f>IFERROR(__xludf.DUMMYFUNCTION("""COMPUTED_VALUE"""),297.0)</f>
        <v>297</v>
      </c>
      <c r="N104" s="262" t="str">
        <f>IFERROR(__xludf.DUMMYFUNCTION("""COMPUTED_VALUE"""),"")</f>
        <v/>
      </c>
      <c r="O104" s="259" t="str">
        <f>IFERROR(__xludf.DUMMYFUNCTION("""COMPUTED_VALUE"""),"")</f>
        <v/>
      </c>
      <c r="P104" s="259">
        <f>IFERROR(__xludf.DUMMYFUNCTION("""COMPUTED_VALUE"""),42849.0)</f>
        <v>42849</v>
      </c>
      <c r="Q104" s="258">
        <f>IFERROR(__xludf.DUMMYFUNCTION("""COMPUTED_VALUE"""),55770.0)</f>
        <v>55770</v>
      </c>
      <c r="R104" s="261">
        <f>IFERROR(__xludf.DUMMYFUNCTION("""COMPUTED_VALUE"""),252.0)</f>
        <v>252</v>
      </c>
      <c r="S104" s="258">
        <v>266.0</v>
      </c>
      <c r="T104" s="263">
        <v>0.9473684210526315</v>
      </c>
      <c r="U104" s="264">
        <v>55770.0</v>
      </c>
      <c r="V104" s="265">
        <v>89753.0</v>
      </c>
      <c r="W104" s="264">
        <v>55770.0</v>
      </c>
      <c r="X104" s="266" t="str">
        <f>IFERROR(__xludf.DUMMYFUNCTION("""COMPUTED_VALUE"""),"Daankool")</f>
        <v>Daankool</v>
      </c>
      <c r="Y104" s="267">
        <v>-0.01</v>
      </c>
      <c r="Z104" s="267">
        <v>0.9490231337324678</v>
      </c>
      <c r="AA104" s="269"/>
      <c r="AB104" s="270"/>
      <c r="AC104" s="270"/>
      <c r="AD104" s="270"/>
      <c r="AE104" s="270"/>
    </row>
    <row r="105">
      <c r="A105" s="256">
        <f>IFERROR(__xludf.DUMMYFUNCTION("""COMPUTED_VALUE"""),42878.83263888889)</f>
        <v>42878.83264</v>
      </c>
      <c r="B105" s="257" t="str">
        <f>IFERROR(__xludf.DUMMYFUNCTION("""COMPUTED_VALUE"""),"Benjamin Brooks S85")</f>
        <v>Benjamin Brooks S85</v>
      </c>
      <c r="C105" s="258" t="str">
        <f>IFERROR(__xludf.DUMMYFUNCTION("""COMPUTED_VALUE"""),"USA")</f>
        <v>USA</v>
      </c>
      <c r="D105" s="258" t="str">
        <f>IFERROR(__xludf.DUMMYFUNCTION("""COMPUTED_VALUE"""),"mi. My car displays range in miles and I will enter all range numbers in miles.")</f>
        <v>mi. My car displays range in miles and I will enter all range numbers in miles.</v>
      </c>
      <c r="E105" s="259">
        <f>IFERROR(__xludf.DUMMYFUNCTION("""COMPUTED_VALUE"""),41310.0)</f>
        <v>41310</v>
      </c>
      <c r="F105" s="258" t="str">
        <f>IFERROR(__xludf.DUMMYFUNCTION("""COMPUTED_VALUE"""),"Model S 85")</f>
        <v>Model S 85</v>
      </c>
      <c r="G105" s="258" t="str">
        <f>IFERROR(__xludf.DUMMYFUNCTION("""COMPUTED_VALUE"""),"Monthly")</f>
        <v>Monthly</v>
      </c>
      <c r="H105" s="258" t="str">
        <f>IFERROR(__xludf.DUMMYFUNCTION("""COMPUTED_VALUE"""),"A few times a year")</f>
        <v>A few times a year</v>
      </c>
      <c r="I105" s="258" t="str">
        <f>IFERROR(__xludf.DUMMYFUNCTION("""COMPUTED_VALUE"""),"A few times a year")</f>
        <v>A few times a year</v>
      </c>
      <c r="J105" s="260">
        <f>IFERROR(__xludf.DUMMYFUNCTION("""COMPUTED_VALUE"""),0.9)</f>
        <v>0.9</v>
      </c>
      <c r="K105" s="258">
        <f>IFERROR(__xludf.DUMMYFUNCTION("""COMPUTED_VALUE"""),270.0)</f>
        <v>270</v>
      </c>
      <c r="L105" s="258" t="str">
        <f>IFERROR(__xludf.DUMMYFUNCTION("""COMPUTED_VALUE"""),"")</f>
        <v/>
      </c>
      <c r="M105" s="261">
        <f>IFERROR(__xludf.DUMMYFUNCTION("""COMPUTED_VALUE"""),297.0)</f>
        <v>297</v>
      </c>
      <c r="N105" s="262" t="str">
        <f>IFERROR(__xludf.DUMMYFUNCTION("""COMPUTED_VALUE"""),"")</f>
        <v/>
      </c>
      <c r="O105" s="259" t="str">
        <f>IFERROR(__xludf.DUMMYFUNCTION("""COMPUTED_VALUE"""),"")</f>
        <v/>
      </c>
      <c r="P105" s="259">
        <f>IFERROR(__xludf.DUMMYFUNCTION("""COMPUTED_VALUE"""),42878.0)</f>
        <v>42878</v>
      </c>
      <c r="Q105" s="258">
        <f>IFERROR(__xludf.DUMMYFUNCTION("""COMPUTED_VALUE"""),56833.0)</f>
        <v>56833</v>
      </c>
      <c r="R105" s="261">
        <f>IFERROR(__xludf.DUMMYFUNCTION("""COMPUTED_VALUE"""),252.0)</f>
        <v>252</v>
      </c>
      <c r="S105" s="258">
        <v>266.0</v>
      </c>
      <c r="T105" s="263">
        <v>0.9473684210526315</v>
      </c>
      <c r="U105" s="264">
        <v>56833.0</v>
      </c>
      <c r="V105" s="265">
        <v>91464.0</v>
      </c>
      <c r="W105" s="264">
        <v>56833.0</v>
      </c>
      <c r="X105" s="266" t="str">
        <f>IFERROR(__xludf.DUMMYFUNCTION("""COMPUTED_VALUE"""),"Dagger600")</f>
        <v>Dagger600</v>
      </c>
      <c r="Y105" s="267">
        <v>-0.01</v>
      </c>
      <c r="Z105" s="267">
        <v>0.9486128825970848</v>
      </c>
      <c r="AA105" s="269"/>
      <c r="AB105" s="270"/>
      <c r="AC105" s="270"/>
      <c r="AD105" s="270"/>
      <c r="AE105" s="270"/>
    </row>
    <row r="106">
      <c r="A106" s="256">
        <f>IFERROR(__xludf.DUMMYFUNCTION("""COMPUTED_VALUE"""),42887.836805555555)</f>
        <v>42887.83681</v>
      </c>
      <c r="B106" s="257" t="str">
        <f>IFERROR(__xludf.DUMMYFUNCTION("""COMPUTED_VALUE"""),"Benjamin Brooks S85")</f>
        <v>Benjamin Brooks S85</v>
      </c>
      <c r="C106" s="258" t="str">
        <f>IFERROR(__xludf.DUMMYFUNCTION("""COMPUTED_VALUE"""),"USA")</f>
        <v>USA</v>
      </c>
      <c r="D106" s="258" t="str">
        <f>IFERROR(__xludf.DUMMYFUNCTION("""COMPUTED_VALUE"""),"mi. My car displays range in miles and I will enter all range numbers in miles.")</f>
        <v>mi. My car displays range in miles and I will enter all range numbers in miles.</v>
      </c>
      <c r="E106" s="259">
        <f>IFERROR(__xludf.DUMMYFUNCTION("""COMPUTED_VALUE"""),41310.0)</f>
        <v>41310</v>
      </c>
      <c r="F106" s="258" t="str">
        <f>IFERROR(__xludf.DUMMYFUNCTION("""COMPUTED_VALUE"""),"Model S 85")</f>
        <v>Model S 85</v>
      </c>
      <c r="G106" s="258" t="str">
        <f>IFERROR(__xludf.DUMMYFUNCTION("""COMPUTED_VALUE"""),"Monthly")</f>
        <v>Monthly</v>
      </c>
      <c r="H106" s="258" t="str">
        <f>IFERROR(__xludf.DUMMYFUNCTION("""COMPUTED_VALUE"""),"A few times a year")</f>
        <v>A few times a year</v>
      </c>
      <c r="I106" s="258" t="str">
        <f>IFERROR(__xludf.DUMMYFUNCTION("""COMPUTED_VALUE"""),"A few times a year")</f>
        <v>A few times a year</v>
      </c>
      <c r="J106" s="260">
        <f>IFERROR(__xludf.DUMMYFUNCTION("""COMPUTED_VALUE"""),0.9)</f>
        <v>0.9</v>
      </c>
      <c r="K106" s="258">
        <f>IFERROR(__xludf.DUMMYFUNCTION("""COMPUTED_VALUE"""),270.0)</f>
        <v>270</v>
      </c>
      <c r="L106" s="258" t="str">
        <f>IFERROR(__xludf.DUMMYFUNCTION("""COMPUTED_VALUE"""),"")</f>
        <v/>
      </c>
      <c r="M106" s="261">
        <f>IFERROR(__xludf.DUMMYFUNCTION("""COMPUTED_VALUE"""),297.0)</f>
        <v>297</v>
      </c>
      <c r="N106" s="262" t="str">
        <f>IFERROR(__xludf.DUMMYFUNCTION("""COMPUTED_VALUE"""),"")</f>
        <v/>
      </c>
      <c r="O106" s="259" t="str">
        <f>IFERROR(__xludf.DUMMYFUNCTION("""COMPUTED_VALUE"""),"")</f>
        <v/>
      </c>
      <c r="P106" s="259">
        <f>IFERROR(__xludf.DUMMYFUNCTION("""COMPUTED_VALUE"""),42887.0)</f>
        <v>42887</v>
      </c>
      <c r="Q106" s="258">
        <f>IFERROR(__xludf.DUMMYFUNCTION("""COMPUTED_VALUE"""),57133.0)</f>
        <v>57133</v>
      </c>
      <c r="R106" s="261">
        <f>IFERROR(__xludf.DUMMYFUNCTION("""COMPUTED_VALUE"""),253.0)</f>
        <v>253</v>
      </c>
      <c r="S106" s="258">
        <v>266.0</v>
      </c>
      <c r="T106" s="263">
        <v>0.9511278195488722</v>
      </c>
      <c r="U106" s="264">
        <v>57133.0</v>
      </c>
      <c r="V106" s="265">
        <v>91947.0</v>
      </c>
      <c r="W106" s="264">
        <v>57133.0</v>
      </c>
      <c r="X106" s="266" t="str">
        <f>IFERROR(__xludf.DUMMYFUNCTION("""COMPUTED_VALUE"""),"Dakine")</f>
        <v>Dakine</v>
      </c>
      <c r="Y106" s="267">
        <v>-0.01</v>
      </c>
      <c r="Z106" s="267">
        <v>0.9484973462819501</v>
      </c>
      <c r="AA106" s="269"/>
      <c r="AB106" s="270"/>
      <c r="AC106" s="270"/>
      <c r="AD106" s="270"/>
      <c r="AE106" s="270"/>
    </row>
    <row r="107">
      <c r="A107" s="256">
        <f>IFERROR(__xludf.DUMMYFUNCTION("""COMPUTED_VALUE"""),42905.83888888889)</f>
        <v>42905.83889</v>
      </c>
      <c r="B107" s="257" t="str">
        <f>IFERROR(__xludf.DUMMYFUNCTION("""COMPUTED_VALUE"""),"Benjamin Brooks S85")</f>
        <v>Benjamin Brooks S85</v>
      </c>
      <c r="C107" s="258" t="str">
        <f>IFERROR(__xludf.DUMMYFUNCTION("""COMPUTED_VALUE"""),"USA")</f>
        <v>USA</v>
      </c>
      <c r="D107" s="258" t="str">
        <f>IFERROR(__xludf.DUMMYFUNCTION("""COMPUTED_VALUE"""),"mi. My car displays range in miles and I will enter all range numbers in miles.")</f>
        <v>mi. My car displays range in miles and I will enter all range numbers in miles.</v>
      </c>
      <c r="E107" s="259">
        <f>IFERROR(__xludf.DUMMYFUNCTION("""COMPUTED_VALUE"""),41310.0)</f>
        <v>41310</v>
      </c>
      <c r="F107" s="258" t="str">
        <f>IFERROR(__xludf.DUMMYFUNCTION("""COMPUTED_VALUE"""),"Model S 85")</f>
        <v>Model S 85</v>
      </c>
      <c r="G107" s="258" t="str">
        <f>IFERROR(__xludf.DUMMYFUNCTION("""COMPUTED_VALUE"""),"Monthly")</f>
        <v>Monthly</v>
      </c>
      <c r="H107" s="258" t="str">
        <f>IFERROR(__xludf.DUMMYFUNCTION("""COMPUTED_VALUE"""),"A few times a year")</f>
        <v>A few times a year</v>
      </c>
      <c r="I107" s="258" t="str">
        <f>IFERROR(__xludf.DUMMYFUNCTION("""COMPUTED_VALUE"""),"A few times a year")</f>
        <v>A few times a year</v>
      </c>
      <c r="J107" s="260">
        <f>IFERROR(__xludf.DUMMYFUNCTION("""COMPUTED_VALUE"""),0.9)</f>
        <v>0.9</v>
      </c>
      <c r="K107" s="258">
        <f>IFERROR(__xludf.DUMMYFUNCTION("""COMPUTED_VALUE"""),270.0)</f>
        <v>270</v>
      </c>
      <c r="L107" s="258" t="str">
        <f>IFERROR(__xludf.DUMMYFUNCTION("""COMPUTED_VALUE"""),"")</f>
        <v/>
      </c>
      <c r="M107" s="261">
        <f>IFERROR(__xludf.DUMMYFUNCTION("""COMPUTED_VALUE"""),297.0)</f>
        <v>297</v>
      </c>
      <c r="N107" s="262" t="str">
        <f>IFERROR(__xludf.DUMMYFUNCTION("""COMPUTED_VALUE"""),"")</f>
        <v/>
      </c>
      <c r="O107" s="259" t="str">
        <f>IFERROR(__xludf.DUMMYFUNCTION("""COMPUTED_VALUE"""),"")</f>
        <v/>
      </c>
      <c r="P107" s="259">
        <f>IFERROR(__xludf.DUMMYFUNCTION("""COMPUTED_VALUE"""),42905.0)</f>
        <v>42905</v>
      </c>
      <c r="Q107" s="258">
        <f>IFERROR(__xludf.DUMMYFUNCTION("""COMPUTED_VALUE"""),57585.0)</f>
        <v>57585</v>
      </c>
      <c r="R107" s="261">
        <f>IFERROR(__xludf.DUMMYFUNCTION("""COMPUTED_VALUE"""),253.0)</f>
        <v>253</v>
      </c>
      <c r="S107" s="258">
        <v>266.0</v>
      </c>
      <c r="T107" s="263">
        <v>0.9511278195488722</v>
      </c>
      <c r="U107" s="264">
        <v>57585.0</v>
      </c>
      <c r="V107" s="265">
        <v>92674.0</v>
      </c>
      <c r="W107" s="264">
        <v>57585.0</v>
      </c>
      <c r="X107" s="266" t="str">
        <f>IFERROR(__xludf.DUMMYFUNCTION("""COMPUTED_VALUE"""),"DamienG")</f>
        <v>DamienG</v>
      </c>
      <c r="Y107" s="267">
        <v>-0.01</v>
      </c>
      <c r="Z107" s="267">
        <v>0.948323658600091</v>
      </c>
      <c r="AA107" s="269"/>
      <c r="AB107" s="270"/>
      <c r="AC107" s="270"/>
      <c r="AD107" s="270"/>
      <c r="AE107" s="270"/>
    </row>
    <row r="108">
      <c r="A108" s="256">
        <f>IFERROR(__xludf.DUMMYFUNCTION("""COMPUTED_VALUE"""),42937.84513888889)</f>
        <v>42937.84514</v>
      </c>
      <c r="B108" s="257" t="str">
        <f>IFERROR(__xludf.DUMMYFUNCTION("""COMPUTED_VALUE"""),"Benjamin Brooks S85")</f>
        <v>Benjamin Brooks S85</v>
      </c>
      <c r="C108" s="258" t="str">
        <f>IFERROR(__xludf.DUMMYFUNCTION("""COMPUTED_VALUE"""),"USA")</f>
        <v>USA</v>
      </c>
      <c r="D108" s="258" t="str">
        <f>IFERROR(__xludf.DUMMYFUNCTION("""COMPUTED_VALUE"""),"mi. My car displays range in miles and I will enter all range numbers in miles.")</f>
        <v>mi. My car displays range in miles and I will enter all range numbers in miles.</v>
      </c>
      <c r="E108" s="259">
        <f>IFERROR(__xludf.DUMMYFUNCTION("""COMPUTED_VALUE"""),41310.0)</f>
        <v>41310</v>
      </c>
      <c r="F108" s="258" t="str">
        <f>IFERROR(__xludf.DUMMYFUNCTION("""COMPUTED_VALUE"""),"Model S 85")</f>
        <v>Model S 85</v>
      </c>
      <c r="G108" s="258" t="str">
        <f>IFERROR(__xludf.DUMMYFUNCTION("""COMPUTED_VALUE"""),"Monthly")</f>
        <v>Monthly</v>
      </c>
      <c r="H108" s="258" t="str">
        <f>IFERROR(__xludf.DUMMYFUNCTION("""COMPUTED_VALUE"""),"A few times a year")</f>
        <v>A few times a year</v>
      </c>
      <c r="I108" s="258" t="str">
        <f>IFERROR(__xludf.DUMMYFUNCTION("""COMPUTED_VALUE"""),"A few times a year")</f>
        <v>A few times a year</v>
      </c>
      <c r="J108" s="260">
        <f>IFERROR(__xludf.DUMMYFUNCTION("""COMPUTED_VALUE"""),0.9)</f>
        <v>0.9</v>
      </c>
      <c r="K108" s="258">
        <f>IFERROR(__xludf.DUMMYFUNCTION("""COMPUTED_VALUE"""),270.0)</f>
        <v>270</v>
      </c>
      <c r="L108" s="258" t="str">
        <f>IFERROR(__xludf.DUMMYFUNCTION("""COMPUTED_VALUE"""),"")</f>
        <v/>
      </c>
      <c r="M108" s="261">
        <f>IFERROR(__xludf.DUMMYFUNCTION("""COMPUTED_VALUE"""),297.0)</f>
        <v>297</v>
      </c>
      <c r="N108" s="262" t="str">
        <f>IFERROR(__xludf.DUMMYFUNCTION("""COMPUTED_VALUE"""),"")</f>
        <v/>
      </c>
      <c r="O108" s="259" t="str">
        <f>IFERROR(__xludf.DUMMYFUNCTION("""COMPUTED_VALUE"""),"")</f>
        <v/>
      </c>
      <c r="P108" s="259">
        <f>IFERROR(__xludf.DUMMYFUNCTION("""COMPUTED_VALUE"""),42937.0)</f>
        <v>42937</v>
      </c>
      <c r="Q108" s="258">
        <f>IFERROR(__xludf.DUMMYFUNCTION("""COMPUTED_VALUE"""),58329.0)</f>
        <v>58329</v>
      </c>
      <c r="R108" s="261">
        <f>IFERROR(__xludf.DUMMYFUNCTION("""COMPUTED_VALUE"""),253.0)</f>
        <v>253</v>
      </c>
      <c r="S108" s="258">
        <v>266.0</v>
      </c>
      <c r="T108" s="263">
        <v>0.9511278195488722</v>
      </c>
      <c r="U108" s="264">
        <v>58329.0</v>
      </c>
      <c r="V108" s="265">
        <v>93871.0</v>
      </c>
      <c r="W108" s="264">
        <v>58329.0</v>
      </c>
      <c r="X108" s="266" t="str">
        <f>IFERROR(__xludf.DUMMYFUNCTION("""COMPUTED_VALUE"""),"damieng")</f>
        <v>damieng</v>
      </c>
      <c r="Y108" s="267">
        <v>-0.01</v>
      </c>
      <c r="Z108" s="267">
        <v>0.9480382199735568</v>
      </c>
      <c r="AA108" s="269"/>
      <c r="AB108" s="270"/>
      <c r="AC108" s="270"/>
      <c r="AD108" s="270"/>
      <c r="AE108" s="270"/>
    </row>
    <row r="109">
      <c r="A109" s="256">
        <f>IFERROR(__xludf.DUMMYFUNCTION("""COMPUTED_VALUE"""),42958.84722222222)</f>
        <v>42958.84722</v>
      </c>
      <c r="B109" s="257" t="str">
        <f>IFERROR(__xludf.DUMMYFUNCTION("""COMPUTED_VALUE"""),"Benjamin Brooks S85")</f>
        <v>Benjamin Brooks S85</v>
      </c>
      <c r="C109" s="258" t="str">
        <f>IFERROR(__xludf.DUMMYFUNCTION("""COMPUTED_VALUE"""),"USA")</f>
        <v>USA</v>
      </c>
      <c r="D109" s="258" t="str">
        <f>IFERROR(__xludf.DUMMYFUNCTION("""COMPUTED_VALUE"""),"mi. My car displays range in miles and I will enter all range numbers in miles.")</f>
        <v>mi. My car displays range in miles and I will enter all range numbers in miles.</v>
      </c>
      <c r="E109" s="259">
        <f>IFERROR(__xludf.DUMMYFUNCTION("""COMPUTED_VALUE"""),41310.0)</f>
        <v>41310</v>
      </c>
      <c r="F109" s="258" t="str">
        <f>IFERROR(__xludf.DUMMYFUNCTION("""COMPUTED_VALUE"""),"Model S 85")</f>
        <v>Model S 85</v>
      </c>
      <c r="G109" s="258" t="str">
        <f>IFERROR(__xludf.DUMMYFUNCTION("""COMPUTED_VALUE"""),"A few times a year")</f>
        <v>A few times a year</v>
      </c>
      <c r="H109" s="258" t="str">
        <f>IFERROR(__xludf.DUMMYFUNCTION("""COMPUTED_VALUE"""),"A few times a year")</f>
        <v>A few times a year</v>
      </c>
      <c r="I109" s="258" t="str">
        <f>IFERROR(__xludf.DUMMYFUNCTION("""COMPUTED_VALUE"""),"A few times a year")</f>
        <v>A few times a year</v>
      </c>
      <c r="J109" s="260">
        <f>IFERROR(__xludf.DUMMYFUNCTION("""COMPUTED_VALUE"""),0.9)</f>
        <v>0.9</v>
      </c>
      <c r="K109" s="258">
        <f>IFERROR(__xludf.DUMMYFUNCTION("""COMPUTED_VALUE"""),270.0)</f>
        <v>270</v>
      </c>
      <c r="L109" s="258" t="str">
        <f>IFERROR(__xludf.DUMMYFUNCTION("""COMPUTED_VALUE"""),"")</f>
        <v/>
      </c>
      <c r="M109" s="261">
        <f>IFERROR(__xludf.DUMMYFUNCTION("""COMPUTED_VALUE"""),297.0)</f>
        <v>297</v>
      </c>
      <c r="N109" s="262" t="str">
        <f>IFERROR(__xludf.DUMMYFUNCTION("""COMPUTED_VALUE"""),"")</f>
        <v/>
      </c>
      <c r="O109" s="259" t="str">
        <f>IFERROR(__xludf.DUMMYFUNCTION("""COMPUTED_VALUE"""),"")</f>
        <v/>
      </c>
      <c r="P109" s="259">
        <f>IFERROR(__xludf.DUMMYFUNCTION("""COMPUTED_VALUE"""),42958.0)</f>
        <v>42958</v>
      </c>
      <c r="Q109" s="258">
        <f>IFERROR(__xludf.DUMMYFUNCTION("""COMPUTED_VALUE"""),58983.0)</f>
        <v>58983</v>
      </c>
      <c r="R109" s="261">
        <f>IFERROR(__xludf.DUMMYFUNCTION("""COMPUTED_VALUE"""),253.0)</f>
        <v>253</v>
      </c>
      <c r="S109" s="258">
        <v>266.0</v>
      </c>
      <c r="T109" s="263">
        <v>0.9511278195488722</v>
      </c>
      <c r="U109" s="264">
        <v>58983.0</v>
      </c>
      <c r="V109" s="265">
        <v>94924.0</v>
      </c>
      <c r="W109" s="264">
        <v>58983.0</v>
      </c>
      <c r="X109" s="266" t="str">
        <f>IFERROR(__xludf.DUMMYFUNCTION("""COMPUTED_VALUE"""),"DamienP")</f>
        <v>DamienP</v>
      </c>
      <c r="Y109" s="267">
        <v>-0.01</v>
      </c>
      <c r="Z109" s="267">
        <v>0.9477876411795244</v>
      </c>
      <c r="AA109" s="269"/>
      <c r="AB109" s="270"/>
      <c r="AC109" s="270"/>
      <c r="AD109" s="270"/>
      <c r="AE109" s="270"/>
    </row>
    <row r="110">
      <c r="A110" s="256">
        <f>IFERROR(__xludf.DUMMYFUNCTION("""COMPUTED_VALUE"""),42992.85486111111)</f>
        <v>42992.85486</v>
      </c>
      <c r="B110" s="257" t="str">
        <f>IFERROR(__xludf.DUMMYFUNCTION("""COMPUTED_VALUE"""),"Benjamin Brooks S85")</f>
        <v>Benjamin Brooks S85</v>
      </c>
      <c r="C110" s="258" t="str">
        <f>IFERROR(__xludf.DUMMYFUNCTION("""COMPUTED_VALUE"""),"USA")</f>
        <v>USA</v>
      </c>
      <c r="D110" s="258" t="str">
        <f>IFERROR(__xludf.DUMMYFUNCTION("""COMPUTED_VALUE"""),"mi. My car displays range in miles and I will enter all range numbers in miles.")</f>
        <v>mi. My car displays range in miles and I will enter all range numbers in miles.</v>
      </c>
      <c r="E110" s="259">
        <f>IFERROR(__xludf.DUMMYFUNCTION("""COMPUTED_VALUE"""),41310.0)</f>
        <v>41310</v>
      </c>
      <c r="F110" s="258" t="str">
        <f>IFERROR(__xludf.DUMMYFUNCTION("""COMPUTED_VALUE"""),"Model S 85")</f>
        <v>Model S 85</v>
      </c>
      <c r="G110" s="258" t="str">
        <f>IFERROR(__xludf.DUMMYFUNCTION("""COMPUTED_VALUE"""),"A few times a year")</f>
        <v>A few times a year</v>
      </c>
      <c r="H110" s="258" t="str">
        <f>IFERROR(__xludf.DUMMYFUNCTION("""COMPUTED_VALUE"""),"A few times a year")</f>
        <v>A few times a year</v>
      </c>
      <c r="I110" s="258" t="str">
        <f>IFERROR(__xludf.DUMMYFUNCTION("""COMPUTED_VALUE"""),"A few times a year")</f>
        <v>A few times a year</v>
      </c>
      <c r="J110" s="260">
        <f>IFERROR(__xludf.DUMMYFUNCTION("""COMPUTED_VALUE"""),0.9)</f>
        <v>0.9</v>
      </c>
      <c r="K110" s="258">
        <f>IFERROR(__xludf.DUMMYFUNCTION("""COMPUTED_VALUE"""),270.0)</f>
        <v>270</v>
      </c>
      <c r="L110" s="258" t="str">
        <f>IFERROR(__xludf.DUMMYFUNCTION("""COMPUTED_VALUE"""),"")</f>
        <v/>
      </c>
      <c r="M110" s="261">
        <f>IFERROR(__xludf.DUMMYFUNCTION("""COMPUTED_VALUE"""),297.0)</f>
        <v>297</v>
      </c>
      <c r="N110" s="262" t="str">
        <f>IFERROR(__xludf.DUMMYFUNCTION("""COMPUTED_VALUE"""),"")</f>
        <v/>
      </c>
      <c r="O110" s="259" t="str">
        <f>IFERROR(__xludf.DUMMYFUNCTION("""COMPUTED_VALUE"""),"")</f>
        <v/>
      </c>
      <c r="P110" s="259">
        <f>IFERROR(__xludf.DUMMYFUNCTION("""COMPUTED_VALUE"""),42992.0)</f>
        <v>42992</v>
      </c>
      <c r="Q110" s="258">
        <f>IFERROR(__xludf.DUMMYFUNCTION("""COMPUTED_VALUE"""),59487.0)</f>
        <v>59487</v>
      </c>
      <c r="R110" s="261">
        <f>IFERROR(__xludf.DUMMYFUNCTION("""COMPUTED_VALUE"""),253.0)</f>
        <v>253</v>
      </c>
      <c r="S110" s="258">
        <v>266.0</v>
      </c>
      <c r="T110" s="263">
        <v>0.9511278195488722</v>
      </c>
      <c r="U110" s="264">
        <v>59487.0</v>
      </c>
      <c r="V110" s="265">
        <v>95735.0</v>
      </c>
      <c r="W110" s="264">
        <v>59487.0</v>
      </c>
      <c r="X110" s="266" t="str">
        <f>IFERROR(__xludf.DUMMYFUNCTION("""COMPUTED_VALUE"""),"Dangis")</f>
        <v>Dangis</v>
      </c>
      <c r="Y110" s="267">
        <v>-0.01</v>
      </c>
      <c r="Z110" s="267">
        <v>0.947594963749272</v>
      </c>
      <c r="AA110" s="269"/>
      <c r="AB110" s="270"/>
      <c r="AC110" s="270"/>
      <c r="AD110" s="270"/>
      <c r="AE110" s="270"/>
    </row>
    <row r="111">
      <c r="A111" s="256">
        <f>IFERROR(__xludf.DUMMYFUNCTION("""COMPUTED_VALUE"""),43042.861805555556)</f>
        <v>43042.86181</v>
      </c>
      <c r="B111" s="257" t="str">
        <f>IFERROR(__xludf.DUMMYFUNCTION("""COMPUTED_VALUE"""),"Benjamin Brooks S85")</f>
        <v>Benjamin Brooks S85</v>
      </c>
      <c r="C111" s="258" t="str">
        <f>IFERROR(__xludf.DUMMYFUNCTION("""COMPUTED_VALUE"""),"USA")</f>
        <v>USA</v>
      </c>
      <c r="D111" s="258" t="str">
        <f>IFERROR(__xludf.DUMMYFUNCTION("""COMPUTED_VALUE"""),"mi. My car displays range in miles and I will enter all range numbers in miles.")</f>
        <v>mi. My car displays range in miles and I will enter all range numbers in miles.</v>
      </c>
      <c r="E111" s="259">
        <f>IFERROR(__xludf.DUMMYFUNCTION("""COMPUTED_VALUE"""),41310.0)</f>
        <v>41310</v>
      </c>
      <c r="F111" s="258" t="str">
        <f>IFERROR(__xludf.DUMMYFUNCTION("""COMPUTED_VALUE"""),"Model S 85")</f>
        <v>Model S 85</v>
      </c>
      <c r="G111" s="258" t="str">
        <f>IFERROR(__xludf.DUMMYFUNCTION("""COMPUTED_VALUE"""),"A few times a year")</f>
        <v>A few times a year</v>
      </c>
      <c r="H111" s="258" t="str">
        <f>IFERROR(__xludf.DUMMYFUNCTION("""COMPUTED_VALUE"""),"A few times a year")</f>
        <v>A few times a year</v>
      </c>
      <c r="I111" s="258" t="str">
        <f>IFERROR(__xludf.DUMMYFUNCTION("""COMPUTED_VALUE"""),"A few times a year")</f>
        <v>A few times a year</v>
      </c>
      <c r="J111" s="260">
        <f>IFERROR(__xludf.DUMMYFUNCTION("""COMPUTED_VALUE"""),0.9)</f>
        <v>0.9</v>
      </c>
      <c r="K111" s="258">
        <f>IFERROR(__xludf.DUMMYFUNCTION("""COMPUTED_VALUE"""),270.0)</f>
        <v>270</v>
      </c>
      <c r="L111" s="258" t="str">
        <f>IFERROR(__xludf.DUMMYFUNCTION("""COMPUTED_VALUE"""),"")</f>
        <v/>
      </c>
      <c r="M111" s="261">
        <f>IFERROR(__xludf.DUMMYFUNCTION("""COMPUTED_VALUE"""),297.0)</f>
        <v>297</v>
      </c>
      <c r="N111" s="262" t="str">
        <f>IFERROR(__xludf.DUMMYFUNCTION("""COMPUTED_VALUE"""),"")</f>
        <v/>
      </c>
      <c r="O111" s="259" t="str">
        <f>IFERROR(__xludf.DUMMYFUNCTION("""COMPUTED_VALUE"""),"")</f>
        <v/>
      </c>
      <c r="P111" s="259">
        <f>IFERROR(__xludf.DUMMYFUNCTION("""COMPUTED_VALUE"""),43042.0)</f>
        <v>43042</v>
      </c>
      <c r="Q111" s="258">
        <f>IFERROR(__xludf.DUMMYFUNCTION("""COMPUTED_VALUE"""),60373.0)</f>
        <v>60373</v>
      </c>
      <c r="R111" s="261">
        <f>IFERROR(__xludf.DUMMYFUNCTION("""COMPUTED_VALUE"""),252.0)</f>
        <v>252</v>
      </c>
      <c r="S111" s="258">
        <v>266.0</v>
      </c>
      <c r="T111" s="263">
        <v>0.9473684210526315</v>
      </c>
      <c r="U111" s="264">
        <v>60373.0</v>
      </c>
      <c r="V111" s="265">
        <v>97161.0</v>
      </c>
      <c r="W111" s="264">
        <v>60373.0</v>
      </c>
      <c r="X111" s="266" t="str">
        <f>IFERROR(__xludf.DUMMYFUNCTION("""COMPUTED_VALUE"""),"Daniel74")</f>
        <v>Daniel74</v>
      </c>
      <c r="Y111" s="267">
        <v>-0.01</v>
      </c>
      <c r="Z111" s="267">
        <v>0.9472567952394982</v>
      </c>
      <c r="AA111" s="269"/>
      <c r="AB111" s="270"/>
      <c r="AC111" s="270"/>
      <c r="AD111" s="270"/>
      <c r="AE111" s="270"/>
    </row>
    <row r="112">
      <c r="A112" s="256">
        <f>IFERROR(__xludf.DUMMYFUNCTION("""COMPUTED_VALUE"""),43125.86944444444)</f>
        <v>43125.86944</v>
      </c>
      <c r="B112" s="257" t="str">
        <f>IFERROR(__xludf.DUMMYFUNCTION("""COMPUTED_VALUE"""),"Benjamin Brooks S85")</f>
        <v>Benjamin Brooks S85</v>
      </c>
      <c r="C112" s="258" t="str">
        <f>IFERROR(__xludf.DUMMYFUNCTION("""COMPUTED_VALUE"""),"USA")</f>
        <v>USA</v>
      </c>
      <c r="D112" s="258" t="str">
        <f>IFERROR(__xludf.DUMMYFUNCTION("""COMPUTED_VALUE"""),"mi. My car displays range in miles and I will enter all range numbers in miles.")</f>
        <v>mi. My car displays range in miles and I will enter all range numbers in miles.</v>
      </c>
      <c r="E112" s="259">
        <f>IFERROR(__xludf.DUMMYFUNCTION("""COMPUTED_VALUE"""),41310.0)</f>
        <v>41310</v>
      </c>
      <c r="F112" s="258" t="str">
        <f>IFERROR(__xludf.DUMMYFUNCTION("""COMPUTED_VALUE"""),"Model S 85")</f>
        <v>Model S 85</v>
      </c>
      <c r="G112" s="258" t="str">
        <f>IFERROR(__xludf.DUMMYFUNCTION("""COMPUTED_VALUE"""),"A few times a year")</f>
        <v>A few times a year</v>
      </c>
      <c r="H112" s="258" t="str">
        <f>IFERROR(__xludf.DUMMYFUNCTION("""COMPUTED_VALUE"""),"A few times a year")</f>
        <v>A few times a year</v>
      </c>
      <c r="I112" s="258" t="str">
        <f>IFERROR(__xludf.DUMMYFUNCTION("""COMPUTED_VALUE"""),"A few times a year")</f>
        <v>A few times a year</v>
      </c>
      <c r="J112" s="260">
        <f>IFERROR(__xludf.DUMMYFUNCTION("""COMPUTED_VALUE"""),0.9)</f>
        <v>0.9</v>
      </c>
      <c r="K112" s="258">
        <f>IFERROR(__xludf.DUMMYFUNCTION("""COMPUTED_VALUE"""),270.0)</f>
        <v>270</v>
      </c>
      <c r="L112" s="258" t="str">
        <f>IFERROR(__xludf.DUMMYFUNCTION("""COMPUTED_VALUE"""),"")</f>
        <v/>
      </c>
      <c r="M112" s="261">
        <f>IFERROR(__xludf.DUMMYFUNCTION("""COMPUTED_VALUE"""),297.0)</f>
        <v>297</v>
      </c>
      <c r="N112" s="262" t="str">
        <f>IFERROR(__xludf.DUMMYFUNCTION("""COMPUTED_VALUE"""),"")</f>
        <v/>
      </c>
      <c r="O112" s="259" t="str">
        <f>IFERROR(__xludf.DUMMYFUNCTION("""COMPUTED_VALUE"""),"")</f>
        <v/>
      </c>
      <c r="P112" s="259">
        <f>IFERROR(__xludf.DUMMYFUNCTION("""COMPUTED_VALUE"""),43125.0)</f>
        <v>43125</v>
      </c>
      <c r="Q112" s="258">
        <f>IFERROR(__xludf.DUMMYFUNCTION("""COMPUTED_VALUE"""),61535.0)</f>
        <v>61535</v>
      </c>
      <c r="R112" s="261">
        <f>IFERROR(__xludf.DUMMYFUNCTION("""COMPUTED_VALUE"""),252.0)</f>
        <v>252</v>
      </c>
      <c r="S112" s="258">
        <v>266.0</v>
      </c>
      <c r="T112" s="263">
        <v>0.9473684210526315</v>
      </c>
      <c r="U112" s="264">
        <v>61535.0</v>
      </c>
      <c r="V112" s="265">
        <v>99031.0</v>
      </c>
      <c r="W112" s="264">
        <v>61535.0</v>
      </c>
      <c r="X112" s="266" t="str">
        <f>IFERROR(__xludf.DUMMYFUNCTION("""COMPUTED_VALUE"""),"Danielk")</f>
        <v>Danielk</v>
      </c>
      <c r="Y112" s="267">
        <v>-0.01</v>
      </c>
      <c r="Z112" s="267">
        <v>0.9468144423456</v>
      </c>
      <c r="AA112" s="269"/>
      <c r="AB112" s="270"/>
      <c r="AC112" s="270"/>
      <c r="AD112" s="270"/>
      <c r="AE112" s="270"/>
    </row>
    <row r="113">
      <c r="A113" s="256">
        <f>IFERROR(__xludf.DUMMYFUNCTION("""COMPUTED_VALUE"""),43201.88402777778)</f>
        <v>43201.88403</v>
      </c>
      <c r="B113" s="257" t="str">
        <f>IFERROR(__xludf.DUMMYFUNCTION("""COMPUTED_VALUE"""),"Benjamin Brooks S85")</f>
        <v>Benjamin Brooks S85</v>
      </c>
      <c r="C113" s="258" t="str">
        <f>IFERROR(__xludf.DUMMYFUNCTION("""COMPUTED_VALUE"""),"USA")</f>
        <v>USA</v>
      </c>
      <c r="D113" s="258" t="str">
        <f>IFERROR(__xludf.DUMMYFUNCTION("""COMPUTED_VALUE"""),"mi. My car displays range in miles and I will enter all range numbers in miles.")</f>
        <v>mi. My car displays range in miles and I will enter all range numbers in miles.</v>
      </c>
      <c r="E113" s="259">
        <f>IFERROR(__xludf.DUMMYFUNCTION("""COMPUTED_VALUE"""),41310.0)</f>
        <v>41310</v>
      </c>
      <c r="F113" s="258" t="str">
        <f>IFERROR(__xludf.DUMMYFUNCTION("""COMPUTED_VALUE"""),"Model S 85")</f>
        <v>Model S 85</v>
      </c>
      <c r="G113" s="258" t="str">
        <f>IFERROR(__xludf.DUMMYFUNCTION("""COMPUTED_VALUE"""),"A few times a year")</f>
        <v>A few times a year</v>
      </c>
      <c r="H113" s="258" t="str">
        <f>IFERROR(__xludf.DUMMYFUNCTION("""COMPUTED_VALUE"""),"A few times a year")</f>
        <v>A few times a year</v>
      </c>
      <c r="I113" s="258" t="str">
        <f>IFERROR(__xludf.DUMMYFUNCTION("""COMPUTED_VALUE"""),"A few times a year")</f>
        <v>A few times a year</v>
      </c>
      <c r="J113" s="260">
        <f>IFERROR(__xludf.DUMMYFUNCTION("""COMPUTED_VALUE"""),0.9)</f>
        <v>0.9</v>
      </c>
      <c r="K113" s="258">
        <f>IFERROR(__xludf.DUMMYFUNCTION("""COMPUTED_VALUE"""),270.0)</f>
        <v>270</v>
      </c>
      <c r="L113" s="258" t="str">
        <f>IFERROR(__xludf.DUMMYFUNCTION("""COMPUTED_VALUE"""),"")</f>
        <v/>
      </c>
      <c r="M113" s="261">
        <f>IFERROR(__xludf.DUMMYFUNCTION("""COMPUTED_VALUE"""),297.0)</f>
        <v>297</v>
      </c>
      <c r="N113" s="262" t="str">
        <f>IFERROR(__xludf.DUMMYFUNCTION("""COMPUTED_VALUE"""),"")</f>
        <v/>
      </c>
      <c r="O113" s="259" t="str">
        <f>IFERROR(__xludf.DUMMYFUNCTION("""COMPUTED_VALUE"""),"")</f>
        <v/>
      </c>
      <c r="P113" s="259">
        <f>IFERROR(__xludf.DUMMYFUNCTION("""COMPUTED_VALUE"""),43201.0)</f>
        <v>43201</v>
      </c>
      <c r="Q113" s="258">
        <f>IFERROR(__xludf.DUMMYFUNCTION("""COMPUTED_VALUE"""),61874.0)</f>
        <v>61874</v>
      </c>
      <c r="R113" s="261">
        <f>IFERROR(__xludf.DUMMYFUNCTION("""COMPUTED_VALUE"""),252.0)</f>
        <v>252</v>
      </c>
      <c r="S113" s="258">
        <v>266.0</v>
      </c>
      <c r="T113" s="263">
        <v>0.9473684210526315</v>
      </c>
      <c r="U113" s="264">
        <v>61874.0</v>
      </c>
      <c r="V113" s="265">
        <v>99577.0</v>
      </c>
      <c r="W113" s="264">
        <v>61874.0</v>
      </c>
      <c r="X113" s="266" t="str">
        <f>IFERROR(__xludf.DUMMYFUNCTION("""COMPUTED_VALUE"""),"DanielP")</f>
        <v>DanielP</v>
      </c>
      <c r="Y113" s="267">
        <v>-0.01</v>
      </c>
      <c r="Z113" s="267">
        <v>0.9466855047989734</v>
      </c>
      <c r="AA113" s="269"/>
      <c r="AB113" s="270"/>
      <c r="AC113" s="270"/>
      <c r="AD113" s="270"/>
      <c r="AE113" s="270"/>
    </row>
    <row r="114">
      <c r="A114" s="256">
        <f>IFERROR(__xludf.DUMMYFUNCTION("""COMPUTED_VALUE"""),42313.21875)</f>
        <v>42313.21875</v>
      </c>
      <c r="B114" s="257" t="str">
        <f>IFERROR(__xludf.DUMMYFUNCTION("""COMPUTED_VALUE"""),"BennyG")</f>
        <v>BennyG</v>
      </c>
      <c r="C114" s="258" t="str">
        <f>IFERROR(__xludf.DUMMYFUNCTION("""COMPUTED_VALUE"""),"Europe (excluding UK) &amp; Asia Pacific")</f>
        <v>Europe (excluding UK) &amp; Asia Pacific</v>
      </c>
      <c r="D114" s="258" t="str">
        <f>IFERROR(__xludf.DUMMYFUNCTION("""COMPUTED_VALUE"""),"km. My car displays range in kilometres and I will enter all range numbers in kilometres.")</f>
        <v>km. My car displays range in kilometres and I will enter all range numbers in kilometres.</v>
      </c>
      <c r="E114" s="259">
        <f>IFERROR(__xludf.DUMMYFUNCTION("""COMPUTED_VALUE"""),42137.0)</f>
        <v>42137</v>
      </c>
      <c r="F114" s="258" t="str">
        <f>IFERROR(__xludf.DUMMYFUNCTION("""COMPUTED_VALUE"""),"Model S 85")</f>
        <v>Model S 85</v>
      </c>
      <c r="G114" s="258" t="str">
        <f>IFERROR(__xludf.DUMMYFUNCTION("""COMPUTED_VALUE"""),"A few times a year")</f>
        <v>A few times a year</v>
      </c>
      <c r="H114" s="258" t="str">
        <f>IFERROR(__xludf.DUMMYFUNCTION("""COMPUTED_VALUE"""),"A few times a year")</f>
        <v>A few times a year</v>
      </c>
      <c r="I114" s="258" t="str">
        <f>IFERROR(__xludf.DUMMYFUNCTION("""COMPUTED_VALUE"""),"Once or twice a year")</f>
        <v>Once or twice a year</v>
      </c>
      <c r="J114" s="260">
        <f>IFERROR(__xludf.DUMMYFUNCTION("""COMPUTED_VALUE"""),0.8)</f>
        <v>0.8</v>
      </c>
      <c r="K114" s="258" t="str">
        <f>IFERROR(__xludf.DUMMYFUNCTION("""COMPUTED_VALUE"""),"")</f>
        <v/>
      </c>
      <c r="L114" s="258" t="str">
        <f>IFERROR(__xludf.DUMMYFUNCTION("""COMPUTED_VALUE"""),"")</f>
        <v/>
      </c>
      <c r="M114" s="261">
        <f>IFERROR(__xludf.DUMMYFUNCTION("""COMPUTED_VALUE"""),204.0)</f>
        <v>204</v>
      </c>
      <c r="N114" s="262" t="str">
        <f>IFERROR(__xludf.DUMMYFUNCTION("""COMPUTED_VALUE"""),"")</f>
        <v/>
      </c>
      <c r="O114" s="259" t="str">
        <f>IFERROR(__xludf.DUMMYFUNCTION("""COMPUTED_VALUE"""),"")</f>
        <v/>
      </c>
      <c r="P114" s="259">
        <f>IFERROR(__xludf.DUMMYFUNCTION("""COMPUTED_VALUE"""),42313.0)</f>
        <v>42313</v>
      </c>
      <c r="Q114" s="258">
        <f>IFERROR(__xludf.DUMMYFUNCTION("""COMPUTED_VALUE"""),16840.0)</f>
        <v>16840</v>
      </c>
      <c r="R114" s="261">
        <f>IFERROR(__xludf.DUMMYFUNCTION("""COMPUTED_VALUE"""),385.0)</f>
        <v>385</v>
      </c>
      <c r="S114" s="258">
        <v>395.0</v>
      </c>
      <c r="T114" s="263">
        <v>0.9746835443037974</v>
      </c>
      <c r="U114" s="264">
        <v>10464.0</v>
      </c>
      <c r="V114" s="265">
        <v>16840.0</v>
      </c>
      <c r="W114" s="264">
        <v>10464.0</v>
      </c>
      <c r="X114" s="266" t="str">
        <f>IFERROR(__xludf.DUMMYFUNCTION("""COMPUTED_VALUE"""),"Dark Knight")</f>
        <v>Dark Knight</v>
      </c>
      <c r="Y114" s="267">
        <v>-0.01</v>
      </c>
      <c r="Z114" s="267">
        <v>0.9771106920126723</v>
      </c>
      <c r="AA114" s="269"/>
      <c r="AB114" s="270"/>
      <c r="AC114" s="270"/>
      <c r="AD114" s="270"/>
      <c r="AE114" s="270"/>
    </row>
    <row r="115">
      <c r="A115" s="256">
        <f>IFERROR(__xludf.DUMMYFUNCTION("""COMPUTED_VALUE"""),42358.26458333334)</f>
        <v>42358.26458</v>
      </c>
      <c r="B115" s="257" t="str">
        <f>IFERROR(__xludf.DUMMYFUNCTION("""COMPUTED_VALUE"""),"BennyG")</f>
        <v>BennyG</v>
      </c>
      <c r="C115" s="258" t="str">
        <f>IFERROR(__xludf.DUMMYFUNCTION("""COMPUTED_VALUE"""),"Europe (excluding UK) &amp; Asia Pacific")</f>
        <v>Europe (excluding UK) &amp; Asia Pacific</v>
      </c>
      <c r="D115" s="258" t="str">
        <f>IFERROR(__xludf.DUMMYFUNCTION("""COMPUTED_VALUE"""),"km. My car displays range in kilometres and I will enter all range numbers in kilometres.")</f>
        <v>km. My car displays range in kilometres and I will enter all range numbers in kilometres.</v>
      </c>
      <c r="E115" s="259">
        <f>IFERROR(__xludf.DUMMYFUNCTION("""COMPUTED_VALUE"""),42137.0)</f>
        <v>42137</v>
      </c>
      <c r="F115" s="258" t="str">
        <f>IFERROR(__xludf.DUMMYFUNCTION("""COMPUTED_VALUE"""),"Model S 85")</f>
        <v>Model S 85</v>
      </c>
      <c r="G115" s="258" t="str">
        <f>IFERROR(__xludf.DUMMYFUNCTION("""COMPUTED_VALUE"""),"A few times a year")</f>
        <v>A few times a year</v>
      </c>
      <c r="H115" s="258" t="str">
        <f>IFERROR(__xludf.DUMMYFUNCTION("""COMPUTED_VALUE"""),"A few times a year")</f>
        <v>A few times a year</v>
      </c>
      <c r="I115" s="258" t="str">
        <f>IFERROR(__xludf.DUMMYFUNCTION("""COMPUTED_VALUE"""),"Once or twice a year")</f>
        <v>Once or twice a year</v>
      </c>
      <c r="J115" s="260">
        <f>IFERROR(__xludf.DUMMYFUNCTION("""COMPUTED_VALUE"""),0.8)</f>
        <v>0.8</v>
      </c>
      <c r="K115" s="258" t="str">
        <f>IFERROR(__xludf.DUMMYFUNCTION("""COMPUTED_VALUE"""),"")</f>
        <v/>
      </c>
      <c r="L115" s="258" t="str">
        <f>IFERROR(__xludf.DUMMYFUNCTION("""COMPUTED_VALUE"""),"")</f>
        <v/>
      </c>
      <c r="M115" s="261">
        <f>IFERROR(__xludf.DUMMYFUNCTION("""COMPUTED_VALUE"""),209.0)</f>
        <v>209</v>
      </c>
      <c r="N115" s="262" t="str">
        <f>IFERROR(__xludf.DUMMYFUNCTION("""COMPUTED_VALUE"""),"")</f>
        <v/>
      </c>
      <c r="O115" s="259" t="str">
        <f>IFERROR(__xludf.DUMMYFUNCTION("""COMPUTED_VALUE"""),"")</f>
        <v/>
      </c>
      <c r="P115" s="259">
        <f>IFERROR(__xludf.DUMMYFUNCTION("""COMPUTED_VALUE"""),42358.0)</f>
        <v>42358</v>
      </c>
      <c r="Q115" s="258">
        <f>IFERROR(__xludf.DUMMYFUNCTION("""COMPUTED_VALUE"""),22000.0)</f>
        <v>22000</v>
      </c>
      <c r="R115" s="261">
        <f>IFERROR(__xludf.DUMMYFUNCTION("""COMPUTED_VALUE"""),377.0)</f>
        <v>377</v>
      </c>
      <c r="S115" s="258">
        <v>395.0</v>
      </c>
      <c r="T115" s="263">
        <v>0.9544303797468354</v>
      </c>
      <c r="U115" s="264">
        <v>13670.0</v>
      </c>
      <c r="V115" s="265">
        <v>22000.0</v>
      </c>
      <c r="W115" s="264">
        <v>13670.0</v>
      </c>
      <c r="X115" s="266" t="str">
        <f>IFERROR(__xludf.DUMMYFUNCTION("""COMPUTED_VALUE"""),"Dark Matter")</f>
        <v>Dark Matter</v>
      </c>
      <c r="Y115" s="267">
        <v>-0.01</v>
      </c>
      <c r="Z115" s="267">
        <v>0.9729567342463132</v>
      </c>
      <c r="AA115" s="269"/>
      <c r="AB115" s="270"/>
      <c r="AC115" s="270"/>
      <c r="AD115" s="270"/>
      <c r="AE115" s="270"/>
    </row>
    <row r="116">
      <c r="A116" s="256">
        <f>IFERROR(__xludf.DUMMYFUNCTION("""COMPUTED_VALUE"""),42448.30902777778)</f>
        <v>42448.30903</v>
      </c>
      <c r="B116" s="257" t="str">
        <f>IFERROR(__xludf.DUMMYFUNCTION("""COMPUTED_VALUE"""),"BennyG")</f>
        <v>BennyG</v>
      </c>
      <c r="C116" s="258" t="str">
        <f>IFERROR(__xludf.DUMMYFUNCTION("""COMPUTED_VALUE"""),"Europe (excluding UK) &amp; Asia Pacific")</f>
        <v>Europe (excluding UK) &amp; Asia Pacific</v>
      </c>
      <c r="D116" s="258" t="str">
        <f>IFERROR(__xludf.DUMMYFUNCTION("""COMPUTED_VALUE"""),"km. My car displays range in kilometres and I will enter all range numbers in kilometres.")</f>
        <v>km. My car displays range in kilometres and I will enter all range numbers in kilometres.</v>
      </c>
      <c r="E116" s="259">
        <f>IFERROR(__xludf.DUMMYFUNCTION("""COMPUTED_VALUE"""),42137.0)</f>
        <v>42137</v>
      </c>
      <c r="F116" s="258" t="str">
        <f>IFERROR(__xludf.DUMMYFUNCTION("""COMPUTED_VALUE"""),"Model S 85")</f>
        <v>Model S 85</v>
      </c>
      <c r="G116" s="258" t="str">
        <f>IFERROR(__xludf.DUMMYFUNCTION("""COMPUTED_VALUE"""),"A few times a year")</f>
        <v>A few times a year</v>
      </c>
      <c r="H116" s="258" t="str">
        <f>IFERROR(__xludf.DUMMYFUNCTION("""COMPUTED_VALUE"""),"A few times a year")</f>
        <v>A few times a year</v>
      </c>
      <c r="I116" s="258" t="str">
        <f>IFERROR(__xludf.DUMMYFUNCTION("""COMPUTED_VALUE"""),"A few times a year")</f>
        <v>A few times a year</v>
      </c>
      <c r="J116" s="260">
        <f>IFERROR(__xludf.DUMMYFUNCTION("""COMPUTED_VALUE"""),0.8)</f>
        <v>0.8</v>
      </c>
      <c r="K116" s="258" t="str">
        <f>IFERROR(__xludf.DUMMYFUNCTION("""COMPUTED_VALUE"""),"")</f>
        <v/>
      </c>
      <c r="L116" s="258" t="str">
        <f>IFERROR(__xludf.DUMMYFUNCTION("""COMPUTED_VALUE"""),"")</f>
        <v/>
      </c>
      <c r="M116" s="261">
        <f>IFERROR(__xludf.DUMMYFUNCTION("""COMPUTED_VALUE"""),214.0)</f>
        <v>214</v>
      </c>
      <c r="N116" s="262" t="str">
        <f>IFERROR(__xludf.DUMMYFUNCTION("""COMPUTED_VALUE"""),"")</f>
        <v/>
      </c>
      <c r="O116" s="259" t="str">
        <f>IFERROR(__xludf.DUMMYFUNCTION("""COMPUTED_VALUE"""),"")</f>
        <v/>
      </c>
      <c r="P116" s="259">
        <f>IFERROR(__xludf.DUMMYFUNCTION("""COMPUTED_VALUE"""),42448.0)</f>
        <v>42448</v>
      </c>
      <c r="Q116" s="258">
        <f>IFERROR(__xludf.DUMMYFUNCTION("""COMPUTED_VALUE"""),28805.0)</f>
        <v>28805</v>
      </c>
      <c r="R116" s="261">
        <f>IFERROR(__xludf.DUMMYFUNCTION("""COMPUTED_VALUE"""),370.0)</f>
        <v>370</v>
      </c>
      <c r="S116" s="258">
        <v>395.0</v>
      </c>
      <c r="T116" s="263">
        <v>0.9367088607594937</v>
      </c>
      <c r="U116" s="264">
        <v>17899.0</v>
      </c>
      <c r="V116" s="265">
        <v>28805.0</v>
      </c>
      <c r="W116" s="264">
        <v>17899.0</v>
      </c>
      <c r="X116" s="266" t="str">
        <f>IFERROR(__xludf.DUMMYFUNCTION("""COMPUTED_VALUE"""),"Dark Singularity")</f>
        <v>Dark Singularity</v>
      </c>
      <c r="Y116" s="267">
        <v>-0.01</v>
      </c>
      <c r="Z116" s="267">
        <v>0.9686191221348757</v>
      </c>
      <c r="AA116" s="269"/>
      <c r="AB116" s="270"/>
      <c r="AC116" s="270"/>
      <c r="AD116" s="270"/>
      <c r="AE116" s="270"/>
    </row>
    <row r="117">
      <c r="A117" s="256">
        <f>IFERROR(__xludf.DUMMYFUNCTION("""COMPUTED_VALUE"""),42469.32361111111)</f>
        <v>42469.32361</v>
      </c>
      <c r="B117" s="257" t="str">
        <f>IFERROR(__xludf.DUMMYFUNCTION("""COMPUTED_VALUE"""),"BennyG")</f>
        <v>BennyG</v>
      </c>
      <c r="C117" s="258" t="str">
        <f>IFERROR(__xludf.DUMMYFUNCTION("""COMPUTED_VALUE"""),"Europe (excluding UK) &amp; Asia Pacific")</f>
        <v>Europe (excluding UK) &amp; Asia Pacific</v>
      </c>
      <c r="D117" s="258" t="str">
        <f>IFERROR(__xludf.DUMMYFUNCTION("""COMPUTED_VALUE"""),"km. My car displays range in kilometres and I will enter all range numbers in kilometres.")</f>
        <v>km. My car displays range in kilometres and I will enter all range numbers in kilometres.</v>
      </c>
      <c r="E117" s="259">
        <f>IFERROR(__xludf.DUMMYFUNCTION("""COMPUTED_VALUE"""),42137.0)</f>
        <v>42137</v>
      </c>
      <c r="F117" s="258" t="str">
        <f>IFERROR(__xludf.DUMMYFUNCTION("""COMPUTED_VALUE"""),"Model S 85")</f>
        <v>Model S 85</v>
      </c>
      <c r="G117" s="258" t="str">
        <f>IFERROR(__xludf.DUMMYFUNCTION("""COMPUTED_VALUE"""),"A few times a year")</f>
        <v>A few times a year</v>
      </c>
      <c r="H117" s="258" t="str">
        <f>IFERROR(__xludf.DUMMYFUNCTION("""COMPUTED_VALUE"""),"A few times a year")</f>
        <v>A few times a year</v>
      </c>
      <c r="I117" s="258" t="str">
        <f>IFERROR(__xludf.DUMMYFUNCTION("""COMPUTED_VALUE"""),"A few times a year")</f>
        <v>A few times a year</v>
      </c>
      <c r="J117" s="260">
        <f>IFERROR(__xludf.DUMMYFUNCTION("""COMPUTED_VALUE"""),0.8)</f>
        <v>0.8</v>
      </c>
      <c r="K117" s="258" t="str">
        <f>IFERROR(__xludf.DUMMYFUNCTION("""COMPUTED_VALUE"""),"")</f>
        <v/>
      </c>
      <c r="L117" s="258" t="str">
        <f>IFERROR(__xludf.DUMMYFUNCTION("""COMPUTED_VALUE"""),"")</f>
        <v/>
      </c>
      <c r="M117" s="261">
        <f>IFERROR(__xludf.DUMMYFUNCTION("""COMPUTED_VALUE"""),213.0)</f>
        <v>213</v>
      </c>
      <c r="N117" s="262" t="str">
        <f>IFERROR(__xludf.DUMMYFUNCTION("""COMPUTED_VALUE"""),"")</f>
        <v/>
      </c>
      <c r="O117" s="259" t="str">
        <f>IFERROR(__xludf.DUMMYFUNCTION("""COMPUTED_VALUE"""),"")</f>
        <v/>
      </c>
      <c r="P117" s="259">
        <f>IFERROR(__xludf.DUMMYFUNCTION("""COMPUTED_VALUE"""),42469.0)</f>
        <v>42469</v>
      </c>
      <c r="Q117" s="258">
        <f>IFERROR(__xludf.DUMMYFUNCTION("""COMPUTED_VALUE"""),31293.0)</f>
        <v>31293</v>
      </c>
      <c r="R117" s="261">
        <f>IFERROR(__xludf.DUMMYFUNCTION("""COMPUTED_VALUE"""),375.0)</f>
        <v>375</v>
      </c>
      <c r="S117" s="258">
        <v>395.0</v>
      </c>
      <c r="T117" s="263">
        <v>0.9493670886075949</v>
      </c>
      <c r="U117" s="264">
        <v>19445.0</v>
      </c>
      <c r="V117" s="265">
        <v>31293.0</v>
      </c>
      <c r="W117" s="264">
        <v>19445.0</v>
      </c>
      <c r="X117" s="266" t="str">
        <f>IFERROR(__xludf.DUMMYFUNCTION("""COMPUTED_VALUE"""),"DavidH")</f>
        <v>DavidH</v>
      </c>
      <c r="Y117" s="267">
        <v>-0.01</v>
      </c>
      <c r="Z117" s="267">
        <v>0.9672771600678209</v>
      </c>
      <c r="AA117" s="269"/>
      <c r="AB117" s="270"/>
      <c r="AC117" s="270"/>
      <c r="AD117" s="270"/>
      <c r="AE117" s="270"/>
    </row>
    <row r="118">
      <c r="A118" s="256">
        <f>IFERROR(__xludf.DUMMYFUNCTION("""COMPUTED_VALUE"""),42576.36597222222)</f>
        <v>42576.36597</v>
      </c>
      <c r="B118" s="257" t="str">
        <f>IFERROR(__xludf.DUMMYFUNCTION("""COMPUTED_VALUE"""),"BennyG")</f>
        <v>BennyG</v>
      </c>
      <c r="C118" s="258" t="str">
        <f>IFERROR(__xludf.DUMMYFUNCTION("""COMPUTED_VALUE"""),"Europe (excluding UK) &amp; Asia Pacific")</f>
        <v>Europe (excluding UK) &amp; Asia Pacific</v>
      </c>
      <c r="D118" s="258" t="str">
        <f>IFERROR(__xludf.DUMMYFUNCTION("""COMPUTED_VALUE"""),"km. My car displays range in kilometres and I will enter all range numbers in kilometres.")</f>
        <v>km. My car displays range in kilometres and I will enter all range numbers in kilometres.</v>
      </c>
      <c r="E118" s="259">
        <f>IFERROR(__xludf.DUMMYFUNCTION("""COMPUTED_VALUE"""),42137.0)</f>
        <v>42137</v>
      </c>
      <c r="F118" s="258" t="str">
        <f>IFERROR(__xludf.DUMMYFUNCTION("""COMPUTED_VALUE"""),"Model S 85")</f>
        <v>Model S 85</v>
      </c>
      <c r="G118" s="258" t="str">
        <f>IFERROR(__xludf.DUMMYFUNCTION("""COMPUTED_VALUE"""),"Monthly")</f>
        <v>Monthly</v>
      </c>
      <c r="H118" s="258" t="str">
        <f>IFERROR(__xludf.DUMMYFUNCTION("""COMPUTED_VALUE"""),"A few times a year")</f>
        <v>A few times a year</v>
      </c>
      <c r="I118" s="258" t="str">
        <f>IFERROR(__xludf.DUMMYFUNCTION("""COMPUTED_VALUE"""),"Once or twice a year")</f>
        <v>Once or twice a year</v>
      </c>
      <c r="J118" s="260">
        <f>IFERROR(__xludf.DUMMYFUNCTION("""COMPUTED_VALUE"""),0.8)</f>
        <v>0.8</v>
      </c>
      <c r="K118" s="258" t="str">
        <f>IFERROR(__xludf.DUMMYFUNCTION("""COMPUTED_VALUE"""),"")</f>
        <v/>
      </c>
      <c r="L118" s="258" t="str">
        <f>IFERROR(__xludf.DUMMYFUNCTION("""COMPUTED_VALUE"""),"")</f>
        <v/>
      </c>
      <c r="M118" s="261">
        <f>IFERROR(__xludf.DUMMYFUNCTION("""COMPUTED_VALUE"""),207.0)</f>
        <v>207</v>
      </c>
      <c r="N118" s="262" t="str">
        <f>IFERROR(__xludf.DUMMYFUNCTION("""COMPUTED_VALUE"""),"")</f>
        <v/>
      </c>
      <c r="O118" s="259" t="str">
        <f>IFERROR(__xludf.DUMMYFUNCTION("""COMPUTED_VALUE"""),"")</f>
        <v/>
      </c>
      <c r="P118" s="259">
        <f>IFERROR(__xludf.DUMMYFUNCTION("""COMPUTED_VALUE"""),42576.0)</f>
        <v>42576</v>
      </c>
      <c r="Q118" s="258">
        <f>IFERROR(__xludf.DUMMYFUNCTION("""COMPUTED_VALUE"""),42234.0)</f>
        <v>42234</v>
      </c>
      <c r="R118" s="261">
        <f>IFERROR(__xludf.DUMMYFUNCTION("""COMPUTED_VALUE"""),381.0)</f>
        <v>381</v>
      </c>
      <c r="S118" s="258">
        <v>395.0</v>
      </c>
      <c r="T118" s="263">
        <v>0.9645569620253165</v>
      </c>
      <c r="U118" s="264">
        <v>26243.0</v>
      </c>
      <c r="V118" s="265">
        <v>42234.0</v>
      </c>
      <c r="W118" s="264">
        <v>26243.0</v>
      </c>
      <c r="X118" s="266" t="str">
        <f>IFERROR(__xludf.DUMMYFUNCTION("""COMPUTED_VALUE"""),"DavidLVN")</f>
        <v>DavidLVN</v>
      </c>
      <c r="Y118" s="267">
        <v>-0.01</v>
      </c>
      <c r="Z118" s="267">
        <v>0.9624308538643237</v>
      </c>
      <c r="AA118" s="269"/>
      <c r="AB118" s="270"/>
      <c r="AC118" s="270"/>
      <c r="AD118" s="270"/>
      <c r="AE118" s="270"/>
    </row>
    <row r="119">
      <c r="A119" s="256">
        <f>IFERROR(__xludf.DUMMYFUNCTION("""COMPUTED_VALUE"""),42592.38055555556)</f>
        <v>42592.38056</v>
      </c>
      <c r="B119" s="257" t="str">
        <f>IFERROR(__xludf.DUMMYFUNCTION("""COMPUTED_VALUE"""),"BennyG")</f>
        <v>BennyG</v>
      </c>
      <c r="C119" s="258" t="str">
        <f>IFERROR(__xludf.DUMMYFUNCTION("""COMPUTED_VALUE"""),"Europe (excluding UK) &amp; Asia Pacific")</f>
        <v>Europe (excluding UK) &amp; Asia Pacific</v>
      </c>
      <c r="D119" s="258" t="str">
        <f>IFERROR(__xludf.DUMMYFUNCTION("""COMPUTED_VALUE"""),"km. My car displays range in kilometres and I will enter all range numbers in kilometres.")</f>
        <v>km. My car displays range in kilometres and I will enter all range numbers in kilometres.</v>
      </c>
      <c r="E119" s="259">
        <f>IFERROR(__xludf.DUMMYFUNCTION("""COMPUTED_VALUE"""),42137.0)</f>
        <v>42137</v>
      </c>
      <c r="F119" s="258" t="str">
        <f>IFERROR(__xludf.DUMMYFUNCTION("""COMPUTED_VALUE"""),"Model S 85")</f>
        <v>Model S 85</v>
      </c>
      <c r="G119" s="258" t="str">
        <f>IFERROR(__xludf.DUMMYFUNCTION("""COMPUTED_VALUE"""),"Monthly")</f>
        <v>Monthly</v>
      </c>
      <c r="H119" s="258" t="str">
        <f>IFERROR(__xludf.DUMMYFUNCTION("""COMPUTED_VALUE"""),"A few times a year")</f>
        <v>A few times a year</v>
      </c>
      <c r="I119" s="258" t="str">
        <f>IFERROR(__xludf.DUMMYFUNCTION("""COMPUTED_VALUE"""),"Once or twice a year")</f>
        <v>Once or twice a year</v>
      </c>
      <c r="J119" s="260">
        <f>IFERROR(__xludf.DUMMYFUNCTION("""COMPUTED_VALUE"""),0.8)</f>
        <v>0.8</v>
      </c>
      <c r="K119" s="258" t="str">
        <f>IFERROR(__xludf.DUMMYFUNCTION("""COMPUTED_VALUE"""),"")</f>
        <v/>
      </c>
      <c r="L119" s="258" t="str">
        <f>IFERROR(__xludf.DUMMYFUNCTION("""COMPUTED_VALUE"""),"")</f>
        <v/>
      </c>
      <c r="M119" s="261">
        <f>IFERROR(__xludf.DUMMYFUNCTION("""COMPUTED_VALUE"""),207.0)</f>
        <v>207</v>
      </c>
      <c r="N119" s="262" t="str">
        <f>IFERROR(__xludf.DUMMYFUNCTION("""COMPUTED_VALUE"""),"")</f>
        <v/>
      </c>
      <c r="O119" s="259" t="str">
        <f>IFERROR(__xludf.DUMMYFUNCTION("""COMPUTED_VALUE"""),"")</f>
        <v/>
      </c>
      <c r="P119" s="259">
        <f>IFERROR(__xludf.DUMMYFUNCTION("""COMPUTED_VALUE"""),42592.0)</f>
        <v>42592</v>
      </c>
      <c r="Q119" s="258">
        <f>IFERROR(__xludf.DUMMYFUNCTION("""COMPUTED_VALUE"""),45533.0)</f>
        <v>45533</v>
      </c>
      <c r="R119" s="261">
        <f>IFERROR(__xludf.DUMMYFUNCTION("""COMPUTED_VALUE"""),385.0)</f>
        <v>385</v>
      </c>
      <c r="S119" s="258">
        <v>395.0</v>
      </c>
      <c r="T119" s="263">
        <v>0.9746835443037974</v>
      </c>
      <c r="U119" s="264">
        <v>28293.0</v>
      </c>
      <c r="V119" s="265">
        <v>45533.0</v>
      </c>
      <c r="W119" s="264">
        <v>28293.0</v>
      </c>
      <c r="X119" s="266" t="str">
        <f>IFERROR(__xludf.DUMMYFUNCTION("""COMPUTED_VALUE"""),"Dax")</f>
        <v>Dax</v>
      </c>
      <c r="Y119" s="267">
        <v>-0.01</v>
      </c>
      <c r="Z119" s="267">
        <v>0.9612139892014935</v>
      </c>
      <c r="AA119" s="269"/>
      <c r="AB119" s="270"/>
      <c r="AC119" s="270"/>
      <c r="AD119" s="270"/>
      <c r="AE119" s="270"/>
    </row>
    <row r="120">
      <c r="A120" s="256">
        <f>IFERROR(__xludf.DUMMYFUNCTION("""COMPUTED_VALUE"""),42632.40347222222)</f>
        <v>42632.40347</v>
      </c>
      <c r="B120" s="257" t="str">
        <f>IFERROR(__xludf.DUMMYFUNCTION("""COMPUTED_VALUE"""),"BennyG")</f>
        <v>BennyG</v>
      </c>
      <c r="C120" s="258" t="str">
        <f>IFERROR(__xludf.DUMMYFUNCTION("""COMPUTED_VALUE"""),"Europe (excluding UK) &amp; Asia Pacific")</f>
        <v>Europe (excluding UK) &amp; Asia Pacific</v>
      </c>
      <c r="D120" s="258" t="str">
        <f>IFERROR(__xludf.DUMMYFUNCTION("""COMPUTED_VALUE"""),"km. My car displays range in kilometres and I will enter all range numbers in kilometres.")</f>
        <v>km. My car displays range in kilometres and I will enter all range numbers in kilometres.</v>
      </c>
      <c r="E120" s="259">
        <f>IFERROR(__xludf.DUMMYFUNCTION("""COMPUTED_VALUE"""),42137.0)</f>
        <v>42137</v>
      </c>
      <c r="F120" s="258" t="str">
        <f>IFERROR(__xludf.DUMMYFUNCTION("""COMPUTED_VALUE"""),"Model S 85")</f>
        <v>Model S 85</v>
      </c>
      <c r="G120" s="258" t="str">
        <f>IFERROR(__xludf.DUMMYFUNCTION("""COMPUTED_VALUE"""),"A few times a year")</f>
        <v>A few times a year</v>
      </c>
      <c r="H120" s="258" t="str">
        <f>IFERROR(__xludf.DUMMYFUNCTION("""COMPUTED_VALUE"""),"Monthly")</f>
        <v>Monthly</v>
      </c>
      <c r="I120" s="258" t="str">
        <f>IFERROR(__xludf.DUMMYFUNCTION("""COMPUTED_VALUE"""),"Once or twice a year")</f>
        <v>Once or twice a year</v>
      </c>
      <c r="J120" s="260">
        <f>IFERROR(__xludf.DUMMYFUNCTION("""COMPUTED_VALUE"""),0.8)</f>
        <v>0.8</v>
      </c>
      <c r="K120" s="258" t="str">
        <f>IFERROR(__xludf.DUMMYFUNCTION("""COMPUTED_VALUE"""),"")</f>
        <v/>
      </c>
      <c r="L120" s="258" t="str">
        <f>IFERROR(__xludf.DUMMYFUNCTION("""COMPUTED_VALUE"""),"")</f>
        <v/>
      </c>
      <c r="M120" s="261">
        <f>IFERROR(__xludf.DUMMYFUNCTION("""COMPUTED_VALUE"""),205.0)</f>
        <v>205</v>
      </c>
      <c r="N120" s="262" t="str">
        <f>IFERROR(__xludf.DUMMYFUNCTION("""COMPUTED_VALUE"""),"")</f>
        <v/>
      </c>
      <c r="O120" s="259" t="str">
        <f>IFERROR(__xludf.DUMMYFUNCTION("""COMPUTED_VALUE"""),"")</f>
        <v/>
      </c>
      <c r="P120" s="259">
        <f>IFERROR(__xludf.DUMMYFUNCTION("""COMPUTED_VALUE"""),42632.0)</f>
        <v>42632</v>
      </c>
      <c r="Q120" s="258">
        <f>IFERROR(__xludf.DUMMYFUNCTION("""COMPUTED_VALUE"""),50878.0)</f>
        <v>50878</v>
      </c>
      <c r="R120" s="261">
        <f>IFERROR(__xludf.DUMMYFUNCTION("""COMPUTED_VALUE"""),385.0)</f>
        <v>385</v>
      </c>
      <c r="S120" s="258">
        <v>395.0</v>
      </c>
      <c r="T120" s="263">
        <v>0.9746835443037974</v>
      </c>
      <c r="U120" s="264">
        <v>31614.0</v>
      </c>
      <c r="V120" s="265">
        <v>50878.0</v>
      </c>
      <c r="W120" s="264">
        <v>31614.0</v>
      </c>
      <c r="X120" s="266" t="str">
        <f>IFERROR(__xludf.DUMMYFUNCTION("""COMPUTED_VALUE"""),"Deffe")</f>
        <v>Deffe</v>
      </c>
      <c r="Y120" s="267">
        <v>-0.01</v>
      </c>
      <c r="Z120" s="267">
        <v>0.9594051527005554</v>
      </c>
      <c r="AA120" s="269"/>
      <c r="AB120" s="270"/>
      <c r="AC120" s="270"/>
      <c r="AD120" s="270"/>
      <c r="AE120" s="270"/>
    </row>
    <row r="121">
      <c r="A121" s="256">
        <f>IFERROR(__xludf.DUMMYFUNCTION("""COMPUTED_VALUE"""),42702.46319444444)</f>
        <v>42702.46319</v>
      </c>
      <c r="B121" s="257" t="str">
        <f>IFERROR(__xludf.DUMMYFUNCTION("""COMPUTED_VALUE"""),"BennyG")</f>
        <v>BennyG</v>
      </c>
      <c r="C121" s="258" t="str">
        <f>IFERROR(__xludf.DUMMYFUNCTION("""COMPUTED_VALUE"""),"Europe (excluding UK) &amp; Asia Pacific")</f>
        <v>Europe (excluding UK) &amp; Asia Pacific</v>
      </c>
      <c r="D121" s="258" t="str">
        <f>IFERROR(__xludf.DUMMYFUNCTION("""COMPUTED_VALUE"""),"km. My car displays range in kilometres and I will enter all range numbers in kilometres.")</f>
        <v>km. My car displays range in kilometres and I will enter all range numbers in kilometres.</v>
      </c>
      <c r="E121" s="259">
        <f>IFERROR(__xludf.DUMMYFUNCTION("""COMPUTED_VALUE"""),42137.0)</f>
        <v>42137</v>
      </c>
      <c r="F121" s="258" t="str">
        <f>IFERROR(__xludf.DUMMYFUNCTION("""COMPUTED_VALUE"""),"Model S 85")</f>
        <v>Model S 85</v>
      </c>
      <c r="G121" s="258" t="str">
        <f>IFERROR(__xludf.DUMMYFUNCTION("""COMPUTED_VALUE"""),"Monthly")</f>
        <v>Monthly</v>
      </c>
      <c r="H121" s="258" t="str">
        <f>IFERROR(__xludf.DUMMYFUNCTION("""COMPUTED_VALUE"""),"A few times a year")</f>
        <v>A few times a year</v>
      </c>
      <c r="I121" s="258" t="str">
        <f>IFERROR(__xludf.DUMMYFUNCTION("""COMPUTED_VALUE"""),"Never")</f>
        <v>Never</v>
      </c>
      <c r="J121" s="260">
        <f>IFERROR(__xludf.DUMMYFUNCTION("""COMPUTED_VALUE"""),0.9)</f>
        <v>0.9</v>
      </c>
      <c r="K121" s="258" t="str">
        <f>IFERROR(__xludf.DUMMYFUNCTION("""COMPUTED_VALUE"""),"")</f>
        <v/>
      </c>
      <c r="L121" s="258" t="str">
        <f>IFERROR(__xludf.DUMMYFUNCTION("""COMPUTED_VALUE"""),"")</f>
        <v/>
      </c>
      <c r="M121" s="261">
        <f>IFERROR(__xludf.DUMMYFUNCTION("""COMPUTED_VALUE"""),205.0)</f>
        <v>205</v>
      </c>
      <c r="N121" s="262" t="str">
        <f>IFERROR(__xludf.DUMMYFUNCTION("""COMPUTED_VALUE"""),"")</f>
        <v/>
      </c>
      <c r="O121" s="259" t="str">
        <f>IFERROR(__xludf.DUMMYFUNCTION("""COMPUTED_VALUE"""),"")</f>
        <v/>
      </c>
      <c r="P121" s="259">
        <f>IFERROR(__xludf.DUMMYFUNCTION("""COMPUTED_VALUE"""),42702.0)</f>
        <v>42702</v>
      </c>
      <c r="Q121" s="258">
        <f>IFERROR(__xludf.DUMMYFUNCTION("""COMPUTED_VALUE"""),60825.0)</f>
        <v>60825</v>
      </c>
      <c r="R121" s="261">
        <f>IFERROR(__xludf.DUMMYFUNCTION("""COMPUTED_VALUE"""),384.0)</f>
        <v>384</v>
      </c>
      <c r="S121" s="258">
        <v>395.0</v>
      </c>
      <c r="T121" s="263">
        <v>0.9721518987341772</v>
      </c>
      <c r="U121" s="264">
        <v>37795.0</v>
      </c>
      <c r="V121" s="265">
        <v>60825.0</v>
      </c>
      <c r="W121" s="264">
        <v>37795.0</v>
      </c>
      <c r="X121" s="266" t="str">
        <f>IFERROR(__xludf.DUMMYFUNCTION("""COMPUTED_VALUE"""),"dekoene")</f>
        <v>dekoene</v>
      </c>
      <c r="Y121" s="267">
        <v>-0.01</v>
      </c>
      <c r="Z121" s="267">
        <v>0.9564168128689939</v>
      </c>
      <c r="AA121" s="269"/>
      <c r="AB121" s="270"/>
      <c r="AC121" s="270"/>
      <c r="AD121" s="270"/>
      <c r="AE121" s="270"/>
    </row>
    <row r="122">
      <c r="A122" s="256">
        <f>IFERROR(__xludf.DUMMYFUNCTION("""COMPUTED_VALUE"""),42815.51458333334)</f>
        <v>42815.51458</v>
      </c>
      <c r="B122" s="257" t="str">
        <f>IFERROR(__xludf.DUMMYFUNCTION("""COMPUTED_VALUE"""),"BennyG")</f>
        <v>BennyG</v>
      </c>
      <c r="C122" s="258" t="str">
        <f>IFERROR(__xludf.DUMMYFUNCTION("""COMPUTED_VALUE"""),"Europe (excluding UK) &amp; Asia Pacific")</f>
        <v>Europe (excluding UK) &amp; Asia Pacific</v>
      </c>
      <c r="D122" s="258" t="str">
        <f>IFERROR(__xludf.DUMMYFUNCTION("""COMPUTED_VALUE"""),"km. My car displays range in kilometres and I will enter all range numbers in kilometres.")</f>
        <v>km. My car displays range in kilometres and I will enter all range numbers in kilometres.</v>
      </c>
      <c r="E122" s="259">
        <f>IFERROR(__xludf.DUMMYFUNCTION("""COMPUTED_VALUE"""),42137.0)</f>
        <v>42137</v>
      </c>
      <c r="F122" s="258" t="str">
        <f>IFERROR(__xludf.DUMMYFUNCTION("""COMPUTED_VALUE"""),"Model S 85")</f>
        <v>Model S 85</v>
      </c>
      <c r="G122" s="258" t="str">
        <f>IFERROR(__xludf.DUMMYFUNCTION("""COMPUTED_VALUE"""),"A few times a year")</f>
        <v>A few times a year</v>
      </c>
      <c r="H122" s="258" t="str">
        <f>IFERROR(__xludf.DUMMYFUNCTION("""COMPUTED_VALUE"""),"Once or twice a year")</f>
        <v>Once or twice a year</v>
      </c>
      <c r="I122" s="258" t="str">
        <f>IFERROR(__xludf.DUMMYFUNCTION("""COMPUTED_VALUE"""),"Once or twice a year")</f>
        <v>Once or twice a year</v>
      </c>
      <c r="J122" s="260">
        <f>IFERROR(__xludf.DUMMYFUNCTION("""COMPUTED_VALUE"""),0.8)</f>
        <v>0.8</v>
      </c>
      <c r="K122" s="258" t="str">
        <f>IFERROR(__xludf.DUMMYFUNCTION("""COMPUTED_VALUE"""),"")</f>
        <v/>
      </c>
      <c r="L122" s="258" t="str">
        <f>IFERROR(__xludf.DUMMYFUNCTION("""COMPUTED_VALUE"""),"")</f>
        <v/>
      </c>
      <c r="M122" s="261">
        <f>IFERROR(__xludf.DUMMYFUNCTION("""COMPUTED_VALUE"""),205.0)</f>
        <v>205</v>
      </c>
      <c r="N122" s="262" t="str">
        <f>IFERROR(__xludf.DUMMYFUNCTION("""COMPUTED_VALUE"""),"")</f>
        <v/>
      </c>
      <c r="O122" s="259" t="str">
        <f>IFERROR(__xludf.DUMMYFUNCTION("""COMPUTED_VALUE"""),"")</f>
        <v/>
      </c>
      <c r="P122" s="259">
        <f>IFERROR(__xludf.DUMMYFUNCTION("""COMPUTED_VALUE"""),42815.0)</f>
        <v>42815</v>
      </c>
      <c r="Q122" s="258">
        <f>IFERROR(__xludf.DUMMYFUNCTION("""COMPUTED_VALUE"""),75443.0)</f>
        <v>75443</v>
      </c>
      <c r="R122" s="261">
        <f>IFERROR(__xludf.DUMMYFUNCTION("""COMPUTED_VALUE"""),381.0)</f>
        <v>381</v>
      </c>
      <c r="S122" s="258">
        <v>395.0</v>
      </c>
      <c r="T122" s="263">
        <v>0.9645569620253165</v>
      </c>
      <c r="U122" s="264">
        <v>46878.0</v>
      </c>
      <c r="V122" s="265">
        <v>75443.0</v>
      </c>
      <c r="W122" s="264">
        <v>46878.0</v>
      </c>
      <c r="X122" s="266" t="str">
        <f>IFERROR(__xludf.DUMMYFUNCTION("""COMPUTED_VALUE"""),"DFibRL8r")</f>
        <v>DFibRL8r</v>
      </c>
      <c r="Y122" s="267">
        <v>-0.01</v>
      </c>
      <c r="Z122" s="267">
        <v>0.9525377074020729</v>
      </c>
      <c r="AA122" s="269"/>
      <c r="AB122" s="270"/>
      <c r="AC122" s="270"/>
      <c r="AD122" s="270"/>
      <c r="AE122" s="270"/>
    </row>
    <row r="123">
      <c r="A123" s="256">
        <f>IFERROR(__xludf.DUMMYFUNCTION("""COMPUTED_VALUE"""),42960.58541666667)</f>
        <v>42960.58542</v>
      </c>
      <c r="B123" s="257" t="str">
        <f>IFERROR(__xludf.DUMMYFUNCTION("""COMPUTED_VALUE"""),"BennyG")</f>
        <v>BennyG</v>
      </c>
      <c r="C123" s="258" t="str">
        <f>IFERROR(__xludf.DUMMYFUNCTION("""COMPUTED_VALUE"""),"Europe (excluding UK) &amp; Asia Pacific")</f>
        <v>Europe (excluding UK) &amp; Asia Pacific</v>
      </c>
      <c r="D123" s="258" t="str">
        <f>IFERROR(__xludf.DUMMYFUNCTION("""COMPUTED_VALUE"""),"km. My car displays range in kilometres and I will enter all range numbers in kilometres.")</f>
        <v>km. My car displays range in kilometres and I will enter all range numbers in kilometres.</v>
      </c>
      <c r="E123" s="259">
        <f>IFERROR(__xludf.DUMMYFUNCTION("""COMPUTED_VALUE"""),42923.0)</f>
        <v>42923</v>
      </c>
      <c r="F123" s="258" t="str">
        <f>IFERROR(__xludf.DUMMYFUNCTION("""COMPUTED_VALUE"""),"Model S 75D")</f>
        <v>Model S 75D</v>
      </c>
      <c r="G123" s="258" t="str">
        <f>IFERROR(__xludf.DUMMYFUNCTION("""COMPUTED_VALUE"""),"Weekly")</f>
        <v>Weekly</v>
      </c>
      <c r="H123" s="258" t="str">
        <f>IFERROR(__xludf.DUMMYFUNCTION("""COMPUTED_VALUE"""),"Monthly")</f>
        <v>Monthly</v>
      </c>
      <c r="I123" s="258" t="str">
        <f>IFERROR(__xludf.DUMMYFUNCTION("""COMPUTED_VALUE"""),"Once or twice a year")</f>
        <v>Once or twice a year</v>
      </c>
      <c r="J123" s="260">
        <f>IFERROR(__xludf.DUMMYFUNCTION("""COMPUTED_VALUE"""),0.8)</f>
        <v>0.8</v>
      </c>
      <c r="K123" s="258">
        <f>IFERROR(__xludf.DUMMYFUNCTION("""COMPUTED_VALUE"""),382.0)</f>
        <v>382</v>
      </c>
      <c r="L123" s="258" t="str">
        <f>IFERROR(__xludf.DUMMYFUNCTION("""COMPUTED_VALUE"""),"")</f>
        <v/>
      </c>
      <c r="M123" s="261">
        <f>IFERROR(__xludf.DUMMYFUNCTION("""COMPUTED_VALUE"""),183.0)</f>
        <v>183</v>
      </c>
      <c r="N123" s="262" t="str">
        <f>IFERROR(__xludf.DUMMYFUNCTION("""COMPUTED_VALUE"""),"")</f>
        <v/>
      </c>
      <c r="O123" s="259" t="str">
        <f>IFERROR(__xludf.DUMMYFUNCTION("""COMPUTED_VALUE"""),"")</f>
        <v/>
      </c>
      <c r="P123" s="259">
        <f>IFERROR(__xludf.DUMMYFUNCTION("""COMPUTED_VALUE"""),42960.0)</f>
        <v>42960</v>
      </c>
      <c r="Q123" s="258">
        <f>IFERROR(__xludf.DUMMYFUNCTION("""COMPUTED_VALUE"""),6548.0)</f>
        <v>6548</v>
      </c>
      <c r="R123" s="261">
        <f>IFERROR(__xludf.DUMMYFUNCTION("""COMPUTED_VALUE"""),383.0)</f>
        <v>383</v>
      </c>
      <c r="S123" s="258">
        <v>384.0</v>
      </c>
      <c r="T123" s="263">
        <v>0.9973958333333334</v>
      </c>
      <c r="U123" s="264">
        <v>4069.0</v>
      </c>
      <c r="V123" s="265">
        <v>6548.0</v>
      </c>
      <c r="W123" s="264">
        <v>4069.0</v>
      </c>
      <c r="X123" s="266" t="str">
        <f>IFERROR(__xludf.DUMMYFUNCTION("""COMPUTED_VALUE"""),"dfranssen")</f>
        <v>dfranssen</v>
      </c>
      <c r="Y123" s="267">
        <v>-0.01</v>
      </c>
      <c r="Z123" s="267">
        <v>0.9888517869233052</v>
      </c>
      <c r="AA123" s="269"/>
      <c r="AB123" s="270"/>
      <c r="AC123" s="270"/>
      <c r="AD123" s="270"/>
      <c r="AE123" s="270"/>
    </row>
    <row r="124">
      <c r="A124" s="256">
        <f>IFERROR(__xludf.DUMMYFUNCTION("""COMPUTED_VALUE"""),43135.68958333333)</f>
        <v>43135.68958</v>
      </c>
      <c r="B124" s="257" t="str">
        <f>IFERROR(__xludf.DUMMYFUNCTION("""COMPUTED_VALUE"""),"BennyG")</f>
        <v>BennyG</v>
      </c>
      <c r="C124" s="258" t="str">
        <f>IFERROR(__xludf.DUMMYFUNCTION("""COMPUTED_VALUE"""),"Europe (excluding UK) &amp; Asia Pacific")</f>
        <v>Europe (excluding UK) &amp; Asia Pacific</v>
      </c>
      <c r="D124" s="258" t="str">
        <f>IFERROR(__xludf.DUMMYFUNCTION("""COMPUTED_VALUE"""),"km. My car displays range in kilometres and I will enter all range numbers in kilometres.")</f>
        <v>km. My car displays range in kilometres and I will enter all range numbers in kilometres.</v>
      </c>
      <c r="E124" s="259">
        <f>IFERROR(__xludf.DUMMYFUNCTION("""COMPUTED_VALUE"""),42923.0)</f>
        <v>42923</v>
      </c>
      <c r="F124" s="258" t="str">
        <f>IFERROR(__xludf.DUMMYFUNCTION("""COMPUTED_VALUE"""),"Model S 75D")</f>
        <v>Model S 75D</v>
      </c>
      <c r="G124" s="258" t="str">
        <f>IFERROR(__xludf.DUMMYFUNCTION("""COMPUTED_VALUE"""),"A few times a year")</f>
        <v>A few times a year</v>
      </c>
      <c r="H124" s="258" t="str">
        <f>IFERROR(__xludf.DUMMYFUNCTION("""COMPUTED_VALUE"""),"Once or twice a year")</f>
        <v>Once or twice a year</v>
      </c>
      <c r="I124" s="258" t="str">
        <f>IFERROR(__xludf.DUMMYFUNCTION("""COMPUTED_VALUE"""),"Once or twice a year")</f>
        <v>Once or twice a year</v>
      </c>
      <c r="J124" s="260">
        <f>IFERROR(__xludf.DUMMYFUNCTION("""COMPUTED_VALUE"""),0.8)</f>
        <v>0.8</v>
      </c>
      <c r="K124" s="258">
        <f>IFERROR(__xludf.DUMMYFUNCTION("""COMPUTED_VALUE"""),382.0)</f>
        <v>382</v>
      </c>
      <c r="L124" s="258" t="str">
        <f>IFERROR(__xludf.DUMMYFUNCTION("""COMPUTED_VALUE"""),"")</f>
        <v/>
      </c>
      <c r="M124" s="261">
        <f>IFERROR(__xludf.DUMMYFUNCTION("""COMPUTED_VALUE"""),201.0)</f>
        <v>201</v>
      </c>
      <c r="N124" s="262" t="str">
        <f>IFERROR(__xludf.DUMMYFUNCTION("""COMPUTED_VALUE"""),"")</f>
        <v/>
      </c>
      <c r="O124" s="259" t="str">
        <f>IFERROR(__xludf.DUMMYFUNCTION("""COMPUTED_VALUE"""),"")</f>
        <v/>
      </c>
      <c r="P124" s="259">
        <f>IFERROR(__xludf.DUMMYFUNCTION("""COMPUTED_VALUE"""),43135.0)</f>
        <v>43135</v>
      </c>
      <c r="Q124" s="258">
        <f>IFERROR(__xludf.DUMMYFUNCTION("""COMPUTED_VALUE"""),25247.0)</f>
        <v>25247</v>
      </c>
      <c r="R124" s="261">
        <f>IFERROR(__xludf.DUMMYFUNCTION("""COMPUTED_VALUE"""),367.0)</f>
        <v>367</v>
      </c>
      <c r="S124" s="258">
        <v>384.0</v>
      </c>
      <c r="T124" s="263">
        <v>0.9557291666666666</v>
      </c>
      <c r="U124" s="264">
        <v>15688.0</v>
      </c>
      <c r="V124" s="265">
        <v>25247.0</v>
      </c>
      <c r="W124" s="264">
        <v>15688.0</v>
      </c>
      <c r="X124" s="266" t="str">
        <f>IFERROR(__xludf.DUMMYFUNCTION("""COMPUTED_VALUE"""),"DH12345")</f>
        <v>DH12345</v>
      </c>
      <c r="Y124" s="267">
        <v>-0.01</v>
      </c>
      <c r="Z124" s="267">
        <v>0.9707504710263891</v>
      </c>
      <c r="AA124" s="269"/>
      <c r="AB124" s="270"/>
      <c r="AC124" s="270"/>
      <c r="AD124" s="270"/>
      <c r="AE124" s="270"/>
    </row>
    <row r="125">
      <c r="A125" s="256">
        <f>IFERROR(__xludf.DUMMYFUNCTION("""COMPUTED_VALUE"""),43135.69097222222)</f>
        <v>43135.69097</v>
      </c>
      <c r="B125" s="257" t="str">
        <f>IFERROR(__xludf.DUMMYFUNCTION("""COMPUTED_VALUE"""),"BennyG")</f>
        <v>BennyG</v>
      </c>
      <c r="C125" s="258" t="str">
        <f>IFERROR(__xludf.DUMMYFUNCTION("""COMPUTED_VALUE"""),"Europe (excluding UK) &amp; Asia Pacific")</f>
        <v>Europe (excluding UK) &amp; Asia Pacific</v>
      </c>
      <c r="D125" s="258" t="str">
        <f>IFERROR(__xludf.DUMMYFUNCTION("""COMPUTED_VALUE"""),"km. My car displays range in kilometres and I will enter all range numbers in kilometres.")</f>
        <v>km. My car displays range in kilometres and I will enter all range numbers in kilometres.</v>
      </c>
      <c r="E125" s="259">
        <f>IFERROR(__xludf.DUMMYFUNCTION("""COMPUTED_VALUE"""),42923.0)</f>
        <v>42923</v>
      </c>
      <c r="F125" s="258" t="str">
        <f>IFERROR(__xludf.DUMMYFUNCTION("""COMPUTED_VALUE"""),"Model S 75D")</f>
        <v>Model S 75D</v>
      </c>
      <c r="G125" s="258" t="str">
        <f>IFERROR(__xludf.DUMMYFUNCTION("""COMPUTED_VALUE"""),"A few times a year")</f>
        <v>A few times a year</v>
      </c>
      <c r="H125" s="258" t="str">
        <f>IFERROR(__xludf.DUMMYFUNCTION("""COMPUTED_VALUE"""),"Once or twice a year")</f>
        <v>Once or twice a year</v>
      </c>
      <c r="I125" s="258" t="str">
        <f>IFERROR(__xludf.DUMMYFUNCTION("""COMPUTED_VALUE"""),"Once or twice a year")</f>
        <v>Once or twice a year</v>
      </c>
      <c r="J125" s="260">
        <f>IFERROR(__xludf.DUMMYFUNCTION("""COMPUTED_VALUE"""),0.8)</f>
        <v>0.8</v>
      </c>
      <c r="K125" s="258">
        <f>IFERROR(__xludf.DUMMYFUNCTION("""COMPUTED_VALUE"""),382.0)</f>
        <v>382</v>
      </c>
      <c r="L125" s="258" t="str">
        <f>IFERROR(__xludf.DUMMYFUNCTION("""COMPUTED_VALUE"""),"")</f>
        <v/>
      </c>
      <c r="M125" s="261">
        <f>IFERROR(__xludf.DUMMYFUNCTION("""COMPUTED_VALUE"""),201.0)</f>
        <v>201</v>
      </c>
      <c r="N125" s="262" t="str">
        <f>IFERROR(__xludf.DUMMYFUNCTION("""COMPUTED_VALUE"""),"")</f>
        <v/>
      </c>
      <c r="O125" s="259" t="str">
        <f>IFERROR(__xludf.DUMMYFUNCTION("""COMPUTED_VALUE"""),"")</f>
        <v/>
      </c>
      <c r="P125" s="259">
        <f>IFERROR(__xludf.DUMMYFUNCTION("""COMPUTED_VALUE"""),43135.0)</f>
        <v>43135</v>
      </c>
      <c r="Q125" s="258">
        <f>IFERROR(__xludf.DUMMYFUNCTION("""COMPUTED_VALUE"""),25456.0)</f>
        <v>25456</v>
      </c>
      <c r="R125" s="261">
        <f>IFERROR(__xludf.DUMMYFUNCTION("""COMPUTED_VALUE"""),367.0)</f>
        <v>367</v>
      </c>
      <c r="S125" s="258">
        <v>384.0</v>
      </c>
      <c r="T125" s="263">
        <v>0.9557291666666666</v>
      </c>
      <c r="U125" s="264">
        <v>15818.0</v>
      </c>
      <c r="V125" s="265">
        <v>25456.0</v>
      </c>
      <c r="W125" s="264">
        <v>15818.0</v>
      </c>
      <c r="X125" s="266" t="str">
        <f>IFERROR(__xludf.DUMMYFUNCTION("""COMPUTED_VALUE"""),"DidierDozer")</f>
        <v>DidierDozer</v>
      </c>
      <c r="Y125" s="267">
        <v>-0.01</v>
      </c>
      <c r="Z125" s="267">
        <v>0.9706175518172852</v>
      </c>
      <c r="AA125" s="269"/>
      <c r="AB125" s="270"/>
      <c r="AC125" s="270"/>
      <c r="AD125" s="270"/>
      <c r="AE125" s="270"/>
    </row>
    <row r="126">
      <c r="A126" s="256">
        <f>IFERROR(__xludf.DUMMYFUNCTION("""COMPUTED_VALUE"""),43784.59059228009)</f>
        <v>43784.59059</v>
      </c>
      <c r="B126" s="257" t="str">
        <f>IFERROR(__xludf.DUMMYFUNCTION("""COMPUTED_VALUE"""),"BennyG")</f>
        <v>BennyG</v>
      </c>
      <c r="C126" s="258" t="str">
        <f>IFERROR(__xludf.DUMMYFUNCTION("""COMPUTED_VALUE"""),"Europe (excluding UK) &amp; Asia Pacific")</f>
        <v>Europe (excluding UK) &amp; Asia Pacific</v>
      </c>
      <c r="D126" s="258" t="str">
        <f>IFERROR(__xludf.DUMMYFUNCTION("""COMPUTED_VALUE"""),"km. My car displays range in kilometres and I will enter all range numbers in kilometres.")</f>
        <v>km. My car displays range in kilometres and I will enter all range numbers in kilometres.</v>
      </c>
      <c r="E126" s="259">
        <f>IFERROR(__xludf.DUMMYFUNCTION("""COMPUTED_VALUE"""),42923.0)</f>
        <v>42923</v>
      </c>
      <c r="F126" s="258" t="str">
        <f>IFERROR(__xludf.DUMMYFUNCTION("""COMPUTED_VALUE"""),"Model S 75D")</f>
        <v>Model S 75D</v>
      </c>
      <c r="G126" s="258" t="str">
        <f>IFERROR(__xludf.DUMMYFUNCTION("""COMPUTED_VALUE"""),"A few times a year")</f>
        <v>A few times a year</v>
      </c>
      <c r="H126" s="258" t="str">
        <f>IFERROR(__xludf.DUMMYFUNCTION("""COMPUTED_VALUE"""),"Once or twice a year")</f>
        <v>Once or twice a year</v>
      </c>
      <c r="I126" s="258" t="str">
        <f>IFERROR(__xludf.DUMMYFUNCTION("""COMPUTED_VALUE"""),"Once or twice a year")</f>
        <v>Once or twice a year</v>
      </c>
      <c r="J126" s="260">
        <f>IFERROR(__xludf.DUMMYFUNCTION("""COMPUTED_VALUE"""),0.8)</f>
        <v>0.8</v>
      </c>
      <c r="K126" s="258">
        <f>IFERROR(__xludf.DUMMYFUNCTION("""COMPUTED_VALUE"""),382.0)</f>
        <v>382</v>
      </c>
      <c r="L126" s="258" t="str">
        <f>IFERROR(__xludf.DUMMYFUNCTION("""COMPUTED_VALUE"""),"")</f>
        <v/>
      </c>
      <c r="M126" s="261">
        <f>IFERROR(__xludf.DUMMYFUNCTION("""COMPUTED_VALUE"""),193.0)</f>
        <v>193</v>
      </c>
      <c r="N126" s="262" t="str">
        <f>IFERROR(__xludf.DUMMYFUNCTION("""COMPUTED_VALUE"""),"")</f>
        <v/>
      </c>
      <c r="O126" s="259" t="str">
        <f>IFERROR(__xludf.DUMMYFUNCTION("""COMPUTED_VALUE"""),"")</f>
        <v/>
      </c>
      <c r="P126" s="259">
        <f>IFERROR(__xludf.DUMMYFUNCTION("""COMPUTED_VALUE"""),43776.0)</f>
        <v>43776</v>
      </c>
      <c r="Q126" s="258">
        <f>IFERROR(__xludf.DUMMYFUNCTION("""COMPUTED_VALUE"""),87768.0)</f>
        <v>87768</v>
      </c>
      <c r="R126" s="261">
        <f>IFERROR(__xludf.DUMMYFUNCTION("""COMPUTED_VALUE"""),358.0)</f>
        <v>358</v>
      </c>
      <c r="S126" s="258">
        <v>384.0</v>
      </c>
      <c r="T126" s="263">
        <v>0.9322916666666666</v>
      </c>
      <c r="U126" s="264">
        <v>54537.0</v>
      </c>
      <c r="V126" s="265">
        <v>87768.0</v>
      </c>
      <c r="W126" s="264">
        <v>54537.0</v>
      </c>
      <c r="X126" s="266" t="str">
        <f>IFERROR(__xludf.DUMMYFUNCTION("""COMPUTED_VALUE"""),"diegop")</f>
        <v>diegop</v>
      </c>
      <c r="Y126" s="267">
        <v>-0.01</v>
      </c>
      <c r="Z126" s="267">
        <v>0.9495011401338529</v>
      </c>
      <c r="AA126" s="269"/>
      <c r="AB126" s="270"/>
      <c r="AC126" s="270"/>
      <c r="AD126" s="270"/>
      <c r="AE126" s="270"/>
    </row>
    <row r="127">
      <c r="A127" s="256">
        <f>IFERROR(__xludf.DUMMYFUNCTION("""COMPUTED_VALUE"""),42320.22916666667)</f>
        <v>42320.22917</v>
      </c>
      <c r="B127" s="257" t="str">
        <f>IFERROR(__xludf.DUMMYFUNCTION("""COMPUTED_VALUE"""),"Berg")</f>
        <v>Berg</v>
      </c>
      <c r="C127" s="258" t="str">
        <f>IFERROR(__xludf.DUMMYFUNCTION("""COMPUTED_VALUE"""),"Europe (excluding UK) &amp; Asia Pacific")</f>
        <v>Europe (excluding UK) &amp; Asia Pacific</v>
      </c>
      <c r="D127" s="258" t="str">
        <f>IFERROR(__xludf.DUMMYFUNCTION("""COMPUTED_VALUE"""),"km. My car displays range in kilometres and I will enter all range numbers in kilometres.")</f>
        <v>km. My car displays range in kilometres and I will enter all range numbers in kilometres.</v>
      </c>
      <c r="E127" s="259">
        <f>IFERROR(__xludf.DUMMYFUNCTION("""COMPUTED_VALUE"""),41600.0)</f>
        <v>41600</v>
      </c>
      <c r="F127" s="258" t="str">
        <f>IFERROR(__xludf.DUMMYFUNCTION("""COMPUTED_VALUE"""),"Model S P85")</f>
        <v>Model S P85</v>
      </c>
      <c r="G127" s="258" t="str">
        <f>IFERROR(__xludf.DUMMYFUNCTION("""COMPUTED_VALUE"""),"A few times a year")</f>
        <v>A few times a year</v>
      </c>
      <c r="H127" s="258" t="str">
        <f>IFERROR(__xludf.DUMMYFUNCTION("""COMPUTED_VALUE"""),"A few times a year")</f>
        <v>A few times a year</v>
      </c>
      <c r="I127" s="258" t="str">
        <f>IFERROR(__xludf.DUMMYFUNCTION("""COMPUTED_VALUE"""),"A few times a year")</f>
        <v>A few times a year</v>
      </c>
      <c r="J127" s="260">
        <f>IFERROR(__xludf.DUMMYFUNCTION("""COMPUTED_VALUE"""),0.8)</f>
        <v>0.8</v>
      </c>
      <c r="K127" s="258">
        <f>IFERROR(__xludf.DUMMYFUNCTION("""COMPUTED_VALUE"""),382.0)</f>
        <v>382</v>
      </c>
      <c r="L127" s="258" t="str">
        <f>IFERROR(__xludf.DUMMYFUNCTION("""COMPUTED_VALUE"""),"")</f>
        <v/>
      </c>
      <c r="M127" s="261">
        <f>IFERROR(__xludf.DUMMYFUNCTION("""COMPUTED_VALUE"""),245.0)</f>
        <v>245</v>
      </c>
      <c r="N127" s="262" t="str">
        <f>IFERROR(__xludf.DUMMYFUNCTION("""COMPUTED_VALUE"""),"")</f>
        <v/>
      </c>
      <c r="O127" s="259" t="str">
        <f>IFERROR(__xludf.DUMMYFUNCTION("""COMPUTED_VALUE"""),"")</f>
        <v/>
      </c>
      <c r="P127" s="259">
        <f>IFERROR(__xludf.DUMMYFUNCTION("""COMPUTED_VALUE"""),42320.0)</f>
        <v>42320</v>
      </c>
      <c r="Q127" s="258">
        <f>IFERROR(__xludf.DUMMYFUNCTION("""COMPUTED_VALUE"""),58000.0)</f>
        <v>58000</v>
      </c>
      <c r="R127" s="261">
        <f>IFERROR(__xludf.DUMMYFUNCTION("""COMPUTED_VALUE"""),372.0)</f>
        <v>372</v>
      </c>
      <c r="S127" s="258">
        <v>395.0</v>
      </c>
      <c r="T127" s="263">
        <v>0.9417721518987342</v>
      </c>
      <c r="U127" s="264">
        <v>36040.0</v>
      </c>
      <c r="V127" s="265">
        <v>58000.0</v>
      </c>
      <c r="W127" s="264">
        <v>36040.0</v>
      </c>
      <c r="X127" s="266" t="str">
        <f>IFERROR(__xludf.DUMMYFUNCTION("""COMPUTED_VALUE"""),"dieselol")</f>
        <v>dieselol</v>
      </c>
      <c r="Y127" s="267">
        <v>-0.01</v>
      </c>
      <c r="Z127" s="267">
        <v>0.957226618669855</v>
      </c>
      <c r="AA127" s="269"/>
      <c r="AB127" s="270"/>
      <c r="AC127" s="270"/>
      <c r="AD127" s="270"/>
      <c r="AE127" s="270"/>
    </row>
    <row r="128">
      <c r="A128" s="256">
        <f>IFERROR(__xludf.DUMMYFUNCTION("""COMPUTED_VALUE"""),42366.263194444444)</f>
        <v>42366.26319</v>
      </c>
      <c r="B128" s="257" t="str">
        <f>IFERROR(__xludf.DUMMYFUNCTION("""COMPUTED_VALUE"""),"Berg")</f>
        <v>Berg</v>
      </c>
      <c r="C128" s="258" t="str">
        <f>IFERROR(__xludf.DUMMYFUNCTION("""COMPUTED_VALUE"""),"Europe (excluding UK) &amp; Asia Pacific")</f>
        <v>Europe (excluding UK) &amp; Asia Pacific</v>
      </c>
      <c r="D128" s="258" t="str">
        <f>IFERROR(__xludf.DUMMYFUNCTION("""COMPUTED_VALUE"""),"km. My car displays range in kilometres and I will enter all range numbers in kilometres.")</f>
        <v>km. My car displays range in kilometres and I will enter all range numbers in kilometres.</v>
      </c>
      <c r="E128" s="259">
        <f>IFERROR(__xludf.DUMMYFUNCTION("""COMPUTED_VALUE"""),41600.0)</f>
        <v>41600</v>
      </c>
      <c r="F128" s="258" t="str">
        <f>IFERROR(__xludf.DUMMYFUNCTION("""COMPUTED_VALUE"""),"Model S P85")</f>
        <v>Model S P85</v>
      </c>
      <c r="G128" s="258" t="str">
        <f>IFERROR(__xludf.DUMMYFUNCTION("""COMPUTED_VALUE"""),"A few times a year")</f>
        <v>A few times a year</v>
      </c>
      <c r="H128" s="258" t="str">
        <f>IFERROR(__xludf.DUMMYFUNCTION("""COMPUTED_VALUE"""),"A few times a year")</f>
        <v>A few times a year</v>
      </c>
      <c r="I128" s="258" t="str">
        <f>IFERROR(__xludf.DUMMYFUNCTION("""COMPUTED_VALUE"""),"A few times a year")</f>
        <v>A few times a year</v>
      </c>
      <c r="J128" s="260">
        <f>IFERROR(__xludf.DUMMYFUNCTION("""COMPUTED_VALUE"""),0.8)</f>
        <v>0.8</v>
      </c>
      <c r="K128" s="258">
        <f>IFERROR(__xludf.DUMMYFUNCTION("""COMPUTED_VALUE"""),382.0)</f>
        <v>382</v>
      </c>
      <c r="L128" s="258" t="str">
        <f>IFERROR(__xludf.DUMMYFUNCTION("""COMPUTED_VALUE"""),"")</f>
        <v/>
      </c>
      <c r="M128" s="261">
        <f>IFERROR(__xludf.DUMMYFUNCTION("""COMPUTED_VALUE"""),245.0)</f>
        <v>245</v>
      </c>
      <c r="N128" s="262" t="str">
        <f>IFERROR(__xludf.DUMMYFUNCTION("""COMPUTED_VALUE"""),"")</f>
        <v/>
      </c>
      <c r="O128" s="259" t="str">
        <f>IFERROR(__xludf.DUMMYFUNCTION("""COMPUTED_VALUE"""),"")</f>
        <v/>
      </c>
      <c r="P128" s="259">
        <f>IFERROR(__xludf.DUMMYFUNCTION("""COMPUTED_VALUE"""),42366.0)</f>
        <v>42366</v>
      </c>
      <c r="Q128" s="258">
        <f>IFERROR(__xludf.DUMMYFUNCTION("""COMPUTED_VALUE"""),64000.0)</f>
        <v>64000</v>
      </c>
      <c r="R128" s="261">
        <f>IFERROR(__xludf.DUMMYFUNCTION("""COMPUTED_VALUE"""),370.0)</f>
        <v>370</v>
      </c>
      <c r="S128" s="258">
        <v>395.0</v>
      </c>
      <c r="T128" s="263">
        <v>0.9367088607594937</v>
      </c>
      <c r="U128" s="264">
        <v>39768.0</v>
      </c>
      <c r="V128" s="265">
        <v>64000.0</v>
      </c>
      <c r="W128" s="264">
        <v>39768.0</v>
      </c>
      <c r="X128" s="266" t="str">
        <f>IFERROR(__xludf.DUMMYFUNCTION("""COMPUTED_VALUE"""),"Dimivdb")</f>
        <v>Dimivdb</v>
      </c>
      <c r="Y128" s="267">
        <v>-0.01</v>
      </c>
      <c r="Z128" s="267">
        <v>0.9555350957587039</v>
      </c>
      <c r="AA128" s="269"/>
      <c r="AB128" s="270"/>
      <c r="AC128" s="270"/>
      <c r="AD128" s="270"/>
      <c r="AE128" s="270"/>
    </row>
    <row r="129">
      <c r="A129" s="256">
        <f>IFERROR(__xludf.DUMMYFUNCTION("""COMPUTED_VALUE"""),42576.37222222222)</f>
        <v>42576.37222</v>
      </c>
      <c r="B129" s="257" t="str">
        <f>IFERROR(__xludf.DUMMYFUNCTION("""COMPUTED_VALUE"""),"Berg")</f>
        <v>Berg</v>
      </c>
      <c r="C129" s="258" t="str">
        <f>IFERROR(__xludf.DUMMYFUNCTION("""COMPUTED_VALUE"""),"Europe (excluding UK) &amp; Asia Pacific")</f>
        <v>Europe (excluding UK) &amp; Asia Pacific</v>
      </c>
      <c r="D129" s="258" t="str">
        <f>IFERROR(__xludf.DUMMYFUNCTION("""COMPUTED_VALUE"""),"km. My car displays range in kilometres and I will enter all range numbers in kilometres.")</f>
        <v>km. My car displays range in kilometres and I will enter all range numbers in kilometres.</v>
      </c>
      <c r="E129" s="259">
        <f>IFERROR(__xludf.DUMMYFUNCTION("""COMPUTED_VALUE"""),41600.0)</f>
        <v>41600</v>
      </c>
      <c r="F129" s="258" t="str">
        <f>IFERROR(__xludf.DUMMYFUNCTION("""COMPUTED_VALUE"""),"Model S P85")</f>
        <v>Model S P85</v>
      </c>
      <c r="G129" s="258" t="str">
        <f>IFERROR(__xludf.DUMMYFUNCTION("""COMPUTED_VALUE"""),"A few times a year")</f>
        <v>A few times a year</v>
      </c>
      <c r="H129" s="258" t="str">
        <f>IFERROR(__xludf.DUMMYFUNCTION("""COMPUTED_VALUE"""),"A few times a year")</f>
        <v>A few times a year</v>
      </c>
      <c r="I129" s="258" t="str">
        <f>IFERROR(__xludf.DUMMYFUNCTION("""COMPUTED_VALUE"""),"A few times a year")</f>
        <v>A few times a year</v>
      </c>
      <c r="J129" s="260">
        <f>IFERROR(__xludf.DUMMYFUNCTION("""COMPUTED_VALUE"""),0.8)</f>
        <v>0.8</v>
      </c>
      <c r="K129" s="258" t="str">
        <f>IFERROR(__xludf.DUMMYFUNCTION("""COMPUTED_VALUE"""),"")</f>
        <v/>
      </c>
      <c r="L129" s="258" t="str">
        <f>IFERROR(__xludf.DUMMYFUNCTION("""COMPUTED_VALUE"""),"")</f>
        <v/>
      </c>
      <c r="M129" s="261">
        <f>IFERROR(__xludf.DUMMYFUNCTION("""COMPUTED_VALUE"""),235.0)</f>
        <v>235</v>
      </c>
      <c r="N129" s="262" t="str">
        <f>IFERROR(__xludf.DUMMYFUNCTION("""COMPUTED_VALUE"""),"")</f>
        <v/>
      </c>
      <c r="O129" s="259" t="str">
        <f>IFERROR(__xludf.DUMMYFUNCTION("""COMPUTED_VALUE"""),"")</f>
        <v/>
      </c>
      <c r="P129" s="259">
        <f>IFERROR(__xludf.DUMMYFUNCTION("""COMPUTED_VALUE"""),42576.0)</f>
        <v>42576</v>
      </c>
      <c r="Q129" s="258">
        <f>IFERROR(__xludf.DUMMYFUNCTION("""COMPUTED_VALUE"""),84000.0)</f>
        <v>84000</v>
      </c>
      <c r="R129" s="261">
        <f>IFERROR(__xludf.DUMMYFUNCTION("""COMPUTED_VALUE"""),382.0)</f>
        <v>382</v>
      </c>
      <c r="S129" s="258">
        <v>395.0</v>
      </c>
      <c r="T129" s="263">
        <v>0.9670886075949368</v>
      </c>
      <c r="U129" s="264">
        <v>52195.0</v>
      </c>
      <c r="V129" s="265">
        <v>84000.0</v>
      </c>
      <c r="W129" s="264">
        <v>52195.0</v>
      </c>
      <c r="X129" s="266" t="str">
        <f>IFERROR(__xludf.DUMMYFUNCTION("""COMPUTED_VALUE"""),"dirkhh")</f>
        <v>dirkhh</v>
      </c>
      <c r="Y129" s="267">
        <v>-0.01</v>
      </c>
      <c r="Z129" s="267">
        <v>0.9504155452786733</v>
      </c>
      <c r="AA129" s="269"/>
      <c r="AB129" s="270"/>
      <c r="AC129" s="270"/>
      <c r="AD129" s="270"/>
      <c r="AE129" s="270"/>
    </row>
    <row r="130">
      <c r="A130" s="256">
        <f>IFERROR(__xludf.DUMMYFUNCTION("""COMPUTED_VALUE"""),42951.618055555555)</f>
        <v>42951.61806</v>
      </c>
      <c r="B130" s="257" t="str">
        <f>IFERROR(__xludf.DUMMYFUNCTION("""COMPUTED_VALUE"""),"Bernhard")</f>
        <v>Bernhard</v>
      </c>
      <c r="C130" s="258" t="str">
        <f>IFERROR(__xludf.DUMMYFUNCTION("""COMPUTED_VALUE"""),"Europe (excluding UK) &amp; Asia Pacific")</f>
        <v>Europe (excluding UK) &amp; Asia Pacific</v>
      </c>
      <c r="D130" s="258" t="str">
        <f>IFERROR(__xludf.DUMMYFUNCTION("""COMPUTED_VALUE"""),"km. My car displays range in kilometres and I will enter all range numbers in kilometres.")</f>
        <v>km. My car displays range in kilometres and I will enter all range numbers in kilometres.</v>
      </c>
      <c r="E130" s="259">
        <f>IFERROR(__xludf.DUMMYFUNCTION("""COMPUTED_VALUE"""),42414.0)</f>
        <v>42414</v>
      </c>
      <c r="F130" s="258" t="str">
        <f>IFERROR(__xludf.DUMMYFUNCTION("""COMPUTED_VALUE"""),"Model S 70")</f>
        <v>Model S 70</v>
      </c>
      <c r="G130" s="258" t="str">
        <f>IFERROR(__xludf.DUMMYFUNCTION("""COMPUTED_VALUE"""),"Monthly")</f>
        <v>Monthly</v>
      </c>
      <c r="H130" s="258" t="str">
        <f>IFERROR(__xludf.DUMMYFUNCTION("""COMPUTED_VALUE"""),"A few times a year")</f>
        <v>A few times a year</v>
      </c>
      <c r="I130" s="258" t="str">
        <f>IFERROR(__xludf.DUMMYFUNCTION("""COMPUTED_VALUE"""),"Never")</f>
        <v>Never</v>
      </c>
      <c r="J130" s="260">
        <f>IFERROR(__xludf.DUMMYFUNCTION("""COMPUTED_VALUE"""),0.8)</f>
        <v>0.8</v>
      </c>
      <c r="K130" s="258">
        <f>IFERROR(__xludf.DUMMYFUNCTION("""COMPUTED_VALUE"""),362.0)</f>
        <v>362</v>
      </c>
      <c r="L130" s="258" t="str">
        <f>IFERROR(__xludf.DUMMYFUNCTION("""COMPUTED_VALUE"""),"")</f>
        <v/>
      </c>
      <c r="M130" s="261">
        <f>IFERROR(__xludf.DUMMYFUNCTION("""COMPUTED_VALUE"""),210.0)</f>
        <v>210</v>
      </c>
      <c r="N130" s="262" t="str">
        <f>IFERROR(__xludf.DUMMYFUNCTION("""COMPUTED_VALUE"""),"")</f>
        <v/>
      </c>
      <c r="O130" s="259" t="str">
        <f>IFERROR(__xludf.DUMMYFUNCTION("""COMPUTED_VALUE"""),"")</f>
        <v/>
      </c>
      <c r="P130" s="259">
        <f>IFERROR(__xludf.DUMMYFUNCTION("""COMPUTED_VALUE"""),42951.0)</f>
        <v>42951</v>
      </c>
      <c r="Q130" s="258">
        <f>IFERROR(__xludf.DUMMYFUNCTION("""COMPUTED_VALUE"""),52000.0)</f>
        <v>52000</v>
      </c>
      <c r="R130" s="261">
        <f>IFERROR(__xludf.DUMMYFUNCTION("""COMPUTED_VALUE"""),361.0)</f>
        <v>361</v>
      </c>
      <c r="S130" s="258">
        <v>355.0</v>
      </c>
      <c r="T130" s="263">
        <v>1.0169014084507042</v>
      </c>
      <c r="U130" s="264">
        <v>32311.0</v>
      </c>
      <c r="V130" s="265">
        <v>52000.0</v>
      </c>
      <c r="W130" s="264">
        <v>32311.0</v>
      </c>
      <c r="X130" s="266" t="str">
        <f>IFERROR(__xludf.DUMMYFUNCTION("""COMPUTED_VALUE"""),"DjRazz")</f>
        <v>DjRazz</v>
      </c>
      <c r="Y130" s="267">
        <v>-0.01</v>
      </c>
      <c r="Z130" s="267">
        <v>0.9590465565366617</v>
      </c>
      <c r="AA130" s="269"/>
      <c r="AB130" s="270"/>
      <c r="AC130" s="270"/>
      <c r="AD130" s="270"/>
      <c r="AE130" s="270"/>
    </row>
    <row r="131">
      <c r="A131" s="256">
        <f>IFERROR(__xludf.DUMMYFUNCTION("""COMPUTED_VALUE"""),42612.38888888889)</f>
        <v>42612.38889</v>
      </c>
      <c r="B131" s="257" t="str">
        <f>IFERROR(__xludf.DUMMYFUNCTION("""COMPUTED_VALUE"""),"Bernie")</f>
        <v>Bernie</v>
      </c>
      <c r="C131" s="258" t="str">
        <f>IFERROR(__xludf.DUMMYFUNCTION("""COMPUTED_VALUE"""),"Europe (excluding UK) &amp; Asia Pacific")</f>
        <v>Europe (excluding UK) &amp; Asia Pacific</v>
      </c>
      <c r="D131" s="258" t="str">
        <f>IFERROR(__xludf.DUMMYFUNCTION("""COMPUTED_VALUE"""),"km. My car displays range in kilometres and I will enter all range numbers in kilometres.")</f>
        <v>km. My car displays range in kilometres and I will enter all range numbers in kilometres.</v>
      </c>
      <c r="E131" s="259">
        <f>IFERROR(__xludf.DUMMYFUNCTION("""COMPUTED_VALUE"""),42486.0)</f>
        <v>42486</v>
      </c>
      <c r="F131" s="258" t="str">
        <f>IFERROR(__xludf.DUMMYFUNCTION("""COMPUTED_VALUE"""),"Model S 70D")</f>
        <v>Model S 70D</v>
      </c>
      <c r="G131" s="258" t="str">
        <f>IFERROR(__xludf.DUMMYFUNCTION("""COMPUTED_VALUE"""),"")</f>
        <v/>
      </c>
      <c r="H131" s="258" t="str">
        <f>IFERROR(__xludf.DUMMYFUNCTION("""COMPUTED_VALUE"""),"")</f>
        <v/>
      </c>
      <c r="I131" s="258" t="str">
        <f>IFERROR(__xludf.DUMMYFUNCTION("""COMPUTED_VALUE"""),"")</f>
        <v/>
      </c>
      <c r="J131" s="260" t="str">
        <f>IFERROR(__xludf.DUMMYFUNCTION("""COMPUTED_VALUE"""),"")</f>
        <v/>
      </c>
      <c r="K131" s="258" t="str">
        <f>IFERROR(__xludf.DUMMYFUNCTION("""COMPUTED_VALUE"""),"")</f>
        <v/>
      </c>
      <c r="L131" s="258" t="str">
        <f>IFERROR(__xludf.DUMMYFUNCTION("""COMPUTED_VALUE"""),"")</f>
        <v/>
      </c>
      <c r="M131" s="261">
        <f>IFERROR(__xludf.DUMMYFUNCTION("""COMPUTED_VALUE"""),198.0)</f>
        <v>198</v>
      </c>
      <c r="N131" s="262" t="str">
        <f>IFERROR(__xludf.DUMMYFUNCTION("""COMPUTED_VALUE"""),"")</f>
        <v/>
      </c>
      <c r="O131" s="259" t="str">
        <f>IFERROR(__xludf.DUMMYFUNCTION("""COMPUTED_VALUE"""),"")</f>
        <v/>
      </c>
      <c r="P131" s="259">
        <f>IFERROR(__xludf.DUMMYFUNCTION("""COMPUTED_VALUE"""),42612.0)</f>
        <v>42612</v>
      </c>
      <c r="Q131" s="258">
        <f>IFERROR(__xludf.DUMMYFUNCTION("""COMPUTED_VALUE"""),6455.0)</f>
        <v>6455</v>
      </c>
      <c r="R131" s="261">
        <f>IFERROR(__xludf.DUMMYFUNCTION("""COMPUTED_VALUE"""),361.0)</f>
        <v>361</v>
      </c>
      <c r="S131" s="258">
        <v>360.0</v>
      </c>
      <c r="T131" s="263">
        <v>1.0027777777777778</v>
      </c>
      <c r="U131" s="264">
        <v>4011.0</v>
      </c>
      <c r="V131" s="265">
        <v>6455.0</v>
      </c>
      <c r="W131" s="264">
        <v>4011.0</v>
      </c>
      <c r="X131" s="266" t="str">
        <f>IFERROR(__xludf.DUMMYFUNCTION("""COMPUTED_VALUE"""),"DLB")</f>
        <v>DLB</v>
      </c>
      <c r="Y131" s="267">
        <v>-0.01</v>
      </c>
      <c r="Z131" s="267">
        <v>0.988986020727552</v>
      </c>
      <c r="AA131" s="269"/>
      <c r="AB131" s="270"/>
      <c r="AC131" s="270"/>
      <c r="AD131" s="270"/>
      <c r="AE131" s="270"/>
    </row>
    <row r="132">
      <c r="A132" s="256">
        <f>IFERROR(__xludf.DUMMYFUNCTION("""COMPUTED_VALUE"""),42693.45972222222)</f>
        <v>42693.45972</v>
      </c>
      <c r="B132" s="257" t="str">
        <f>IFERROR(__xludf.DUMMYFUNCTION("""COMPUTED_VALUE"""),"Bernie")</f>
        <v>Bernie</v>
      </c>
      <c r="C132" s="258" t="str">
        <f>IFERROR(__xludf.DUMMYFUNCTION("""COMPUTED_VALUE"""),"Europe (excluding UK) &amp; Asia Pacific")</f>
        <v>Europe (excluding UK) &amp; Asia Pacific</v>
      </c>
      <c r="D132" s="258" t="str">
        <f>IFERROR(__xludf.DUMMYFUNCTION("""COMPUTED_VALUE"""),"km. My car displays range in kilometres and I will enter all range numbers in kilometres.")</f>
        <v>km. My car displays range in kilometres and I will enter all range numbers in kilometres.</v>
      </c>
      <c r="E132" s="259">
        <f>IFERROR(__xludf.DUMMYFUNCTION("""COMPUTED_VALUE"""),42486.0)</f>
        <v>42486</v>
      </c>
      <c r="F132" s="258" t="str">
        <f>IFERROR(__xludf.DUMMYFUNCTION("""COMPUTED_VALUE"""),"Model S 70D")</f>
        <v>Model S 70D</v>
      </c>
      <c r="G132" s="258" t="str">
        <f>IFERROR(__xludf.DUMMYFUNCTION("""COMPUTED_VALUE"""),"Twice a month")</f>
        <v>Twice a month</v>
      </c>
      <c r="H132" s="258" t="str">
        <f>IFERROR(__xludf.DUMMYFUNCTION("""COMPUTED_VALUE"""),"A few times a year")</f>
        <v>A few times a year</v>
      </c>
      <c r="I132" s="258" t="str">
        <f>IFERROR(__xludf.DUMMYFUNCTION("""COMPUTED_VALUE"""),"A few times a year")</f>
        <v>A few times a year</v>
      </c>
      <c r="J132" s="260">
        <f>IFERROR(__xludf.DUMMYFUNCTION("""COMPUTED_VALUE"""),0.9)</f>
        <v>0.9</v>
      </c>
      <c r="K132" s="258" t="str">
        <f>IFERROR(__xludf.DUMMYFUNCTION("""COMPUTED_VALUE"""),"")</f>
        <v/>
      </c>
      <c r="L132" s="258" t="str">
        <f>IFERROR(__xludf.DUMMYFUNCTION("""COMPUTED_VALUE"""),"")</f>
        <v/>
      </c>
      <c r="M132" s="261">
        <f>IFERROR(__xludf.DUMMYFUNCTION("""COMPUTED_VALUE"""),219.0)</f>
        <v>219</v>
      </c>
      <c r="N132" s="262" t="str">
        <f>IFERROR(__xludf.DUMMYFUNCTION("""COMPUTED_VALUE"""),"")</f>
        <v/>
      </c>
      <c r="O132" s="259" t="str">
        <f>IFERROR(__xludf.DUMMYFUNCTION("""COMPUTED_VALUE"""),"")</f>
        <v/>
      </c>
      <c r="P132" s="259">
        <f>IFERROR(__xludf.DUMMYFUNCTION("""COMPUTED_VALUE"""),42693.0)</f>
        <v>42693</v>
      </c>
      <c r="Q132" s="258">
        <f>IFERROR(__xludf.DUMMYFUNCTION("""COMPUTED_VALUE"""),11989.0)</f>
        <v>11989</v>
      </c>
      <c r="R132" s="261">
        <f>IFERROR(__xludf.DUMMYFUNCTION("""COMPUTED_VALUE"""),362.0)</f>
        <v>362</v>
      </c>
      <c r="S132" s="258">
        <v>360.0</v>
      </c>
      <c r="T132" s="263">
        <v>1.0055555555555555</v>
      </c>
      <c r="U132" s="264">
        <v>7450.0</v>
      </c>
      <c r="V132" s="265">
        <v>11989.0</v>
      </c>
      <c r="W132" s="264">
        <v>7450.0</v>
      </c>
      <c r="X132" s="266" t="str">
        <f>IFERROR(__xludf.DUMMYFUNCTION("""COMPUTED_VALUE"""),"dmann000")</f>
        <v>dmann000</v>
      </c>
      <c r="Y132" s="267">
        <v>-0.01</v>
      </c>
      <c r="Z132" s="267">
        <v>0.9819554641479787</v>
      </c>
      <c r="AA132" s="269"/>
      <c r="AB132" s="270"/>
      <c r="AC132" s="270"/>
      <c r="AD132" s="270"/>
      <c r="AE132" s="270"/>
    </row>
    <row r="133">
      <c r="A133" s="256">
        <f>IFERROR(__xludf.DUMMYFUNCTION("""COMPUTED_VALUE"""),42883.54166666667)</f>
        <v>42883.54167</v>
      </c>
      <c r="B133" s="257" t="str">
        <f>IFERROR(__xludf.DUMMYFUNCTION("""COMPUTED_VALUE"""),"Bernie")</f>
        <v>Bernie</v>
      </c>
      <c r="C133" s="258" t="str">
        <f>IFERROR(__xludf.DUMMYFUNCTION("""COMPUTED_VALUE"""),"Europe (excluding UK) &amp; Asia Pacific")</f>
        <v>Europe (excluding UK) &amp; Asia Pacific</v>
      </c>
      <c r="D133" s="258" t="str">
        <f>IFERROR(__xludf.DUMMYFUNCTION("""COMPUTED_VALUE"""),"km. My car displays range in kilometres and I will enter all range numbers in kilometres.")</f>
        <v>km. My car displays range in kilometres and I will enter all range numbers in kilometres.</v>
      </c>
      <c r="E133" s="259">
        <f>IFERROR(__xludf.DUMMYFUNCTION("""COMPUTED_VALUE"""),42486.0)</f>
        <v>42486</v>
      </c>
      <c r="F133" s="258" t="str">
        <f>IFERROR(__xludf.DUMMYFUNCTION("""COMPUTED_VALUE"""),"Model S 70D")</f>
        <v>Model S 70D</v>
      </c>
      <c r="G133" s="258" t="str">
        <f>IFERROR(__xludf.DUMMYFUNCTION("""COMPUTED_VALUE"""),"Twice a month")</f>
        <v>Twice a month</v>
      </c>
      <c r="H133" s="258" t="str">
        <f>IFERROR(__xludf.DUMMYFUNCTION("""COMPUTED_VALUE"""),"Once or twice a year")</f>
        <v>Once or twice a year</v>
      </c>
      <c r="I133" s="258" t="str">
        <f>IFERROR(__xludf.DUMMYFUNCTION("""COMPUTED_VALUE"""),"Monthly")</f>
        <v>Monthly</v>
      </c>
      <c r="J133" s="260">
        <f>IFERROR(__xludf.DUMMYFUNCTION("""COMPUTED_VALUE"""),0.9)</f>
        <v>0.9</v>
      </c>
      <c r="K133" s="258">
        <f>IFERROR(__xludf.DUMMYFUNCTION("""COMPUTED_VALUE"""),362.0)</f>
        <v>362</v>
      </c>
      <c r="L133" s="258" t="str">
        <f>IFERROR(__xludf.DUMMYFUNCTION("""COMPUTED_VALUE"""),"")</f>
        <v/>
      </c>
      <c r="M133" s="261">
        <f>IFERROR(__xludf.DUMMYFUNCTION("""COMPUTED_VALUE"""),218.0)</f>
        <v>218</v>
      </c>
      <c r="N133" s="262" t="str">
        <f>IFERROR(__xludf.DUMMYFUNCTION("""COMPUTED_VALUE"""),"")</f>
        <v/>
      </c>
      <c r="O133" s="259" t="str">
        <f>IFERROR(__xludf.DUMMYFUNCTION("""COMPUTED_VALUE"""),"")</f>
        <v/>
      </c>
      <c r="P133" s="259">
        <f>IFERROR(__xludf.DUMMYFUNCTION("""COMPUTED_VALUE"""),42883.0)</f>
        <v>42883</v>
      </c>
      <c r="Q133" s="258">
        <f>IFERROR(__xludf.DUMMYFUNCTION("""COMPUTED_VALUE"""),23635.0)</f>
        <v>23635</v>
      </c>
      <c r="R133" s="261">
        <f>IFERROR(__xludf.DUMMYFUNCTION("""COMPUTED_VALUE"""),362.0)</f>
        <v>362</v>
      </c>
      <c r="S133" s="258">
        <v>360.0</v>
      </c>
      <c r="T133" s="263">
        <v>1.0055555555555555</v>
      </c>
      <c r="U133" s="264">
        <v>14686.0</v>
      </c>
      <c r="V133" s="265">
        <v>23635.0</v>
      </c>
      <c r="W133" s="264">
        <v>14686.0</v>
      </c>
      <c r="X133" s="266" t="str">
        <f>IFERROR(__xludf.DUMMYFUNCTION("""COMPUTED_VALUE"""),"DMC")</f>
        <v>DMC</v>
      </c>
      <c r="Y133" s="267">
        <v>-0.01</v>
      </c>
      <c r="Z133" s="267">
        <v>0.9718114338316055</v>
      </c>
      <c r="AA133" s="269"/>
      <c r="AB133" s="270"/>
      <c r="AC133" s="270"/>
      <c r="AD133" s="270"/>
      <c r="AE133" s="270"/>
    </row>
    <row r="134">
      <c r="A134" s="256">
        <f>IFERROR(__xludf.DUMMYFUNCTION("""COMPUTED_VALUE"""),43054.65694444445)</f>
        <v>43054.65694</v>
      </c>
      <c r="B134" s="257" t="str">
        <f>IFERROR(__xludf.DUMMYFUNCTION("""COMPUTED_VALUE"""),"Bernie")</f>
        <v>Bernie</v>
      </c>
      <c r="C134" s="258" t="str">
        <f>IFERROR(__xludf.DUMMYFUNCTION("""COMPUTED_VALUE"""),"Europe (excluding UK) &amp; Asia Pacific")</f>
        <v>Europe (excluding UK) &amp; Asia Pacific</v>
      </c>
      <c r="D134" s="258" t="str">
        <f>IFERROR(__xludf.DUMMYFUNCTION("""COMPUTED_VALUE"""),"km. My car displays range in kilometres and I will enter all range numbers in kilometres.")</f>
        <v>km. My car displays range in kilometres and I will enter all range numbers in kilometres.</v>
      </c>
      <c r="E134" s="259">
        <f>IFERROR(__xludf.DUMMYFUNCTION("""COMPUTED_VALUE"""),42486.0)</f>
        <v>42486</v>
      </c>
      <c r="F134" s="258" t="str">
        <f>IFERROR(__xludf.DUMMYFUNCTION("""COMPUTED_VALUE"""),"Model S 70D")</f>
        <v>Model S 70D</v>
      </c>
      <c r="G134" s="258" t="str">
        <f>IFERROR(__xludf.DUMMYFUNCTION("""COMPUTED_VALUE"""),"Twice a month")</f>
        <v>Twice a month</v>
      </c>
      <c r="H134" s="258" t="str">
        <f>IFERROR(__xludf.DUMMYFUNCTION("""COMPUTED_VALUE"""),"A few times a year")</f>
        <v>A few times a year</v>
      </c>
      <c r="I134" s="258" t="str">
        <f>IFERROR(__xludf.DUMMYFUNCTION("""COMPUTED_VALUE"""),"A few times a year")</f>
        <v>A few times a year</v>
      </c>
      <c r="J134" s="260">
        <f>IFERROR(__xludf.DUMMYFUNCTION("""COMPUTED_VALUE"""),0.9)</f>
        <v>0.9</v>
      </c>
      <c r="K134" s="258">
        <f>IFERROR(__xludf.DUMMYFUNCTION("""COMPUTED_VALUE"""),362.0)</f>
        <v>362</v>
      </c>
      <c r="L134" s="258" t="str">
        <f>IFERROR(__xludf.DUMMYFUNCTION("""COMPUTED_VALUE"""),"")</f>
        <v/>
      </c>
      <c r="M134" s="261">
        <f>IFERROR(__xludf.DUMMYFUNCTION("""COMPUTED_VALUE"""),208.0)</f>
        <v>208</v>
      </c>
      <c r="N134" s="262" t="str">
        <f>IFERROR(__xludf.DUMMYFUNCTION("""COMPUTED_VALUE"""),"")</f>
        <v/>
      </c>
      <c r="O134" s="259" t="str">
        <f>IFERROR(__xludf.DUMMYFUNCTION("""COMPUTED_VALUE"""),"")</f>
        <v/>
      </c>
      <c r="P134" s="259">
        <f>IFERROR(__xludf.DUMMYFUNCTION("""COMPUTED_VALUE"""),43054.0)</f>
        <v>43054</v>
      </c>
      <c r="Q134" s="258">
        <f>IFERROR(__xludf.DUMMYFUNCTION("""COMPUTED_VALUE"""),38729.0)</f>
        <v>38729</v>
      </c>
      <c r="R134" s="261">
        <f>IFERROR(__xludf.DUMMYFUNCTION("""COMPUTED_VALUE"""),355.0)</f>
        <v>355</v>
      </c>
      <c r="S134" s="258">
        <v>360.0</v>
      </c>
      <c r="T134" s="263">
        <v>0.9861111111111112</v>
      </c>
      <c r="U134" s="264">
        <v>24065.0</v>
      </c>
      <c r="V134" s="265">
        <v>38729.0</v>
      </c>
      <c r="W134" s="264">
        <v>24065.0</v>
      </c>
      <c r="X134" s="266" t="str">
        <f>IFERROR(__xludf.DUMMYFUNCTION("""COMPUTED_VALUE"""),"docjones")</f>
        <v>docjones</v>
      </c>
      <c r="Y134" s="267">
        <v>-0.01</v>
      </c>
      <c r="Z134" s="267">
        <v>0.9638297686467424</v>
      </c>
      <c r="AA134" s="269"/>
      <c r="AB134" s="270"/>
      <c r="AC134" s="270"/>
      <c r="AD134" s="270"/>
      <c r="AE134" s="270"/>
    </row>
    <row r="135">
      <c r="A135" s="256">
        <f>IFERROR(__xludf.DUMMYFUNCTION("""COMPUTED_VALUE"""),43096.65555555555)</f>
        <v>43096.65556</v>
      </c>
      <c r="B135" s="257" t="str">
        <f>IFERROR(__xludf.DUMMYFUNCTION("""COMPUTED_VALUE"""),"Bernie 75D")</f>
        <v>Bernie 75D</v>
      </c>
      <c r="C135" s="258" t="str">
        <f>IFERROR(__xludf.DUMMYFUNCTION("""COMPUTED_VALUE"""),"Europe (excluding UK) &amp; Asia Pacific")</f>
        <v>Europe (excluding UK) &amp; Asia Pacific</v>
      </c>
      <c r="D135" s="258" t="str">
        <f>IFERROR(__xludf.DUMMYFUNCTION("""COMPUTED_VALUE"""),"km. My car displays range in kilometres and I will enter all range numbers in kilometres.")</f>
        <v>km. My car displays range in kilometres and I will enter all range numbers in kilometres.</v>
      </c>
      <c r="E135" s="259">
        <f>IFERROR(__xludf.DUMMYFUNCTION("""COMPUTED_VALUE"""),43061.0)</f>
        <v>43061</v>
      </c>
      <c r="F135" s="258" t="str">
        <f>IFERROR(__xludf.DUMMYFUNCTION("""COMPUTED_VALUE"""),"Model S 75D")</f>
        <v>Model S 75D</v>
      </c>
      <c r="G135" s="258" t="str">
        <f>IFERROR(__xludf.DUMMYFUNCTION("""COMPUTED_VALUE"""),"Twice a month")</f>
        <v>Twice a month</v>
      </c>
      <c r="H135" s="258" t="str">
        <f>IFERROR(__xludf.DUMMYFUNCTION("""COMPUTED_VALUE"""),"A few times a year")</f>
        <v>A few times a year</v>
      </c>
      <c r="I135" s="258" t="str">
        <f>IFERROR(__xludf.DUMMYFUNCTION("""COMPUTED_VALUE"""),"A few times a year")</f>
        <v>A few times a year</v>
      </c>
      <c r="J135" s="260">
        <f>IFERROR(__xludf.DUMMYFUNCTION("""COMPUTED_VALUE"""),0.9)</f>
        <v>0.9</v>
      </c>
      <c r="K135" s="258">
        <f>IFERROR(__xludf.DUMMYFUNCTION("""COMPUTED_VALUE"""),386.0)</f>
        <v>386</v>
      </c>
      <c r="L135" s="258" t="str">
        <f>IFERROR(__xludf.DUMMYFUNCTION("""COMPUTED_VALUE"""),"")</f>
        <v/>
      </c>
      <c r="M135" s="261">
        <f>IFERROR(__xludf.DUMMYFUNCTION("""COMPUTED_VALUE"""),240.0)</f>
        <v>240</v>
      </c>
      <c r="N135" s="262" t="str">
        <f>IFERROR(__xludf.DUMMYFUNCTION("""COMPUTED_VALUE"""),"")</f>
        <v/>
      </c>
      <c r="O135" s="259" t="str">
        <f>IFERROR(__xludf.DUMMYFUNCTION("""COMPUTED_VALUE"""),"")</f>
        <v/>
      </c>
      <c r="P135" s="259">
        <f>IFERROR(__xludf.DUMMYFUNCTION("""COMPUTED_VALUE"""),43096.0)</f>
        <v>43096</v>
      </c>
      <c r="Q135" s="258">
        <f>IFERROR(__xludf.DUMMYFUNCTION("""COMPUTED_VALUE"""),2642.0)</f>
        <v>2642</v>
      </c>
      <c r="R135" s="261">
        <f>IFERROR(__xludf.DUMMYFUNCTION("""COMPUTED_VALUE"""),384.0)</f>
        <v>384</v>
      </c>
      <c r="S135" s="258">
        <v>384.0</v>
      </c>
      <c r="T135" s="263">
        <v>1.0</v>
      </c>
      <c r="U135" s="264">
        <v>1642.0</v>
      </c>
      <c r="V135" s="265">
        <v>2642.0</v>
      </c>
      <c r="W135" s="264">
        <v>1642.0</v>
      </c>
      <c r="X135" s="266" t="str">
        <f>IFERROR(__xludf.DUMMYFUNCTION("""COMPUTED_VALUE"""),"Dom")</f>
        <v>Dom</v>
      </c>
      <c r="Y135" s="267">
        <v>-0.01</v>
      </c>
      <c r="Z135" s="267">
        <v>0.9950562379951309</v>
      </c>
      <c r="AA135" s="269"/>
      <c r="AB135" s="270"/>
      <c r="AC135" s="270"/>
      <c r="AD135" s="270"/>
      <c r="AE135" s="270"/>
    </row>
    <row r="136">
      <c r="A136" s="256">
        <f>IFERROR(__xludf.DUMMYFUNCTION("""COMPUTED_VALUE"""),42452.49375)</f>
        <v>42452.49375</v>
      </c>
      <c r="B136" s="257" t="str">
        <f>IFERROR(__xludf.DUMMYFUNCTION("""COMPUTED_VALUE"""),"Bianco")</f>
        <v>Bianco</v>
      </c>
      <c r="C136" s="258" t="str">
        <f>IFERROR(__xludf.DUMMYFUNCTION("""COMPUTED_VALUE"""),"Europe (excluding UK) &amp; Asia Pacific")</f>
        <v>Europe (excluding UK) &amp; Asia Pacific</v>
      </c>
      <c r="D136" s="258" t="str">
        <f>IFERROR(__xludf.DUMMYFUNCTION("""COMPUTED_VALUE"""),"km. My car displays range in kilometres and I will enter all range numbers in kilometres.")</f>
        <v>km. My car displays range in kilometres and I will enter all range numbers in kilometres.</v>
      </c>
      <c r="E136" s="259">
        <f>IFERROR(__xludf.DUMMYFUNCTION("""COMPUTED_VALUE"""),41772.0)</f>
        <v>41772</v>
      </c>
      <c r="F136" s="258" t="str">
        <f>IFERROR(__xludf.DUMMYFUNCTION("""COMPUTED_VALUE"""),"Model S 85")</f>
        <v>Model S 85</v>
      </c>
      <c r="G136" s="258" t="str">
        <f>IFERROR(__xludf.DUMMYFUNCTION("""COMPUTED_VALUE"""),"A few times a year")</f>
        <v>A few times a year</v>
      </c>
      <c r="H136" s="258" t="str">
        <f>IFERROR(__xludf.DUMMYFUNCTION("""COMPUTED_VALUE"""),"A few times a year")</f>
        <v>A few times a year</v>
      </c>
      <c r="I136" s="258" t="str">
        <f>IFERROR(__xludf.DUMMYFUNCTION("""COMPUTED_VALUE"""),"Never")</f>
        <v>Never</v>
      </c>
      <c r="J136" s="260">
        <f>IFERROR(__xludf.DUMMYFUNCTION("""COMPUTED_VALUE"""),0.8)</f>
        <v>0.8</v>
      </c>
      <c r="K136" s="258">
        <f>IFERROR(__xludf.DUMMYFUNCTION("""COMPUTED_VALUE"""),381.0)</f>
        <v>381</v>
      </c>
      <c r="L136" s="258" t="str">
        <f>IFERROR(__xludf.DUMMYFUNCTION("""COMPUTED_VALUE"""),"")</f>
        <v/>
      </c>
      <c r="M136" s="261">
        <f>IFERROR(__xludf.DUMMYFUNCTION("""COMPUTED_VALUE"""),220.0)</f>
        <v>220</v>
      </c>
      <c r="N136" s="262" t="str">
        <f>IFERROR(__xludf.DUMMYFUNCTION("""COMPUTED_VALUE"""),"")</f>
        <v/>
      </c>
      <c r="O136" s="259" t="str">
        <f>IFERROR(__xludf.DUMMYFUNCTION("""COMPUTED_VALUE"""),"")</f>
        <v/>
      </c>
      <c r="P136" s="259">
        <f>IFERROR(__xludf.DUMMYFUNCTION("""COMPUTED_VALUE"""),42452.0)</f>
        <v>42452</v>
      </c>
      <c r="Q136" s="258">
        <f>IFERROR(__xludf.DUMMYFUNCTION("""COMPUTED_VALUE"""),38500.0)</f>
        <v>38500</v>
      </c>
      <c r="R136" s="261">
        <f>IFERROR(__xludf.DUMMYFUNCTION("""COMPUTED_VALUE"""),375.0)</f>
        <v>375</v>
      </c>
      <c r="S136" s="258">
        <v>395.0</v>
      </c>
      <c r="T136" s="263">
        <v>0.9493670886075949</v>
      </c>
      <c r="U136" s="264">
        <v>23923.0</v>
      </c>
      <c r="V136" s="265">
        <v>38500.0</v>
      </c>
      <c r="W136" s="264">
        <v>23923.0</v>
      </c>
      <c r="X136" s="266" t="str">
        <f>IFERROR(__xludf.DUMMYFUNCTION("""COMPUTED_VALUE"""),"Domidragon")</f>
        <v>Domidragon</v>
      </c>
      <c r="Y136" s="267">
        <v>-0.01</v>
      </c>
      <c r="Z136" s="267">
        <v>0.9639255165607377</v>
      </c>
      <c r="AA136" s="269"/>
      <c r="AB136" s="270"/>
      <c r="AC136" s="270"/>
      <c r="AD136" s="270"/>
      <c r="AE136" s="270"/>
    </row>
    <row r="137">
      <c r="A137" s="256">
        <f>IFERROR(__xludf.DUMMYFUNCTION("""COMPUTED_VALUE"""),42767.495833333334)</f>
        <v>42767.49583</v>
      </c>
      <c r="B137" s="257" t="str">
        <f>IFERROR(__xludf.DUMMYFUNCTION("""COMPUTED_VALUE"""),"Bianco")</f>
        <v>Bianco</v>
      </c>
      <c r="C137" s="258" t="str">
        <f>IFERROR(__xludf.DUMMYFUNCTION("""COMPUTED_VALUE"""),"Europe (excluding UK) &amp; Asia Pacific")</f>
        <v>Europe (excluding UK) &amp; Asia Pacific</v>
      </c>
      <c r="D137" s="258" t="str">
        <f>IFERROR(__xludf.DUMMYFUNCTION("""COMPUTED_VALUE"""),"km. My car displays range in kilometres and I will enter all range numbers in kilometres.")</f>
        <v>km. My car displays range in kilometres and I will enter all range numbers in kilometres.</v>
      </c>
      <c r="E137" s="259">
        <f>IFERROR(__xludf.DUMMYFUNCTION("""COMPUTED_VALUE"""),41772.0)</f>
        <v>41772</v>
      </c>
      <c r="F137" s="258" t="str">
        <f>IFERROR(__xludf.DUMMYFUNCTION("""COMPUTED_VALUE"""),"Model S 85")</f>
        <v>Model S 85</v>
      </c>
      <c r="G137" s="258" t="str">
        <f>IFERROR(__xludf.DUMMYFUNCTION("""COMPUTED_VALUE"""),"")</f>
        <v/>
      </c>
      <c r="H137" s="258" t="str">
        <f>IFERROR(__xludf.DUMMYFUNCTION("""COMPUTED_VALUE"""),"")</f>
        <v/>
      </c>
      <c r="I137" s="258" t="str">
        <f>IFERROR(__xludf.DUMMYFUNCTION("""COMPUTED_VALUE"""),"")</f>
        <v/>
      </c>
      <c r="J137" s="260" t="str">
        <f>IFERROR(__xludf.DUMMYFUNCTION("""COMPUTED_VALUE"""),"")</f>
        <v/>
      </c>
      <c r="K137" s="258" t="str">
        <f>IFERROR(__xludf.DUMMYFUNCTION("""COMPUTED_VALUE"""),"")</f>
        <v/>
      </c>
      <c r="L137" s="258" t="str">
        <f>IFERROR(__xludf.DUMMYFUNCTION("""COMPUTED_VALUE"""),"")</f>
        <v/>
      </c>
      <c r="M137" s="261">
        <f>IFERROR(__xludf.DUMMYFUNCTION("""COMPUTED_VALUE"""),220.0)</f>
        <v>220</v>
      </c>
      <c r="N137" s="262" t="str">
        <f>IFERROR(__xludf.DUMMYFUNCTION("""COMPUTED_VALUE"""),"")</f>
        <v/>
      </c>
      <c r="O137" s="259" t="str">
        <f>IFERROR(__xludf.DUMMYFUNCTION("""COMPUTED_VALUE"""),"")</f>
        <v/>
      </c>
      <c r="P137" s="259">
        <f>IFERROR(__xludf.DUMMYFUNCTION("""COMPUTED_VALUE"""),42767.0)</f>
        <v>42767</v>
      </c>
      <c r="Q137" s="258">
        <f>IFERROR(__xludf.DUMMYFUNCTION("""COMPUTED_VALUE"""),56157.0)</f>
        <v>56157</v>
      </c>
      <c r="R137" s="261">
        <f>IFERROR(__xludf.DUMMYFUNCTION("""COMPUTED_VALUE"""),377.0)</f>
        <v>377</v>
      </c>
      <c r="S137" s="258">
        <v>395.0</v>
      </c>
      <c r="T137" s="263">
        <v>0.9544303797468354</v>
      </c>
      <c r="U137" s="264">
        <v>34894.0</v>
      </c>
      <c r="V137" s="265">
        <v>56157.0</v>
      </c>
      <c r="W137" s="264">
        <v>34894.0</v>
      </c>
      <c r="X137" s="266" t="str">
        <f>IFERROR(__xludf.DUMMYFUNCTION("""COMPUTED_VALUE"""),"dosmont")</f>
        <v>dosmont</v>
      </c>
      <c r="Y137" s="267">
        <v>-0.01</v>
      </c>
      <c r="Z137" s="267">
        <v>0.9577698535416532</v>
      </c>
      <c r="AA137" s="269"/>
      <c r="AB137" s="270"/>
      <c r="AC137" s="270"/>
      <c r="AD137" s="270"/>
      <c r="AE137" s="270"/>
    </row>
    <row r="138">
      <c r="A138" s="256">
        <f>IFERROR(__xludf.DUMMYFUNCTION("""COMPUTED_VALUE"""),43198.72430555556)</f>
        <v>43198.72431</v>
      </c>
      <c r="B138" s="257" t="str">
        <f>IFERROR(__xludf.DUMMYFUNCTION("""COMPUTED_VALUE"""),"BiancoP85D")</f>
        <v>BiancoP85D</v>
      </c>
      <c r="C138" s="258" t="str">
        <f>IFERROR(__xludf.DUMMYFUNCTION("""COMPUTED_VALUE"""),"Europe (excluding UK) &amp; Asia Pacific")</f>
        <v>Europe (excluding UK) &amp; Asia Pacific</v>
      </c>
      <c r="D138" s="258" t="str">
        <f>IFERROR(__xludf.DUMMYFUNCTION("""COMPUTED_VALUE"""),"km. My car displays range in kilometres and I will enter all range numbers in kilometres.")</f>
        <v>km. My car displays range in kilometres and I will enter all range numbers in kilometres.</v>
      </c>
      <c r="E138" s="259">
        <f>IFERROR(__xludf.DUMMYFUNCTION("""COMPUTED_VALUE"""),42248.0)</f>
        <v>42248</v>
      </c>
      <c r="F138" s="258" t="str">
        <f>IFERROR(__xludf.DUMMYFUNCTION("""COMPUTED_VALUE"""),"Model S P85D")</f>
        <v>Model S P85D</v>
      </c>
      <c r="G138" s="258" t="str">
        <f>IFERROR(__xludf.DUMMYFUNCTION("""COMPUTED_VALUE"""),"Monthly")</f>
        <v>Monthly</v>
      </c>
      <c r="H138" s="258" t="str">
        <f>IFERROR(__xludf.DUMMYFUNCTION("""COMPUTED_VALUE"""),"Monthly")</f>
        <v>Monthly</v>
      </c>
      <c r="I138" s="258" t="str">
        <f>IFERROR(__xludf.DUMMYFUNCTION("""COMPUTED_VALUE"""),"Never")</f>
        <v>Never</v>
      </c>
      <c r="J138" s="260">
        <f>IFERROR(__xludf.DUMMYFUNCTION("""COMPUTED_VALUE"""),0.8)</f>
        <v>0.8</v>
      </c>
      <c r="K138" s="258" t="str">
        <f>IFERROR(__xludf.DUMMYFUNCTION("""COMPUTED_VALUE"""),"")</f>
        <v/>
      </c>
      <c r="L138" s="258" t="str">
        <f>IFERROR(__xludf.DUMMYFUNCTION("""COMPUTED_VALUE"""),"")</f>
        <v/>
      </c>
      <c r="M138" s="261" t="str">
        <f>IFERROR(__xludf.DUMMYFUNCTION("""COMPUTED_VALUE"""),"")</f>
        <v/>
      </c>
      <c r="N138" s="262" t="str">
        <f>IFERROR(__xludf.DUMMYFUNCTION("""COMPUTED_VALUE"""),"")</f>
        <v/>
      </c>
      <c r="O138" s="259" t="str">
        <f>IFERROR(__xludf.DUMMYFUNCTION("""COMPUTED_VALUE"""),"")</f>
        <v/>
      </c>
      <c r="P138" s="259">
        <f>IFERROR(__xludf.DUMMYFUNCTION("""COMPUTED_VALUE"""),43198.0)</f>
        <v>43198</v>
      </c>
      <c r="Q138" s="258">
        <f>IFERROR(__xludf.DUMMYFUNCTION("""COMPUTED_VALUE"""),15970.0)</f>
        <v>15970</v>
      </c>
      <c r="R138" s="261">
        <f>IFERROR(__xludf.DUMMYFUNCTION("""COMPUTED_VALUE"""),393.0)</f>
        <v>393</v>
      </c>
      <c r="S138" s="258">
        <v>403.0</v>
      </c>
      <c r="T138" s="263">
        <v>0.9751861042183623</v>
      </c>
      <c r="U138" s="264">
        <v>9923.0</v>
      </c>
      <c r="V138" s="265">
        <v>15970.0</v>
      </c>
      <c r="W138" s="264">
        <v>9923.0</v>
      </c>
      <c r="X138" s="266" t="str">
        <f>IFERROR(__xludf.DUMMYFUNCTION("""COMPUTED_VALUE"""),"Dreamy")</f>
        <v>Dreamy</v>
      </c>
      <c r="Y138" s="267">
        <v>-0.01</v>
      </c>
      <c r="Z138" s="267">
        <v>0.9779046461724861</v>
      </c>
      <c r="AA138" s="269"/>
      <c r="AB138" s="270"/>
      <c r="AC138" s="270"/>
      <c r="AD138" s="270"/>
      <c r="AE138" s="270"/>
    </row>
    <row r="139">
      <c r="A139" s="256">
        <f>IFERROR(__xludf.DUMMYFUNCTION("""COMPUTED_VALUE"""),42957.572222222225)</f>
        <v>42957.57222</v>
      </c>
      <c r="B139" s="257" t="str">
        <f>IFERROR(__xludf.DUMMYFUNCTION("""COMPUTED_VALUE"""),"Biet")</f>
        <v>Biet</v>
      </c>
      <c r="C139" s="258" t="str">
        <f>IFERROR(__xludf.DUMMYFUNCTION("""COMPUTED_VALUE"""),"Europe (excluding UK) &amp; Asia Pacific")</f>
        <v>Europe (excluding UK) &amp; Asia Pacific</v>
      </c>
      <c r="D139" s="258" t="str">
        <f>IFERROR(__xludf.DUMMYFUNCTION("""COMPUTED_VALUE"""),"km. My car displays range in kilometres and I will enter all range numbers in kilometres.")</f>
        <v>km. My car displays range in kilometres and I will enter all range numbers in kilometres.</v>
      </c>
      <c r="E139" s="259">
        <f>IFERROR(__xludf.DUMMYFUNCTION("""COMPUTED_VALUE"""),42099.0)</f>
        <v>42099</v>
      </c>
      <c r="F139" s="258" t="str">
        <f>IFERROR(__xludf.DUMMYFUNCTION("""COMPUTED_VALUE"""),"Model S P85D")</f>
        <v>Model S P85D</v>
      </c>
      <c r="G139" s="258" t="str">
        <f>IFERROR(__xludf.DUMMYFUNCTION("""COMPUTED_VALUE"""),"")</f>
        <v/>
      </c>
      <c r="H139" s="258" t="str">
        <f>IFERROR(__xludf.DUMMYFUNCTION("""COMPUTED_VALUE"""),"A few times a year")</f>
        <v>A few times a year</v>
      </c>
      <c r="I139" s="258" t="str">
        <f>IFERROR(__xludf.DUMMYFUNCTION("""COMPUTED_VALUE"""),"Never")</f>
        <v>Never</v>
      </c>
      <c r="J139" s="260">
        <f>IFERROR(__xludf.DUMMYFUNCTION("""COMPUTED_VALUE"""),0.9)</f>
        <v>0.9</v>
      </c>
      <c r="K139" s="258">
        <f>IFERROR(__xludf.DUMMYFUNCTION("""COMPUTED_VALUE"""),404.0)</f>
        <v>404</v>
      </c>
      <c r="L139" s="258" t="str">
        <f>IFERROR(__xludf.DUMMYFUNCTION("""COMPUTED_VALUE"""),"")</f>
        <v/>
      </c>
      <c r="M139" s="261">
        <f>IFERROR(__xludf.DUMMYFUNCTION("""COMPUTED_VALUE"""),188.0)</f>
        <v>188</v>
      </c>
      <c r="N139" s="262" t="str">
        <f>IFERROR(__xludf.DUMMYFUNCTION("""COMPUTED_VALUE"""),"")</f>
        <v/>
      </c>
      <c r="O139" s="259" t="str">
        <f>IFERROR(__xludf.DUMMYFUNCTION("""COMPUTED_VALUE"""),"")</f>
        <v/>
      </c>
      <c r="P139" s="259">
        <f>IFERROR(__xludf.DUMMYFUNCTION("""COMPUTED_VALUE"""),42957.0)</f>
        <v>42957</v>
      </c>
      <c r="Q139" s="258">
        <f>IFERROR(__xludf.DUMMYFUNCTION("""COMPUTED_VALUE"""),88900.0)</f>
        <v>88900</v>
      </c>
      <c r="R139" s="261">
        <f>IFERROR(__xludf.DUMMYFUNCTION("""COMPUTED_VALUE"""),383.0)</f>
        <v>383</v>
      </c>
      <c r="S139" s="258">
        <v>403.0</v>
      </c>
      <c r="T139" s="263">
        <v>0.9503722084367245</v>
      </c>
      <c r="U139" s="264">
        <v>55240.0</v>
      </c>
      <c r="V139" s="265">
        <v>88900.0</v>
      </c>
      <c r="W139" s="264">
        <v>55240.0</v>
      </c>
      <c r="X139" s="266" t="str">
        <f>IFERROR(__xludf.DUMMYFUNCTION("""COMPUTED_VALUE"""),"dredog03")</f>
        <v>dredog03</v>
      </c>
      <c r="Y139" s="267">
        <v>-0.01</v>
      </c>
      <c r="Z139" s="267">
        <v>0.9492282596373595</v>
      </c>
      <c r="AA139" s="269"/>
      <c r="AB139" s="270"/>
      <c r="AC139" s="270"/>
      <c r="AD139" s="270"/>
      <c r="AE139" s="270"/>
    </row>
    <row r="140">
      <c r="A140" s="256">
        <f>IFERROR(__xludf.DUMMYFUNCTION("""COMPUTED_VALUE"""),42492.334027777775)</f>
        <v>42492.33403</v>
      </c>
      <c r="B140" s="257" t="str">
        <f>IFERROR(__xludf.DUMMYFUNCTION("""COMPUTED_VALUE"""),"Big daddy G")</f>
        <v>Big daddy G</v>
      </c>
      <c r="C140" s="258" t="str">
        <f>IFERROR(__xludf.DUMMYFUNCTION("""COMPUTED_VALUE"""),"Europe (excluding UK) &amp; Asia Pacific")</f>
        <v>Europe (excluding UK) &amp; Asia Pacific</v>
      </c>
      <c r="D140" s="258" t="str">
        <f>IFERROR(__xludf.DUMMYFUNCTION("""COMPUTED_VALUE"""),"km. My car displays range in kilometres and I will enter all range numbers in kilometres.")</f>
        <v>km. My car displays range in kilometres and I will enter all range numbers in kilometres.</v>
      </c>
      <c r="E140" s="259">
        <f>IFERROR(__xludf.DUMMYFUNCTION("""COMPUTED_VALUE"""),42139.0)</f>
        <v>42139</v>
      </c>
      <c r="F140" s="258" t="str">
        <f>IFERROR(__xludf.DUMMYFUNCTION("""COMPUTED_VALUE"""),"Model S 85D")</f>
        <v>Model S 85D</v>
      </c>
      <c r="G140" s="258" t="str">
        <f>IFERROR(__xludf.DUMMYFUNCTION("""COMPUTED_VALUE"""),"Daily")</f>
        <v>Daily</v>
      </c>
      <c r="H140" s="258" t="str">
        <f>IFERROR(__xludf.DUMMYFUNCTION("""COMPUTED_VALUE"""),"Once or twice a year")</f>
        <v>Once or twice a year</v>
      </c>
      <c r="I140" s="258" t="str">
        <f>IFERROR(__xludf.DUMMYFUNCTION("""COMPUTED_VALUE"""),"Once or twice a year")</f>
        <v>Once or twice a year</v>
      </c>
      <c r="J140" s="260">
        <f>IFERROR(__xludf.DUMMYFUNCTION("""COMPUTED_VALUE"""),0.9)</f>
        <v>0.9</v>
      </c>
      <c r="K140" s="258">
        <f>IFERROR(__xludf.DUMMYFUNCTION("""COMPUTED_VALUE"""),425.0)</f>
        <v>425</v>
      </c>
      <c r="L140" s="258" t="str">
        <f>IFERROR(__xludf.DUMMYFUNCTION("""COMPUTED_VALUE"""),"")</f>
        <v/>
      </c>
      <c r="M140" s="261">
        <f>IFERROR(__xludf.DUMMYFUNCTION("""COMPUTED_VALUE"""),224.0)</f>
        <v>224</v>
      </c>
      <c r="N140" s="262">
        <f>IFERROR(__xludf.DUMMYFUNCTION("""COMPUTED_VALUE"""),36000.0)</f>
        <v>36000</v>
      </c>
      <c r="O140" s="259" t="str">
        <f>IFERROR(__xludf.DUMMYFUNCTION("""COMPUTED_VALUE"""),"Increased by 24 km or mi")</f>
        <v>Increased by 24 km or mi</v>
      </c>
      <c r="P140" s="259">
        <f>IFERROR(__xludf.DUMMYFUNCTION("""COMPUTED_VALUE"""),42492.0)</f>
        <v>42492</v>
      </c>
      <c r="Q140" s="258">
        <f>IFERROR(__xludf.DUMMYFUNCTION("""COMPUTED_VALUE"""),54500.0)</f>
        <v>54500</v>
      </c>
      <c r="R140" s="261">
        <f>IFERROR(__xludf.DUMMYFUNCTION("""COMPUTED_VALUE"""),425.0)</f>
        <v>425</v>
      </c>
      <c r="S140" s="258">
        <v>425.0</v>
      </c>
      <c r="T140" s="263">
        <v>1.0</v>
      </c>
      <c r="U140" s="264">
        <v>33865.0</v>
      </c>
      <c r="V140" s="265">
        <v>54500.0</v>
      </c>
      <c r="W140" s="264">
        <v>33865.0</v>
      </c>
      <c r="X140" s="266" t="str">
        <f>IFERROR(__xludf.DUMMYFUNCTION("""COMPUTED_VALUE"""),"Drinden")</f>
        <v>Drinden</v>
      </c>
      <c r="Y140" s="267">
        <v>-0.01</v>
      </c>
      <c r="Z140" s="267">
        <v>0.95826963012492</v>
      </c>
      <c r="AA140" s="269"/>
      <c r="AB140" s="270"/>
      <c r="AC140" s="270"/>
      <c r="AD140" s="270"/>
      <c r="AE140" s="270"/>
    </row>
    <row r="141">
      <c r="A141" s="256">
        <f>IFERROR(__xludf.DUMMYFUNCTION("""COMPUTED_VALUE"""),43116.665972222225)</f>
        <v>43116.66597</v>
      </c>
      <c r="B141" s="257" t="str">
        <f>IFERROR(__xludf.DUMMYFUNCTION("""COMPUTED_VALUE"""),"Blackbird")</f>
        <v>Blackbird</v>
      </c>
      <c r="C141" s="258" t="str">
        <f>IFERROR(__xludf.DUMMYFUNCTION("""COMPUTED_VALUE"""),"Europe (excluding UK) &amp; Asia Pacific")</f>
        <v>Europe (excluding UK) &amp; Asia Pacific</v>
      </c>
      <c r="D141" s="258" t="str">
        <f>IFERROR(__xludf.DUMMYFUNCTION("""COMPUTED_VALUE"""),"km. My car displays range in kilometres and I will enter all range numbers in kilometres.")</f>
        <v>km. My car displays range in kilometres and I will enter all range numbers in kilometres.</v>
      </c>
      <c r="E141" s="259">
        <f>IFERROR(__xludf.DUMMYFUNCTION("""COMPUTED_VALUE"""),42277.0)</f>
        <v>42277</v>
      </c>
      <c r="F141" s="258" t="str">
        <f>IFERROR(__xludf.DUMMYFUNCTION("""COMPUTED_VALUE"""),"Model S P90D")</f>
        <v>Model S P90D</v>
      </c>
      <c r="G141" s="258" t="str">
        <f>IFERROR(__xludf.DUMMYFUNCTION("""COMPUTED_VALUE"""),"A few times a year")</f>
        <v>A few times a year</v>
      </c>
      <c r="H141" s="258" t="str">
        <f>IFERROR(__xludf.DUMMYFUNCTION("""COMPUTED_VALUE"""),"A few times a year")</f>
        <v>A few times a year</v>
      </c>
      <c r="I141" s="258" t="str">
        <f>IFERROR(__xludf.DUMMYFUNCTION("""COMPUTED_VALUE"""),"A few times a year")</f>
        <v>A few times a year</v>
      </c>
      <c r="J141" s="260" t="str">
        <f>IFERROR(__xludf.DUMMYFUNCTION("""COMPUTED_VALUE"""),"")</f>
        <v/>
      </c>
      <c r="K141" s="258">
        <f>IFERROR(__xludf.DUMMYFUNCTION("""COMPUTED_VALUE"""),428.0)</f>
        <v>428</v>
      </c>
      <c r="L141" s="258" t="str">
        <f>IFERROR(__xludf.DUMMYFUNCTION("""COMPUTED_VALUE"""),"")</f>
        <v/>
      </c>
      <c r="M141" s="261">
        <f>IFERROR(__xludf.DUMMYFUNCTION("""COMPUTED_VALUE"""),240.0)</f>
        <v>240</v>
      </c>
      <c r="N141" s="262" t="str">
        <f>IFERROR(__xludf.DUMMYFUNCTION("""COMPUTED_VALUE"""),"")</f>
        <v/>
      </c>
      <c r="O141" s="259" t="str">
        <f>IFERROR(__xludf.DUMMYFUNCTION("""COMPUTED_VALUE"""),"")</f>
        <v/>
      </c>
      <c r="P141" s="259">
        <f>IFERROR(__xludf.DUMMYFUNCTION("""COMPUTED_VALUE"""),43116.0)</f>
        <v>43116</v>
      </c>
      <c r="Q141" s="258">
        <f>IFERROR(__xludf.DUMMYFUNCTION("""COMPUTED_VALUE"""),35333.0)</f>
        <v>35333</v>
      </c>
      <c r="R141" s="261">
        <f>IFERROR(__xludf.DUMMYFUNCTION("""COMPUTED_VALUE"""),402.0)</f>
        <v>402</v>
      </c>
      <c r="S141" s="258">
        <v>412.0</v>
      </c>
      <c r="T141" s="263">
        <v>0.9757281553398058</v>
      </c>
      <c r="U141" s="264">
        <v>21955.0</v>
      </c>
      <c r="V141" s="265">
        <v>35333.0</v>
      </c>
      <c r="W141" s="264">
        <v>21955.0</v>
      </c>
      <c r="X141" s="266" t="str">
        <f>IFERROR(__xludf.DUMMYFUNCTION("""COMPUTED_VALUE"""),"DRM")</f>
        <v>DRM</v>
      </c>
      <c r="Y141" s="267">
        <v>-0.01</v>
      </c>
      <c r="Z141" s="267">
        <v>0.9653122040056713</v>
      </c>
      <c r="AA141" s="269"/>
      <c r="AB141" s="270"/>
      <c r="AC141" s="270"/>
      <c r="AD141" s="270"/>
      <c r="AE141" s="270"/>
    </row>
    <row r="142">
      <c r="A142" s="256">
        <f>IFERROR(__xludf.DUMMYFUNCTION("""COMPUTED_VALUE"""),43115.66666666667)</f>
        <v>43115.66667</v>
      </c>
      <c r="B142" s="257" t="str">
        <f>IFERROR(__xludf.DUMMYFUNCTION("""COMPUTED_VALUE"""),"Blackbird")</f>
        <v>Blackbird</v>
      </c>
      <c r="C142" s="258" t="str">
        <f>IFERROR(__xludf.DUMMYFUNCTION("""COMPUTED_VALUE"""),"Europe (excluding UK) &amp; Asia Pacific")</f>
        <v>Europe (excluding UK) &amp; Asia Pacific</v>
      </c>
      <c r="D142" s="258" t="str">
        <f>IFERROR(__xludf.DUMMYFUNCTION("""COMPUTED_VALUE"""),"km. My car displays range in kilometres and I will enter all range numbers in kilometres.")</f>
        <v>km. My car displays range in kilometres and I will enter all range numbers in kilometres.</v>
      </c>
      <c r="E142" s="259">
        <f>IFERROR(__xludf.DUMMYFUNCTION("""COMPUTED_VALUE"""),42240.0)</f>
        <v>42240</v>
      </c>
      <c r="F142" s="258" t="str">
        <f>IFERROR(__xludf.DUMMYFUNCTION("""COMPUTED_VALUE"""),"Model S 70D")</f>
        <v>Model S 70D</v>
      </c>
      <c r="G142" s="258" t="str">
        <f>IFERROR(__xludf.DUMMYFUNCTION("""COMPUTED_VALUE"""),"A few times a year")</f>
        <v>A few times a year</v>
      </c>
      <c r="H142" s="258" t="str">
        <f>IFERROR(__xludf.DUMMYFUNCTION("""COMPUTED_VALUE"""),"A few times a year")</f>
        <v>A few times a year</v>
      </c>
      <c r="I142" s="258" t="str">
        <f>IFERROR(__xludf.DUMMYFUNCTION("""COMPUTED_VALUE"""),"A few times a year")</f>
        <v>A few times a year</v>
      </c>
      <c r="J142" s="260" t="str">
        <f>IFERROR(__xludf.DUMMYFUNCTION("""COMPUTED_VALUE"""),"")</f>
        <v/>
      </c>
      <c r="K142" s="258">
        <f>IFERROR(__xludf.DUMMYFUNCTION("""COMPUTED_VALUE"""),370.0)</f>
        <v>370</v>
      </c>
      <c r="L142" s="258" t="str">
        <f>IFERROR(__xludf.DUMMYFUNCTION("""COMPUTED_VALUE"""),"")</f>
        <v/>
      </c>
      <c r="M142" s="261">
        <f>IFERROR(__xludf.DUMMYFUNCTION("""COMPUTED_VALUE"""),230.0)</f>
        <v>230</v>
      </c>
      <c r="N142" s="262" t="str">
        <f>IFERROR(__xludf.DUMMYFUNCTION("""COMPUTED_VALUE"""),"")</f>
        <v/>
      </c>
      <c r="O142" s="259" t="str">
        <f>IFERROR(__xludf.DUMMYFUNCTION("""COMPUTED_VALUE"""),"")</f>
        <v/>
      </c>
      <c r="P142" s="259">
        <f>IFERROR(__xludf.DUMMYFUNCTION("""COMPUTED_VALUE"""),43115.0)</f>
        <v>43115</v>
      </c>
      <c r="Q142" s="258">
        <f>IFERROR(__xludf.DUMMYFUNCTION("""COMPUTED_VALUE"""),30174.0)</f>
        <v>30174</v>
      </c>
      <c r="R142" s="261">
        <f>IFERROR(__xludf.DUMMYFUNCTION("""COMPUTED_VALUE"""),356.0)</f>
        <v>356</v>
      </c>
      <c r="S142" s="258">
        <v>360.0</v>
      </c>
      <c r="T142" s="263">
        <v>0.9888888888888889</v>
      </c>
      <c r="U142" s="264">
        <v>18749.0</v>
      </c>
      <c r="V142" s="265">
        <v>30174.0</v>
      </c>
      <c r="W142" s="264">
        <v>18749.0</v>
      </c>
      <c r="X142" s="266" t="str">
        <f>IFERROR(__xludf.DUMMYFUNCTION("""COMPUTED_VALUE"""),"Dryland")</f>
        <v>Dryland</v>
      </c>
      <c r="Y142" s="267">
        <v>-0.01</v>
      </c>
      <c r="Z142" s="267">
        <v>0.9678670102742013</v>
      </c>
      <c r="AA142" s="269"/>
      <c r="AB142" s="270"/>
      <c r="AC142" s="270"/>
      <c r="AD142" s="270"/>
      <c r="AE142" s="270"/>
    </row>
    <row r="143">
      <c r="A143" s="256">
        <f>IFERROR(__xludf.DUMMYFUNCTION("""COMPUTED_VALUE"""),43137.69236111111)</f>
        <v>43137.69236</v>
      </c>
      <c r="B143" s="257" t="str">
        <f>IFERROR(__xludf.DUMMYFUNCTION("""COMPUTED_VALUE"""),"Blitz")</f>
        <v>Blitz</v>
      </c>
      <c r="C143" s="258" t="str">
        <f>IFERROR(__xludf.DUMMYFUNCTION("""COMPUTED_VALUE"""),"Europe (excluding UK) &amp; Asia Pacific")</f>
        <v>Europe (excluding UK) &amp; Asia Pacific</v>
      </c>
      <c r="D143" s="258" t="str">
        <f>IFERROR(__xludf.DUMMYFUNCTION("""COMPUTED_VALUE"""),"km. My car displays range in kilometres and I will enter all range numbers in kilometres.")</f>
        <v>km. My car displays range in kilometres and I will enter all range numbers in kilometres.</v>
      </c>
      <c r="E143" s="259">
        <f>IFERROR(__xludf.DUMMYFUNCTION("""COMPUTED_VALUE"""),42079.0)</f>
        <v>42079</v>
      </c>
      <c r="F143" s="258" t="str">
        <f>IFERROR(__xludf.DUMMYFUNCTION("""COMPUTED_VALUE"""),"Model S 85")</f>
        <v>Model S 85</v>
      </c>
      <c r="G143" s="258" t="str">
        <f>IFERROR(__xludf.DUMMYFUNCTION("""COMPUTED_VALUE"""),"Twice a month")</f>
        <v>Twice a month</v>
      </c>
      <c r="H143" s="258" t="str">
        <f>IFERROR(__xludf.DUMMYFUNCTION("""COMPUTED_VALUE"""),"Monthly")</f>
        <v>Monthly</v>
      </c>
      <c r="I143" s="258" t="str">
        <f>IFERROR(__xludf.DUMMYFUNCTION("""COMPUTED_VALUE"""),"Once or twice a year")</f>
        <v>Once or twice a year</v>
      </c>
      <c r="J143" s="260">
        <f>IFERROR(__xludf.DUMMYFUNCTION("""COMPUTED_VALUE"""),0.8)</f>
        <v>0.8</v>
      </c>
      <c r="K143" s="258" t="str">
        <f>IFERROR(__xludf.DUMMYFUNCTION("""COMPUTED_VALUE"""),"")</f>
        <v/>
      </c>
      <c r="L143" s="258" t="str">
        <f>IFERROR(__xludf.DUMMYFUNCTION("""COMPUTED_VALUE"""),"")</f>
        <v/>
      </c>
      <c r="M143" s="261">
        <f>IFERROR(__xludf.DUMMYFUNCTION("""COMPUTED_VALUE"""),220.0)</f>
        <v>220</v>
      </c>
      <c r="N143" s="262" t="str">
        <f>IFERROR(__xludf.DUMMYFUNCTION("""COMPUTED_VALUE"""),"")</f>
        <v/>
      </c>
      <c r="O143" s="259" t="str">
        <f>IFERROR(__xludf.DUMMYFUNCTION("""COMPUTED_VALUE"""),"")</f>
        <v/>
      </c>
      <c r="P143" s="259">
        <f>IFERROR(__xludf.DUMMYFUNCTION("""COMPUTED_VALUE"""),43137.0)</f>
        <v>43137</v>
      </c>
      <c r="Q143" s="258">
        <f>IFERROR(__xludf.DUMMYFUNCTION("""COMPUTED_VALUE"""),140504.0)</f>
        <v>140504</v>
      </c>
      <c r="R143" s="261">
        <f>IFERROR(__xludf.DUMMYFUNCTION("""COMPUTED_VALUE"""),371.0)</f>
        <v>371</v>
      </c>
      <c r="S143" s="258">
        <v>395.0</v>
      </c>
      <c r="T143" s="263">
        <v>0.9392405063291139</v>
      </c>
      <c r="U143" s="264">
        <v>87305.0</v>
      </c>
      <c r="V143" s="265">
        <v>140504.0</v>
      </c>
      <c r="W143" s="264">
        <v>87305.0</v>
      </c>
      <c r="X143" s="266" t="str">
        <f>IFERROR(__xludf.DUMMYFUNCTION("""COMPUTED_VALUE"""),"DRZMKRMT")</f>
        <v>DRZMKRMT</v>
      </c>
      <c r="Y143" s="267">
        <v>-0.01</v>
      </c>
      <c r="Z143" s="267">
        <v>0.9371612937022553</v>
      </c>
      <c r="AA143" s="269"/>
      <c r="AB143" s="270"/>
      <c r="AC143" s="270"/>
      <c r="AD143" s="270"/>
      <c r="AE143" s="270"/>
    </row>
    <row r="144">
      <c r="A144" s="256">
        <f>IFERROR(__xludf.DUMMYFUNCTION("""COMPUTED_VALUE"""),43851.717698402776)</f>
        <v>43851.7177</v>
      </c>
      <c r="B144" s="257" t="str">
        <f>IFERROR(__xludf.DUMMYFUNCTION("""COMPUTED_VALUE"""),"Blue Arrow")</f>
        <v>Blue Arrow</v>
      </c>
      <c r="C144" s="258" t="str">
        <f>IFERROR(__xludf.DUMMYFUNCTION("""COMPUTED_VALUE"""),"Europe (excluding UK) &amp; Asia Pacific")</f>
        <v>Europe (excluding UK) &amp; Asia Pacific</v>
      </c>
      <c r="D144" s="258" t="str">
        <f>IFERROR(__xludf.DUMMYFUNCTION("""COMPUTED_VALUE"""),"km. My car displays range in kilometres and I will enter all range numbers in kilometres.")</f>
        <v>km. My car displays range in kilometres and I will enter all range numbers in kilometres.</v>
      </c>
      <c r="E144" s="259">
        <f>IFERROR(__xludf.DUMMYFUNCTION("""COMPUTED_VALUE"""),42430.0)</f>
        <v>42430</v>
      </c>
      <c r="F144" s="258" t="str">
        <f>IFERROR(__xludf.DUMMYFUNCTION("""COMPUTED_VALUE"""),"Model S 85D")</f>
        <v>Model S 85D</v>
      </c>
      <c r="G144" s="258" t="str">
        <f>IFERROR(__xludf.DUMMYFUNCTION("""COMPUTED_VALUE"""),"Weekly")</f>
        <v>Weekly</v>
      </c>
      <c r="H144" s="258" t="str">
        <f>IFERROR(__xludf.DUMMYFUNCTION("""COMPUTED_VALUE"""),"A few times a year")</f>
        <v>A few times a year</v>
      </c>
      <c r="I144" s="258" t="str">
        <f>IFERROR(__xludf.DUMMYFUNCTION("""COMPUTED_VALUE"""),"Once or twice a year")</f>
        <v>Once or twice a year</v>
      </c>
      <c r="J144" s="260">
        <f>IFERROR(__xludf.DUMMYFUNCTION("""COMPUTED_VALUE"""),0.5)</f>
        <v>0.5</v>
      </c>
      <c r="K144" s="258" t="str">
        <f>IFERROR(__xludf.DUMMYFUNCTION("""COMPUTED_VALUE"""),"")</f>
        <v/>
      </c>
      <c r="L144" s="258" t="str">
        <f>IFERROR(__xludf.DUMMYFUNCTION("""COMPUTED_VALUE"""),"")</f>
        <v/>
      </c>
      <c r="M144" s="261">
        <f>IFERROR(__xludf.DUMMYFUNCTION("""COMPUTED_VALUE"""),200.0)</f>
        <v>200</v>
      </c>
      <c r="N144" s="262" t="str">
        <f>IFERROR(__xludf.DUMMYFUNCTION("""COMPUTED_VALUE"""),"")</f>
        <v/>
      </c>
      <c r="O144" s="259" t="str">
        <f>IFERROR(__xludf.DUMMYFUNCTION("""COMPUTED_VALUE"""),"")</f>
        <v/>
      </c>
      <c r="P144" s="259">
        <f>IFERROR(__xludf.DUMMYFUNCTION("""COMPUTED_VALUE"""),43849.0)</f>
        <v>43849</v>
      </c>
      <c r="Q144" s="258">
        <f>IFERROR(__xludf.DUMMYFUNCTION("""COMPUTED_VALUE"""),74120.0)</f>
        <v>74120</v>
      </c>
      <c r="R144" s="261">
        <f>IFERROR(__xludf.DUMMYFUNCTION("""COMPUTED_VALUE"""),374.0)</f>
        <v>374</v>
      </c>
      <c r="S144" s="258">
        <v>425.0</v>
      </c>
      <c r="T144" s="263">
        <v>0.88</v>
      </c>
      <c r="U144" s="264">
        <v>46056.0</v>
      </c>
      <c r="V144" s="265">
        <v>74120.0</v>
      </c>
      <c r="W144" s="264">
        <v>46056.0</v>
      </c>
      <c r="X144" s="266" t="str">
        <f>IFERROR(__xludf.DUMMYFUNCTION("""COMPUTED_VALUE"""),"DvdBlink")</f>
        <v>DvdBlink</v>
      </c>
      <c r="Y144" s="267">
        <v>-0.01</v>
      </c>
      <c r="Z144" s="267">
        <v>0.9528731491279021</v>
      </c>
      <c r="AA144" s="269"/>
      <c r="AB144" s="270"/>
      <c r="AC144" s="270"/>
      <c r="AD144" s="270"/>
      <c r="AE144" s="270"/>
    </row>
    <row r="145">
      <c r="A145" s="256">
        <f>IFERROR(__xludf.DUMMYFUNCTION("""COMPUTED_VALUE"""),43582.19170633102)</f>
        <v>43582.19171</v>
      </c>
      <c r="B145" s="257" t="str">
        <f>IFERROR(__xludf.DUMMYFUNCTION("""COMPUTED_VALUE"""),"Bluezap")</f>
        <v>Bluezap</v>
      </c>
      <c r="C145" s="258" t="str">
        <f>IFERROR(__xludf.DUMMYFUNCTION("""COMPUTED_VALUE"""),"USA")</f>
        <v>USA</v>
      </c>
      <c r="D145" s="258" t="str">
        <f>IFERROR(__xludf.DUMMYFUNCTION("""COMPUTED_VALUE"""),"mi. My car displays range in miles and I will enter all range numbers in miles.")</f>
        <v>mi. My car displays range in miles and I will enter all range numbers in miles.</v>
      </c>
      <c r="E145" s="259">
        <f>IFERROR(__xludf.DUMMYFUNCTION("""COMPUTED_VALUE"""),41922.0)</f>
        <v>41922</v>
      </c>
      <c r="F145" s="258" t="str">
        <f>IFERROR(__xludf.DUMMYFUNCTION("""COMPUTED_VALUE"""),"Model S 85")</f>
        <v>Model S 85</v>
      </c>
      <c r="G145" s="258" t="str">
        <f>IFERROR(__xludf.DUMMYFUNCTION("""COMPUTED_VALUE"""),"Monthly")</f>
        <v>Monthly</v>
      </c>
      <c r="H145" s="258" t="str">
        <f>IFERROR(__xludf.DUMMYFUNCTION("""COMPUTED_VALUE"""),"A few times a year")</f>
        <v>A few times a year</v>
      </c>
      <c r="I145" s="258" t="str">
        <f>IFERROR(__xludf.DUMMYFUNCTION("""COMPUTED_VALUE"""),"")</f>
        <v/>
      </c>
      <c r="J145" s="260">
        <f>IFERROR(__xludf.DUMMYFUNCTION("""COMPUTED_VALUE"""),0.7)</f>
        <v>0.7</v>
      </c>
      <c r="K145" s="258" t="str">
        <f>IFERROR(__xludf.DUMMYFUNCTION("""COMPUTED_VALUE"""),"")</f>
        <v/>
      </c>
      <c r="L145" s="258" t="str">
        <f>IFERROR(__xludf.DUMMYFUNCTION("""COMPUTED_VALUE"""),"")</f>
        <v/>
      </c>
      <c r="M145" s="261" t="str">
        <f>IFERROR(__xludf.DUMMYFUNCTION("""COMPUTED_VALUE"""),"")</f>
        <v/>
      </c>
      <c r="N145" s="262" t="str">
        <f>IFERROR(__xludf.DUMMYFUNCTION("""COMPUTED_VALUE"""),"")</f>
        <v/>
      </c>
      <c r="O145" s="259" t="str">
        <f>IFERROR(__xludf.DUMMYFUNCTION("""COMPUTED_VALUE"""),"")</f>
        <v/>
      </c>
      <c r="P145" s="259">
        <f>IFERROR(__xludf.DUMMYFUNCTION("""COMPUTED_VALUE"""),43566.0)</f>
        <v>43566</v>
      </c>
      <c r="Q145" s="258">
        <f>IFERROR(__xludf.DUMMYFUNCTION("""COMPUTED_VALUE"""),73000.0)</f>
        <v>73000</v>
      </c>
      <c r="R145" s="261">
        <f>IFERROR(__xludf.DUMMYFUNCTION("""COMPUTED_VALUE"""),245.0)</f>
        <v>245</v>
      </c>
      <c r="S145" s="258">
        <v>266.0</v>
      </c>
      <c r="T145" s="263">
        <v>0.9210526315789473</v>
      </c>
      <c r="U145" s="264">
        <v>73000.0</v>
      </c>
      <c r="V145" s="265">
        <v>117482.0</v>
      </c>
      <c r="W145" s="264">
        <v>73000.0</v>
      </c>
      <c r="X145" s="266" t="str">
        <f>IFERROR(__xludf.DUMMYFUNCTION("""COMPUTED_VALUE"""),"dvroegop")</f>
        <v>dvroegop</v>
      </c>
      <c r="Y145" s="267">
        <v>-0.01</v>
      </c>
      <c r="Z145" s="267">
        <v>0.9424955143693693</v>
      </c>
      <c r="AA145" s="269"/>
      <c r="AB145" s="270"/>
      <c r="AC145" s="270"/>
      <c r="AD145" s="270"/>
      <c r="AE145" s="270"/>
    </row>
    <row r="146">
      <c r="A146" s="256">
        <f>IFERROR(__xludf.DUMMYFUNCTION("""COMPUTED_VALUE"""),42960.575)</f>
        <v>42960.575</v>
      </c>
      <c r="B146" s="257" t="str">
        <f>IFERROR(__xludf.DUMMYFUNCTION("""COMPUTED_VALUE"""),"Blumewirt")</f>
        <v>Blumewirt</v>
      </c>
      <c r="C146" s="258" t="str">
        <f>IFERROR(__xludf.DUMMYFUNCTION("""COMPUTED_VALUE"""),"Europe (excluding UK) &amp; Asia Pacific")</f>
        <v>Europe (excluding UK) &amp; Asia Pacific</v>
      </c>
      <c r="D146" s="258" t="str">
        <f>IFERROR(__xludf.DUMMYFUNCTION("""COMPUTED_VALUE"""),"km. My car displays range in kilometres and I will enter all range numbers in kilometres.")</f>
        <v>km. My car displays range in kilometres and I will enter all range numbers in kilometres.</v>
      </c>
      <c r="E146" s="259">
        <f>IFERROR(__xludf.DUMMYFUNCTION("""COMPUTED_VALUE"""),42170.0)</f>
        <v>42170</v>
      </c>
      <c r="F146" s="258" t="str">
        <f>IFERROR(__xludf.DUMMYFUNCTION("""COMPUTED_VALUE"""),"Model S 70D")</f>
        <v>Model S 70D</v>
      </c>
      <c r="G146" s="258" t="str">
        <f>IFERROR(__xludf.DUMMYFUNCTION("""COMPUTED_VALUE"""),"Daily")</f>
        <v>Daily</v>
      </c>
      <c r="H146" s="258" t="str">
        <f>IFERROR(__xludf.DUMMYFUNCTION("""COMPUTED_VALUE"""),"A few times a year")</f>
        <v>A few times a year</v>
      </c>
      <c r="I146" s="258" t="str">
        <f>IFERROR(__xludf.DUMMYFUNCTION("""COMPUTED_VALUE"""),"Once or twice a year")</f>
        <v>Once or twice a year</v>
      </c>
      <c r="J146" s="260" t="str">
        <f>IFERROR(__xludf.DUMMYFUNCTION("""COMPUTED_VALUE"""),"")</f>
        <v/>
      </c>
      <c r="K146" s="258">
        <f>IFERROR(__xludf.DUMMYFUNCTION("""COMPUTED_VALUE"""),366.0)</f>
        <v>366</v>
      </c>
      <c r="L146" s="258" t="str">
        <f>IFERROR(__xludf.DUMMYFUNCTION("""COMPUTED_VALUE"""),"")</f>
        <v/>
      </c>
      <c r="M146" s="261">
        <f>IFERROR(__xludf.DUMMYFUNCTION("""COMPUTED_VALUE"""),188.0)</f>
        <v>188</v>
      </c>
      <c r="N146" s="262" t="str">
        <f>IFERROR(__xludf.DUMMYFUNCTION("""COMPUTED_VALUE"""),"")</f>
        <v/>
      </c>
      <c r="O146" s="259" t="str">
        <f>IFERROR(__xludf.DUMMYFUNCTION("""COMPUTED_VALUE"""),"")</f>
        <v/>
      </c>
      <c r="P146" s="259">
        <f>IFERROR(__xludf.DUMMYFUNCTION("""COMPUTED_VALUE"""),42960.0)</f>
        <v>42960</v>
      </c>
      <c r="Q146" s="258">
        <f>IFERROR(__xludf.DUMMYFUNCTION("""COMPUTED_VALUE"""),171941.0)</f>
        <v>171941</v>
      </c>
      <c r="R146" s="261">
        <f>IFERROR(__xludf.DUMMYFUNCTION("""COMPUTED_VALUE"""),351.0)</f>
        <v>351</v>
      </c>
      <c r="S146" s="258">
        <v>360.0</v>
      </c>
      <c r="T146" s="263">
        <v>0.975</v>
      </c>
      <c r="U146" s="264">
        <v>106839.0</v>
      </c>
      <c r="V146" s="265">
        <v>171941.0</v>
      </c>
      <c r="W146" s="264">
        <v>106839.0</v>
      </c>
      <c r="X146" s="266" t="str">
        <f>IFERROR(__xludf.DUMMYFUNCTION("""COMPUTED_VALUE"""),"dz1523")</f>
        <v>dz1523</v>
      </c>
      <c r="Y146" s="267">
        <v>-0.01</v>
      </c>
      <c r="Z146" s="267">
        <v>0.9299032050953581</v>
      </c>
      <c r="AA146" s="269"/>
      <c r="AB146" s="270"/>
      <c r="AC146" s="270"/>
      <c r="AD146" s="270"/>
      <c r="AE146" s="270"/>
    </row>
    <row r="147">
      <c r="A147" s="256">
        <f>IFERROR(__xludf.DUMMYFUNCTION("""COMPUTED_VALUE"""),42540.35486111111)</f>
        <v>42540.35486</v>
      </c>
      <c r="B147" s="257" t="str">
        <f>IFERROR(__xludf.DUMMYFUNCTION("""COMPUTED_VALUE"""),"BobbyKings")</f>
        <v>BobbyKings</v>
      </c>
      <c r="C147" s="258" t="str">
        <f>IFERROR(__xludf.DUMMYFUNCTION("""COMPUTED_VALUE"""),"Europe (excluding UK) &amp; Asia Pacific")</f>
        <v>Europe (excluding UK) &amp; Asia Pacific</v>
      </c>
      <c r="D147" s="258" t="str">
        <f>IFERROR(__xludf.DUMMYFUNCTION("""COMPUTED_VALUE"""),"km. My car displays range in kilometres and I will enter all range numbers in kilometres.")</f>
        <v>km. My car displays range in kilometres and I will enter all range numbers in kilometres.</v>
      </c>
      <c r="E147" s="259">
        <f>IFERROR(__xludf.DUMMYFUNCTION("""COMPUTED_VALUE"""),42093.0)</f>
        <v>42093</v>
      </c>
      <c r="F147" s="258" t="str">
        <f>IFERROR(__xludf.DUMMYFUNCTION("""COMPUTED_VALUE"""),"Model S 85D")</f>
        <v>Model S 85D</v>
      </c>
      <c r="G147" s="258" t="str">
        <f>IFERROR(__xludf.DUMMYFUNCTION("""COMPUTED_VALUE"""),"Weekly")</f>
        <v>Weekly</v>
      </c>
      <c r="H147" s="258" t="str">
        <f>IFERROR(__xludf.DUMMYFUNCTION("""COMPUTED_VALUE"""),"Monthly")</f>
        <v>Monthly</v>
      </c>
      <c r="I147" s="258" t="str">
        <f>IFERROR(__xludf.DUMMYFUNCTION("""COMPUTED_VALUE"""),"Monthly")</f>
        <v>Monthly</v>
      </c>
      <c r="J147" s="260">
        <f>IFERROR(__xludf.DUMMYFUNCTION("""COMPUTED_VALUE"""),0.9)</f>
        <v>0.9</v>
      </c>
      <c r="K147" s="258" t="str">
        <f>IFERROR(__xludf.DUMMYFUNCTION("""COMPUTED_VALUE"""),"")</f>
        <v/>
      </c>
      <c r="L147" s="258" t="str">
        <f>IFERROR(__xludf.DUMMYFUNCTION("""COMPUTED_VALUE"""),"")</f>
        <v/>
      </c>
      <c r="M147" s="261">
        <f>IFERROR(__xludf.DUMMYFUNCTION("""COMPUTED_VALUE"""),206.0)</f>
        <v>206</v>
      </c>
      <c r="N147" s="262" t="str">
        <f>IFERROR(__xludf.DUMMYFUNCTION("""COMPUTED_VALUE"""),"")</f>
        <v/>
      </c>
      <c r="O147" s="259" t="str">
        <f>IFERROR(__xludf.DUMMYFUNCTION("""COMPUTED_VALUE"""),"")</f>
        <v/>
      </c>
      <c r="P147" s="259">
        <f>IFERROR(__xludf.DUMMYFUNCTION("""COMPUTED_VALUE"""),42540.0)</f>
        <v>42540</v>
      </c>
      <c r="Q147" s="258">
        <f>IFERROR(__xludf.DUMMYFUNCTION("""COMPUTED_VALUE"""),50011.0)</f>
        <v>50011</v>
      </c>
      <c r="R147" s="261">
        <f>IFERROR(__xludf.DUMMYFUNCTION("""COMPUTED_VALUE"""),412.0)</f>
        <v>412</v>
      </c>
      <c r="S147" s="258">
        <v>425.0</v>
      </c>
      <c r="T147" s="263">
        <v>0.9694117647058823</v>
      </c>
      <c r="U147" s="264">
        <v>31075.0</v>
      </c>
      <c r="V147" s="265">
        <v>50011.0</v>
      </c>
      <c r="W147" s="264">
        <v>31075.0</v>
      </c>
      <c r="X147" s="266" t="str">
        <f>IFERROR(__xludf.DUMMYFUNCTION("""COMPUTED_VALUE"""),"e-fan")</f>
        <v>e-fan</v>
      </c>
      <c r="Y147" s="267">
        <v>-0.01</v>
      </c>
      <c r="Z147" s="267">
        <v>0.9596868347533742</v>
      </c>
      <c r="AA147" s="269"/>
      <c r="AB147" s="270"/>
      <c r="AC147" s="270"/>
      <c r="AD147" s="270"/>
      <c r="AE147" s="270"/>
    </row>
    <row r="148">
      <c r="A148" s="256">
        <f>IFERROR(__xludf.DUMMYFUNCTION("""COMPUTED_VALUE"""),43651.32338040509)</f>
        <v>43651.32338</v>
      </c>
      <c r="B148" s="257" t="str">
        <f>IFERROR(__xludf.DUMMYFUNCTION("""COMPUTED_VALUE"""),"BobRob")</f>
        <v>BobRob</v>
      </c>
      <c r="C148" s="258" t="str">
        <f>IFERROR(__xludf.DUMMYFUNCTION("""COMPUTED_VALUE"""),"Europe (excluding UK) &amp; Asia Pacific")</f>
        <v>Europe (excluding UK) &amp; Asia Pacific</v>
      </c>
      <c r="D148" s="258" t="str">
        <f>IFERROR(__xludf.DUMMYFUNCTION("""COMPUTED_VALUE"""),"km. My car displays range in kilometres and I will enter all range numbers in kilometres.")</f>
        <v>km. My car displays range in kilometres and I will enter all range numbers in kilometres.</v>
      </c>
      <c r="E148" s="259">
        <f>IFERROR(__xludf.DUMMYFUNCTION("""COMPUTED_VALUE"""),41988.0)</f>
        <v>41988</v>
      </c>
      <c r="F148" s="258" t="str">
        <f>IFERROR(__xludf.DUMMYFUNCTION("""COMPUTED_VALUE"""),"Model S P85+")</f>
        <v>Model S P85+</v>
      </c>
      <c r="G148" s="258" t="str">
        <f>IFERROR(__xludf.DUMMYFUNCTION("""COMPUTED_VALUE"""),"Twice a month")</f>
        <v>Twice a month</v>
      </c>
      <c r="H148" s="258" t="str">
        <f>IFERROR(__xludf.DUMMYFUNCTION("""COMPUTED_VALUE"""),"Twice a month")</f>
        <v>Twice a month</v>
      </c>
      <c r="I148" s="258" t="str">
        <f>IFERROR(__xludf.DUMMYFUNCTION("""COMPUTED_VALUE"""),"Twice a month")</f>
        <v>Twice a month</v>
      </c>
      <c r="J148" s="260">
        <f>IFERROR(__xludf.DUMMYFUNCTION("""COMPUTED_VALUE"""),0.9)</f>
        <v>0.9</v>
      </c>
      <c r="K148" s="258" t="str">
        <f>IFERROR(__xludf.DUMMYFUNCTION("""COMPUTED_VALUE"""),"")</f>
        <v/>
      </c>
      <c r="L148" s="258" t="str">
        <f>IFERROR(__xludf.DUMMYFUNCTION("""COMPUTED_VALUE"""),"")</f>
        <v/>
      </c>
      <c r="M148" s="261">
        <f>IFERROR(__xludf.DUMMYFUNCTION("""COMPUTED_VALUE"""),240.0)</f>
        <v>240</v>
      </c>
      <c r="N148" s="262" t="str">
        <f>IFERROR(__xludf.DUMMYFUNCTION("""COMPUTED_VALUE"""),"")</f>
        <v/>
      </c>
      <c r="O148" s="259" t="str">
        <f>IFERROR(__xludf.DUMMYFUNCTION("""COMPUTED_VALUE"""),"")</f>
        <v/>
      </c>
      <c r="P148" s="259">
        <f>IFERROR(__xludf.DUMMYFUNCTION("""COMPUTED_VALUE"""),43592.0)</f>
        <v>43592</v>
      </c>
      <c r="Q148" s="258">
        <f>IFERROR(__xludf.DUMMYFUNCTION("""COMPUTED_VALUE"""),159500.0)</f>
        <v>159500</v>
      </c>
      <c r="R148" s="261">
        <f>IFERROR(__xludf.DUMMYFUNCTION("""COMPUTED_VALUE"""),365.0)</f>
        <v>365</v>
      </c>
      <c r="S148" s="258">
        <v>395.0</v>
      </c>
      <c r="T148" s="263">
        <v>0.9240506329113924</v>
      </c>
      <c r="U148" s="264">
        <v>99109.0</v>
      </c>
      <c r="V148" s="265">
        <v>159500.0</v>
      </c>
      <c r="W148" s="264">
        <v>99109.0</v>
      </c>
      <c r="X148" s="266" t="str">
        <f>IFERROR(__xludf.DUMMYFUNCTION("""COMPUTED_VALUE"""),"e-Rik")</f>
        <v>e-Rik</v>
      </c>
      <c r="Y148" s="267">
        <v>-0.01</v>
      </c>
      <c r="Z148" s="267">
        <v>0.9327741562597637</v>
      </c>
      <c r="AA148" s="269"/>
      <c r="AB148" s="270"/>
      <c r="AC148" s="270"/>
      <c r="AD148" s="270"/>
      <c r="AE148" s="270"/>
    </row>
    <row r="149">
      <c r="A149" s="256">
        <f>IFERROR(__xludf.DUMMYFUNCTION("""COMPUTED_VALUE"""),42261.759722222225)</f>
        <v>42261.75972</v>
      </c>
      <c r="B149" s="257" t="str">
        <f>IFERROR(__xludf.DUMMYFUNCTION("""COMPUTED_VALUE"""),"Bollar")</f>
        <v>Bollar</v>
      </c>
      <c r="C149" s="258" t="str">
        <f>IFERROR(__xludf.DUMMYFUNCTION("""COMPUTED_VALUE"""),"USA")</f>
        <v>USA</v>
      </c>
      <c r="D149" s="258" t="str">
        <f>IFERROR(__xludf.DUMMYFUNCTION("""COMPUTED_VALUE"""),"mi. My car displays range in miles and I will enter all range numbers in miles.")</f>
        <v>mi. My car displays range in miles and I will enter all range numbers in miles.</v>
      </c>
      <c r="E149" s="259">
        <f>IFERROR(__xludf.DUMMYFUNCTION("""COMPUTED_VALUE"""),41274.0)</f>
        <v>41274</v>
      </c>
      <c r="F149" s="258" t="str">
        <f>IFERROR(__xludf.DUMMYFUNCTION("""COMPUTED_VALUE"""),"Model S P85")</f>
        <v>Model S P85</v>
      </c>
      <c r="G149" s="258" t="str">
        <f>IFERROR(__xludf.DUMMYFUNCTION("""COMPUTED_VALUE"""),"A few times a year")</f>
        <v>A few times a year</v>
      </c>
      <c r="H149" s="258" t="str">
        <f>IFERROR(__xludf.DUMMYFUNCTION("""COMPUTED_VALUE"""),"A few times a year")</f>
        <v>A few times a year</v>
      </c>
      <c r="I149" s="258" t="str">
        <f>IFERROR(__xludf.DUMMYFUNCTION("""COMPUTED_VALUE"""),"A few times a year")</f>
        <v>A few times a year</v>
      </c>
      <c r="J149" s="260">
        <f>IFERROR(__xludf.DUMMYFUNCTION("""COMPUTED_VALUE"""),0.9)</f>
        <v>0.9</v>
      </c>
      <c r="K149" s="258" t="str">
        <f>IFERROR(__xludf.DUMMYFUNCTION("""COMPUTED_VALUE"""),"")</f>
        <v/>
      </c>
      <c r="L149" s="258" t="str">
        <f>IFERROR(__xludf.DUMMYFUNCTION("""COMPUTED_VALUE"""),"")</f>
        <v/>
      </c>
      <c r="M149" s="261">
        <f>IFERROR(__xludf.DUMMYFUNCTION("""COMPUTED_VALUE"""),334.0)</f>
        <v>334</v>
      </c>
      <c r="N149" s="262" t="str">
        <f>IFERROR(__xludf.DUMMYFUNCTION("""COMPUTED_VALUE"""),"")</f>
        <v/>
      </c>
      <c r="O149" s="259" t="str">
        <f>IFERROR(__xludf.DUMMYFUNCTION("""COMPUTED_VALUE"""),"")</f>
        <v/>
      </c>
      <c r="P149" s="259">
        <f>IFERROR(__xludf.DUMMYFUNCTION("""COMPUTED_VALUE"""),42261.0)</f>
        <v>42261</v>
      </c>
      <c r="Q149" s="258">
        <f>IFERROR(__xludf.DUMMYFUNCTION("""COMPUTED_VALUE"""),35700.0)</f>
        <v>35700</v>
      </c>
      <c r="R149" s="261">
        <f>IFERROR(__xludf.DUMMYFUNCTION("""COMPUTED_VALUE"""),256.0)</f>
        <v>256</v>
      </c>
      <c r="S149" s="258">
        <v>266.0</v>
      </c>
      <c r="T149" s="263">
        <v>0.9624060150375939</v>
      </c>
      <c r="U149" s="264">
        <v>35700.0</v>
      </c>
      <c r="V149" s="265">
        <v>57454.0</v>
      </c>
      <c r="W149" s="264">
        <v>35700.0</v>
      </c>
      <c r="X149" s="266" t="str">
        <f>IFERROR(__xludf.DUMMYFUNCTION("""COMPUTED_VALUE"""),"eae")</f>
        <v>eae</v>
      </c>
      <c r="Y149" s="267">
        <v>-0.01</v>
      </c>
      <c r="Z149" s="267">
        <v>0.9573862454313586</v>
      </c>
      <c r="AA149" s="269"/>
      <c r="AB149" s="270"/>
      <c r="AC149" s="270"/>
      <c r="AD149" s="270"/>
      <c r="AE149" s="270"/>
    </row>
    <row r="150">
      <c r="A150" s="256">
        <f>IFERROR(__xludf.DUMMYFUNCTION("""COMPUTED_VALUE"""),42297.200694444444)</f>
        <v>42297.20069</v>
      </c>
      <c r="B150" s="257" t="str">
        <f>IFERROR(__xludf.DUMMYFUNCTION("""COMPUTED_VALUE"""),"Bonkers")</f>
        <v>Bonkers</v>
      </c>
      <c r="C150" s="258" t="str">
        <f>IFERROR(__xludf.DUMMYFUNCTION("""COMPUTED_VALUE"""),"Europe (excluding UK) &amp; Asia Pacific")</f>
        <v>Europe (excluding UK) &amp; Asia Pacific</v>
      </c>
      <c r="D150" s="258" t="str">
        <f>IFERROR(__xludf.DUMMYFUNCTION("""COMPUTED_VALUE"""),"km. My car displays range in kilometres and I will enter all range numbers in kilometres.")</f>
        <v>km. My car displays range in kilometres and I will enter all range numbers in kilometres.</v>
      </c>
      <c r="E150" s="259">
        <f>IFERROR(__xludf.DUMMYFUNCTION("""COMPUTED_VALUE"""),41579.0)</f>
        <v>41579</v>
      </c>
      <c r="F150" s="258" t="str">
        <f>IFERROR(__xludf.DUMMYFUNCTION("""COMPUTED_VALUE"""),"Model S 85")</f>
        <v>Model S 85</v>
      </c>
      <c r="G150" s="258" t="str">
        <f>IFERROR(__xludf.DUMMYFUNCTION("""COMPUTED_VALUE"""),"Monthly")</f>
        <v>Monthly</v>
      </c>
      <c r="H150" s="258" t="str">
        <f>IFERROR(__xludf.DUMMYFUNCTION("""COMPUTED_VALUE"""),"A few times a year")</f>
        <v>A few times a year</v>
      </c>
      <c r="I150" s="258" t="str">
        <f>IFERROR(__xludf.DUMMYFUNCTION("""COMPUTED_VALUE"""),"Once or twice a year")</f>
        <v>Once or twice a year</v>
      </c>
      <c r="J150" s="260">
        <f>IFERROR(__xludf.DUMMYFUNCTION("""COMPUTED_VALUE"""),0.8)</f>
        <v>0.8</v>
      </c>
      <c r="K150" s="258">
        <f>IFERROR(__xludf.DUMMYFUNCTION("""COMPUTED_VALUE"""),398.0)</f>
        <v>398</v>
      </c>
      <c r="L150" s="258" t="str">
        <f>IFERROR(__xludf.DUMMYFUNCTION("""COMPUTED_VALUE"""),"")</f>
        <v/>
      </c>
      <c r="M150" s="261">
        <f>IFERROR(__xludf.DUMMYFUNCTION("""COMPUTED_VALUE"""),211.0)</f>
        <v>211</v>
      </c>
      <c r="N150" s="262" t="str">
        <f>IFERROR(__xludf.DUMMYFUNCTION("""COMPUTED_VALUE"""),"")</f>
        <v/>
      </c>
      <c r="O150" s="259" t="str">
        <f>IFERROR(__xludf.DUMMYFUNCTION("""COMPUTED_VALUE"""),"")</f>
        <v/>
      </c>
      <c r="P150" s="259">
        <f>IFERROR(__xludf.DUMMYFUNCTION("""COMPUTED_VALUE"""),42297.0)</f>
        <v>42297</v>
      </c>
      <c r="Q150" s="258">
        <f>IFERROR(__xludf.DUMMYFUNCTION("""COMPUTED_VALUE"""),53000.0)</f>
        <v>53000</v>
      </c>
      <c r="R150" s="261">
        <f>IFERROR(__xludf.DUMMYFUNCTION("""COMPUTED_VALUE"""),366.0)</f>
        <v>366</v>
      </c>
      <c r="S150" s="258">
        <v>395.0</v>
      </c>
      <c r="T150" s="263">
        <v>0.9265822784810127</v>
      </c>
      <c r="U150" s="264">
        <v>32933.0</v>
      </c>
      <c r="V150" s="265">
        <v>53000.0</v>
      </c>
      <c r="W150" s="264">
        <v>32933.0</v>
      </c>
      <c r="X150" s="266" t="str">
        <f>IFERROR(__xludf.DUMMYFUNCTION("""COMPUTED_VALUE"""),"easygysi")</f>
        <v>easygysi</v>
      </c>
      <c r="Y150" s="267">
        <v>-0.01</v>
      </c>
      <c r="Z150" s="267">
        <v>0.9587322767709523</v>
      </c>
      <c r="AA150" s="269"/>
      <c r="AB150" s="270"/>
      <c r="AC150" s="270"/>
      <c r="AD150" s="270"/>
      <c r="AE150" s="270"/>
    </row>
    <row r="151">
      <c r="A151" s="256">
        <f>IFERROR(__xludf.DUMMYFUNCTION("""COMPUTED_VALUE"""),42283.19375)</f>
        <v>42283.19375</v>
      </c>
      <c r="B151" s="257" t="str">
        <f>IFERROR(__xludf.DUMMYFUNCTION("""COMPUTED_VALUE"""),"Boost")</f>
        <v>Boost</v>
      </c>
      <c r="C151" s="258" t="str">
        <f>IFERROR(__xludf.DUMMYFUNCTION("""COMPUTED_VALUE"""),"Europe (excluding UK) &amp; Asia Pacific")</f>
        <v>Europe (excluding UK) &amp; Asia Pacific</v>
      </c>
      <c r="D151" s="258" t="str">
        <f>IFERROR(__xludf.DUMMYFUNCTION("""COMPUTED_VALUE"""),"km. My car displays range in kilometres and I will enter all range numbers in kilometres.")</f>
        <v>km. My car displays range in kilometres and I will enter all range numbers in kilometres.</v>
      </c>
      <c r="E151" s="259">
        <f>IFERROR(__xludf.DUMMYFUNCTION("""COMPUTED_VALUE"""),41614.0)</f>
        <v>41614</v>
      </c>
      <c r="F151" s="258" t="str">
        <f>IFERROR(__xludf.DUMMYFUNCTION("""COMPUTED_VALUE"""),"Model S P85")</f>
        <v>Model S P85</v>
      </c>
      <c r="G151" s="258" t="str">
        <f>IFERROR(__xludf.DUMMYFUNCTION("""COMPUTED_VALUE"""),"Weekly")</f>
        <v>Weekly</v>
      </c>
      <c r="H151" s="258" t="str">
        <f>IFERROR(__xludf.DUMMYFUNCTION("""COMPUTED_VALUE"""),"A few times a year")</f>
        <v>A few times a year</v>
      </c>
      <c r="I151" s="258" t="str">
        <f>IFERROR(__xludf.DUMMYFUNCTION("""COMPUTED_VALUE"""),"A few times a year")</f>
        <v>A few times a year</v>
      </c>
      <c r="J151" s="260">
        <f>IFERROR(__xludf.DUMMYFUNCTION("""COMPUTED_VALUE"""),0.9)</f>
        <v>0.9</v>
      </c>
      <c r="K151" s="258">
        <f>IFERROR(__xludf.DUMMYFUNCTION("""COMPUTED_VALUE"""),402.0)</f>
        <v>402</v>
      </c>
      <c r="L151" s="258" t="str">
        <f>IFERROR(__xludf.DUMMYFUNCTION("""COMPUTED_VALUE"""),"")</f>
        <v/>
      </c>
      <c r="M151" s="261">
        <f>IFERROR(__xludf.DUMMYFUNCTION("""COMPUTED_VALUE"""),200.0)</f>
        <v>200</v>
      </c>
      <c r="N151" s="262" t="str">
        <f>IFERROR(__xludf.DUMMYFUNCTION("""COMPUTED_VALUE"""),"")</f>
        <v/>
      </c>
      <c r="O151" s="259" t="str">
        <f>IFERROR(__xludf.DUMMYFUNCTION("""COMPUTED_VALUE"""),"")</f>
        <v/>
      </c>
      <c r="P151" s="259">
        <f>IFERROR(__xludf.DUMMYFUNCTION("""COMPUTED_VALUE"""),42283.0)</f>
        <v>42283</v>
      </c>
      <c r="Q151" s="258">
        <f>IFERROR(__xludf.DUMMYFUNCTION("""COMPUTED_VALUE"""),67023.0)</f>
        <v>67023</v>
      </c>
      <c r="R151" s="261">
        <f>IFERROR(__xludf.DUMMYFUNCTION("""COMPUTED_VALUE"""),374.0)</f>
        <v>374</v>
      </c>
      <c r="S151" s="258">
        <v>395.0</v>
      </c>
      <c r="T151" s="263">
        <v>0.9468354430379747</v>
      </c>
      <c r="U151" s="264">
        <v>41646.0</v>
      </c>
      <c r="V151" s="265">
        <v>67023.0</v>
      </c>
      <c r="W151" s="264">
        <v>41646.0</v>
      </c>
      <c r="X151" s="266" t="str">
        <f>IFERROR(__xludf.DUMMYFUNCTION("""COMPUTED_VALUE"""),"ebullio")</f>
        <v>ebullio</v>
      </c>
      <c r="Y151" s="267">
        <v>-0.01</v>
      </c>
      <c r="Z151" s="267">
        <v>0.9547190609006911</v>
      </c>
      <c r="AA151" s="269"/>
      <c r="AB151" s="270"/>
      <c r="AC151" s="270"/>
      <c r="AD151" s="270"/>
      <c r="AE151" s="270"/>
    </row>
    <row r="152">
      <c r="A152" s="256">
        <f>IFERROR(__xludf.DUMMYFUNCTION("""COMPUTED_VALUE"""),42307.21736111111)</f>
        <v>42307.21736</v>
      </c>
      <c r="B152" s="257" t="str">
        <f>IFERROR(__xludf.DUMMYFUNCTION("""COMPUTED_VALUE"""),"Boost")</f>
        <v>Boost</v>
      </c>
      <c r="C152" s="258" t="str">
        <f>IFERROR(__xludf.DUMMYFUNCTION("""COMPUTED_VALUE"""),"Europe (excluding UK) &amp; Asia Pacific")</f>
        <v>Europe (excluding UK) &amp; Asia Pacific</v>
      </c>
      <c r="D152" s="258" t="str">
        <f>IFERROR(__xludf.DUMMYFUNCTION("""COMPUTED_VALUE"""),"km. My car displays range in kilometres and I will enter all range numbers in kilometres.")</f>
        <v>km. My car displays range in kilometres and I will enter all range numbers in kilometres.</v>
      </c>
      <c r="E152" s="259">
        <f>IFERROR(__xludf.DUMMYFUNCTION("""COMPUTED_VALUE"""),41614.0)</f>
        <v>41614</v>
      </c>
      <c r="F152" s="258" t="str">
        <f>IFERROR(__xludf.DUMMYFUNCTION("""COMPUTED_VALUE"""),"Model S P85")</f>
        <v>Model S P85</v>
      </c>
      <c r="G152" s="258" t="str">
        <f>IFERROR(__xludf.DUMMYFUNCTION("""COMPUTED_VALUE"""),"Twice a month")</f>
        <v>Twice a month</v>
      </c>
      <c r="H152" s="258" t="str">
        <f>IFERROR(__xludf.DUMMYFUNCTION("""COMPUTED_VALUE"""),"A few times a year")</f>
        <v>A few times a year</v>
      </c>
      <c r="I152" s="258" t="str">
        <f>IFERROR(__xludf.DUMMYFUNCTION("""COMPUTED_VALUE"""),"A few times a year")</f>
        <v>A few times a year</v>
      </c>
      <c r="J152" s="260">
        <f>IFERROR(__xludf.DUMMYFUNCTION("""COMPUTED_VALUE"""),0.9)</f>
        <v>0.9</v>
      </c>
      <c r="K152" s="258">
        <f>IFERROR(__xludf.DUMMYFUNCTION("""COMPUTED_VALUE"""),402.0)</f>
        <v>402</v>
      </c>
      <c r="L152" s="258" t="str">
        <f>IFERROR(__xludf.DUMMYFUNCTION("""COMPUTED_VALUE"""),"")</f>
        <v/>
      </c>
      <c r="M152" s="261">
        <f>IFERROR(__xludf.DUMMYFUNCTION("""COMPUTED_VALUE"""),200.0)</f>
        <v>200</v>
      </c>
      <c r="N152" s="262" t="str">
        <f>IFERROR(__xludf.DUMMYFUNCTION("""COMPUTED_VALUE"""),"")</f>
        <v/>
      </c>
      <c r="O152" s="259" t="str">
        <f>IFERROR(__xludf.DUMMYFUNCTION("""COMPUTED_VALUE"""),"")</f>
        <v/>
      </c>
      <c r="P152" s="259">
        <f>IFERROR(__xludf.DUMMYFUNCTION("""COMPUTED_VALUE"""),42307.0)</f>
        <v>42307</v>
      </c>
      <c r="Q152" s="258">
        <f>IFERROR(__xludf.DUMMYFUNCTION("""COMPUTED_VALUE"""),69300.0)</f>
        <v>69300</v>
      </c>
      <c r="R152" s="261">
        <f>IFERROR(__xludf.DUMMYFUNCTION("""COMPUTED_VALUE"""),371.0)</f>
        <v>371</v>
      </c>
      <c r="S152" s="258">
        <v>395.0</v>
      </c>
      <c r="T152" s="263">
        <v>0.9392405063291139</v>
      </c>
      <c r="U152" s="264">
        <v>43061.0</v>
      </c>
      <c r="V152" s="265">
        <v>69300.0</v>
      </c>
      <c r="W152" s="264">
        <v>43061.0</v>
      </c>
      <c r="X152" s="266" t="str">
        <f>IFERROR(__xludf.DUMMYFUNCTION("""COMPUTED_VALUE"""),"eddyf0032")</f>
        <v>eddyf0032</v>
      </c>
      <c r="Y152" s="267">
        <v>-0.01</v>
      </c>
      <c r="Z152" s="267">
        <v>0.9541172214168161</v>
      </c>
      <c r="AA152" s="269"/>
      <c r="AB152" s="270"/>
      <c r="AC152" s="270"/>
      <c r="AD152" s="270"/>
      <c r="AE152" s="270"/>
    </row>
    <row r="153">
      <c r="A153" s="256">
        <f>IFERROR(__xludf.DUMMYFUNCTION("""COMPUTED_VALUE"""),41900.00138888889)</f>
        <v>41900.00139</v>
      </c>
      <c r="B153" s="257" t="str">
        <f>IFERROR(__xludf.DUMMYFUNCTION("""COMPUTED_VALUE"""),"bpsmits")</f>
        <v>bpsmits</v>
      </c>
      <c r="C153" s="258" t="str">
        <f>IFERROR(__xludf.DUMMYFUNCTION("""COMPUTED_VALUE"""),"Europe (excluding UK) &amp; Asia Pacific")</f>
        <v>Europe (excluding UK) &amp; Asia Pacific</v>
      </c>
      <c r="D153" s="258" t="str">
        <f>IFERROR(__xludf.DUMMYFUNCTION("""COMPUTED_VALUE"""),"km. My car displays range in kilometres and I will enter all range numbers in kilometres.")</f>
        <v>km. My car displays range in kilometres and I will enter all range numbers in kilometres.</v>
      </c>
      <c r="E153" s="259">
        <f>IFERROR(__xludf.DUMMYFUNCTION("""COMPUTED_VALUE"""),41598.0)</f>
        <v>41598</v>
      </c>
      <c r="F153" s="258" t="str">
        <f>IFERROR(__xludf.DUMMYFUNCTION("""COMPUTED_VALUE"""),"Model S 85")</f>
        <v>Model S 85</v>
      </c>
      <c r="G153" s="258" t="str">
        <f>IFERROR(__xludf.DUMMYFUNCTION("""COMPUTED_VALUE"""),"Twice a month")</f>
        <v>Twice a month</v>
      </c>
      <c r="H153" s="258" t="str">
        <f>IFERROR(__xludf.DUMMYFUNCTION("""COMPUTED_VALUE"""),"Weekly")</f>
        <v>Weekly</v>
      </c>
      <c r="I153" s="258" t="str">
        <f>IFERROR(__xludf.DUMMYFUNCTION("""COMPUTED_VALUE"""),"Once or twice a year")</f>
        <v>Once or twice a year</v>
      </c>
      <c r="J153" s="260">
        <f>IFERROR(__xludf.DUMMYFUNCTION("""COMPUTED_VALUE"""),0.8)</f>
        <v>0.8</v>
      </c>
      <c r="K153" s="258" t="str">
        <f>IFERROR(__xludf.DUMMYFUNCTION("""COMPUTED_VALUE"""),"")</f>
        <v/>
      </c>
      <c r="L153" s="258" t="str">
        <f>IFERROR(__xludf.DUMMYFUNCTION("""COMPUTED_VALUE"""),"")</f>
        <v/>
      </c>
      <c r="M153" s="261">
        <f>IFERROR(__xludf.DUMMYFUNCTION("""COMPUTED_VALUE"""),212.0)</f>
        <v>212</v>
      </c>
      <c r="N153" s="262" t="str">
        <f>IFERROR(__xludf.DUMMYFUNCTION("""COMPUTED_VALUE"""),"")</f>
        <v/>
      </c>
      <c r="O153" s="259" t="str">
        <f>IFERROR(__xludf.DUMMYFUNCTION("""COMPUTED_VALUE"""),"")</f>
        <v/>
      </c>
      <c r="P153" s="259">
        <f>IFERROR(__xludf.DUMMYFUNCTION("""COMPUTED_VALUE"""),41900.0)</f>
        <v>41900</v>
      </c>
      <c r="Q153" s="258">
        <f>IFERROR(__xludf.DUMMYFUNCTION("""COMPUTED_VALUE"""),33366.0)</f>
        <v>33366</v>
      </c>
      <c r="R153" s="261">
        <f>IFERROR(__xludf.DUMMYFUNCTION("""COMPUTED_VALUE"""),393.0)</f>
        <v>393</v>
      </c>
      <c r="S153" s="258">
        <v>395.0</v>
      </c>
      <c r="T153" s="263">
        <v>0.9949367088607595</v>
      </c>
      <c r="U153" s="264">
        <v>20733.0</v>
      </c>
      <c r="V153" s="265">
        <v>33366.0</v>
      </c>
      <c r="W153" s="264">
        <v>20733.0</v>
      </c>
      <c r="X153" s="266" t="str">
        <f>IFERROR(__xludf.DUMMYFUNCTION("""COMPUTED_VALUE"""),"eddyf0032 - s85")</f>
        <v>eddyf0032 - s85</v>
      </c>
      <c r="Y153" s="267">
        <v>-0.01</v>
      </c>
      <c r="Z153" s="267">
        <v>0.9662386573502173</v>
      </c>
      <c r="AA153" s="269"/>
      <c r="AB153" s="270"/>
      <c r="AC153" s="270"/>
      <c r="AD153" s="270"/>
      <c r="AE153" s="270"/>
    </row>
    <row r="154">
      <c r="A154" s="256">
        <f>IFERROR(__xludf.DUMMYFUNCTION("""COMPUTED_VALUE"""),42167.138194444444)</f>
        <v>42167.13819</v>
      </c>
      <c r="B154" s="257" t="str">
        <f>IFERROR(__xludf.DUMMYFUNCTION("""COMPUTED_VALUE"""),"bpsmits")</f>
        <v>bpsmits</v>
      </c>
      <c r="C154" s="258" t="str">
        <f>IFERROR(__xludf.DUMMYFUNCTION("""COMPUTED_VALUE"""),"Europe (excluding UK) &amp; Asia Pacific")</f>
        <v>Europe (excluding UK) &amp; Asia Pacific</v>
      </c>
      <c r="D154" s="258" t="str">
        <f>IFERROR(__xludf.DUMMYFUNCTION("""COMPUTED_VALUE"""),"km. My car displays range in kilometres and I will enter all range numbers in kilometres.")</f>
        <v>km. My car displays range in kilometres and I will enter all range numbers in kilometres.</v>
      </c>
      <c r="E154" s="259">
        <f>IFERROR(__xludf.DUMMYFUNCTION("""COMPUTED_VALUE"""),41597.0)</f>
        <v>41597</v>
      </c>
      <c r="F154" s="258" t="str">
        <f>IFERROR(__xludf.DUMMYFUNCTION("""COMPUTED_VALUE"""),"Model S 85")</f>
        <v>Model S 85</v>
      </c>
      <c r="G154" s="258" t="str">
        <f>IFERROR(__xludf.DUMMYFUNCTION("""COMPUTED_VALUE"""),"Twice a month")</f>
        <v>Twice a month</v>
      </c>
      <c r="H154" s="258" t="str">
        <f>IFERROR(__xludf.DUMMYFUNCTION("""COMPUTED_VALUE"""),"Weekly")</f>
        <v>Weekly</v>
      </c>
      <c r="I154" s="258" t="str">
        <f>IFERROR(__xludf.DUMMYFUNCTION("""COMPUTED_VALUE"""),"Once or twice a year")</f>
        <v>Once or twice a year</v>
      </c>
      <c r="J154" s="260">
        <f>IFERROR(__xludf.DUMMYFUNCTION("""COMPUTED_VALUE"""),0.8)</f>
        <v>0.8</v>
      </c>
      <c r="K154" s="258" t="str">
        <f>IFERROR(__xludf.DUMMYFUNCTION("""COMPUTED_VALUE"""),"")</f>
        <v/>
      </c>
      <c r="L154" s="258" t="str">
        <f>IFERROR(__xludf.DUMMYFUNCTION("""COMPUTED_VALUE"""),"")</f>
        <v/>
      </c>
      <c r="M154" s="261">
        <f>IFERROR(__xludf.DUMMYFUNCTION("""COMPUTED_VALUE"""),217.0)</f>
        <v>217</v>
      </c>
      <c r="N154" s="262" t="str">
        <f>IFERROR(__xludf.DUMMYFUNCTION("""COMPUTED_VALUE"""),"")</f>
        <v/>
      </c>
      <c r="O154" s="259" t="str">
        <f>IFERROR(__xludf.DUMMYFUNCTION("""COMPUTED_VALUE"""),"")</f>
        <v/>
      </c>
      <c r="P154" s="259">
        <f>IFERROR(__xludf.DUMMYFUNCTION("""COMPUTED_VALUE"""),42167.0)</f>
        <v>42167</v>
      </c>
      <c r="Q154" s="258">
        <f>IFERROR(__xludf.DUMMYFUNCTION("""COMPUTED_VALUE"""),60000.0)</f>
        <v>60000</v>
      </c>
      <c r="R154" s="261">
        <f>IFERROR(__xludf.DUMMYFUNCTION("""COMPUTED_VALUE"""),388.0)</f>
        <v>388</v>
      </c>
      <c r="S154" s="258">
        <v>395.0</v>
      </c>
      <c r="T154" s="263">
        <v>0.9822784810126582</v>
      </c>
      <c r="U154" s="264">
        <v>37282.0</v>
      </c>
      <c r="V154" s="265">
        <v>60000.0</v>
      </c>
      <c r="W154" s="264">
        <v>37282.0</v>
      </c>
      <c r="X154" s="266" t="str">
        <f>IFERROR(__xludf.DUMMYFUNCTION("""COMPUTED_VALUE"""),"Edi99")</f>
        <v>Edi99</v>
      </c>
      <c r="Y154" s="267">
        <v>-0.01</v>
      </c>
      <c r="Z154" s="267">
        <v>0.9566506501201559</v>
      </c>
      <c r="AA154" s="269"/>
      <c r="AB154" s="270"/>
      <c r="AC154" s="270"/>
      <c r="AD154" s="270"/>
      <c r="AE154" s="270"/>
    </row>
    <row r="155">
      <c r="A155" s="256">
        <f>IFERROR(__xludf.DUMMYFUNCTION("""COMPUTED_VALUE"""),42591.37569444445)</f>
        <v>42591.37569</v>
      </c>
      <c r="B155" s="257" t="str">
        <f>IFERROR(__xludf.DUMMYFUNCTION("""COMPUTED_VALUE"""),"bpsmits")</f>
        <v>bpsmits</v>
      </c>
      <c r="C155" s="258" t="str">
        <f>IFERROR(__xludf.DUMMYFUNCTION("""COMPUTED_VALUE"""),"Europe (excluding UK) &amp; Asia Pacific")</f>
        <v>Europe (excluding UK) &amp; Asia Pacific</v>
      </c>
      <c r="D155" s="258" t="str">
        <f>IFERROR(__xludf.DUMMYFUNCTION("""COMPUTED_VALUE"""),"km. My car displays range in kilometres and I will enter all range numbers in kilometres.")</f>
        <v>km. My car displays range in kilometres and I will enter all range numbers in kilometres.</v>
      </c>
      <c r="E155" s="259">
        <f>IFERROR(__xludf.DUMMYFUNCTION("""COMPUTED_VALUE"""),41598.0)</f>
        <v>41598</v>
      </c>
      <c r="F155" s="258" t="str">
        <f>IFERROR(__xludf.DUMMYFUNCTION("""COMPUTED_VALUE"""),"Model S 85")</f>
        <v>Model S 85</v>
      </c>
      <c r="G155" s="258" t="str">
        <f>IFERROR(__xludf.DUMMYFUNCTION("""COMPUTED_VALUE"""),"Twice a month")</f>
        <v>Twice a month</v>
      </c>
      <c r="H155" s="258" t="str">
        <f>IFERROR(__xludf.DUMMYFUNCTION("""COMPUTED_VALUE"""),"Weekly")</f>
        <v>Weekly</v>
      </c>
      <c r="I155" s="258" t="str">
        <f>IFERROR(__xludf.DUMMYFUNCTION("""COMPUTED_VALUE"""),"Once or twice a year")</f>
        <v>Once or twice a year</v>
      </c>
      <c r="J155" s="260">
        <f>IFERROR(__xludf.DUMMYFUNCTION("""COMPUTED_VALUE"""),0.8)</f>
        <v>0.8</v>
      </c>
      <c r="K155" s="258" t="str">
        <f>IFERROR(__xludf.DUMMYFUNCTION("""COMPUTED_VALUE"""),"")</f>
        <v/>
      </c>
      <c r="L155" s="258" t="str">
        <f>IFERROR(__xludf.DUMMYFUNCTION("""COMPUTED_VALUE"""),"")</f>
        <v/>
      </c>
      <c r="M155" s="261">
        <f>IFERROR(__xludf.DUMMYFUNCTION("""COMPUTED_VALUE"""),218.0)</f>
        <v>218</v>
      </c>
      <c r="N155" s="262" t="str">
        <f>IFERROR(__xludf.DUMMYFUNCTION("""COMPUTED_VALUE"""),"")</f>
        <v/>
      </c>
      <c r="O155" s="259" t="str">
        <f>IFERROR(__xludf.DUMMYFUNCTION("""COMPUTED_VALUE"""),"")</f>
        <v/>
      </c>
      <c r="P155" s="259">
        <f>IFERROR(__xludf.DUMMYFUNCTION("""COMPUTED_VALUE"""),42591.0)</f>
        <v>42591</v>
      </c>
      <c r="Q155" s="258">
        <f>IFERROR(__xludf.DUMMYFUNCTION("""COMPUTED_VALUE"""),104000.0)</f>
        <v>104000</v>
      </c>
      <c r="R155" s="261">
        <f>IFERROR(__xludf.DUMMYFUNCTION("""COMPUTED_VALUE"""),373.0)</f>
        <v>373</v>
      </c>
      <c r="S155" s="258">
        <v>395.0</v>
      </c>
      <c r="T155" s="263">
        <v>0.9443037974683545</v>
      </c>
      <c r="U155" s="264">
        <v>64623.0</v>
      </c>
      <c r="V155" s="265">
        <v>104000.0</v>
      </c>
      <c r="W155" s="264">
        <v>64623.0</v>
      </c>
      <c r="X155" s="266" t="str">
        <f>IFERROR(__xludf.DUMMYFUNCTION("""COMPUTED_VALUE"""),"EdvanS")</f>
        <v>EdvanS</v>
      </c>
      <c r="Y155" s="267">
        <v>-0.01</v>
      </c>
      <c r="Z155" s="267">
        <v>0.9456442323162976</v>
      </c>
      <c r="AA155" s="269"/>
      <c r="AB155" s="270"/>
      <c r="AC155" s="270"/>
      <c r="AD155" s="270"/>
      <c r="AE155" s="270"/>
    </row>
    <row r="156">
      <c r="A156" s="256">
        <f>IFERROR(__xludf.DUMMYFUNCTION("""COMPUTED_VALUE"""),42970.58472222222)</f>
        <v>42970.58472</v>
      </c>
      <c r="B156" s="257" t="str">
        <f>IFERROR(__xludf.DUMMYFUNCTION("""COMPUTED_VALUE"""),"bpsmits")</f>
        <v>bpsmits</v>
      </c>
      <c r="C156" s="258" t="str">
        <f>IFERROR(__xludf.DUMMYFUNCTION("""COMPUTED_VALUE"""),"Europe (excluding UK) &amp; Asia Pacific")</f>
        <v>Europe (excluding UK) &amp; Asia Pacific</v>
      </c>
      <c r="D156" s="258" t="str">
        <f>IFERROR(__xludf.DUMMYFUNCTION("""COMPUTED_VALUE"""),"km. My car displays range in kilometres and I will enter all range numbers in kilometres.")</f>
        <v>km. My car displays range in kilometres and I will enter all range numbers in kilometres.</v>
      </c>
      <c r="E156" s="259">
        <f>IFERROR(__xludf.DUMMYFUNCTION("""COMPUTED_VALUE"""),41598.0)</f>
        <v>41598</v>
      </c>
      <c r="F156" s="258" t="str">
        <f>IFERROR(__xludf.DUMMYFUNCTION("""COMPUTED_VALUE"""),"Model S 85")</f>
        <v>Model S 85</v>
      </c>
      <c r="G156" s="258" t="str">
        <f>IFERROR(__xludf.DUMMYFUNCTION("""COMPUTED_VALUE"""),"Twice a month")</f>
        <v>Twice a month</v>
      </c>
      <c r="H156" s="258" t="str">
        <f>IFERROR(__xludf.DUMMYFUNCTION("""COMPUTED_VALUE"""),"Weekly")</f>
        <v>Weekly</v>
      </c>
      <c r="I156" s="258" t="str">
        <f>IFERROR(__xludf.DUMMYFUNCTION("""COMPUTED_VALUE"""),"Once or twice a year")</f>
        <v>Once or twice a year</v>
      </c>
      <c r="J156" s="260">
        <f>IFERROR(__xludf.DUMMYFUNCTION("""COMPUTED_VALUE"""),0.8)</f>
        <v>0.8</v>
      </c>
      <c r="K156" s="258" t="str">
        <f>IFERROR(__xludf.DUMMYFUNCTION("""COMPUTED_VALUE"""),"")</f>
        <v/>
      </c>
      <c r="L156" s="258" t="str">
        <f>IFERROR(__xludf.DUMMYFUNCTION("""COMPUTED_VALUE"""),"")</f>
        <v/>
      </c>
      <c r="M156" s="261">
        <f>IFERROR(__xludf.DUMMYFUNCTION("""COMPUTED_VALUE"""),217.0)</f>
        <v>217</v>
      </c>
      <c r="N156" s="262" t="str">
        <f>IFERROR(__xludf.DUMMYFUNCTION("""COMPUTED_VALUE"""),"")</f>
        <v/>
      </c>
      <c r="O156" s="259" t="str">
        <f>IFERROR(__xludf.DUMMYFUNCTION("""COMPUTED_VALUE"""),"")</f>
        <v/>
      </c>
      <c r="P156" s="259">
        <f>IFERROR(__xludf.DUMMYFUNCTION("""COMPUTED_VALUE"""),42970.0)</f>
        <v>42970</v>
      </c>
      <c r="Q156" s="258">
        <f>IFERROR(__xludf.DUMMYFUNCTION("""COMPUTED_VALUE"""),134709.0)</f>
        <v>134709</v>
      </c>
      <c r="R156" s="261">
        <f>IFERROR(__xludf.DUMMYFUNCTION("""COMPUTED_VALUE"""),377.0)</f>
        <v>377</v>
      </c>
      <c r="S156" s="258">
        <v>395.0</v>
      </c>
      <c r="T156" s="263">
        <v>0.9544303797468354</v>
      </c>
      <c r="U156" s="264">
        <v>83704.0</v>
      </c>
      <c r="V156" s="265">
        <v>134709.0</v>
      </c>
      <c r="W156" s="264">
        <v>83704.0</v>
      </c>
      <c r="X156" s="266" t="str">
        <f>IFERROR(__xludf.DUMMYFUNCTION("""COMPUTED_VALUE"""),"Eelcodb")</f>
        <v>Eelcodb</v>
      </c>
      <c r="Y156" s="267">
        <v>-0.01</v>
      </c>
      <c r="Z156" s="267">
        <v>0.9385013486221341</v>
      </c>
      <c r="AA156" s="269"/>
      <c r="AB156" s="270"/>
      <c r="AC156" s="270"/>
      <c r="AD156" s="270"/>
      <c r="AE156" s="270"/>
    </row>
    <row r="157">
      <c r="A157" s="256">
        <f>IFERROR(__xludf.DUMMYFUNCTION("""COMPUTED_VALUE"""),41969.04166666667)</f>
        <v>41969.04167</v>
      </c>
      <c r="B157" s="257" t="str">
        <f>IFERROR(__xludf.DUMMYFUNCTION("""COMPUTED_VALUE"""),"Bram")</f>
        <v>Bram</v>
      </c>
      <c r="C157" s="258" t="str">
        <f>IFERROR(__xludf.DUMMYFUNCTION("""COMPUTED_VALUE"""),"Europe (excluding UK) &amp; Asia Pacific")</f>
        <v>Europe (excluding UK) &amp; Asia Pacific</v>
      </c>
      <c r="D157" s="258" t="str">
        <f>IFERROR(__xludf.DUMMYFUNCTION("""COMPUTED_VALUE"""),"km. My car displays range in kilometres and I will enter all range numbers in kilometres.")</f>
        <v>km. My car displays range in kilometres and I will enter all range numbers in kilometres.</v>
      </c>
      <c r="E157" s="259">
        <f>IFERROR(__xludf.DUMMYFUNCTION("""COMPUTED_VALUE"""),41784.0)</f>
        <v>41784</v>
      </c>
      <c r="F157" s="258" t="str">
        <f>IFERROR(__xludf.DUMMYFUNCTION("""COMPUTED_VALUE"""),"Model S 85")</f>
        <v>Model S 85</v>
      </c>
      <c r="G157" s="258" t="str">
        <f>IFERROR(__xludf.DUMMYFUNCTION("""COMPUTED_VALUE"""),"Weekly")</f>
        <v>Weekly</v>
      </c>
      <c r="H157" s="258" t="str">
        <f>IFERROR(__xludf.DUMMYFUNCTION("""COMPUTED_VALUE"""),"A few times a year")</f>
        <v>A few times a year</v>
      </c>
      <c r="I157" s="258" t="str">
        <f>IFERROR(__xludf.DUMMYFUNCTION("""COMPUTED_VALUE"""),"Never")</f>
        <v>Never</v>
      </c>
      <c r="J157" s="260" t="str">
        <f>IFERROR(__xludf.DUMMYFUNCTION("""COMPUTED_VALUE"""),"")</f>
        <v/>
      </c>
      <c r="K157" s="258" t="str">
        <f>IFERROR(__xludf.DUMMYFUNCTION("""COMPUTED_VALUE"""),"")</f>
        <v/>
      </c>
      <c r="L157" s="258" t="str">
        <f>IFERROR(__xludf.DUMMYFUNCTION("""COMPUTED_VALUE"""),"")</f>
        <v/>
      </c>
      <c r="M157" s="261">
        <f>IFERROR(__xludf.DUMMYFUNCTION("""COMPUTED_VALUE"""),205.0)</f>
        <v>205</v>
      </c>
      <c r="N157" s="262" t="str">
        <f>IFERROR(__xludf.DUMMYFUNCTION("""COMPUTED_VALUE"""),"")</f>
        <v/>
      </c>
      <c r="O157" s="259" t="str">
        <f>IFERROR(__xludf.DUMMYFUNCTION("""COMPUTED_VALUE"""),"")</f>
        <v/>
      </c>
      <c r="P157" s="259">
        <f>IFERROR(__xludf.DUMMYFUNCTION("""COMPUTED_VALUE"""),41969.0)</f>
        <v>41969</v>
      </c>
      <c r="Q157" s="258">
        <f>IFERROR(__xludf.DUMMYFUNCTION("""COMPUTED_VALUE"""),14000.0)</f>
        <v>14000</v>
      </c>
      <c r="R157" s="261">
        <f>IFERROR(__xludf.DUMMYFUNCTION("""COMPUTED_VALUE"""),391.0)</f>
        <v>391</v>
      </c>
      <c r="S157" s="258">
        <v>395.0</v>
      </c>
      <c r="T157" s="263">
        <v>0.9898734177215189</v>
      </c>
      <c r="U157" s="264">
        <v>8699.0</v>
      </c>
      <c r="V157" s="265">
        <v>14000.0</v>
      </c>
      <c r="W157" s="264">
        <v>8699.0</v>
      </c>
      <c r="X157" s="266" t="str">
        <f>IFERROR(__xludf.DUMMYFUNCTION("""COMPUTED_VALUE"""),"efusco")</f>
        <v>efusco</v>
      </c>
      <c r="Y157" s="267">
        <v>-0.01</v>
      </c>
      <c r="Z157" s="267">
        <v>0.9798187104354721</v>
      </c>
      <c r="AA157" s="269"/>
      <c r="AB157" s="270"/>
      <c r="AC157" s="270"/>
      <c r="AD157" s="270"/>
      <c r="AE157" s="270"/>
    </row>
    <row r="158">
      <c r="A158" s="256">
        <f>IFERROR(__xludf.DUMMYFUNCTION("""COMPUTED_VALUE"""),41996.04652777778)</f>
        <v>41996.04653</v>
      </c>
      <c r="B158" s="257" t="str">
        <f>IFERROR(__xludf.DUMMYFUNCTION("""COMPUTED_VALUE"""),"brderyck")</f>
        <v>brderyck</v>
      </c>
      <c r="C158" s="258" t="str">
        <f>IFERROR(__xludf.DUMMYFUNCTION("""COMPUTED_VALUE"""),"Europe (excluding UK) &amp; Asia Pacific")</f>
        <v>Europe (excluding UK) &amp; Asia Pacific</v>
      </c>
      <c r="D158" s="258" t="str">
        <f>IFERROR(__xludf.DUMMYFUNCTION("""COMPUTED_VALUE"""),"km. My car displays range in kilometres and I will enter all range numbers in kilometres.")</f>
        <v>km. My car displays range in kilometres and I will enter all range numbers in kilometres.</v>
      </c>
      <c r="E158" s="259">
        <f>IFERROR(__xludf.DUMMYFUNCTION("""COMPUTED_VALUE"""),41986.0)</f>
        <v>41986</v>
      </c>
      <c r="F158" s="258" t="str">
        <f>IFERROR(__xludf.DUMMYFUNCTION("""COMPUTED_VALUE"""),"Model S 85")</f>
        <v>Model S 85</v>
      </c>
      <c r="G158" s="258" t="str">
        <f>IFERROR(__xludf.DUMMYFUNCTION("""COMPUTED_VALUE"""),"Twice a month")</f>
        <v>Twice a month</v>
      </c>
      <c r="H158" s="258" t="str">
        <f>IFERROR(__xludf.DUMMYFUNCTION("""COMPUTED_VALUE"""),"Twice a month")</f>
        <v>Twice a month</v>
      </c>
      <c r="I158" s="258" t="str">
        <f>IFERROR(__xludf.DUMMYFUNCTION("""COMPUTED_VALUE"""),"Never")</f>
        <v>Never</v>
      </c>
      <c r="J158" s="260" t="str">
        <f>IFERROR(__xludf.DUMMYFUNCTION("""COMPUTED_VALUE"""),"")</f>
        <v/>
      </c>
      <c r="K158" s="258" t="str">
        <f>IFERROR(__xludf.DUMMYFUNCTION("""COMPUTED_VALUE"""),"")</f>
        <v/>
      </c>
      <c r="L158" s="258" t="str">
        <f>IFERROR(__xludf.DUMMYFUNCTION("""COMPUTED_VALUE"""),"")</f>
        <v/>
      </c>
      <c r="M158" s="261">
        <f>IFERROR(__xludf.DUMMYFUNCTION("""COMPUTED_VALUE"""),261.0)</f>
        <v>261</v>
      </c>
      <c r="N158" s="262" t="str">
        <f>IFERROR(__xludf.DUMMYFUNCTION("""COMPUTED_VALUE"""),"")</f>
        <v/>
      </c>
      <c r="O158" s="259" t="str">
        <f>IFERROR(__xludf.DUMMYFUNCTION("""COMPUTED_VALUE"""),"")</f>
        <v/>
      </c>
      <c r="P158" s="259">
        <f>IFERROR(__xludf.DUMMYFUNCTION("""COMPUTED_VALUE"""),41996.0)</f>
        <v>41996</v>
      </c>
      <c r="Q158" s="258">
        <f>IFERROR(__xludf.DUMMYFUNCTION("""COMPUTED_VALUE"""),950.0)</f>
        <v>950</v>
      </c>
      <c r="R158" s="261">
        <f>IFERROR(__xludf.DUMMYFUNCTION("""COMPUTED_VALUE"""),394.0)</f>
        <v>394</v>
      </c>
      <c r="S158" s="258">
        <v>395.0</v>
      </c>
      <c r="T158" s="263">
        <v>0.9974683544303797</v>
      </c>
      <c r="U158" s="264">
        <v>590.0</v>
      </c>
      <c r="V158" s="265">
        <v>950.0</v>
      </c>
      <c r="W158" s="264">
        <v>590.0</v>
      </c>
      <c r="X158" s="266" t="str">
        <f>IFERROR(__xludf.DUMMYFUNCTION("""COMPUTED_VALUE"""),"EggyP85")</f>
        <v>EggyP85</v>
      </c>
      <c r="Y158" s="267">
        <v>-0.01</v>
      </c>
      <c r="Z158" s="267">
        <v>0.998145166717862</v>
      </c>
      <c r="AA158" s="269"/>
      <c r="AB158" s="270"/>
      <c r="AC158" s="270"/>
      <c r="AD158" s="270"/>
      <c r="AE158" s="270"/>
    </row>
    <row r="159">
      <c r="A159" s="256">
        <f>IFERROR(__xludf.DUMMYFUNCTION("""COMPUTED_VALUE"""),42019.049305555556)</f>
        <v>42019.04931</v>
      </c>
      <c r="B159" s="257" t="str">
        <f>IFERROR(__xludf.DUMMYFUNCTION("""COMPUTED_VALUE"""),"brderyck")</f>
        <v>brderyck</v>
      </c>
      <c r="C159" s="258" t="str">
        <f>IFERROR(__xludf.DUMMYFUNCTION("""COMPUTED_VALUE"""),"Europe (excluding UK) &amp; Asia Pacific")</f>
        <v>Europe (excluding UK) &amp; Asia Pacific</v>
      </c>
      <c r="D159" s="258" t="str">
        <f>IFERROR(__xludf.DUMMYFUNCTION("""COMPUTED_VALUE"""),"km. My car displays range in kilometres and I will enter all range numbers in kilometres.")</f>
        <v>km. My car displays range in kilometres and I will enter all range numbers in kilometres.</v>
      </c>
      <c r="E159" s="259">
        <f>IFERROR(__xludf.DUMMYFUNCTION("""COMPUTED_VALUE"""),41986.0)</f>
        <v>41986</v>
      </c>
      <c r="F159" s="258" t="str">
        <f>IFERROR(__xludf.DUMMYFUNCTION("""COMPUTED_VALUE"""),"Model S 85")</f>
        <v>Model S 85</v>
      </c>
      <c r="G159" s="258" t="str">
        <f>IFERROR(__xludf.DUMMYFUNCTION("""COMPUTED_VALUE"""),"Weekly")</f>
        <v>Weekly</v>
      </c>
      <c r="H159" s="258" t="str">
        <f>IFERROR(__xludf.DUMMYFUNCTION("""COMPUTED_VALUE"""),"Weekly")</f>
        <v>Weekly</v>
      </c>
      <c r="I159" s="258" t="str">
        <f>IFERROR(__xludf.DUMMYFUNCTION("""COMPUTED_VALUE"""),"Monthly")</f>
        <v>Monthly</v>
      </c>
      <c r="J159" s="260" t="str">
        <f>IFERROR(__xludf.DUMMYFUNCTION("""COMPUTED_VALUE"""),"")</f>
        <v/>
      </c>
      <c r="K159" s="258" t="str">
        <f>IFERROR(__xludf.DUMMYFUNCTION("""COMPUTED_VALUE"""),"")</f>
        <v/>
      </c>
      <c r="L159" s="258" t="str">
        <f>IFERROR(__xludf.DUMMYFUNCTION("""COMPUTED_VALUE"""),"")</f>
        <v/>
      </c>
      <c r="M159" s="261">
        <f>IFERROR(__xludf.DUMMYFUNCTION("""COMPUTED_VALUE"""),261.0)</f>
        <v>261</v>
      </c>
      <c r="N159" s="262" t="str">
        <f>IFERROR(__xludf.DUMMYFUNCTION("""COMPUTED_VALUE"""),"")</f>
        <v/>
      </c>
      <c r="O159" s="259" t="str">
        <f>IFERROR(__xludf.DUMMYFUNCTION("""COMPUTED_VALUE"""),"")</f>
        <v/>
      </c>
      <c r="P159" s="259">
        <f>IFERROR(__xludf.DUMMYFUNCTION("""COMPUTED_VALUE"""),42019.0)</f>
        <v>42019</v>
      </c>
      <c r="Q159" s="258">
        <f>IFERROR(__xludf.DUMMYFUNCTION("""COMPUTED_VALUE"""),3600.0)</f>
        <v>3600</v>
      </c>
      <c r="R159" s="261">
        <f>IFERROR(__xludf.DUMMYFUNCTION("""COMPUTED_VALUE"""),394.0)</f>
        <v>394</v>
      </c>
      <c r="S159" s="258">
        <v>395.0</v>
      </c>
      <c r="T159" s="263">
        <v>0.9974683544303797</v>
      </c>
      <c r="U159" s="264">
        <v>2237.0</v>
      </c>
      <c r="V159" s="265">
        <v>3600.0</v>
      </c>
      <c r="W159" s="264">
        <v>2237.0</v>
      </c>
      <c r="X159" s="266" t="str">
        <f>IFERROR(__xludf.DUMMYFUNCTION("""COMPUTED_VALUE"""),"EggyP85+")</f>
        <v>EggyP85+</v>
      </c>
      <c r="Y159" s="267">
        <v>-0.01</v>
      </c>
      <c r="Z159" s="267">
        <v>0.9934209806243004</v>
      </c>
      <c r="AA159" s="269"/>
      <c r="AB159" s="270"/>
      <c r="AC159" s="270"/>
      <c r="AD159" s="270"/>
      <c r="AE159" s="270"/>
    </row>
    <row r="160">
      <c r="A160" s="256">
        <f>IFERROR(__xludf.DUMMYFUNCTION("""COMPUTED_VALUE"""),42055.075)</f>
        <v>42055.075</v>
      </c>
      <c r="B160" s="257" t="str">
        <f>IFERROR(__xludf.DUMMYFUNCTION("""COMPUTED_VALUE"""),"brderyck")</f>
        <v>brderyck</v>
      </c>
      <c r="C160" s="258" t="str">
        <f>IFERROR(__xludf.DUMMYFUNCTION("""COMPUTED_VALUE"""),"Europe (excluding UK) &amp; Asia Pacific")</f>
        <v>Europe (excluding UK) &amp; Asia Pacific</v>
      </c>
      <c r="D160" s="258" t="str">
        <f>IFERROR(__xludf.DUMMYFUNCTION("""COMPUTED_VALUE"""),"km. My car displays range in kilometres and I will enter all range numbers in kilometres.")</f>
        <v>km. My car displays range in kilometres and I will enter all range numbers in kilometres.</v>
      </c>
      <c r="E160" s="259">
        <f>IFERROR(__xludf.DUMMYFUNCTION("""COMPUTED_VALUE"""),41986.0)</f>
        <v>41986</v>
      </c>
      <c r="F160" s="258" t="str">
        <f>IFERROR(__xludf.DUMMYFUNCTION("""COMPUTED_VALUE"""),"Model S 85")</f>
        <v>Model S 85</v>
      </c>
      <c r="G160" s="258" t="str">
        <f>IFERROR(__xludf.DUMMYFUNCTION("""COMPUTED_VALUE"""),"Twice a month")</f>
        <v>Twice a month</v>
      </c>
      <c r="H160" s="258" t="str">
        <f>IFERROR(__xludf.DUMMYFUNCTION("""COMPUTED_VALUE"""),"Twice a month")</f>
        <v>Twice a month</v>
      </c>
      <c r="I160" s="258" t="str">
        <f>IFERROR(__xludf.DUMMYFUNCTION("""COMPUTED_VALUE"""),"A few times a year")</f>
        <v>A few times a year</v>
      </c>
      <c r="J160" s="260" t="str">
        <f>IFERROR(__xludf.DUMMYFUNCTION("""COMPUTED_VALUE"""),"")</f>
        <v/>
      </c>
      <c r="K160" s="258" t="str">
        <f>IFERROR(__xludf.DUMMYFUNCTION("""COMPUTED_VALUE"""),"")</f>
        <v/>
      </c>
      <c r="L160" s="258" t="str">
        <f>IFERROR(__xludf.DUMMYFUNCTION("""COMPUTED_VALUE"""),"")</f>
        <v/>
      </c>
      <c r="M160" s="261">
        <f>IFERROR(__xludf.DUMMYFUNCTION("""COMPUTED_VALUE"""),260.0)</f>
        <v>260</v>
      </c>
      <c r="N160" s="262" t="str">
        <f>IFERROR(__xludf.DUMMYFUNCTION("""COMPUTED_VALUE"""),"")</f>
        <v/>
      </c>
      <c r="O160" s="259" t="str">
        <f>IFERROR(__xludf.DUMMYFUNCTION("""COMPUTED_VALUE"""),"")</f>
        <v/>
      </c>
      <c r="P160" s="259">
        <f>IFERROR(__xludf.DUMMYFUNCTION("""COMPUTED_VALUE"""),42055.0)</f>
        <v>42055</v>
      </c>
      <c r="Q160" s="258">
        <f>IFERROR(__xludf.DUMMYFUNCTION("""COMPUTED_VALUE"""),5500.0)</f>
        <v>5500</v>
      </c>
      <c r="R160" s="261">
        <f>IFERROR(__xludf.DUMMYFUNCTION("""COMPUTED_VALUE"""),399.0)</f>
        <v>399</v>
      </c>
      <c r="S160" s="258">
        <v>395.0</v>
      </c>
      <c r="T160" s="263">
        <v>1.010126582278481</v>
      </c>
      <c r="U160" s="264">
        <v>3418.0</v>
      </c>
      <c r="V160" s="265">
        <v>5500.0</v>
      </c>
      <c r="W160" s="264">
        <v>3418.0</v>
      </c>
      <c r="X160" s="266" t="str">
        <f>IFERROR(__xludf.DUMMYFUNCTION("""COMPUTED_VALUE"""),"egn")</f>
        <v>egn</v>
      </c>
      <c r="Y160" s="267">
        <v>-0.01</v>
      </c>
      <c r="Z160" s="267">
        <v>0.9904004213120717</v>
      </c>
      <c r="AA160" s="269"/>
      <c r="AB160" s="270"/>
      <c r="AC160" s="270"/>
      <c r="AD160" s="270"/>
      <c r="AE160" s="270"/>
    </row>
    <row r="161">
      <c r="A161" s="256">
        <f>IFERROR(__xludf.DUMMYFUNCTION("""COMPUTED_VALUE"""),42153.12986111111)</f>
        <v>42153.12986</v>
      </c>
      <c r="B161" s="257" t="str">
        <f>IFERROR(__xludf.DUMMYFUNCTION("""COMPUTED_VALUE"""),"brderyck")</f>
        <v>brderyck</v>
      </c>
      <c r="C161" s="258" t="str">
        <f>IFERROR(__xludf.DUMMYFUNCTION("""COMPUTED_VALUE"""),"Europe (excluding UK) &amp; Asia Pacific")</f>
        <v>Europe (excluding UK) &amp; Asia Pacific</v>
      </c>
      <c r="D161" s="258" t="str">
        <f>IFERROR(__xludf.DUMMYFUNCTION("""COMPUTED_VALUE"""),"km. My car displays range in kilometres and I will enter all range numbers in kilometres.")</f>
        <v>km. My car displays range in kilometres and I will enter all range numbers in kilometres.</v>
      </c>
      <c r="E161" s="259">
        <f>IFERROR(__xludf.DUMMYFUNCTION("""COMPUTED_VALUE"""),41986.0)</f>
        <v>41986</v>
      </c>
      <c r="F161" s="258" t="str">
        <f>IFERROR(__xludf.DUMMYFUNCTION("""COMPUTED_VALUE"""),"Model S 85")</f>
        <v>Model S 85</v>
      </c>
      <c r="G161" s="258" t="str">
        <f>IFERROR(__xludf.DUMMYFUNCTION("""COMPUTED_VALUE"""),"Monthly")</f>
        <v>Monthly</v>
      </c>
      <c r="H161" s="258" t="str">
        <f>IFERROR(__xludf.DUMMYFUNCTION("""COMPUTED_VALUE"""),"Twice a month")</f>
        <v>Twice a month</v>
      </c>
      <c r="I161" s="258" t="str">
        <f>IFERROR(__xludf.DUMMYFUNCTION("""COMPUTED_VALUE"""),"Once or twice a year")</f>
        <v>Once or twice a year</v>
      </c>
      <c r="J161" s="260">
        <f>IFERROR(__xludf.DUMMYFUNCTION("""COMPUTED_VALUE"""),0.9)</f>
        <v>0.9</v>
      </c>
      <c r="K161" s="258" t="str">
        <f>IFERROR(__xludf.DUMMYFUNCTION("""COMPUTED_VALUE"""),"")</f>
        <v/>
      </c>
      <c r="L161" s="258" t="str">
        <f>IFERROR(__xludf.DUMMYFUNCTION("""COMPUTED_VALUE"""),"")</f>
        <v/>
      </c>
      <c r="M161" s="261">
        <f>IFERROR(__xludf.DUMMYFUNCTION("""COMPUTED_VALUE"""),250.0)</f>
        <v>250</v>
      </c>
      <c r="N161" s="262" t="str">
        <f>IFERROR(__xludf.DUMMYFUNCTION("""COMPUTED_VALUE"""),"")</f>
        <v/>
      </c>
      <c r="O161" s="259" t="str">
        <f>IFERROR(__xludf.DUMMYFUNCTION("""COMPUTED_VALUE"""),"")</f>
        <v/>
      </c>
      <c r="P161" s="259">
        <f>IFERROR(__xludf.DUMMYFUNCTION("""COMPUTED_VALUE"""),42153.0)</f>
        <v>42153</v>
      </c>
      <c r="Q161" s="258">
        <f>IFERROR(__xludf.DUMMYFUNCTION("""COMPUTED_VALUE"""),12440.0)</f>
        <v>12440</v>
      </c>
      <c r="R161" s="261">
        <f>IFERROR(__xludf.DUMMYFUNCTION("""COMPUTED_VALUE"""),388.0)</f>
        <v>388</v>
      </c>
      <c r="S161" s="258">
        <v>395.0</v>
      </c>
      <c r="T161" s="263">
        <v>0.9822784810126582</v>
      </c>
      <c r="U161" s="264">
        <v>7730.0</v>
      </c>
      <c r="V161" s="265">
        <v>12440.0</v>
      </c>
      <c r="W161" s="264">
        <v>7730.0</v>
      </c>
      <c r="X161" s="266" t="str">
        <f>IFERROR(__xludf.DUMMYFUNCTION("""COMPUTED_VALUE"""),"egnX")</f>
        <v>egnX</v>
      </c>
      <c r="Y161" s="267">
        <v>-0.01</v>
      </c>
      <c r="Z161" s="267">
        <v>0.9814590683968157</v>
      </c>
      <c r="AA161" s="269"/>
      <c r="AB161" s="270"/>
      <c r="AC161" s="270"/>
      <c r="AD161" s="270"/>
      <c r="AE161" s="270"/>
    </row>
    <row r="162">
      <c r="A162" s="256">
        <f>IFERROR(__xludf.DUMMYFUNCTION("""COMPUTED_VALUE"""),42247.17569444445)</f>
        <v>42247.17569</v>
      </c>
      <c r="B162" s="257" t="str">
        <f>IFERROR(__xludf.DUMMYFUNCTION("""COMPUTED_VALUE"""),"brderyck")</f>
        <v>brderyck</v>
      </c>
      <c r="C162" s="258" t="str">
        <f>IFERROR(__xludf.DUMMYFUNCTION("""COMPUTED_VALUE"""),"Europe (excluding UK) &amp; Asia Pacific")</f>
        <v>Europe (excluding UK) &amp; Asia Pacific</v>
      </c>
      <c r="D162" s="258" t="str">
        <f>IFERROR(__xludf.DUMMYFUNCTION("""COMPUTED_VALUE"""),"km. My car displays range in kilometres and I will enter all range numbers in kilometres.")</f>
        <v>km. My car displays range in kilometres and I will enter all range numbers in kilometres.</v>
      </c>
      <c r="E162" s="259">
        <f>IFERROR(__xludf.DUMMYFUNCTION("""COMPUTED_VALUE"""),41986.0)</f>
        <v>41986</v>
      </c>
      <c r="F162" s="258" t="str">
        <f>IFERROR(__xludf.DUMMYFUNCTION("""COMPUTED_VALUE"""),"Model S 85")</f>
        <v>Model S 85</v>
      </c>
      <c r="G162" s="258" t="str">
        <f>IFERROR(__xludf.DUMMYFUNCTION("""COMPUTED_VALUE"""),"A few times a year")</f>
        <v>A few times a year</v>
      </c>
      <c r="H162" s="258" t="str">
        <f>IFERROR(__xludf.DUMMYFUNCTION("""COMPUTED_VALUE"""),"A few times a year")</f>
        <v>A few times a year</v>
      </c>
      <c r="I162" s="258" t="str">
        <f>IFERROR(__xludf.DUMMYFUNCTION("""COMPUTED_VALUE"""),"Once or twice a year")</f>
        <v>Once or twice a year</v>
      </c>
      <c r="J162" s="260">
        <f>IFERROR(__xludf.DUMMYFUNCTION("""COMPUTED_VALUE"""),0.9)</f>
        <v>0.9</v>
      </c>
      <c r="K162" s="258">
        <f>IFERROR(__xludf.DUMMYFUNCTION("""COMPUTED_VALUE"""),398.0)</f>
        <v>398</v>
      </c>
      <c r="L162" s="258" t="str">
        <f>IFERROR(__xludf.DUMMYFUNCTION("""COMPUTED_VALUE"""),"")</f>
        <v/>
      </c>
      <c r="M162" s="261">
        <f>IFERROR(__xludf.DUMMYFUNCTION("""COMPUTED_VALUE"""),225.0)</f>
        <v>225</v>
      </c>
      <c r="N162" s="262" t="str">
        <f>IFERROR(__xludf.DUMMYFUNCTION("""COMPUTED_VALUE"""),"")</f>
        <v/>
      </c>
      <c r="O162" s="259" t="str">
        <f>IFERROR(__xludf.DUMMYFUNCTION("""COMPUTED_VALUE"""),"")</f>
        <v/>
      </c>
      <c r="P162" s="259">
        <f>IFERROR(__xludf.DUMMYFUNCTION("""COMPUTED_VALUE"""),42247.0)</f>
        <v>42247</v>
      </c>
      <c r="Q162" s="258">
        <f>IFERROR(__xludf.DUMMYFUNCTION("""COMPUTED_VALUE"""),21956.0)</f>
        <v>21956</v>
      </c>
      <c r="R162" s="261">
        <f>IFERROR(__xludf.DUMMYFUNCTION("""COMPUTED_VALUE"""),386.0)</f>
        <v>386</v>
      </c>
      <c r="S162" s="258">
        <v>395.0</v>
      </c>
      <c r="T162" s="263">
        <v>0.9772151898734177</v>
      </c>
      <c r="U162" s="264">
        <v>13643.0</v>
      </c>
      <c r="V162" s="265">
        <v>21956.0</v>
      </c>
      <c r="W162" s="264">
        <v>13643.0</v>
      </c>
      <c r="X162" s="266" t="str">
        <f>IFERROR(__xludf.DUMMYFUNCTION("""COMPUTED_VALUE"""),"ELDIAC")</f>
        <v>ELDIAC</v>
      </c>
      <c r="Y162" s="267">
        <v>-0.01</v>
      </c>
      <c r="Z162" s="267">
        <v>0.9729885816655955</v>
      </c>
      <c r="AA162" s="269"/>
      <c r="AB162" s="270"/>
      <c r="AC162" s="270"/>
      <c r="AD162" s="270"/>
      <c r="AE162" s="270"/>
    </row>
    <row r="163">
      <c r="A163" s="256">
        <f>IFERROR(__xludf.DUMMYFUNCTION("""COMPUTED_VALUE"""),42367.26388888889)</f>
        <v>42367.26389</v>
      </c>
      <c r="B163" s="257" t="str">
        <f>IFERROR(__xludf.DUMMYFUNCTION("""COMPUTED_VALUE"""),"brderyck")</f>
        <v>brderyck</v>
      </c>
      <c r="C163" s="258" t="str">
        <f>IFERROR(__xludf.DUMMYFUNCTION("""COMPUTED_VALUE"""),"Europe (excluding UK) &amp; Asia Pacific")</f>
        <v>Europe (excluding UK) &amp; Asia Pacific</v>
      </c>
      <c r="D163" s="258" t="str">
        <f>IFERROR(__xludf.DUMMYFUNCTION("""COMPUTED_VALUE"""),"km. My car displays range in kilometres and I will enter all range numbers in kilometres.")</f>
        <v>km. My car displays range in kilometres and I will enter all range numbers in kilometres.</v>
      </c>
      <c r="E163" s="259">
        <f>IFERROR(__xludf.DUMMYFUNCTION("""COMPUTED_VALUE"""),41986.0)</f>
        <v>41986</v>
      </c>
      <c r="F163" s="258" t="str">
        <f>IFERROR(__xludf.DUMMYFUNCTION("""COMPUTED_VALUE"""),"Model S 85")</f>
        <v>Model S 85</v>
      </c>
      <c r="G163" s="258" t="str">
        <f>IFERROR(__xludf.DUMMYFUNCTION("""COMPUTED_VALUE"""),"")</f>
        <v/>
      </c>
      <c r="H163" s="258" t="str">
        <f>IFERROR(__xludf.DUMMYFUNCTION("""COMPUTED_VALUE"""),"")</f>
        <v/>
      </c>
      <c r="I163" s="258" t="str">
        <f>IFERROR(__xludf.DUMMYFUNCTION("""COMPUTED_VALUE"""),"")</f>
        <v/>
      </c>
      <c r="J163" s="260" t="str">
        <f>IFERROR(__xludf.DUMMYFUNCTION("""COMPUTED_VALUE"""),"")</f>
        <v/>
      </c>
      <c r="K163" s="258" t="str">
        <f>IFERROR(__xludf.DUMMYFUNCTION("""COMPUTED_VALUE"""),"")</f>
        <v/>
      </c>
      <c r="L163" s="258" t="str">
        <f>IFERROR(__xludf.DUMMYFUNCTION("""COMPUTED_VALUE"""),"")</f>
        <v/>
      </c>
      <c r="M163" s="261">
        <f>IFERROR(__xludf.DUMMYFUNCTION("""COMPUTED_VALUE"""),218.0)</f>
        <v>218</v>
      </c>
      <c r="N163" s="262" t="str">
        <f>IFERROR(__xludf.DUMMYFUNCTION("""COMPUTED_VALUE"""),"")</f>
        <v/>
      </c>
      <c r="O163" s="259" t="str">
        <f>IFERROR(__xludf.DUMMYFUNCTION("""COMPUTED_VALUE"""),"")</f>
        <v/>
      </c>
      <c r="P163" s="259">
        <f>IFERROR(__xludf.DUMMYFUNCTION("""COMPUTED_VALUE"""),42367.0)</f>
        <v>42367</v>
      </c>
      <c r="Q163" s="258">
        <f>IFERROR(__xludf.DUMMYFUNCTION("""COMPUTED_VALUE"""),35000.0)</f>
        <v>35000</v>
      </c>
      <c r="R163" s="261">
        <f>IFERROR(__xludf.DUMMYFUNCTION("""COMPUTED_VALUE"""),378.0)</f>
        <v>378</v>
      </c>
      <c r="S163" s="258">
        <v>395.0</v>
      </c>
      <c r="T163" s="263">
        <v>0.9569620253164557</v>
      </c>
      <c r="U163" s="264">
        <v>21748.0</v>
      </c>
      <c r="V163" s="265">
        <v>35000.0</v>
      </c>
      <c r="W163" s="264">
        <v>21748.0</v>
      </c>
      <c r="X163" s="266" t="str">
        <f>IFERROR(__xludf.DUMMYFUNCTION("""COMPUTED_VALUE"""),"ElectricSingh")</f>
        <v>ElectricSingh</v>
      </c>
      <c r="Y163" s="267">
        <v>-0.01</v>
      </c>
      <c r="Z163" s="267">
        <v>0.96546529312767</v>
      </c>
      <c r="AA163" s="269"/>
      <c r="AB163" s="270"/>
      <c r="AC163" s="270"/>
      <c r="AD163" s="270"/>
      <c r="AE163" s="270"/>
    </row>
    <row r="164">
      <c r="A164" s="256">
        <f>IFERROR(__xludf.DUMMYFUNCTION("""COMPUTED_VALUE"""),42874.538194444445)</f>
        <v>42874.53819</v>
      </c>
      <c r="B164" s="257" t="str">
        <f>IFERROR(__xludf.DUMMYFUNCTION("""COMPUTED_VALUE"""),"brderyck")</f>
        <v>brderyck</v>
      </c>
      <c r="C164" s="258" t="str">
        <f>IFERROR(__xludf.DUMMYFUNCTION("""COMPUTED_VALUE"""),"Europe (excluding UK) &amp; Asia Pacific")</f>
        <v>Europe (excluding UK) &amp; Asia Pacific</v>
      </c>
      <c r="D164" s="258" t="str">
        <f>IFERROR(__xludf.DUMMYFUNCTION("""COMPUTED_VALUE"""),"km. My car displays range in kilometres and I will enter all range numbers in kilometres.")</f>
        <v>km. My car displays range in kilometres and I will enter all range numbers in kilometres.</v>
      </c>
      <c r="E164" s="259">
        <f>IFERROR(__xludf.DUMMYFUNCTION("""COMPUTED_VALUE"""),41986.0)</f>
        <v>41986</v>
      </c>
      <c r="F164" s="258" t="str">
        <f>IFERROR(__xludf.DUMMYFUNCTION("""COMPUTED_VALUE"""),"Model S 85")</f>
        <v>Model S 85</v>
      </c>
      <c r="G164" s="258" t="str">
        <f>IFERROR(__xludf.DUMMYFUNCTION("""COMPUTED_VALUE"""),"A few times a year")</f>
        <v>A few times a year</v>
      </c>
      <c r="H164" s="258" t="str">
        <f>IFERROR(__xludf.DUMMYFUNCTION("""COMPUTED_VALUE"""),"A few times a year")</f>
        <v>A few times a year</v>
      </c>
      <c r="I164" s="258" t="str">
        <f>IFERROR(__xludf.DUMMYFUNCTION("""COMPUTED_VALUE"""),"A few times a year")</f>
        <v>A few times a year</v>
      </c>
      <c r="J164" s="260" t="str">
        <f>IFERROR(__xludf.DUMMYFUNCTION("""COMPUTED_VALUE"""),"")</f>
        <v/>
      </c>
      <c r="K164" s="258" t="str">
        <f>IFERROR(__xludf.DUMMYFUNCTION("""COMPUTED_VALUE"""),"")</f>
        <v/>
      </c>
      <c r="L164" s="258" t="str">
        <f>IFERROR(__xludf.DUMMYFUNCTION("""COMPUTED_VALUE"""),"")</f>
        <v/>
      </c>
      <c r="M164" s="261">
        <f>IFERROR(__xludf.DUMMYFUNCTION("""COMPUTED_VALUE"""),240.0)</f>
        <v>240</v>
      </c>
      <c r="N164" s="262" t="str">
        <f>IFERROR(__xludf.DUMMYFUNCTION("""COMPUTED_VALUE"""),"")</f>
        <v/>
      </c>
      <c r="O164" s="259" t="str">
        <f>IFERROR(__xludf.DUMMYFUNCTION("""COMPUTED_VALUE"""),"")</f>
        <v/>
      </c>
      <c r="P164" s="259">
        <f>IFERROR(__xludf.DUMMYFUNCTION("""COMPUTED_VALUE"""),42874.0)</f>
        <v>42874</v>
      </c>
      <c r="Q164" s="258">
        <f>IFERROR(__xludf.DUMMYFUNCTION("""COMPUTED_VALUE"""),62000.0)</f>
        <v>62000</v>
      </c>
      <c r="R164" s="261">
        <f>IFERROR(__xludf.DUMMYFUNCTION("""COMPUTED_VALUE"""),380.0)</f>
        <v>380</v>
      </c>
      <c r="S164" s="258">
        <v>395.0</v>
      </c>
      <c r="T164" s="263">
        <v>0.9620253164556962</v>
      </c>
      <c r="U164" s="264">
        <v>38525.0</v>
      </c>
      <c r="V164" s="265">
        <v>62000.0</v>
      </c>
      <c r="W164" s="264">
        <v>38525.0</v>
      </c>
      <c r="X164" s="266" t="str">
        <f>IFERROR(__xludf.DUMMYFUNCTION("""COMPUTED_VALUE"""),"eMarkus")</f>
        <v>eMarkus</v>
      </c>
      <c r="Y164" s="267">
        <v>-0.01</v>
      </c>
      <c r="Z164" s="267">
        <v>0.9560872697654507</v>
      </c>
      <c r="AA164" s="269"/>
      <c r="AB164" s="270"/>
      <c r="AC164" s="270"/>
      <c r="AD164" s="270"/>
      <c r="AE164" s="270"/>
    </row>
    <row r="165">
      <c r="A165" s="256">
        <f>IFERROR(__xludf.DUMMYFUNCTION("""COMPUTED_VALUE"""),43117.66805555555)</f>
        <v>43117.66806</v>
      </c>
      <c r="B165" s="257" t="str">
        <f>IFERROR(__xludf.DUMMYFUNCTION("""COMPUTED_VALUE"""),"brderyck")</f>
        <v>brderyck</v>
      </c>
      <c r="C165" s="258" t="str">
        <f>IFERROR(__xludf.DUMMYFUNCTION("""COMPUTED_VALUE"""),"Europe (excluding UK) &amp; Asia Pacific")</f>
        <v>Europe (excluding UK) &amp; Asia Pacific</v>
      </c>
      <c r="D165" s="258" t="str">
        <f>IFERROR(__xludf.DUMMYFUNCTION("""COMPUTED_VALUE"""),"km. My car displays range in kilometres and I will enter all range numbers in kilometres.")</f>
        <v>km. My car displays range in kilometres and I will enter all range numbers in kilometres.</v>
      </c>
      <c r="E165" s="259">
        <f>IFERROR(__xludf.DUMMYFUNCTION("""COMPUTED_VALUE"""),41986.0)</f>
        <v>41986</v>
      </c>
      <c r="F165" s="258" t="str">
        <f>IFERROR(__xludf.DUMMYFUNCTION("""COMPUTED_VALUE"""),"Model S 85")</f>
        <v>Model S 85</v>
      </c>
      <c r="G165" s="258" t="str">
        <f>IFERROR(__xludf.DUMMYFUNCTION("""COMPUTED_VALUE"""),"Monthly")</f>
        <v>Monthly</v>
      </c>
      <c r="H165" s="258" t="str">
        <f>IFERROR(__xludf.DUMMYFUNCTION("""COMPUTED_VALUE"""),"Twice a month")</f>
        <v>Twice a month</v>
      </c>
      <c r="I165" s="258" t="str">
        <f>IFERROR(__xludf.DUMMYFUNCTION("""COMPUTED_VALUE"""),"A few times a year")</f>
        <v>A few times a year</v>
      </c>
      <c r="J165" s="260">
        <f>IFERROR(__xludf.DUMMYFUNCTION("""COMPUTED_VALUE"""),0.9)</f>
        <v>0.9</v>
      </c>
      <c r="K165" s="258" t="str">
        <f>IFERROR(__xludf.DUMMYFUNCTION("""COMPUTED_VALUE"""),"")</f>
        <v/>
      </c>
      <c r="L165" s="258" t="str">
        <f>IFERROR(__xludf.DUMMYFUNCTION("""COMPUTED_VALUE"""),"")</f>
        <v/>
      </c>
      <c r="M165" s="261">
        <f>IFERROR(__xludf.DUMMYFUNCTION("""COMPUTED_VALUE"""),225.0)</f>
        <v>225</v>
      </c>
      <c r="N165" s="262" t="str">
        <f>IFERROR(__xludf.DUMMYFUNCTION("""COMPUTED_VALUE"""),"")</f>
        <v/>
      </c>
      <c r="O165" s="259" t="str">
        <f>IFERROR(__xludf.DUMMYFUNCTION("""COMPUTED_VALUE"""),"")</f>
        <v/>
      </c>
      <c r="P165" s="259">
        <f>IFERROR(__xludf.DUMMYFUNCTION("""COMPUTED_VALUE"""),43117.0)</f>
        <v>43117</v>
      </c>
      <c r="Q165" s="258">
        <f>IFERROR(__xludf.DUMMYFUNCTION("""COMPUTED_VALUE"""),75000.0)</f>
        <v>75000</v>
      </c>
      <c r="R165" s="261">
        <f>IFERROR(__xludf.DUMMYFUNCTION("""COMPUTED_VALUE"""),374.0)</f>
        <v>374</v>
      </c>
      <c r="S165" s="258">
        <v>395.0</v>
      </c>
      <c r="T165" s="263">
        <v>0.9468354430379747</v>
      </c>
      <c r="U165" s="264">
        <v>46603.0</v>
      </c>
      <c r="V165" s="265">
        <v>75000.0</v>
      </c>
      <c r="W165" s="264">
        <v>46603.0</v>
      </c>
      <c r="X165" s="266" t="str">
        <f>IFERROR(__xludf.DUMMYFUNCTION("""COMPUTED_VALUE"""),"enahpets71")</f>
        <v>enahpets71</v>
      </c>
      <c r="Y165" s="267">
        <v>-0.01</v>
      </c>
      <c r="Z165" s="267">
        <v>0.9526497700231702</v>
      </c>
      <c r="AA165" s="269"/>
      <c r="AB165" s="270"/>
      <c r="AC165" s="270"/>
      <c r="AD165" s="270"/>
      <c r="AE165" s="270"/>
    </row>
    <row r="166">
      <c r="A166" s="256">
        <f>IFERROR(__xludf.DUMMYFUNCTION("""COMPUTED_VALUE"""),43849.9127027662)</f>
        <v>43849.9127</v>
      </c>
      <c r="B166" s="257" t="str">
        <f>IFERROR(__xludf.DUMMYFUNCTION("""COMPUTED_VALUE"""),"Brentonator")</f>
        <v>Brentonator</v>
      </c>
      <c r="C166" s="258" t="str">
        <f>IFERROR(__xludf.DUMMYFUNCTION("""COMPUTED_VALUE"""),"USA")</f>
        <v>USA</v>
      </c>
      <c r="D166" s="258" t="str">
        <f>IFERROR(__xludf.DUMMYFUNCTION("""COMPUTED_VALUE"""),"mi. My car displays range in miles and I will enter all range numbers in miles.")</f>
        <v>mi. My car displays range in miles and I will enter all range numbers in miles.</v>
      </c>
      <c r="E166" s="259">
        <f>IFERROR(__xludf.DUMMYFUNCTION("""COMPUTED_VALUE"""),43574.0)</f>
        <v>43574</v>
      </c>
      <c r="F166" s="258" t="str">
        <f>IFERROR(__xludf.DUMMYFUNCTION("""COMPUTED_VALUE"""),"Model 3 P")</f>
        <v>Model 3 P</v>
      </c>
      <c r="G166" s="258" t="str">
        <f>IFERROR(__xludf.DUMMYFUNCTION("""COMPUTED_VALUE"""),"Twice a month")</f>
        <v>Twice a month</v>
      </c>
      <c r="H166" s="258" t="str">
        <f>IFERROR(__xludf.DUMMYFUNCTION("""COMPUTED_VALUE"""),"A few times a year")</f>
        <v>A few times a year</v>
      </c>
      <c r="I166" s="258" t="str">
        <f>IFERROR(__xludf.DUMMYFUNCTION("""COMPUTED_VALUE"""),"A few times a year")</f>
        <v>A few times a year</v>
      </c>
      <c r="J166" s="260">
        <f>IFERROR(__xludf.DUMMYFUNCTION("""COMPUTED_VALUE"""),0.9)</f>
        <v>0.9</v>
      </c>
      <c r="K166" s="258">
        <f>IFERROR(__xludf.DUMMYFUNCTION("""COMPUTED_VALUE"""),311.0)</f>
        <v>311</v>
      </c>
      <c r="L166" s="258" t="str">
        <f>IFERROR(__xludf.DUMMYFUNCTION("""COMPUTED_VALUE"""),"")</f>
        <v/>
      </c>
      <c r="M166" s="261">
        <f>IFERROR(__xludf.DUMMYFUNCTION("""COMPUTED_VALUE"""),331.0)</f>
        <v>331</v>
      </c>
      <c r="N166" s="262" t="str">
        <f>IFERROR(__xludf.DUMMYFUNCTION("""COMPUTED_VALUE"""),"")</f>
        <v/>
      </c>
      <c r="O166" s="259" t="str">
        <f>IFERROR(__xludf.DUMMYFUNCTION("""COMPUTED_VALUE"""),"")</f>
        <v/>
      </c>
      <c r="P166" s="259">
        <f>IFERROR(__xludf.DUMMYFUNCTION("""COMPUTED_VALUE"""),43729.0)</f>
        <v>43729</v>
      </c>
      <c r="Q166" s="258">
        <f>IFERROR(__xludf.DUMMYFUNCTION("""COMPUTED_VALUE"""),8325.0)</f>
        <v>8325</v>
      </c>
      <c r="R166" s="261">
        <f>IFERROR(__xludf.DUMMYFUNCTION("""COMPUTED_VALUE"""),302.04)</f>
        <v>302.04</v>
      </c>
      <c r="S166" s="258">
        <v>310.0</v>
      </c>
      <c r="T166" s="263">
        <v>0.9743225806451613</v>
      </c>
      <c r="U166" s="264">
        <v>8325.0</v>
      </c>
      <c r="V166" s="265">
        <v>13398.0</v>
      </c>
      <c r="W166" s="264">
        <v>8325.0</v>
      </c>
      <c r="X166" s="266" t="str">
        <f>IFERROR(__xludf.DUMMYFUNCTION("""COMPUTED_VALUE"""),"Energie Gratiz")</f>
        <v>Energie Gratiz</v>
      </c>
      <c r="Y166" s="267">
        <v>-0.01</v>
      </c>
      <c r="Z166" s="267">
        <v>0.9804380082702314</v>
      </c>
      <c r="AA166" s="269"/>
      <c r="AB166" s="270"/>
      <c r="AC166" s="270"/>
      <c r="AD166" s="270"/>
      <c r="AE166" s="270"/>
    </row>
    <row r="167">
      <c r="A167" s="256">
        <f>IFERROR(__xludf.DUMMYFUNCTION("""COMPUTED_VALUE"""),43849.9127027662)</f>
        <v>43849.9127</v>
      </c>
      <c r="B167" s="257" t="str">
        <f>IFERROR(__xludf.DUMMYFUNCTION("""COMPUTED_VALUE"""),"Brentonator")</f>
        <v>Brentonator</v>
      </c>
      <c r="C167" s="258" t="str">
        <f>IFERROR(__xludf.DUMMYFUNCTION("""COMPUTED_VALUE"""),"USA")</f>
        <v>USA</v>
      </c>
      <c r="D167" s="258" t="str">
        <f>IFERROR(__xludf.DUMMYFUNCTION("""COMPUTED_VALUE"""),"mi. My car displays range in miles and I will enter all range numbers in miles.")</f>
        <v>mi. My car displays range in miles and I will enter all range numbers in miles.</v>
      </c>
      <c r="E167" s="259">
        <f>IFERROR(__xludf.DUMMYFUNCTION("""COMPUTED_VALUE"""),43574.0)</f>
        <v>43574</v>
      </c>
      <c r="F167" s="258" t="str">
        <f>IFERROR(__xludf.DUMMYFUNCTION("""COMPUTED_VALUE"""),"Model 3 P")</f>
        <v>Model 3 P</v>
      </c>
      <c r="G167" s="258" t="str">
        <f>IFERROR(__xludf.DUMMYFUNCTION("""COMPUTED_VALUE"""),"Twice a month")</f>
        <v>Twice a month</v>
      </c>
      <c r="H167" s="258" t="str">
        <f>IFERROR(__xludf.DUMMYFUNCTION("""COMPUTED_VALUE"""),"A few times a year")</f>
        <v>A few times a year</v>
      </c>
      <c r="I167" s="258" t="str">
        <f>IFERROR(__xludf.DUMMYFUNCTION("""COMPUTED_VALUE"""),"A few times a year")</f>
        <v>A few times a year</v>
      </c>
      <c r="J167" s="260">
        <f>IFERROR(__xludf.DUMMYFUNCTION("""COMPUTED_VALUE"""),0.9)</f>
        <v>0.9</v>
      </c>
      <c r="K167" s="258">
        <f>IFERROR(__xludf.DUMMYFUNCTION("""COMPUTED_VALUE"""),311.0)</f>
        <v>311</v>
      </c>
      <c r="L167" s="258" t="str">
        <f>IFERROR(__xludf.DUMMYFUNCTION("""COMPUTED_VALUE"""),"")</f>
        <v/>
      </c>
      <c r="M167" s="261">
        <f>IFERROR(__xludf.DUMMYFUNCTION("""COMPUTED_VALUE"""),331.0)</f>
        <v>331</v>
      </c>
      <c r="N167" s="262" t="str">
        <f>IFERROR(__xludf.DUMMYFUNCTION("""COMPUTED_VALUE"""),"")</f>
        <v/>
      </c>
      <c r="O167" s="259" t="str">
        <f>IFERROR(__xludf.DUMMYFUNCTION("""COMPUTED_VALUE"""),"")</f>
        <v/>
      </c>
      <c r="P167" s="259">
        <f>IFERROR(__xludf.DUMMYFUNCTION("""COMPUTED_VALUE"""),43768.0)</f>
        <v>43768</v>
      </c>
      <c r="Q167" s="258">
        <f>IFERROR(__xludf.DUMMYFUNCTION("""COMPUTED_VALUE"""),10372.0)</f>
        <v>10372</v>
      </c>
      <c r="R167" s="261">
        <f>IFERROR(__xludf.DUMMYFUNCTION("""COMPUTED_VALUE"""),295.92)</f>
        <v>295.92</v>
      </c>
      <c r="S167" s="258">
        <v>310.0</v>
      </c>
      <c r="T167" s="263">
        <v>0.9545806451612904</v>
      </c>
      <c r="U167" s="264">
        <v>10372.0</v>
      </c>
      <c r="V167" s="265">
        <v>16692.0</v>
      </c>
      <c r="W167" s="264">
        <v>10372.0</v>
      </c>
      <c r="X167" s="266" t="str">
        <f>IFERROR(__xludf.DUMMYFUNCTION("""COMPUTED_VALUE"""),"Eric Vergeer")</f>
        <v>Eric Vergeer</v>
      </c>
      <c r="Y167" s="267">
        <v>-0.01</v>
      </c>
      <c r="Z167" s="267">
        <v>0.9772436490157446</v>
      </c>
      <c r="AA167" s="269"/>
      <c r="AB167" s="270"/>
      <c r="AC167" s="270"/>
      <c r="AD167" s="270"/>
      <c r="AE167" s="270"/>
    </row>
    <row r="168">
      <c r="A168" s="256">
        <f>IFERROR(__xludf.DUMMYFUNCTION("""COMPUTED_VALUE"""),43849.9127027662)</f>
        <v>43849.9127</v>
      </c>
      <c r="B168" s="257" t="str">
        <f>IFERROR(__xludf.DUMMYFUNCTION("""COMPUTED_VALUE"""),"Brentonator")</f>
        <v>Brentonator</v>
      </c>
      <c r="C168" s="258" t="str">
        <f>IFERROR(__xludf.DUMMYFUNCTION("""COMPUTED_VALUE"""),"USA")</f>
        <v>USA</v>
      </c>
      <c r="D168" s="258" t="str">
        <f>IFERROR(__xludf.DUMMYFUNCTION("""COMPUTED_VALUE"""),"mi. My car displays range in miles and I will enter all range numbers in miles.")</f>
        <v>mi. My car displays range in miles and I will enter all range numbers in miles.</v>
      </c>
      <c r="E168" s="259">
        <f>IFERROR(__xludf.DUMMYFUNCTION("""COMPUTED_VALUE"""),43574.0)</f>
        <v>43574</v>
      </c>
      <c r="F168" s="258" t="str">
        <f>IFERROR(__xludf.DUMMYFUNCTION("""COMPUTED_VALUE"""),"Model 3 P")</f>
        <v>Model 3 P</v>
      </c>
      <c r="G168" s="258" t="str">
        <f>IFERROR(__xludf.DUMMYFUNCTION("""COMPUTED_VALUE"""),"Twice a month")</f>
        <v>Twice a month</v>
      </c>
      <c r="H168" s="258" t="str">
        <f>IFERROR(__xludf.DUMMYFUNCTION("""COMPUTED_VALUE"""),"A few times a year")</f>
        <v>A few times a year</v>
      </c>
      <c r="I168" s="258" t="str">
        <f>IFERROR(__xludf.DUMMYFUNCTION("""COMPUTED_VALUE"""),"A few times a year")</f>
        <v>A few times a year</v>
      </c>
      <c r="J168" s="260">
        <f>IFERROR(__xludf.DUMMYFUNCTION("""COMPUTED_VALUE"""),0.9)</f>
        <v>0.9</v>
      </c>
      <c r="K168" s="258">
        <f>IFERROR(__xludf.DUMMYFUNCTION("""COMPUTED_VALUE"""),311.0)</f>
        <v>311</v>
      </c>
      <c r="L168" s="258" t="str">
        <f>IFERROR(__xludf.DUMMYFUNCTION("""COMPUTED_VALUE"""),"")</f>
        <v/>
      </c>
      <c r="M168" s="261">
        <f>IFERROR(__xludf.DUMMYFUNCTION("""COMPUTED_VALUE"""),331.0)</f>
        <v>331</v>
      </c>
      <c r="N168" s="262" t="str">
        <f>IFERROR(__xludf.DUMMYFUNCTION("""COMPUTED_VALUE"""),"")</f>
        <v/>
      </c>
      <c r="O168" s="259" t="str">
        <f>IFERROR(__xludf.DUMMYFUNCTION("""COMPUTED_VALUE"""),"")</f>
        <v/>
      </c>
      <c r="P168" s="259">
        <f>IFERROR(__xludf.DUMMYFUNCTION("""COMPUTED_VALUE"""),43483.0)</f>
        <v>43483</v>
      </c>
      <c r="Q168" s="258">
        <f>IFERROR(__xludf.DUMMYFUNCTION("""COMPUTED_VALUE"""),15162.0)</f>
        <v>15162</v>
      </c>
      <c r="R168" s="261">
        <f>IFERROR(__xludf.DUMMYFUNCTION("""COMPUTED_VALUE"""),289.24)</f>
        <v>289.24</v>
      </c>
      <c r="S168" s="258">
        <v>310.0</v>
      </c>
      <c r="T168" s="263">
        <v>0.9330322580645162</v>
      </c>
      <c r="U168" s="264">
        <v>15162.0</v>
      </c>
      <c r="V168" s="265">
        <v>24401.0</v>
      </c>
      <c r="W168" s="264">
        <v>15162.0</v>
      </c>
      <c r="X168" s="266" t="str">
        <f>IFERROR(__xludf.DUMMYFUNCTION("""COMPUTED_VALUE"""),"eric verlaet")</f>
        <v>eric verlaet</v>
      </c>
      <c r="Y168" s="267">
        <v>-0.01</v>
      </c>
      <c r="Z168" s="267">
        <v>0.9712992205748356</v>
      </c>
      <c r="AA168" s="269"/>
      <c r="AB168" s="270"/>
      <c r="AC168" s="270"/>
      <c r="AD168" s="270"/>
      <c r="AE168" s="270"/>
    </row>
    <row r="169">
      <c r="A169" s="256">
        <f>IFERROR(__xludf.DUMMYFUNCTION("""COMPUTED_VALUE"""),43701.31748670139)</f>
        <v>43701.31749</v>
      </c>
      <c r="B169" s="257" t="str">
        <f>IFERROR(__xludf.DUMMYFUNCTION("""COMPUTED_VALUE"""),"Broekroelofs")</f>
        <v>Broekroelofs</v>
      </c>
      <c r="C169" s="258" t="str">
        <f>IFERROR(__xludf.DUMMYFUNCTION("""COMPUTED_VALUE"""),"Europe (excluding UK) &amp; Asia Pacific")</f>
        <v>Europe (excluding UK) &amp; Asia Pacific</v>
      </c>
      <c r="D169" s="258" t="str">
        <f>IFERROR(__xludf.DUMMYFUNCTION("""COMPUTED_VALUE"""),"km. My car displays range in kilometres and I will enter all range numbers in kilometres.")</f>
        <v>km. My car displays range in kilometres and I will enter all range numbers in kilometres.</v>
      </c>
      <c r="E169" s="259">
        <f>IFERROR(__xludf.DUMMYFUNCTION("""COMPUTED_VALUE"""),43678.0)</f>
        <v>43678</v>
      </c>
      <c r="F169" s="258" t="str">
        <f>IFERROR(__xludf.DUMMYFUNCTION("""COMPUTED_VALUE"""),"Model S P85+")</f>
        <v>Model S P85+</v>
      </c>
      <c r="G169" s="258" t="str">
        <f>IFERROR(__xludf.DUMMYFUNCTION("""COMPUTED_VALUE"""),"")</f>
        <v/>
      </c>
      <c r="H169" s="258" t="str">
        <f>IFERROR(__xludf.DUMMYFUNCTION("""COMPUTED_VALUE"""),"")</f>
        <v/>
      </c>
      <c r="I169" s="258" t="str">
        <f>IFERROR(__xludf.DUMMYFUNCTION("""COMPUTED_VALUE"""),"")</f>
        <v/>
      </c>
      <c r="J169" s="260" t="str">
        <f>IFERROR(__xludf.DUMMYFUNCTION("""COMPUTED_VALUE"""),"")</f>
        <v/>
      </c>
      <c r="K169" s="258" t="str">
        <f>IFERROR(__xludf.DUMMYFUNCTION("""COMPUTED_VALUE"""),"")</f>
        <v/>
      </c>
      <c r="L169" s="258" t="str">
        <f>IFERROR(__xludf.DUMMYFUNCTION("""COMPUTED_VALUE"""),"")</f>
        <v/>
      </c>
      <c r="M169" s="261" t="str">
        <f>IFERROR(__xludf.DUMMYFUNCTION("""COMPUTED_VALUE"""),"")</f>
        <v/>
      </c>
      <c r="N169" s="262" t="str">
        <f>IFERROR(__xludf.DUMMYFUNCTION("""COMPUTED_VALUE"""),"")</f>
        <v/>
      </c>
      <c r="O169" s="259" t="str">
        <f>IFERROR(__xludf.DUMMYFUNCTION("""COMPUTED_VALUE"""),"")</f>
        <v/>
      </c>
      <c r="P169" s="259">
        <f>IFERROR(__xludf.DUMMYFUNCTION("""COMPUTED_VALUE"""),43701.0)</f>
        <v>43701</v>
      </c>
      <c r="Q169" s="258">
        <f>IFERROR(__xludf.DUMMYFUNCTION("""COMPUTED_VALUE"""),137000.0)</f>
        <v>137000</v>
      </c>
      <c r="R169" s="261">
        <f>IFERROR(__xludf.DUMMYFUNCTION("""COMPUTED_VALUE"""),360.0)</f>
        <v>360</v>
      </c>
      <c r="S169" s="258">
        <v>395.0</v>
      </c>
      <c r="T169" s="263">
        <v>0.9113924050632911</v>
      </c>
      <c r="U169" s="264">
        <v>85128.0</v>
      </c>
      <c r="V169" s="265">
        <v>137000.0</v>
      </c>
      <c r="W169" s="264">
        <v>85128.0</v>
      </c>
      <c r="X169" s="266" t="str">
        <f>IFERROR(__xludf.DUMMYFUNCTION("""COMPUTED_VALUE"""),"Erik-S85")</f>
        <v>Erik-S85</v>
      </c>
      <c r="Y169" s="267">
        <v>-0.01</v>
      </c>
      <c r="Z169" s="267">
        <v>0.9379714297557826</v>
      </c>
      <c r="AA169" s="269"/>
      <c r="AB169" s="270"/>
      <c r="AC169" s="270"/>
      <c r="AD169" s="270"/>
      <c r="AE169" s="270"/>
    </row>
    <row r="170">
      <c r="A170" s="256">
        <f>IFERROR(__xludf.DUMMYFUNCTION("""COMPUTED_VALUE"""),43742.3600978125)</f>
        <v>43742.3601</v>
      </c>
      <c r="B170" s="257" t="str">
        <f>IFERROR(__xludf.DUMMYFUNCTION("""COMPUTED_VALUE"""),"BTKKBS")</f>
        <v>BTKKBS</v>
      </c>
      <c r="C170" s="258" t="str">
        <f>IFERROR(__xludf.DUMMYFUNCTION("""COMPUTED_VALUE"""),"Europe (excluding UK) &amp; Asia Pacific")</f>
        <v>Europe (excluding UK) &amp; Asia Pacific</v>
      </c>
      <c r="D170" s="258" t="str">
        <f>IFERROR(__xludf.DUMMYFUNCTION("""COMPUTED_VALUE"""),"km. My car displays range in kilometres and I will enter all range numbers in kilometres.")</f>
        <v>km. My car displays range in kilometres and I will enter all range numbers in kilometres.</v>
      </c>
      <c r="E170" s="259">
        <f>IFERROR(__xludf.DUMMYFUNCTION("""COMPUTED_VALUE"""),42705.0)</f>
        <v>42705</v>
      </c>
      <c r="F170" s="258" t="str">
        <f>IFERROR(__xludf.DUMMYFUNCTION("""COMPUTED_VALUE"""),"Model S 90D")</f>
        <v>Model S 90D</v>
      </c>
      <c r="G170" s="258" t="str">
        <f>IFERROR(__xludf.DUMMYFUNCTION("""COMPUTED_VALUE"""),"Monthly")</f>
        <v>Monthly</v>
      </c>
      <c r="H170" s="258" t="str">
        <f>IFERROR(__xludf.DUMMYFUNCTION("""COMPUTED_VALUE"""),"A few times a year")</f>
        <v>A few times a year</v>
      </c>
      <c r="I170" s="258" t="str">
        <f>IFERROR(__xludf.DUMMYFUNCTION("""COMPUTED_VALUE"""),"A few times a year")</f>
        <v>A few times a year</v>
      </c>
      <c r="J170" s="260">
        <f>IFERROR(__xludf.DUMMYFUNCTION("""COMPUTED_VALUE"""),0.9)</f>
        <v>0.9</v>
      </c>
      <c r="K170" s="258" t="str">
        <f>IFERROR(__xludf.DUMMYFUNCTION("""COMPUTED_VALUE"""),"")</f>
        <v/>
      </c>
      <c r="L170" s="258" t="str">
        <f>IFERROR(__xludf.DUMMYFUNCTION("""COMPUTED_VALUE"""),"")</f>
        <v/>
      </c>
      <c r="M170" s="261" t="str">
        <f>IFERROR(__xludf.DUMMYFUNCTION("""COMPUTED_VALUE"""),"")</f>
        <v/>
      </c>
      <c r="N170" s="262" t="str">
        <f>IFERROR(__xludf.DUMMYFUNCTION("""COMPUTED_VALUE"""),"")</f>
        <v/>
      </c>
      <c r="O170" s="259" t="str">
        <f>IFERROR(__xludf.DUMMYFUNCTION("""COMPUTED_VALUE"""),"")</f>
        <v/>
      </c>
      <c r="P170" s="259">
        <f>IFERROR(__xludf.DUMMYFUNCTION("""COMPUTED_VALUE"""),43741.0)</f>
        <v>43741</v>
      </c>
      <c r="Q170" s="258">
        <f>IFERROR(__xludf.DUMMYFUNCTION("""COMPUTED_VALUE"""),64513.0)</f>
        <v>64513</v>
      </c>
      <c r="R170" s="261">
        <f>IFERROR(__xludf.DUMMYFUNCTION("""COMPUTED_VALUE"""),441.0)</f>
        <v>441</v>
      </c>
      <c r="S170" s="258">
        <v>447.0</v>
      </c>
      <c r="T170" s="263">
        <v>0.9865771812080537</v>
      </c>
      <c r="U170" s="264">
        <v>40087.0</v>
      </c>
      <c r="V170" s="265">
        <v>64513.0</v>
      </c>
      <c r="W170" s="264">
        <v>40087.0</v>
      </c>
      <c r="X170" s="266" t="str">
        <f>IFERROR(__xludf.DUMMYFUNCTION("""COMPUTED_VALUE"""),"ErikR")</f>
        <v>ErikR</v>
      </c>
      <c r="Y170" s="267">
        <v>-0.01</v>
      </c>
      <c r="Z170" s="267">
        <v>0.9553951167146753</v>
      </c>
      <c r="AA170" s="269"/>
      <c r="AB170" s="270"/>
      <c r="AC170" s="270"/>
      <c r="AD170" s="270"/>
      <c r="AE170" s="270"/>
    </row>
    <row r="171">
      <c r="A171" s="256">
        <f>IFERROR(__xludf.DUMMYFUNCTION("""COMPUTED_VALUE"""),42261.75833333333)</f>
        <v>42261.75833</v>
      </c>
      <c r="B171" s="257" t="str">
        <f>IFERROR(__xludf.DUMMYFUNCTION("""COMPUTED_VALUE"""),"btrflyl8e")</f>
        <v>btrflyl8e</v>
      </c>
      <c r="C171" s="258" t="str">
        <f>IFERROR(__xludf.DUMMYFUNCTION("""COMPUTED_VALUE"""),"USA")</f>
        <v>USA</v>
      </c>
      <c r="D171" s="258" t="str">
        <f>IFERROR(__xludf.DUMMYFUNCTION("""COMPUTED_VALUE"""),"mi. My car displays range in miles and I will enter all range numbers in miles.")</f>
        <v>mi. My car displays range in miles and I will enter all range numbers in miles.</v>
      </c>
      <c r="E171" s="259">
        <f>IFERROR(__xludf.DUMMYFUNCTION("""COMPUTED_VALUE"""),41396.0)</f>
        <v>41396</v>
      </c>
      <c r="F171" s="258" t="str">
        <f>IFERROR(__xludf.DUMMYFUNCTION("""COMPUTED_VALUE"""),"Model S 60")</f>
        <v>Model S 60</v>
      </c>
      <c r="G171" s="258" t="str">
        <f>IFERROR(__xludf.DUMMYFUNCTION("""COMPUTED_VALUE"""),"")</f>
        <v/>
      </c>
      <c r="H171" s="258" t="str">
        <f>IFERROR(__xludf.DUMMYFUNCTION("""COMPUTED_VALUE"""),"")</f>
        <v/>
      </c>
      <c r="I171" s="258" t="str">
        <f>IFERROR(__xludf.DUMMYFUNCTION("""COMPUTED_VALUE"""),"")</f>
        <v/>
      </c>
      <c r="J171" s="260">
        <f>IFERROR(__xludf.DUMMYFUNCTION("""COMPUTED_VALUE"""),0.9)</f>
        <v>0.9</v>
      </c>
      <c r="K171" s="258">
        <f>IFERROR(__xludf.DUMMYFUNCTION("""COMPUTED_VALUE"""),205.0)</f>
        <v>205</v>
      </c>
      <c r="L171" s="258" t="str">
        <f>IFERROR(__xludf.DUMMYFUNCTION("""COMPUTED_VALUE"""),"")</f>
        <v/>
      </c>
      <c r="M171" s="261">
        <f>IFERROR(__xludf.DUMMYFUNCTION("""COMPUTED_VALUE"""),309.0)</f>
        <v>309</v>
      </c>
      <c r="N171" s="262" t="str">
        <f>IFERROR(__xludf.DUMMYFUNCTION("""COMPUTED_VALUE"""),"")</f>
        <v/>
      </c>
      <c r="O171" s="259" t="str">
        <f>IFERROR(__xludf.DUMMYFUNCTION("""COMPUTED_VALUE"""),"")</f>
        <v/>
      </c>
      <c r="P171" s="259">
        <f>IFERROR(__xludf.DUMMYFUNCTION("""COMPUTED_VALUE"""),42261.0)</f>
        <v>42261</v>
      </c>
      <c r="Q171" s="258">
        <f>IFERROR(__xludf.DUMMYFUNCTION("""COMPUTED_VALUE"""),35000.0)</f>
        <v>35000</v>
      </c>
      <c r="R171" s="261">
        <f>IFERROR(__xludf.DUMMYFUNCTION("""COMPUTED_VALUE"""),198.0)</f>
        <v>198</v>
      </c>
      <c r="S171" s="258">
        <v>207.0</v>
      </c>
      <c r="T171" s="263">
        <v>0.9565217391304348</v>
      </c>
      <c r="U171" s="264">
        <v>35000.0</v>
      </c>
      <c r="V171" s="265">
        <v>56327.0</v>
      </c>
      <c r="W171" s="264">
        <v>35000.0</v>
      </c>
      <c r="X171" s="266" t="str">
        <f>IFERROR(__xludf.DUMMYFUNCTION("""COMPUTED_VALUE"""),"Ervee")</f>
        <v>Ervee</v>
      </c>
      <c r="Y171" s="267">
        <v>-0.01</v>
      </c>
      <c r="Z171" s="267">
        <v>0.9577192073527893</v>
      </c>
      <c r="AA171" s="269"/>
      <c r="AB171" s="270"/>
      <c r="AC171" s="270"/>
      <c r="AD171" s="270"/>
      <c r="AE171" s="270"/>
    </row>
    <row r="172">
      <c r="A172" s="256">
        <f>IFERROR(__xludf.DUMMYFUNCTION("""COMPUTED_VALUE"""),42929.85)</f>
        <v>42929.85</v>
      </c>
      <c r="B172" s="257" t="str">
        <f>IFERROR(__xludf.DUMMYFUNCTION("""COMPUTED_VALUE"""),"Buickguy")</f>
        <v>Buickguy</v>
      </c>
      <c r="C172" s="258" t="str">
        <f>IFERROR(__xludf.DUMMYFUNCTION("""COMPUTED_VALUE"""),"USA")</f>
        <v>USA</v>
      </c>
      <c r="D172" s="258" t="str">
        <f>IFERROR(__xludf.DUMMYFUNCTION("""COMPUTED_VALUE"""),"mi. My car displays range in miles and I will enter all range numbers in miles.")</f>
        <v>mi. My car displays range in miles and I will enter all range numbers in miles.</v>
      </c>
      <c r="E172" s="259">
        <f>IFERROR(__xludf.DUMMYFUNCTION("""COMPUTED_VALUE"""),41722.0)</f>
        <v>41722</v>
      </c>
      <c r="F172" s="258" t="str">
        <f>IFERROR(__xludf.DUMMYFUNCTION("""COMPUTED_VALUE"""),"Model S 85")</f>
        <v>Model S 85</v>
      </c>
      <c r="G172" s="258" t="str">
        <f>IFERROR(__xludf.DUMMYFUNCTION("""COMPUTED_VALUE"""),"Monthly")</f>
        <v>Monthly</v>
      </c>
      <c r="H172" s="258" t="str">
        <f>IFERROR(__xludf.DUMMYFUNCTION("""COMPUTED_VALUE"""),"A few times a year")</f>
        <v>A few times a year</v>
      </c>
      <c r="I172" s="258" t="str">
        <f>IFERROR(__xludf.DUMMYFUNCTION("""COMPUTED_VALUE"""),"Never")</f>
        <v>Never</v>
      </c>
      <c r="J172" s="260">
        <f>IFERROR(__xludf.DUMMYFUNCTION("""COMPUTED_VALUE"""),0.9)</f>
        <v>0.9</v>
      </c>
      <c r="K172" s="258">
        <f>IFERROR(__xludf.DUMMYFUNCTION("""COMPUTED_VALUE"""),265.0)</f>
        <v>265</v>
      </c>
      <c r="L172" s="258" t="str">
        <f>IFERROR(__xludf.DUMMYFUNCTION("""COMPUTED_VALUE"""),"")</f>
        <v/>
      </c>
      <c r="M172" s="261">
        <f>IFERROR(__xludf.DUMMYFUNCTION("""COMPUTED_VALUE"""),324.0)</f>
        <v>324</v>
      </c>
      <c r="N172" s="262" t="str">
        <f>IFERROR(__xludf.DUMMYFUNCTION("""COMPUTED_VALUE"""),"")</f>
        <v/>
      </c>
      <c r="O172" s="259" t="str">
        <f>IFERROR(__xludf.DUMMYFUNCTION("""COMPUTED_VALUE"""),"")</f>
        <v/>
      </c>
      <c r="P172" s="259">
        <f>IFERROR(__xludf.DUMMYFUNCTION("""COMPUTED_VALUE"""),42929.0)</f>
        <v>42929</v>
      </c>
      <c r="Q172" s="258">
        <f>IFERROR(__xludf.DUMMYFUNCTION("""COMPUTED_VALUE"""),70566.0)</f>
        <v>70566</v>
      </c>
      <c r="R172" s="261">
        <f>IFERROR(__xludf.DUMMYFUNCTION("""COMPUTED_VALUE"""),251.0)</f>
        <v>251</v>
      </c>
      <c r="S172" s="258">
        <v>266.0</v>
      </c>
      <c r="T172" s="263">
        <v>0.943609022556391</v>
      </c>
      <c r="U172" s="264">
        <v>70566.0</v>
      </c>
      <c r="V172" s="265">
        <v>113565.0</v>
      </c>
      <c r="W172" s="264">
        <v>70566.0</v>
      </c>
      <c r="X172" s="266" t="str">
        <f>IFERROR(__xludf.DUMMYFUNCTION("""COMPUTED_VALUE"""),"eSpochtback")</f>
        <v>eSpochtback</v>
      </c>
      <c r="Y172" s="267">
        <v>-0.01</v>
      </c>
      <c r="Z172" s="267">
        <v>0.9434073704144621</v>
      </c>
      <c r="AA172" s="269"/>
      <c r="AB172" s="270"/>
      <c r="AC172" s="270"/>
      <c r="AD172" s="270"/>
      <c r="AE172" s="270"/>
    </row>
    <row r="173">
      <c r="A173" s="256">
        <f>IFERROR(__xludf.DUMMYFUNCTION("""COMPUTED_VALUE"""),43859.67607083334)</f>
        <v>43859.67607</v>
      </c>
      <c r="B173" s="257" t="str">
        <f>IFERROR(__xludf.DUMMYFUNCTION("""COMPUTED_VALUE"""),"byoder1122")</f>
        <v>byoder1122</v>
      </c>
      <c r="C173" s="258" t="str">
        <f>IFERROR(__xludf.DUMMYFUNCTION("""COMPUTED_VALUE"""),"USA")</f>
        <v>USA</v>
      </c>
      <c r="D173" s="258" t="str">
        <f>IFERROR(__xludf.DUMMYFUNCTION("""COMPUTED_VALUE"""),"mi. My car displays range in miles and I will enter all range numbers in miles.")</f>
        <v>mi. My car displays range in miles and I will enter all range numbers in miles.</v>
      </c>
      <c r="E173" s="259">
        <f>IFERROR(__xludf.DUMMYFUNCTION("""COMPUTED_VALUE"""),41532.0)</f>
        <v>41532</v>
      </c>
      <c r="F173" s="258" t="str">
        <f>IFERROR(__xludf.DUMMYFUNCTION("""COMPUTED_VALUE"""),"Model S P85")</f>
        <v>Model S P85</v>
      </c>
      <c r="G173" s="258" t="str">
        <f>IFERROR(__xludf.DUMMYFUNCTION("""COMPUTED_VALUE"""),"Twice a week")</f>
        <v>Twice a week</v>
      </c>
      <c r="H173" s="258" t="str">
        <f>IFERROR(__xludf.DUMMYFUNCTION("""COMPUTED_VALUE"""),"Monthly")</f>
        <v>Monthly</v>
      </c>
      <c r="I173" s="258" t="str">
        <f>IFERROR(__xludf.DUMMYFUNCTION("""COMPUTED_VALUE"""),"Never")</f>
        <v>Never</v>
      </c>
      <c r="J173" s="260">
        <f>IFERROR(__xludf.DUMMYFUNCTION("""COMPUTED_VALUE"""),0.9)</f>
        <v>0.9</v>
      </c>
      <c r="K173" s="258" t="str">
        <f>IFERROR(__xludf.DUMMYFUNCTION("""COMPUTED_VALUE"""),"")</f>
        <v/>
      </c>
      <c r="L173" s="258" t="str">
        <f>IFERROR(__xludf.DUMMYFUNCTION("""COMPUTED_VALUE"""),"")</f>
        <v/>
      </c>
      <c r="M173" s="261" t="str">
        <f>IFERROR(__xludf.DUMMYFUNCTION("""COMPUTED_VALUE"""),"")</f>
        <v/>
      </c>
      <c r="N173" s="262" t="str">
        <f>IFERROR(__xludf.DUMMYFUNCTION("""COMPUTED_VALUE"""),"")</f>
        <v/>
      </c>
      <c r="O173" s="259" t="str">
        <f>IFERROR(__xludf.DUMMYFUNCTION("""COMPUTED_VALUE"""),"")</f>
        <v/>
      </c>
      <c r="P173" s="259">
        <f>IFERROR(__xludf.DUMMYFUNCTION("""COMPUTED_VALUE"""),43858.0)</f>
        <v>43858</v>
      </c>
      <c r="Q173" s="258">
        <f>IFERROR(__xludf.DUMMYFUNCTION("""COMPUTED_VALUE"""),111942.0)</f>
        <v>111942</v>
      </c>
      <c r="R173" s="261">
        <f>IFERROR(__xludf.DUMMYFUNCTION("""COMPUTED_VALUE"""),233.0)</f>
        <v>233</v>
      </c>
      <c r="S173" s="258">
        <v>266.0</v>
      </c>
      <c r="T173" s="263">
        <v>0.8759398496240601</v>
      </c>
      <c r="U173" s="264">
        <v>111942.0</v>
      </c>
      <c r="V173" s="265">
        <v>180153.0</v>
      </c>
      <c r="W173" s="264">
        <v>111942.0</v>
      </c>
      <c r="X173" s="266" t="str">
        <f>IFERROR(__xludf.DUMMYFUNCTION("""COMPUTED_VALUE"""),"fadiawesome")</f>
        <v>fadiawesome</v>
      </c>
      <c r="Y173" s="267">
        <v>-0.01</v>
      </c>
      <c r="Z173" s="267">
        <v>0.9280086053799416</v>
      </c>
      <c r="AA173" s="269"/>
      <c r="AB173" s="270"/>
      <c r="AC173" s="270"/>
      <c r="AD173" s="270"/>
      <c r="AE173" s="270"/>
    </row>
    <row r="174">
      <c r="A174" s="256">
        <f>IFERROR(__xludf.DUMMYFUNCTION("""COMPUTED_VALUE"""),43851.26539153935)</f>
        <v>43851.26539</v>
      </c>
      <c r="B174" s="257" t="str">
        <f>IFERROR(__xludf.DUMMYFUNCTION("""COMPUTED_VALUE"""),"bystedt")</f>
        <v>bystedt</v>
      </c>
      <c r="C174" s="258" t="str">
        <f>IFERROR(__xludf.DUMMYFUNCTION("""COMPUTED_VALUE"""),"USA")</f>
        <v>USA</v>
      </c>
      <c r="D174" s="258" t="str">
        <f>IFERROR(__xludf.DUMMYFUNCTION("""COMPUTED_VALUE"""),"mi. My car displays range in miles and I will enter all range numbers in miles.")</f>
        <v>mi. My car displays range in miles and I will enter all range numbers in miles.</v>
      </c>
      <c r="E174" s="259">
        <f>IFERROR(__xludf.DUMMYFUNCTION("""COMPUTED_VALUE"""),41197.0)</f>
        <v>41197</v>
      </c>
      <c r="F174" s="258" t="str">
        <f>IFERROR(__xludf.DUMMYFUNCTION("""COMPUTED_VALUE"""),"Model S P85")</f>
        <v>Model S P85</v>
      </c>
      <c r="G174" s="258" t="str">
        <f>IFERROR(__xludf.DUMMYFUNCTION("""COMPUTED_VALUE"""),"Monthly")</f>
        <v>Monthly</v>
      </c>
      <c r="H174" s="258" t="str">
        <f>IFERROR(__xludf.DUMMYFUNCTION("""COMPUTED_VALUE"""),"Monthly")</f>
        <v>Monthly</v>
      </c>
      <c r="I174" s="258" t="str">
        <f>IFERROR(__xludf.DUMMYFUNCTION("""COMPUTED_VALUE"""),"Never")</f>
        <v>Never</v>
      </c>
      <c r="J174" s="260">
        <f>IFERROR(__xludf.DUMMYFUNCTION("""COMPUTED_VALUE"""),0.8)</f>
        <v>0.8</v>
      </c>
      <c r="K174" s="258" t="str">
        <f>IFERROR(__xludf.DUMMYFUNCTION("""COMPUTED_VALUE"""),"")</f>
        <v/>
      </c>
      <c r="L174" s="258" t="str">
        <f>IFERROR(__xludf.DUMMYFUNCTION("""COMPUTED_VALUE"""),"")</f>
        <v/>
      </c>
      <c r="M174" s="261" t="str">
        <f>IFERROR(__xludf.DUMMYFUNCTION("""COMPUTED_VALUE"""),"")</f>
        <v/>
      </c>
      <c r="N174" s="262">
        <f>IFERROR(__xludf.DUMMYFUNCTION("""COMPUTED_VALUE"""),30000.0)</f>
        <v>30000</v>
      </c>
      <c r="O174" s="259" t="str">
        <f>IFERROR(__xludf.DUMMYFUNCTION("""COMPUTED_VALUE"""),"I don't know")</f>
        <v>I don't know</v>
      </c>
      <c r="P174" s="259">
        <f>IFERROR(__xludf.DUMMYFUNCTION("""COMPUTED_VALUE"""),43848.0)</f>
        <v>43848</v>
      </c>
      <c r="Q174" s="258">
        <f>IFERROR(__xludf.DUMMYFUNCTION("""COMPUTED_VALUE"""),73850.0)</f>
        <v>73850</v>
      </c>
      <c r="R174" s="261">
        <f>IFERROR(__xludf.DUMMYFUNCTION("""COMPUTED_VALUE"""),237.0)</f>
        <v>237</v>
      </c>
      <c r="S174" s="258">
        <v>266.0</v>
      </c>
      <c r="T174" s="263">
        <v>0.8909774436090225</v>
      </c>
      <c r="U174" s="264">
        <v>73850.0</v>
      </c>
      <c r="V174" s="265">
        <v>118850.0</v>
      </c>
      <c r="W174" s="264">
        <v>73850.0</v>
      </c>
      <c r="X174" s="266" t="str">
        <f>IFERROR(__xludf.DUMMYFUNCTION("""COMPUTED_VALUE"""),"fc12")</f>
        <v>fc12</v>
      </c>
      <c r="Y174" s="267">
        <v>-0.01</v>
      </c>
      <c r="Z174" s="267">
        <v>0.942177474648503</v>
      </c>
      <c r="AA174" s="269"/>
      <c r="AB174" s="270"/>
      <c r="AC174" s="270"/>
      <c r="AD174" s="270"/>
      <c r="AE174" s="270"/>
    </row>
    <row r="175">
      <c r="A175" s="256">
        <f>IFERROR(__xludf.DUMMYFUNCTION("""COMPUTED_VALUE"""),42532.347916666666)</f>
        <v>42532.34792</v>
      </c>
      <c r="B175" s="257" t="str">
        <f>IFERROR(__xludf.DUMMYFUNCTION("""COMPUTED_VALUE"""),"C Bretaud")</f>
        <v>C Bretaud</v>
      </c>
      <c r="C175" s="258" t="str">
        <f>IFERROR(__xludf.DUMMYFUNCTION("""COMPUTED_VALUE"""),"Europe (excluding UK) &amp; Asia Pacific")</f>
        <v>Europe (excluding UK) &amp; Asia Pacific</v>
      </c>
      <c r="D175" s="258" t="str">
        <f>IFERROR(__xludf.DUMMYFUNCTION("""COMPUTED_VALUE"""),"km. My car displays range in kilometres and I will enter all range numbers in kilometres.")</f>
        <v>km. My car displays range in kilometres and I will enter all range numbers in kilometres.</v>
      </c>
      <c r="E175" s="259">
        <f>IFERROR(__xludf.DUMMYFUNCTION("""COMPUTED_VALUE"""),41635.0)</f>
        <v>41635</v>
      </c>
      <c r="F175" s="258" t="str">
        <f>IFERROR(__xludf.DUMMYFUNCTION("""COMPUTED_VALUE"""),"Model S P85")</f>
        <v>Model S P85</v>
      </c>
      <c r="G175" s="258" t="str">
        <f>IFERROR(__xludf.DUMMYFUNCTION("""COMPUTED_VALUE"""),"Twice a month")</f>
        <v>Twice a month</v>
      </c>
      <c r="H175" s="258" t="str">
        <f>IFERROR(__xludf.DUMMYFUNCTION("""COMPUTED_VALUE"""),"A few times a year")</f>
        <v>A few times a year</v>
      </c>
      <c r="I175" s="258" t="str">
        <f>IFERROR(__xludf.DUMMYFUNCTION("""COMPUTED_VALUE"""),"Once or twice a year")</f>
        <v>Once or twice a year</v>
      </c>
      <c r="J175" s="260">
        <f>IFERROR(__xludf.DUMMYFUNCTION("""COMPUTED_VALUE"""),0.9)</f>
        <v>0.9</v>
      </c>
      <c r="K175" s="258">
        <f>IFERROR(__xludf.DUMMYFUNCTION("""COMPUTED_VALUE"""),392.0)</f>
        <v>392</v>
      </c>
      <c r="L175" s="258" t="str">
        <f>IFERROR(__xludf.DUMMYFUNCTION("""COMPUTED_VALUE"""),"")</f>
        <v/>
      </c>
      <c r="M175" s="261">
        <f>IFERROR(__xludf.DUMMYFUNCTION("""COMPUTED_VALUE"""),214.0)</f>
        <v>214</v>
      </c>
      <c r="N175" s="262" t="str">
        <f>IFERROR(__xludf.DUMMYFUNCTION("""COMPUTED_VALUE"""),"")</f>
        <v/>
      </c>
      <c r="O175" s="259" t="str">
        <f>IFERROR(__xludf.DUMMYFUNCTION("""COMPUTED_VALUE"""),"")</f>
        <v/>
      </c>
      <c r="P175" s="259">
        <f>IFERROR(__xludf.DUMMYFUNCTION("""COMPUTED_VALUE"""),42532.0)</f>
        <v>42532</v>
      </c>
      <c r="Q175" s="258">
        <f>IFERROR(__xludf.DUMMYFUNCTION("""COMPUTED_VALUE"""),156115.0)</f>
        <v>156115</v>
      </c>
      <c r="R175" s="261">
        <f>IFERROR(__xludf.DUMMYFUNCTION("""COMPUTED_VALUE"""),372.0)</f>
        <v>372</v>
      </c>
      <c r="S175" s="258">
        <v>395.0</v>
      </c>
      <c r="T175" s="263">
        <v>0.9417721518987342</v>
      </c>
      <c r="U175" s="264">
        <v>97005.0</v>
      </c>
      <c r="V175" s="265">
        <v>156115.0</v>
      </c>
      <c r="W175" s="264">
        <v>97005.0</v>
      </c>
      <c r="X175" s="266" t="str">
        <f>IFERROR(__xludf.DUMMYFUNCTION("""COMPUTED_VALUE"""),"Fjack")</f>
        <v>Fjack</v>
      </c>
      <c r="Y175" s="267">
        <v>-0.01</v>
      </c>
      <c r="Z175" s="267">
        <v>0.9335555181142856</v>
      </c>
      <c r="AA175" s="269"/>
      <c r="AB175" s="270"/>
      <c r="AC175" s="270"/>
      <c r="AD175" s="270"/>
      <c r="AE175" s="270"/>
    </row>
    <row r="176">
      <c r="A176" s="256">
        <f>IFERROR(__xludf.DUMMYFUNCTION("""COMPUTED_VALUE"""),42836.52013888889)</f>
        <v>42836.52014</v>
      </c>
      <c r="B176" s="257" t="str">
        <f>IFERROR(__xludf.DUMMYFUNCTION("""COMPUTED_VALUE"""),"C Bretaud")</f>
        <v>C Bretaud</v>
      </c>
      <c r="C176" s="258" t="str">
        <f>IFERROR(__xludf.DUMMYFUNCTION("""COMPUTED_VALUE"""),"Europe (excluding UK) &amp; Asia Pacific")</f>
        <v>Europe (excluding UK) &amp; Asia Pacific</v>
      </c>
      <c r="D176" s="258" t="str">
        <f>IFERROR(__xludf.DUMMYFUNCTION("""COMPUTED_VALUE"""),"km. My car displays range in kilometres and I will enter all range numbers in kilometres.")</f>
        <v>km. My car displays range in kilometres and I will enter all range numbers in kilometres.</v>
      </c>
      <c r="E176" s="259">
        <f>IFERROR(__xludf.DUMMYFUNCTION("""COMPUTED_VALUE"""),41635.0)</f>
        <v>41635</v>
      </c>
      <c r="F176" s="258" t="str">
        <f>IFERROR(__xludf.DUMMYFUNCTION("""COMPUTED_VALUE"""),"Model S P85")</f>
        <v>Model S P85</v>
      </c>
      <c r="G176" s="258" t="str">
        <f>IFERROR(__xludf.DUMMYFUNCTION("""COMPUTED_VALUE"""),"Twice a month")</f>
        <v>Twice a month</v>
      </c>
      <c r="H176" s="258" t="str">
        <f>IFERROR(__xludf.DUMMYFUNCTION("""COMPUTED_VALUE"""),"Weekly")</f>
        <v>Weekly</v>
      </c>
      <c r="I176" s="258" t="str">
        <f>IFERROR(__xludf.DUMMYFUNCTION("""COMPUTED_VALUE"""),"Once or twice a year")</f>
        <v>Once or twice a year</v>
      </c>
      <c r="J176" s="260">
        <f>IFERROR(__xludf.DUMMYFUNCTION("""COMPUTED_VALUE"""),0.9)</f>
        <v>0.9</v>
      </c>
      <c r="K176" s="258">
        <f>IFERROR(__xludf.DUMMYFUNCTION("""COMPUTED_VALUE"""),392.0)</f>
        <v>392</v>
      </c>
      <c r="L176" s="258" t="str">
        <f>IFERROR(__xludf.DUMMYFUNCTION("""COMPUTED_VALUE"""),"")</f>
        <v/>
      </c>
      <c r="M176" s="261">
        <f>IFERROR(__xludf.DUMMYFUNCTION("""COMPUTED_VALUE"""),217.0)</f>
        <v>217</v>
      </c>
      <c r="N176" s="262" t="str">
        <f>IFERROR(__xludf.DUMMYFUNCTION("""COMPUTED_VALUE"""),"")</f>
        <v/>
      </c>
      <c r="O176" s="259" t="str">
        <f>IFERROR(__xludf.DUMMYFUNCTION("""COMPUTED_VALUE"""),"")</f>
        <v/>
      </c>
      <c r="P176" s="259">
        <f>IFERROR(__xludf.DUMMYFUNCTION("""COMPUTED_VALUE"""),42836.0)</f>
        <v>42836</v>
      </c>
      <c r="Q176" s="258">
        <f>IFERROR(__xludf.DUMMYFUNCTION("""COMPUTED_VALUE"""),201000.0)</f>
        <v>201000</v>
      </c>
      <c r="R176" s="261">
        <f>IFERROR(__xludf.DUMMYFUNCTION("""COMPUTED_VALUE"""),367.0)</f>
        <v>367</v>
      </c>
      <c r="S176" s="258">
        <v>395.0</v>
      </c>
      <c r="T176" s="263">
        <v>0.9291139240506329</v>
      </c>
      <c r="U176" s="264">
        <v>124896.0</v>
      </c>
      <c r="V176" s="265">
        <v>201000.0</v>
      </c>
      <c r="W176" s="264">
        <v>124896.0</v>
      </c>
      <c r="X176" s="266" t="str">
        <f>IFERROR(__xludf.DUMMYFUNCTION("""COMPUTED_VALUE"""),"flabbergasted")</f>
        <v>flabbergasted</v>
      </c>
      <c r="Y176" s="267">
        <v>-0.01</v>
      </c>
      <c r="Z176" s="267">
        <v>0.9231997028422729</v>
      </c>
      <c r="AA176" s="269"/>
      <c r="AB176" s="270"/>
      <c r="AC176" s="270"/>
      <c r="AD176" s="270"/>
      <c r="AE176" s="270"/>
    </row>
    <row r="177">
      <c r="A177" s="256">
        <f>IFERROR(__xludf.DUMMYFUNCTION("""COMPUTED_VALUE"""),43597.33084166667)</f>
        <v>43597.33084</v>
      </c>
      <c r="B177" s="257" t="str">
        <f>IFERROR(__xludf.DUMMYFUNCTION("""COMPUTED_VALUE"""),"caddy123")</f>
        <v>caddy123</v>
      </c>
      <c r="C177" s="258" t="str">
        <f>IFERROR(__xludf.DUMMYFUNCTION("""COMPUTED_VALUE"""),"Europe (excluding UK) &amp; Asia Pacific")</f>
        <v>Europe (excluding UK) &amp; Asia Pacific</v>
      </c>
      <c r="D177" s="258" t="str">
        <f>IFERROR(__xludf.DUMMYFUNCTION("""COMPUTED_VALUE"""),"km. My car displays range in kilometres and I will enter all range numbers in kilometres.")</f>
        <v>km. My car displays range in kilometres and I will enter all range numbers in kilometres.</v>
      </c>
      <c r="E177" s="259">
        <f>IFERROR(__xludf.DUMMYFUNCTION("""COMPUTED_VALUE"""),41913.0)</f>
        <v>41913</v>
      </c>
      <c r="F177" s="258" t="str">
        <f>IFERROR(__xludf.DUMMYFUNCTION("""COMPUTED_VALUE"""),"Model S 85")</f>
        <v>Model S 85</v>
      </c>
      <c r="G177" s="258" t="str">
        <f>IFERROR(__xludf.DUMMYFUNCTION("""COMPUTED_VALUE"""),"Monthly")</f>
        <v>Monthly</v>
      </c>
      <c r="H177" s="258" t="str">
        <f>IFERROR(__xludf.DUMMYFUNCTION("""COMPUTED_VALUE"""),"A few times a year")</f>
        <v>A few times a year</v>
      </c>
      <c r="I177" s="258" t="str">
        <f>IFERROR(__xludf.DUMMYFUNCTION("""COMPUTED_VALUE"""),"A few times a year")</f>
        <v>A few times a year</v>
      </c>
      <c r="J177" s="260">
        <f>IFERROR(__xludf.DUMMYFUNCTION("""COMPUTED_VALUE"""),0.7)</f>
        <v>0.7</v>
      </c>
      <c r="K177" s="258" t="str">
        <f>IFERROR(__xludf.DUMMYFUNCTION("""COMPUTED_VALUE"""),"")</f>
        <v/>
      </c>
      <c r="L177" s="258" t="str">
        <f>IFERROR(__xludf.DUMMYFUNCTION("""COMPUTED_VALUE"""),"")</f>
        <v/>
      </c>
      <c r="M177" s="261" t="str">
        <f>IFERROR(__xludf.DUMMYFUNCTION("""COMPUTED_VALUE"""),"")</f>
        <v/>
      </c>
      <c r="N177" s="262" t="str">
        <f>IFERROR(__xludf.DUMMYFUNCTION("""COMPUTED_VALUE"""),"")</f>
        <v/>
      </c>
      <c r="O177" s="259" t="str">
        <f>IFERROR(__xludf.DUMMYFUNCTION("""COMPUTED_VALUE"""),"")</f>
        <v/>
      </c>
      <c r="P177" s="259">
        <f>IFERROR(__xludf.DUMMYFUNCTION("""COMPUTED_VALUE"""),43302.0)</f>
        <v>43302</v>
      </c>
      <c r="Q177" s="258">
        <f>IFERROR(__xludf.DUMMYFUNCTION("""COMPUTED_VALUE"""),98000.0)</f>
        <v>98000</v>
      </c>
      <c r="R177" s="261">
        <f>IFERROR(__xludf.DUMMYFUNCTION("""COMPUTED_VALUE"""),384.0)</f>
        <v>384</v>
      </c>
      <c r="S177" s="258">
        <v>395.0</v>
      </c>
      <c r="T177" s="263">
        <v>0.9721518987341772</v>
      </c>
      <c r="U177" s="264">
        <v>60894.0</v>
      </c>
      <c r="V177" s="265">
        <v>98000.0</v>
      </c>
      <c r="W177" s="264">
        <v>60894.0</v>
      </c>
      <c r="X177" s="266" t="str">
        <f>IFERROR(__xludf.DUMMYFUNCTION("""COMPUTED_VALUE"""),"flatlander")</f>
        <v>flatlander</v>
      </c>
      <c r="Y177" s="267">
        <v>-0.01</v>
      </c>
      <c r="Z177" s="267">
        <v>0.9470581790847977</v>
      </c>
      <c r="AA177" s="269"/>
      <c r="AB177" s="270"/>
      <c r="AC177" s="270"/>
      <c r="AD177" s="270"/>
      <c r="AE177" s="270"/>
    </row>
    <row r="178">
      <c r="A178" s="256">
        <f>IFERROR(__xludf.DUMMYFUNCTION("""COMPUTED_VALUE"""),43037.925)</f>
        <v>43037.925</v>
      </c>
      <c r="B178" s="257" t="str">
        <f>IFERROR(__xludf.DUMMYFUNCTION("""COMPUTED_VALUE"""),"CAHL")</f>
        <v>CAHL</v>
      </c>
      <c r="C178" s="258" t="str">
        <f>IFERROR(__xludf.DUMMYFUNCTION("""COMPUTED_VALUE"""),"Canada")</f>
        <v>Canada</v>
      </c>
      <c r="D178" s="258" t="str">
        <f>IFERROR(__xludf.DUMMYFUNCTION("""COMPUTED_VALUE"""),"km. My car displays range in kilometres and I will enter all range numbers in kilometres.")</f>
        <v>km. My car displays range in kilometres and I will enter all range numbers in kilometres.</v>
      </c>
      <c r="E178" s="259">
        <f>IFERROR(__xludf.DUMMYFUNCTION("""COMPUTED_VALUE"""),42781.0)</f>
        <v>42781</v>
      </c>
      <c r="F178" s="258" t="str">
        <f>IFERROR(__xludf.DUMMYFUNCTION("""COMPUTED_VALUE"""),"Model S 90D")</f>
        <v>Model S 90D</v>
      </c>
      <c r="G178" s="258" t="str">
        <f>IFERROR(__xludf.DUMMYFUNCTION("""COMPUTED_VALUE"""),"Twice a month")</f>
        <v>Twice a month</v>
      </c>
      <c r="H178" s="258" t="str">
        <f>IFERROR(__xludf.DUMMYFUNCTION("""COMPUTED_VALUE"""),"Monthly")</f>
        <v>Monthly</v>
      </c>
      <c r="I178" s="258" t="str">
        <f>IFERROR(__xludf.DUMMYFUNCTION("""COMPUTED_VALUE"""),"Never")</f>
        <v>Never</v>
      </c>
      <c r="J178" s="260">
        <f>IFERROR(__xludf.DUMMYFUNCTION("""COMPUTED_VALUE"""),0.6)</f>
        <v>0.6</v>
      </c>
      <c r="K178" s="258">
        <f>IFERROR(__xludf.DUMMYFUNCTION("""COMPUTED_VALUE"""),473.0)</f>
        <v>473</v>
      </c>
      <c r="L178" s="258" t="str">
        <f>IFERROR(__xludf.DUMMYFUNCTION("""COMPUTED_VALUE"""),"")</f>
        <v/>
      </c>
      <c r="M178" s="261">
        <f>IFERROR(__xludf.DUMMYFUNCTION("""COMPUTED_VALUE"""),197.0)</f>
        <v>197</v>
      </c>
      <c r="N178" s="262" t="str">
        <f>IFERROR(__xludf.DUMMYFUNCTION("""COMPUTED_VALUE"""),"")</f>
        <v/>
      </c>
      <c r="O178" s="259" t="str">
        <f>IFERROR(__xludf.DUMMYFUNCTION("""COMPUTED_VALUE"""),"")</f>
        <v/>
      </c>
      <c r="P178" s="259">
        <f>IFERROR(__xludf.DUMMYFUNCTION("""COMPUTED_VALUE"""),43037.0)</f>
        <v>43037</v>
      </c>
      <c r="Q178" s="258">
        <f>IFERROR(__xludf.DUMMYFUNCTION("""COMPUTED_VALUE"""),5704.0)</f>
        <v>5704</v>
      </c>
      <c r="R178" s="261">
        <f>IFERROR(__xludf.DUMMYFUNCTION("""COMPUTED_VALUE"""),469.0)</f>
        <v>469</v>
      </c>
      <c r="S178" s="258">
        <v>470.0</v>
      </c>
      <c r="T178" s="263">
        <v>0.997872340425532</v>
      </c>
      <c r="U178" s="264">
        <v>3544.0</v>
      </c>
      <c r="V178" s="265">
        <v>5704.0</v>
      </c>
      <c r="W178" s="264">
        <v>3544.0</v>
      </c>
      <c r="X178" s="266" t="str">
        <f>IFERROR(__xludf.DUMMYFUNCTION("""COMPUTED_VALUE"""),"floger")</f>
        <v>floger</v>
      </c>
      <c r="Y178" s="267">
        <v>-0.01</v>
      </c>
      <c r="Z178" s="267">
        <v>0.9900926895100192</v>
      </c>
      <c r="AA178" s="269"/>
      <c r="AB178" s="270"/>
      <c r="AC178" s="270"/>
      <c r="AD178" s="270"/>
      <c r="AE178" s="270"/>
    </row>
    <row r="179">
      <c r="A179" s="256">
        <f>IFERROR(__xludf.DUMMYFUNCTION("""COMPUTED_VALUE"""),42994.92569444445)</f>
        <v>42994.92569</v>
      </c>
      <c r="B179" s="257" t="str">
        <f>IFERROR(__xludf.DUMMYFUNCTION("""COMPUTED_VALUE"""),"CAHL")</f>
        <v>CAHL</v>
      </c>
      <c r="C179" s="258" t="str">
        <f>IFERROR(__xludf.DUMMYFUNCTION("""COMPUTED_VALUE"""),"Canada")</f>
        <v>Canada</v>
      </c>
      <c r="D179" s="258" t="str">
        <f>IFERROR(__xludf.DUMMYFUNCTION("""COMPUTED_VALUE"""),"km. My car displays range in kilometres and I will enter all range numbers in kilometres.")</f>
        <v>km. My car displays range in kilometres and I will enter all range numbers in kilometres.</v>
      </c>
      <c r="E179" s="259">
        <f>IFERROR(__xludf.DUMMYFUNCTION("""COMPUTED_VALUE"""),42781.0)</f>
        <v>42781</v>
      </c>
      <c r="F179" s="258" t="str">
        <f>IFERROR(__xludf.DUMMYFUNCTION("""COMPUTED_VALUE"""),"Model S 90D")</f>
        <v>Model S 90D</v>
      </c>
      <c r="G179" s="258" t="str">
        <f>IFERROR(__xludf.DUMMYFUNCTION("""COMPUTED_VALUE"""),"Twice a month")</f>
        <v>Twice a month</v>
      </c>
      <c r="H179" s="258" t="str">
        <f>IFERROR(__xludf.DUMMYFUNCTION("""COMPUTED_VALUE"""),"Monthly")</f>
        <v>Monthly</v>
      </c>
      <c r="I179" s="258" t="str">
        <f>IFERROR(__xludf.DUMMYFUNCTION("""COMPUTED_VALUE"""),"Never")</f>
        <v>Never</v>
      </c>
      <c r="J179" s="260">
        <f>IFERROR(__xludf.DUMMYFUNCTION("""COMPUTED_VALUE"""),0.6)</f>
        <v>0.6</v>
      </c>
      <c r="K179" s="258">
        <f>IFERROR(__xludf.DUMMYFUNCTION("""COMPUTED_VALUE"""),473.0)</f>
        <v>473</v>
      </c>
      <c r="L179" s="258" t="str">
        <f>IFERROR(__xludf.DUMMYFUNCTION("""COMPUTED_VALUE"""),"")</f>
        <v/>
      </c>
      <c r="M179" s="261">
        <f>IFERROR(__xludf.DUMMYFUNCTION("""COMPUTED_VALUE"""),195.0)</f>
        <v>195</v>
      </c>
      <c r="N179" s="262" t="str">
        <f>IFERROR(__xludf.DUMMYFUNCTION("""COMPUTED_VALUE"""),"")</f>
        <v/>
      </c>
      <c r="O179" s="259" t="str">
        <f>IFERROR(__xludf.DUMMYFUNCTION("""COMPUTED_VALUE"""),"")</f>
        <v/>
      </c>
      <c r="P179" s="259">
        <f>IFERROR(__xludf.DUMMYFUNCTION("""COMPUTED_VALUE"""),42994.0)</f>
        <v>42994</v>
      </c>
      <c r="Q179" s="258">
        <f>IFERROR(__xludf.DUMMYFUNCTION("""COMPUTED_VALUE"""),2647.0)</f>
        <v>2647</v>
      </c>
      <c r="R179" s="261">
        <f>IFERROR(__xludf.DUMMYFUNCTION("""COMPUTED_VALUE"""),472.0)</f>
        <v>472</v>
      </c>
      <c r="S179" s="258">
        <v>470.0</v>
      </c>
      <c r="T179" s="263">
        <v>1.004255319148936</v>
      </c>
      <c r="U179" s="264">
        <v>1645.0</v>
      </c>
      <c r="V179" s="265">
        <v>2647.0</v>
      </c>
      <c r="W179" s="264">
        <v>1645.0</v>
      </c>
      <c r="X179" s="266" t="str">
        <f>IFERROR(__xludf.DUMMYFUNCTION("""COMPUTED_VALUE"""),"florianuhlemann")</f>
        <v>florianuhlemann</v>
      </c>
      <c r="Y179" s="267">
        <v>-0.01</v>
      </c>
      <c r="Z179" s="267">
        <v>0.995047496877214</v>
      </c>
      <c r="AA179" s="269"/>
      <c r="AB179" s="270"/>
      <c r="AC179" s="270"/>
      <c r="AD179" s="270"/>
      <c r="AE179" s="270"/>
    </row>
    <row r="180">
      <c r="A180" s="256">
        <f>IFERROR(__xludf.DUMMYFUNCTION("""COMPUTED_VALUE"""),42297.2)</f>
        <v>42297.2</v>
      </c>
      <c r="B180" s="257" t="str">
        <f>IFERROR(__xludf.DUMMYFUNCTION("""COMPUTED_VALUE"""),"cairnz")</f>
        <v>cairnz</v>
      </c>
      <c r="C180" s="258" t="str">
        <f>IFERROR(__xludf.DUMMYFUNCTION("""COMPUTED_VALUE"""),"Europe (excluding UK) &amp; Asia Pacific")</f>
        <v>Europe (excluding UK) &amp; Asia Pacific</v>
      </c>
      <c r="D180" s="258" t="str">
        <f>IFERROR(__xludf.DUMMYFUNCTION("""COMPUTED_VALUE"""),"km. My car displays range in kilometres and I will enter all range numbers in kilometres.")</f>
        <v>km. My car displays range in kilometres and I will enter all range numbers in kilometres.</v>
      </c>
      <c r="E180" s="259">
        <f>IFERROR(__xludf.DUMMYFUNCTION("""COMPUTED_VALUE"""),41631.0)</f>
        <v>41631</v>
      </c>
      <c r="F180" s="258" t="str">
        <f>IFERROR(__xludf.DUMMYFUNCTION("""COMPUTED_VALUE"""),"Model S P85")</f>
        <v>Model S P85</v>
      </c>
      <c r="G180" s="258" t="str">
        <f>IFERROR(__xludf.DUMMYFUNCTION("""COMPUTED_VALUE"""),"Monthly")</f>
        <v>Monthly</v>
      </c>
      <c r="H180" s="258" t="str">
        <f>IFERROR(__xludf.DUMMYFUNCTION("""COMPUTED_VALUE"""),"A few times a year")</f>
        <v>A few times a year</v>
      </c>
      <c r="I180" s="258" t="str">
        <f>IFERROR(__xludf.DUMMYFUNCTION("""COMPUTED_VALUE"""),"Once or twice a year")</f>
        <v>Once or twice a year</v>
      </c>
      <c r="J180" s="260">
        <f>IFERROR(__xludf.DUMMYFUNCTION("""COMPUTED_VALUE"""),0.8)</f>
        <v>0.8</v>
      </c>
      <c r="K180" s="258">
        <f>IFERROR(__xludf.DUMMYFUNCTION("""COMPUTED_VALUE"""),404.0)</f>
        <v>404</v>
      </c>
      <c r="L180" s="258" t="str">
        <f>IFERROR(__xludf.DUMMYFUNCTION("""COMPUTED_VALUE"""),"")</f>
        <v/>
      </c>
      <c r="M180" s="261">
        <f>IFERROR(__xludf.DUMMYFUNCTION("""COMPUTED_VALUE"""),204.0)</f>
        <v>204</v>
      </c>
      <c r="N180" s="262" t="str">
        <f>IFERROR(__xludf.DUMMYFUNCTION("""COMPUTED_VALUE"""),"")</f>
        <v/>
      </c>
      <c r="O180" s="259" t="str">
        <f>IFERROR(__xludf.DUMMYFUNCTION("""COMPUTED_VALUE"""),"")</f>
        <v/>
      </c>
      <c r="P180" s="259">
        <f>IFERROR(__xludf.DUMMYFUNCTION("""COMPUTED_VALUE"""),42297.0)</f>
        <v>42297</v>
      </c>
      <c r="Q180" s="258">
        <f>IFERROR(__xludf.DUMMYFUNCTION("""COMPUTED_VALUE"""),114400.0)</f>
        <v>114400</v>
      </c>
      <c r="R180" s="261">
        <f>IFERROR(__xludf.DUMMYFUNCTION("""COMPUTED_VALUE"""),375.0)</f>
        <v>375</v>
      </c>
      <c r="S180" s="258">
        <v>395.0</v>
      </c>
      <c r="T180" s="263">
        <v>0.9493670886075949</v>
      </c>
      <c r="U180" s="264">
        <v>71085.0</v>
      </c>
      <c r="V180" s="265">
        <v>114400.0</v>
      </c>
      <c r="W180" s="264">
        <v>71085.0</v>
      </c>
      <c r="X180" s="266" t="str">
        <f>IFERROR(__xludf.DUMMYFUNCTION("""COMPUTED_VALUE"""),"fluelimat")</f>
        <v>fluelimat</v>
      </c>
      <c r="Y180" s="267">
        <v>-0.01</v>
      </c>
      <c r="Z180" s="267">
        <v>0.9432128229785722</v>
      </c>
      <c r="AA180" s="269"/>
      <c r="AB180" s="270"/>
      <c r="AC180" s="270"/>
      <c r="AD180" s="270"/>
      <c r="AE180" s="270"/>
    </row>
    <row r="181">
      <c r="A181" s="256">
        <f>IFERROR(__xludf.DUMMYFUNCTION("""COMPUTED_VALUE"""),43631.02436740741)</f>
        <v>43631.02437</v>
      </c>
      <c r="B181" s="257" t="str">
        <f>IFERROR(__xludf.DUMMYFUNCTION("""COMPUTED_VALUE"""),"Calif94577")</f>
        <v>Calif94577</v>
      </c>
      <c r="C181" s="258" t="str">
        <f>IFERROR(__xludf.DUMMYFUNCTION("""COMPUTED_VALUE"""),"USA")</f>
        <v>USA</v>
      </c>
      <c r="D181" s="258" t="str">
        <f>IFERROR(__xludf.DUMMYFUNCTION("""COMPUTED_VALUE"""),"mi. My car displays range in miles and I will enter all range numbers in miles.")</f>
        <v>mi. My car displays range in miles and I will enter all range numbers in miles.</v>
      </c>
      <c r="E181" s="259">
        <f>IFERROR(__xludf.DUMMYFUNCTION("""COMPUTED_VALUE"""),42534.0)</f>
        <v>42534</v>
      </c>
      <c r="F181" s="258" t="str">
        <f>IFERROR(__xludf.DUMMYFUNCTION("""COMPUTED_VALUE"""),"Model S 75D")</f>
        <v>Model S 75D</v>
      </c>
      <c r="G181" s="258" t="str">
        <f>IFERROR(__xludf.DUMMYFUNCTION("""COMPUTED_VALUE"""),"Twice a week")</f>
        <v>Twice a week</v>
      </c>
      <c r="H181" s="258" t="str">
        <f>IFERROR(__xludf.DUMMYFUNCTION("""COMPUTED_VALUE"""),"Twice a month")</f>
        <v>Twice a month</v>
      </c>
      <c r="I181" s="258" t="str">
        <f>IFERROR(__xludf.DUMMYFUNCTION("""COMPUTED_VALUE"""),"A few times a year")</f>
        <v>A few times a year</v>
      </c>
      <c r="J181" s="260">
        <f>IFERROR(__xludf.DUMMYFUNCTION("""COMPUTED_VALUE"""),0.8)</f>
        <v>0.8</v>
      </c>
      <c r="K181" s="258" t="str">
        <f>IFERROR(__xludf.DUMMYFUNCTION("""COMPUTED_VALUE"""),"")</f>
        <v/>
      </c>
      <c r="L181" s="258" t="str">
        <f>IFERROR(__xludf.DUMMYFUNCTION("""COMPUTED_VALUE"""),"")</f>
        <v/>
      </c>
      <c r="M181" s="261">
        <f>IFERROR(__xludf.DUMMYFUNCTION("""COMPUTED_VALUE"""),331.0)</f>
        <v>331</v>
      </c>
      <c r="N181" s="262" t="str">
        <f>IFERROR(__xludf.DUMMYFUNCTION("""COMPUTED_VALUE"""),"")</f>
        <v/>
      </c>
      <c r="O181" s="259" t="str">
        <f>IFERROR(__xludf.DUMMYFUNCTION("""COMPUTED_VALUE"""),"")</f>
        <v/>
      </c>
      <c r="P181" s="259">
        <f>IFERROR(__xludf.DUMMYFUNCTION("""COMPUTED_VALUE"""),43630.0)</f>
        <v>43630</v>
      </c>
      <c r="Q181" s="258">
        <f>IFERROR(__xludf.DUMMYFUNCTION("""COMPUTED_VALUE"""),61954.0)</f>
        <v>61954</v>
      </c>
      <c r="R181" s="261">
        <f>IFERROR(__xludf.DUMMYFUNCTION("""COMPUTED_VALUE"""),239.0)</f>
        <v>239</v>
      </c>
      <c r="S181" s="258">
        <v>259.0</v>
      </c>
      <c r="T181" s="263">
        <v>0.9227799227799228</v>
      </c>
      <c r="U181" s="264">
        <v>61954.0</v>
      </c>
      <c r="V181" s="265">
        <v>99705.0</v>
      </c>
      <c r="W181" s="264">
        <v>61954.0</v>
      </c>
      <c r="X181" s="266" t="str">
        <f>IFERROR(__xludf.DUMMYFUNCTION("""COMPUTED_VALUE"""),"fonberg")</f>
        <v>fonberg</v>
      </c>
      <c r="Y181" s="267">
        <v>-0.01</v>
      </c>
      <c r="Z181" s="267">
        <v>0.9466552913742705</v>
      </c>
      <c r="AA181" s="269"/>
      <c r="AB181" s="270"/>
      <c r="AC181" s="270"/>
      <c r="AD181" s="270"/>
      <c r="AE181" s="270"/>
    </row>
    <row r="182">
      <c r="A182" s="256">
        <f>IFERROR(__xludf.DUMMYFUNCTION("""COMPUTED_VALUE"""),43630.77976400463)</f>
        <v>43630.77976</v>
      </c>
      <c r="B182" s="257" t="str">
        <f>IFERROR(__xludf.DUMMYFUNCTION("""COMPUTED_VALUE"""),"Cambocovey")</f>
        <v>Cambocovey</v>
      </c>
      <c r="C182" s="258" t="str">
        <f>IFERROR(__xludf.DUMMYFUNCTION("""COMPUTED_VALUE"""),"USA")</f>
        <v>USA</v>
      </c>
      <c r="D182" s="258" t="str">
        <f>IFERROR(__xludf.DUMMYFUNCTION("""COMPUTED_VALUE"""),"mi. My car displays range in miles and I will enter all range numbers in miles.")</f>
        <v>mi. My car displays range in miles and I will enter all range numbers in miles.</v>
      </c>
      <c r="E182" s="259">
        <f>IFERROR(__xludf.DUMMYFUNCTION("""COMPUTED_VALUE"""),43191.0)</f>
        <v>43191</v>
      </c>
      <c r="F182" s="258" t="str">
        <f>IFERROR(__xludf.DUMMYFUNCTION("""COMPUTED_VALUE"""),"Model 3 LR")</f>
        <v>Model 3 LR</v>
      </c>
      <c r="G182" s="258" t="str">
        <f>IFERROR(__xludf.DUMMYFUNCTION("""COMPUTED_VALUE"""),"Once or twice a year")</f>
        <v>Once or twice a year</v>
      </c>
      <c r="H182" s="258" t="str">
        <f>IFERROR(__xludf.DUMMYFUNCTION("""COMPUTED_VALUE"""),"Never")</f>
        <v>Never</v>
      </c>
      <c r="I182" s="258" t="str">
        <f>IFERROR(__xludf.DUMMYFUNCTION("""COMPUTED_VALUE"""),"A few times a year")</f>
        <v>A few times a year</v>
      </c>
      <c r="J182" s="260">
        <f>IFERROR(__xludf.DUMMYFUNCTION("""COMPUTED_VALUE"""),0.9)</f>
        <v>0.9</v>
      </c>
      <c r="K182" s="258">
        <f>IFERROR(__xludf.DUMMYFUNCTION("""COMPUTED_VALUE"""),310.0)</f>
        <v>310</v>
      </c>
      <c r="L182" s="258" t="str">
        <f>IFERROR(__xludf.DUMMYFUNCTION("""COMPUTED_VALUE"""),"")</f>
        <v/>
      </c>
      <c r="M182" s="261">
        <f>IFERROR(__xludf.DUMMYFUNCTION("""COMPUTED_VALUE"""),243.0)</f>
        <v>243</v>
      </c>
      <c r="N182" s="262" t="str">
        <f>IFERROR(__xludf.DUMMYFUNCTION("""COMPUTED_VALUE"""),"")</f>
        <v/>
      </c>
      <c r="O182" s="259" t="str">
        <f>IFERROR(__xludf.DUMMYFUNCTION("""COMPUTED_VALUE"""),"")</f>
        <v/>
      </c>
      <c r="P182" s="259">
        <f>IFERROR(__xludf.DUMMYFUNCTION("""COMPUTED_VALUE"""),43620.0)</f>
        <v>43620</v>
      </c>
      <c r="Q182" s="258">
        <f>IFERROR(__xludf.DUMMYFUNCTION("""COMPUTED_VALUE"""),16500.0)</f>
        <v>16500</v>
      </c>
      <c r="R182" s="261">
        <f>IFERROR(__xludf.DUMMYFUNCTION("""COMPUTED_VALUE"""),319.0)</f>
        <v>319</v>
      </c>
      <c r="S182" s="258">
        <v>325.0</v>
      </c>
      <c r="T182" s="263">
        <v>0.9815384615384616</v>
      </c>
      <c r="U182" s="264">
        <v>16500.0</v>
      </c>
      <c r="V182" s="265">
        <v>26554.0</v>
      </c>
      <c r="W182" s="264">
        <v>16500.0</v>
      </c>
      <c r="X182" s="266" t="str">
        <f>IFERROR(__xludf.DUMMYFUNCTION("""COMPUTED_VALUE"""),"Forty Creek")</f>
        <v>Forty Creek</v>
      </c>
      <c r="Y182" s="267">
        <v>-0.01</v>
      </c>
      <c r="Z182" s="267">
        <v>0.9699357710715256</v>
      </c>
      <c r="AA182" s="269"/>
      <c r="AB182" s="270"/>
      <c r="AC182" s="270"/>
      <c r="AD182" s="270"/>
      <c r="AE182" s="270"/>
    </row>
    <row r="183">
      <c r="A183" s="256">
        <f>IFERROR(__xludf.DUMMYFUNCTION("""COMPUTED_VALUE"""),43758.63264579861)</f>
        <v>43758.63265</v>
      </c>
      <c r="B183" s="257" t="str">
        <f>IFERROR(__xludf.DUMMYFUNCTION("""COMPUTED_VALUE"""),"cambonp")</f>
        <v>cambonp</v>
      </c>
      <c r="C183" s="258" t="str">
        <f>IFERROR(__xludf.DUMMYFUNCTION("""COMPUTED_VALUE"""),"Europe (excluding UK) &amp; Asia Pacific")</f>
        <v>Europe (excluding UK) &amp; Asia Pacific</v>
      </c>
      <c r="D183" s="258" t="str">
        <f>IFERROR(__xludf.DUMMYFUNCTION("""COMPUTED_VALUE"""),"km. My car displays range in kilometres and I will enter all range numbers in kilometres.")</f>
        <v>km. My car displays range in kilometres and I will enter all range numbers in kilometres.</v>
      </c>
      <c r="E183" s="259">
        <f>IFERROR(__xludf.DUMMYFUNCTION("""COMPUTED_VALUE"""),42156.0)</f>
        <v>42156</v>
      </c>
      <c r="F183" s="258" t="str">
        <f>IFERROR(__xludf.DUMMYFUNCTION("""COMPUTED_VALUE"""),"Model S 85")</f>
        <v>Model S 85</v>
      </c>
      <c r="G183" s="258" t="str">
        <f>IFERROR(__xludf.DUMMYFUNCTION("""COMPUTED_VALUE"""),"Twice a week")</f>
        <v>Twice a week</v>
      </c>
      <c r="H183" s="258" t="str">
        <f>IFERROR(__xludf.DUMMYFUNCTION("""COMPUTED_VALUE"""),"Monthly")</f>
        <v>Monthly</v>
      </c>
      <c r="I183" s="258" t="str">
        <f>IFERROR(__xludf.DUMMYFUNCTION("""COMPUTED_VALUE"""),"")</f>
        <v/>
      </c>
      <c r="J183" s="260">
        <f>IFERROR(__xludf.DUMMYFUNCTION("""COMPUTED_VALUE"""),0.8)</f>
        <v>0.8</v>
      </c>
      <c r="K183" s="258" t="str">
        <f>IFERROR(__xludf.DUMMYFUNCTION("""COMPUTED_VALUE"""),"")</f>
        <v/>
      </c>
      <c r="L183" s="258" t="str">
        <f>IFERROR(__xludf.DUMMYFUNCTION("""COMPUTED_VALUE"""),"")</f>
        <v/>
      </c>
      <c r="M183" s="261" t="str">
        <f>IFERROR(__xludf.DUMMYFUNCTION("""COMPUTED_VALUE"""),"")</f>
        <v/>
      </c>
      <c r="N183" s="262" t="str">
        <f>IFERROR(__xludf.DUMMYFUNCTION("""COMPUTED_VALUE"""),"")</f>
        <v/>
      </c>
      <c r="O183" s="259" t="str">
        <f>IFERROR(__xludf.DUMMYFUNCTION("""COMPUTED_VALUE"""),"")</f>
        <v/>
      </c>
      <c r="P183" s="259">
        <f>IFERROR(__xludf.DUMMYFUNCTION("""COMPUTED_VALUE"""),43757.0)</f>
        <v>43757</v>
      </c>
      <c r="Q183" s="258">
        <f>IFERROR(__xludf.DUMMYFUNCTION("""COMPUTED_VALUE"""),199400.0)</f>
        <v>199400</v>
      </c>
      <c r="R183" s="261">
        <f>IFERROR(__xludf.DUMMYFUNCTION("""COMPUTED_VALUE"""),370.0)</f>
        <v>370</v>
      </c>
      <c r="S183" s="258">
        <v>395.0</v>
      </c>
      <c r="T183" s="263">
        <v>0.9367088607594937</v>
      </c>
      <c r="U183" s="264">
        <v>123901.0</v>
      </c>
      <c r="V183" s="265">
        <v>199400.0</v>
      </c>
      <c r="W183" s="264">
        <v>123901.0</v>
      </c>
      <c r="X183" s="266" t="str">
        <f>IFERROR(__xludf.DUMMYFUNCTION("""COMPUTED_VALUE"""),"Forza")</f>
        <v>Forza</v>
      </c>
      <c r="Y183" s="267">
        <v>-0.01</v>
      </c>
      <c r="Z183" s="267">
        <v>0.9235687630198064</v>
      </c>
      <c r="AA183" s="269"/>
      <c r="AB183" s="270"/>
      <c r="AC183" s="270"/>
      <c r="AD183" s="270"/>
      <c r="AE183" s="270"/>
    </row>
    <row r="184">
      <c r="A184" s="256">
        <f>IFERROR(__xludf.DUMMYFUNCTION("""COMPUTED_VALUE"""),43887.6591896875)</f>
        <v>43887.65919</v>
      </c>
      <c r="B184" s="257" t="str">
        <f>IFERROR(__xludf.DUMMYFUNCTION("""COMPUTED_VALUE"""),"camthehombre")</f>
        <v>camthehombre</v>
      </c>
      <c r="C184" s="258" t="str">
        <f>IFERROR(__xludf.DUMMYFUNCTION("""COMPUTED_VALUE"""),"USA")</f>
        <v>USA</v>
      </c>
      <c r="D184" s="258" t="str">
        <f>IFERROR(__xludf.DUMMYFUNCTION("""COMPUTED_VALUE"""),"mi. My car displays range in miles and I will enter all range numbers in miles.")</f>
        <v>mi. My car displays range in miles and I will enter all range numbers in miles.</v>
      </c>
      <c r="E184" s="259">
        <f>IFERROR(__xludf.DUMMYFUNCTION("""COMPUTED_VALUE"""),43191.0)</f>
        <v>43191</v>
      </c>
      <c r="F184" s="258" t="str">
        <f>IFERROR(__xludf.DUMMYFUNCTION("""COMPUTED_VALUE"""),"Model 3 LR")</f>
        <v>Model 3 LR</v>
      </c>
      <c r="G184" s="258" t="str">
        <f>IFERROR(__xludf.DUMMYFUNCTION("""COMPUTED_VALUE"""),"Twice a month")</f>
        <v>Twice a month</v>
      </c>
      <c r="H184" s="258" t="str">
        <f>IFERROR(__xludf.DUMMYFUNCTION("""COMPUTED_VALUE"""),"Monthly")</f>
        <v>Monthly</v>
      </c>
      <c r="I184" s="258" t="str">
        <f>IFERROR(__xludf.DUMMYFUNCTION("""COMPUTED_VALUE"""),"A few times a year")</f>
        <v>A few times a year</v>
      </c>
      <c r="J184" s="260">
        <f>IFERROR(__xludf.DUMMYFUNCTION("""COMPUTED_VALUE"""),0.9)</f>
        <v>0.9</v>
      </c>
      <c r="K184" s="258" t="str">
        <f>IFERROR(__xludf.DUMMYFUNCTION("""COMPUTED_VALUE"""),"")</f>
        <v/>
      </c>
      <c r="L184" s="258" t="str">
        <f>IFERROR(__xludf.DUMMYFUNCTION("""COMPUTED_VALUE"""),"")</f>
        <v/>
      </c>
      <c r="M184" s="261">
        <f>IFERROR(__xludf.DUMMYFUNCTION("""COMPUTED_VALUE"""),286.0)</f>
        <v>286</v>
      </c>
      <c r="N184" s="262" t="str">
        <f>IFERROR(__xludf.DUMMYFUNCTION("""COMPUTED_VALUE"""),"")</f>
        <v/>
      </c>
      <c r="O184" s="259" t="str">
        <f>IFERROR(__xludf.DUMMYFUNCTION("""COMPUTED_VALUE"""),"")</f>
        <v/>
      </c>
      <c r="P184" s="259">
        <f>IFERROR(__xludf.DUMMYFUNCTION("""COMPUTED_VALUE"""),43884.0)</f>
        <v>43884</v>
      </c>
      <c r="Q184" s="258">
        <f>IFERROR(__xludf.DUMMYFUNCTION("""COMPUTED_VALUE"""),29667.0)</f>
        <v>29667</v>
      </c>
      <c r="R184" s="261">
        <f>IFERROR(__xludf.DUMMYFUNCTION("""COMPUTED_VALUE"""),299.0)</f>
        <v>299</v>
      </c>
      <c r="S184" s="258">
        <v>325.0</v>
      </c>
      <c r="T184" s="263">
        <v>0.92</v>
      </c>
      <c r="U184" s="264">
        <v>29667.0</v>
      </c>
      <c r="V184" s="265">
        <v>47744.0</v>
      </c>
      <c r="W184" s="264">
        <v>29667.0</v>
      </c>
      <c r="X184" s="266" t="str">
        <f>IFERROR(__xludf.DUMMYFUNCTION("""COMPUTED_VALUE"""),"Fozzy D")</f>
        <v>Fozzy D</v>
      </c>
      <c r="Y184" s="267">
        <v>-0.01</v>
      </c>
      <c r="Z184" s="267">
        <v>0.9604438905705599</v>
      </c>
      <c r="AA184" s="269"/>
      <c r="AB184" s="270"/>
      <c r="AC184" s="270"/>
      <c r="AD184" s="270"/>
      <c r="AE184" s="270"/>
    </row>
    <row r="185">
      <c r="A185" s="256">
        <f>IFERROR(__xludf.DUMMYFUNCTION("""COMPUTED_VALUE"""),43887.6591896875)</f>
        <v>43887.65919</v>
      </c>
      <c r="B185" s="257" t="str">
        <f>IFERROR(__xludf.DUMMYFUNCTION("""COMPUTED_VALUE"""),"camthehombre")</f>
        <v>camthehombre</v>
      </c>
      <c r="C185" s="258" t="str">
        <f>IFERROR(__xludf.DUMMYFUNCTION("""COMPUTED_VALUE"""),"USA")</f>
        <v>USA</v>
      </c>
      <c r="D185" s="258" t="str">
        <f>IFERROR(__xludf.DUMMYFUNCTION("""COMPUTED_VALUE"""),"mi. My car displays range in miles and I will enter all range numbers in miles.")</f>
        <v>mi. My car displays range in miles and I will enter all range numbers in miles.</v>
      </c>
      <c r="E185" s="259">
        <f>IFERROR(__xludf.DUMMYFUNCTION("""COMPUTED_VALUE"""),43191.0)</f>
        <v>43191</v>
      </c>
      <c r="F185" s="258" t="str">
        <f>IFERROR(__xludf.DUMMYFUNCTION("""COMPUTED_VALUE"""),"Model 3 LR")</f>
        <v>Model 3 LR</v>
      </c>
      <c r="G185" s="258" t="str">
        <f>IFERROR(__xludf.DUMMYFUNCTION("""COMPUTED_VALUE"""),"Twice a month")</f>
        <v>Twice a month</v>
      </c>
      <c r="H185" s="258" t="str">
        <f>IFERROR(__xludf.DUMMYFUNCTION("""COMPUTED_VALUE"""),"Monthly")</f>
        <v>Monthly</v>
      </c>
      <c r="I185" s="258" t="str">
        <f>IFERROR(__xludf.DUMMYFUNCTION("""COMPUTED_VALUE"""),"A few times a year")</f>
        <v>A few times a year</v>
      </c>
      <c r="J185" s="260">
        <f>IFERROR(__xludf.DUMMYFUNCTION("""COMPUTED_VALUE"""),0.9)</f>
        <v>0.9</v>
      </c>
      <c r="K185" s="258" t="str">
        <f>IFERROR(__xludf.DUMMYFUNCTION("""COMPUTED_VALUE"""),"")</f>
        <v/>
      </c>
      <c r="L185" s="258" t="str">
        <f>IFERROR(__xludf.DUMMYFUNCTION("""COMPUTED_VALUE"""),"")</f>
        <v/>
      </c>
      <c r="M185" s="261">
        <f>IFERROR(__xludf.DUMMYFUNCTION("""COMPUTED_VALUE"""),286.0)</f>
        <v>286</v>
      </c>
      <c r="N185" s="262" t="str">
        <f>IFERROR(__xludf.DUMMYFUNCTION("""COMPUTED_VALUE"""),"")</f>
        <v/>
      </c>
      <c r="O185" s="259" t="str">
        <f>IFERROR(__xludf.DUMMYFUNCTION("""COMPUTED_VALUE"""),"")</f>
        <v/>
      </c>
      <c r="P185" s="259">
        <f>IFERROR(__xludf.DUMMYFUNCTION("""COMPUTED_VALUE"""),43806.0)</f>
        <v>43806</v>
      </c>
      <c r="Q185" s="258">
        <f>IFERROR(__xludf.DUMMYFUNCTION("""COMPUTED_VALUE"""),26000.0)</f>
        <v>26000</v>
      </c>
      <c r="R185" s="261">
        <f>IFERROR(__xludf.DUMMYFUNCTION("""COMPUTED_VALUE"""),308.0)</f>
        <v>308</v>
      </c>
      <c r="S185" s="258">
        <v>325.0</v>
      </c>
      <c r="T185" s="263">
        <v>0.9476923076923077</v>
      </c>
      <c r="U185" s="264">
        <v>26000.0</v>
      </c>
      <c r="V185" s="265">
        <v>41843.0</v>
      </c>
      <c r="W185" s="264">
        <v>26000.0</v>
      </c>
      <c r="X185" s="266" t="str">
        <f>IFERROR(__xludf.DUMMYFUNCTION("""COMPUTED_VALUE"""),"francop")</f>
        <v>francop</v>
      </c>
      <c r="Y185" s="267">
        <v>-0.01</v>
      </c>
      <c r="Z185" s="267">
        <v>0.9625811059091846</v>
      </c>
      <c r="AA185" s="269"/>
      <c r="AB185" s="270"/>
      <c r="AC185" s="270"/>
      <c r="AD185" s="270"/>
      <c r="AE185" s="270"/>
    </row>
    <row r="186">
      <c r="A186" s="256">
        <f>IFERROR(__xludf.DUMMYFUNCTION("""COMPUTED_VALUE"""),42841.525)</f>
        <v>42841.525</v>
      </c>
      <c r="B186" s="257" t="str">
        <f>IFERROR(__xludf.DUMMYFUNCTION("""COMPUTED_VALUE"""),"Canta")</f>
        <v>Canta</v>
      </c>
      <c r="C186" s="258" t="str">
        <f>IFERROR(__xludf.DUMMYFUNCTION("""COMPUTED_VALUE"""),"Europe (excluding UK) &amp; Asia Pacific")</f>
        <v>Europe (excluding UK) &amp; Asia Pacific</v>
      </c>
      <c r="D186" s="258" t="str">
        <f>IFERROR(__xludf.DUMMYFUNCTION("""COMPUTED_VALUE"""),"km. My car displays range in kilometres and I will enter all range numbers in kilometres.")</f>
        <v>km. My car displays range in kilometres and I will enter all range numbers in kilometres.</v>
      </c>
      <c r="E186" s="259">
        <f>IFERROR(__xludf.DUMMYFUNCTION("""COMPUTED_VALUE"""),41920.0)</f>
        <v>41920</v>
      </c>
      <c r="F186" s="258" t="str">
        <f>IFERROR(__xludf.DUMMYFUNCTION("""COMPUTED_VALUE"""),"Model S 85")</f>
        <v>Model S 85</v>
      </c>
      <c r="G186" s="258" t="str">
        <f>IFERROR(__xludf.DUMMYFUNCTION("""COMPUTED_VALUE"""),"Twice a month")</f>
        <v>Twice a month</v>
      </c>
      <c r="H186" s="258" t="str">
        <f>IFERROR(__xludf.DUMMYFUNCTION("""COMPUTED_VALUE"""),"Twice a month")</f>
        <v>Twice a month</v>
      </c>
      <c r="I186" s="258" t="str">
        <f>IFERROR(__xludf.DUMMYFUNCTION("""COMPUTED_VALUE"""),"A few times a year")</f>
        <v>A few times a year</v>
      </c>
      <c r="J186" s="260" t="str">
        <f>IFERROR(__xludf.DUMMYFUNCTION("""COMPUTED_VALUE"""),"")</f>
        <v/>
      </c>
      <c r="K186" s="258" t="str">
        <f>IFERROR(__xludf.DUMMYFUNCTION("""COMPUTED_VALUE"""),"")</f>
        <v/>
      </c>
      <c r="L186" s="258" t="str">
        <f>IFERROR(__xludf.DUMMYFUNCTION("""COMPUTED_VALUE"""),"")</f>
        <v/>
      </c>
      <c r="M186" s="261">
        <f>IFERROR(__xludf.DUMMYFUNCTION("""COMPUTED_VALUE"""),224.0)</f>
        <v>224</v>
      </c>
      <c r="N186" s="262" t="str">
        <f>IFERROR(__xludf.DUMMYFUNCTION("""COMPUTED_VALUE"""),"")</f>
        <v/>
      </c>
      <c r="O186" s="259" t="str">
        <f>IFERROR(__xludf.DUMMYFUNCTION("""COMPUTED_VALUE"""),"")</f>
        <v/>
      </c>
      <c r="P186" s="259">
        <f>IFERROR(__xludf.DUMMYFUNCTION("""COMPUTED_VALUE"""),42841.0)</f>
        <v>42841</v>
      </c>
      <c r="Q186" s="258">
        <f>IFERROR(__xludf.DUMMYFUNCTION("""COMPUTED_VALUE"""),117145.0)</f>
        <v>117145</v>
      </c>
      <c r="R186" s="261">
        <f>IFERROR(__xludf.DUMMYFUNCTION("""COMPUTED_VALUE"""),381.0)</f>
        <v>381</v>
      </c>
      <c r="S186" s="258">
        <v>395.0</v>
      </c>
      <c r="T186" s="263">
        <v>0.9645569620253165</v>
      </c>
      <c r="U186" s="264">
        <v>72791.0</v>
      </c>
      <c r="V186" s="265">
        <v>117145.0</v>
      </c>
      <c r="W186" s="264">
        <v>72791.0</v>
      </c>
      <c r="X186" s="266" t="str">
        <f>IFERROR(__xludf.DUMMYFUNCTION("""COMPUTED_VALUE"""),"frankvanhoesel")</f>
        <v>frankvanhoesel</v>
      </c>
      <c r="Y186" s="267">
        <v>-0.01</v>
      </c>
      <c r="Z186" s="267">
        <v>0.9425738931891332</v>
      </c>
      <c r="AA186" s="269"/>
      <c r="AB186" s="270"/>
      <c r="AC186" s="270"/>
      <c r="AD186" s="270"/>
      <c r="AE186" s="270"/>
    </row>
    <row r="187">
      <c r="A187" s="256">
        <f>IFERROR(__xludf.DUMMYFUNCTION("""COMPUTED_VALUE"""),42063.07847222222)</f>
        <v>42063.07847</v>
      </c>
      <c r="B187" s="257" t="str">
        <f>IFERROR(__xludf.DUMMYFUNCTION("""COMPUTED_VALUE"""),"CarlL")</f>
        <v>CarlL</v>
      </c>
      <c r="C187" s="258" t="str">
        <f>IFERROR(__xludf.DUMMYFUNCTION("""COMPUTED_VALUE"""),"Europe (excluding UK) &amp; Asia Pacific")</f>
        <v>Europe (excluding UK) &amp; Asia Pacific</v>
      </c>
      <c r="D187" s="258" t="str">
        <f>IFERROR(__xludf.DUMMYFUNCTION("""COMPUTED_VALUE"""),"km. My car displays range in kilometres and I will enter all range numbers in kilometres.")</f>
        <v>km. My car displays range in kilometres and I will enter all range numbers in kilometres.</v>
      </c>
      <c r="E187" s="259">
        <f>IFERROR(__xludf.DUMMYFUNCTION("""COMPUTED_VALUE"""),41598.0)</f>
        <v>41598</v>
      </c>
      <c r="F187" s="258" t="str">
        <f>IFERROR(__xludf.DUMMYFUNCTION("""COMPUTED_VALUE"""),"Model S 85")</f>
        <v>Model S 85</v>
      </c>
      <c r="G187" s="258" t="str">
        <f>IFERROR(__xludf.DUMMYFUNCTION("""COMPUTED_VALUE"""),"Never")</f>
        <v>Never</v>
      </c>
      <c r="H187" s="258" t="str">
        <f>IFERROR(__xludf.DUMMYFUNCTION("""COMPUTED_VALUE"""),"Never")</f>
        <v>Never</v>
      </c>
      <c r="I187" s="258" t="str">
        <f>IFERROR(__xludf.DUMMYFUNCTION("""COMPUTED_VALUE"""),"Never")</f>
        <v>Never</v>
      </c>
      <c r="J187" s="260" t="str">
        <f>IFERROR(__xludf.DUMMYFUNCTION("""COMPUTED_VALUE"""),"")</f>
        <v/>
      </c>
      <c r="K187" s="258" t="str">
        <f>IFERROR(__xludf.DUMMYFUNCTION("""COMPUTED_VALUE"""),"")</f>
        <v/>
      </c>
      <c r="L187" s="258" t="str">
        <f>IFERROR(__xludf.DUMMYFUNCTION("""COMPUTED_VALUE"""),"")</f>
        <v/>
      </c>
      <c r="M187" s="261">
        <f>IFERROR(__xludf.DUMMYFUNCTION("""COMPUTED_VALUE"""),242.0)</f>
        <v>242</v>
      </c>
      <c r="N187" s="262" t="str">
        <f>IFERROR(__xludf.DUMMYFUNCTION("""COMPUTED_VALUE"""),"")</f>
        <v/>
      </c>
      <c r="O187" s="259" t="str">
        <f>IFERROR(__xludf.DUMMYFUNCTION("""COMPUTED_VALUE"""),"")</f>
        <v/>
      </c>
      <c r="P187" s="259">
        <f>IFERROR(__xludf.DUMMYFUNCTION("""COMPUTED_VALUE"""),42063.0)</f>
        <v>42063</v>
      </c>
      <c r="Q187" s="258">
        <f>IFERROR(__xludf.DUMMYFUNCTION("""COMPUTED_VALUE"""),30100.0)</f>
        <v>30100</v>
      </c>
      <c r="R187" s="261">
        <f>IFERROR(__xludf.DUMMYFUNCTION("""COMPUTED_VALUE"""),380.0)</f>
        <v>380</v>
      </c>
      <c r="S187" s="258">
        <v>395.0</v>
      </c>
      <c r="T187" s="263">
        <v>0.9620253164556962</v>
      </c>
      <c r="U187" s="264">
        <v>18703.0</v>
      </c>
      <c r="V187" s="265">
        <v>30100.0</v>
      </c>
      <c r="W187" s="264">
        <v>18703.0</v>
      </c>
      <c r="X187" s="266" t="str">
        <f>IFERROR(__xludf.DUMMYFUNCTION("""COMPUTED_VALUE"""),"fren")</f>
        <v>fren</v>
      </c>
      <c r="Y187" s="267">
        <v>-0.01</v>
      </c>
      <c r="Z187" s="267">
        <v>0.9679067875636301</v>
      </c>
      <c r="AA187" s="269"/>
      <c r="AB187" s="270"/>
      <c r="AC187" s="270"/>
      <c r="AD187" s="270"/>
      <c r="AE187" s="270"/>
    </row>
    <row r="188">
      <c r="A188" s="256">
        <f>IFERROR(__xludf.DUMMYFUNCTION("""COMPUTED_VALUE"""),42405.28263888889)</f>
        <v>42405.28264</v>
      </c>
      <c r="B188" s="257" t="str">
        <f>IFERROR(__xludf.DUMMYFUNCTION("""COMPUTED_VALUE"""),"CarlL")</f>
        <v>CarlL</v>
      </c>
      <c r="C188" s="258" t="str">
        <f>IFERROR(__xludf.DUMMYFUNCTION("""COMPUTED_VALUE"""),"Europe (excluding UK) &amp; Asia Pacific")</f>
        <v>Europe (excluding UK) &amp; Asia Pacific</v>
      </c>
      <c r="D188" s="258" t="str">
        <f>IFERROR(__xludf.DUMMYFUNCTION("""COMPUTED_VALUE"""),"km. My car displays range in kilometres and I will enter all range numbers in kilometres.")</f>
        <v>km. My car displays range in kilometres and I will enter all range numbers in kilometres.</v>
      </c>
      <c r="E188" s="259">
        <f>IFERROR(__xludf.DUMMYFUNCTION("""COMPUTED_VALUE"""),41598.0)</f>
        <v>41598</v>
      </c>
      <c r="F188" s="258" t="str">
        <f>IFERROR(__xludf.DUMMYFUNCTION("""COMPUTED_VALUE"""),"Model S 85")</f>
        <v>Model S 85</v>
      </c>
      <c r="G188" s="258" t="str">
        <f>IFERROR(__xludf.DUMMYFUNCTION("""COMPUTED_VALUE"""),"Monthly")</f>
        <v>Monthly</v>
      </c>
      <c r="H188" s="258" t="str">
        <f>IFERROR(__xludf.DUMMYFUNCTION("""COMPUTED_VALUE"""),"A few times a year")</f>
        <v>A few times a year</v>
      </c>
      <c r="I188" s="258" t="str">
        <f>IFERROR(__xludf.DUMMYFUNCTION("""COMPUTED_VALUE"""),"A few times a year")</f>
        <v>A few times a year</v>
      </c>
      <c r="J188" s="260">
        <f>IFERROR(__xludf.DUMMYFUNCTION("""COMPUTED_VALUE"""),0.9)</f>
        <v>0.9</v>
      </c>
      <c r="K188" s="258" t="str">
        <f>IFERROR(__xludf.DUMMYFUNCTION("""COMPUTED_VALUE"""),"")</f>
        <v/>
      </c>
      <c r="L188" s="258" t="str">
        <f>IFERROR(__xludf.DUMMYFUNCTION("""COMPUTED_VALUE"""),"")</f>
        <v/>
      </c>
      <c r="M188" s="261">
        <f>IFERROR(__xludf.DUMMYFUNCTION("""COMPUTED_VALUE"""),218.0)</f>
        <v>218</v>
      </c>
      <c r="N188" s="262">
        <f>IFERROR(__xludf.DUMMYFUNCTION("""COMPUTED_VALUE"""),35000.0)</f>
        <v>35000</v>
      </c>
      <c r="O188" s="259" t="str">
        <f>IFERROR(__xludf.DUMMYFUNCTION("""COMPUTED_VALUE"""),"It didn't change")</f>
        <v>It didn't change</v>
      </c>
      <c r="P188" s="259">
        <f>IFERROR(__xludf.DUMMYFUNCTION("""COMPUTED_VALUE"""),42405.0)</f>
        <v>42405</v>
      </c>
      <c r="Q188" s="258">
        <f>IFERROR(__xludf.DUMMYFUNCTION("""COMPUTED_VALUE"""),58000.0)</f>
        <v>58000</v>
      </c>
      <c r="R188" s="261">
        <f>IFERROR(__xludf.DUMMYFUNCTION("""COMPUTED_VALUE"""),371.0)</f>
        <v>371</v>
      </c>
      <c r="S188" s="258">
        <v>395.0</v>
      </c>
      <c r="T188" s="263">
        <v>0.9392405063291139</v>
      </c>
      <c r="U188" s="264">
        <v>36040.0</v>
      </c>
      <c r="V188" s="265">
        <v>58000.0</v>
      </c>
      <c r="W188" s="264">
        <v>36040.0</v>
      </c>
      <c r="X188" s="266" t="str">
        <f>IFERROR(__xludf.DUMMYFUNCTION("""COMPUTED_VALUE"""),"Frodo_ax")</f>
        <v>Frodo_ax</v>
      </c>
      <c r="Y188" s="267">
        <v>-0.01</v>
      </c>
      <c r="Z188" s="267">
        <v>0.957226618669855</v>
      </c>
      <c r="AA188" s="269"/>
      <c r="AB188" s="270"/>
      <c r="AC188" s="270"/>
      <c r="AD188" s="270"/>
      <c r="AE188" s="270"/>
    </row>
    <row r="189">
      <c r="A189" s="256">
        <f>IFERROR(__xludf.DUMMYFUNCTION("""COMPUTED_VALUE"""),42550.36041666666)</f>
        <v>42550.36042</v>
      </c>
      <c r="B189" s="257" t="str">
        <f>IFERROR(__xludf.DUMMYFUNCTION("""COMPUTED_VALUE"""),"CarlL")</f>
        <v>CarlL</v>
      </c>
      <c r="C189" s="258" t="str">
        <f>IFERROR(__xludf.DUMMYFUNCTION("""COMPUTED_VALUE"""),"Europe (excluding UK) &amp; Asia Pacific")</f>
        <v>Europe (excluding UK) &amp; Asia Pacific</v>
      </c>
      <c r="D189" s="258" t="str">
        <f>IFERROR(__xludf.DUMMYFUNCTION("""COMPUTED_VALUE"""),"km. My car displays range in kilometres and I will enter all range numbers in kilometres.")</f>
        <v>km. My car displays range in kilometres and I will enter all range numbers in kilometres.</v>
      </c>
      <c r="E189" s="259">
        <f>IFERROR(__xludf.DUMMYFUNCTION("""COMPUTED_VALUE"""),42362.0)</f>
        <v>42362</v>
      </c>
      <c r="F189" s="258" t="str">
        <f>IFERROR(__xludf.DUMMYFUNCTION("""COMPUTED_VALUE"""),"Model S 85D")</f>
        <v>Model S 85D</v>
      </c>
      <c r="G189" s="258" t="str">
        <f>IFERROR(__xludf.DUMMYFUNCTION("""COMPUTED_VALUE"""),"")</f>
        <v/>
      </c>
      <c r="H189" s="258" t="str">
        <f>IFERROR(__xludf.DUMMYFUNCTION("""COMPUTED_VALUE"""),"")</f>
        <v/>
      </c>
      <c r="I189" s="258" t="str">
        <f>IFERROR(__xludf.DUMMYFUNCTION("""COMPUTED_VALUE"""),"")</f>
        <v/>
      </c>
      <c r="J189" s="260" t="str">
        <f>IFERROR(__xludf.DUMMYFUNCTION("""COMPUTED_VALUE"""),"")</f>
        <v/>
      </c>
      <c r="K189" s="258" t="str">
        <f>IFERROR(__xludf.DUMMYFUNCTION("""COMPUTED_VALUE"""),"")</f>
        <v/>
      </c>
      <c r="L189" s="258" t="str">
        <f>IFERROR(__xludf.DUMMYFUNCTION("""COMPUTED_VALUE"""),"")</f>
        <v/>
      </c>
      <c r="M189" s="261">
        <f>IFERROR(__xludf.DUMMYFUNCTION("""COMPUTED_VALUE"""),218.0)</f>
        <v>218</v>
      </c>
      <c r="N189" s="262" t="str">
        <f>IFERROR(__xludf.DUMMYFUNCTION("""COMPUTED_VALUE"""),"")</f>
        <v/>
      </c>
      <c r="O189" s="259" t="str">
        <f>IFERROR(__xludf.DUMMYFUNCTION("""COMPUTED_VALUE"""),"")</f>
        <v/>
      </c>
      <c r="P189" s="259">
        <f>IFERROR(__xludf.DUMMYFUNCTION("""COMPUTED_VALUE"""),42550.0)</f>
        <v>42550</v>
      </c>
      <c r="Q189" s="258">
        <f>IFERROR(__xludf.DUMMYFUNCTION("""COMPUTED_VALUE"""),12000.0)</f>
        <v>12000</v>
      </c>
      <c r="R189" s="261">
        <f>IFERROR(__xludf.DUMMYFUNCTION("""COMPUTED_VALUE"""),430.0)</f>
        <v>430</v>
      </c>
      <c r="S189" s="258">
        <v>425.0</v>
      </c>
      <c r="T189" s="263">
        <v>1.011764705882353</v>
      </c>
      <c r="U189" s="264">
        <v>7456.0</v>
      </c>
      <c r="V189" s="265">
        <v>12000.0</v>
      </c>
      <c r="W189" s="264">
        <v>7456.0</v>
      </c>
      <c r="X189" s="266" t="str">
        <f>IFERROR(__xludf.DUMMYFUNCTION("""COMPUTED_VALUE"""),"fsch")</f>
        <v>fsch</v>
      </c>
      <c r="Y189" s="267">
        <v>-0.01</v>
      </c>
      <c r="Z189" s="267">
        <v>0.9819432340176522</v>
      </c>
      <c r="AA189" s="269"/>
      <c r="AB189" s="270"/>
      <c r="AC189" s="270"/>
      <c r="AD189" s="270"/>
      <c r="AE189" s="270"/>
    </row>
    <row r="190">
      <c r="A190" s="256">
        <f>IFERROR(__xludf.DUMMYFUNCTION("""COMPUTED_VALUE"""),41907.01597222222)</f>
        <v>41907.01597</v>
      </c>
      <c r="B190" s="257" t="str">
        <f>IFERROR(__xludf.DUMMYFUNCTION("""COMPUTED_VALUE"""),"CarlosW")</f>
        <v>CarlosW</v>
      </c>
      <c r="C190" s="258" t="str">
        <f>IFERROR(__xludf.DUMMYFUNCTION("""COMPUTED_VALUE"""),"Europe (excluding UK) &amp; Asia Pacific")</f>
        <v>Europe (excluding UK) &amp; Asia Pacific</v>
      </c>
      <c r="D190" s="258" t="str">
        <f>IFERROR(__xludf.DUMMYFUNCTION("""COMPUTED_VALUE"""),"km. My car displays range in kilometres and I will enter all range numbers in kilometres.")</f>
        <v>km. My car displays range in kilometres and I will enter all range numbers in kilometres.</v>
      </c>
      <c r="E190" s="259">
        <f>IFERROR(__xludf.DUMMYFUNCTION("""COMPUTED_VALUE"""),41591.0)</f>
        <v>41591</v>
      </c>
      <c r="F190" s="258" t="str">
        <f>IFERROR(__xludf.DUMMYFUNCTION("""COMPUTED_VALUE"""),"Model S 60")</f>
        <v>Model S 60</v>
      </c>
      <c r="G190" s="258" t="str">
        <f>IFERROR(__xludf.DUMMYFUNCTION("""COMPUTED_VALUE"""),"A few times a year")</f>
        <v>A few times a year</v>
      </c>
      <c r="H190" s="258" t="str">
        <f>IFERROR(__xludf.DUMMYFUNCTION("""COMPUTED_VALUE"""),"Once or twice a year")</f>
        <v>Once or twice a year</v>
      </c>
      <c r="I190" s="258" t="str">
        <f>IFERROR(__xludf.DUMMYFUNCTION("""COMPUTED_VALUE"""),"Never")</f>
        <v>Never</v>
      </c>
      <c r="J190" s="260" t="str">
        <f>IFERROR(__xludf.DUMMYFUNCTION("""COMPUTED_VALUE"""),"")</f>
        <v/>
      </c>
      <c r="K190" s="258" t="str">
        <f>IFERROR(__xludf.DUMMYFUNCTION("""COMPUTED_VALUE"""),"")</f>
        <v/>
      </c>
      <c r="L190" s="258" t="str">
        <f>IFERROR(__xludf.DUMMYFUNCTION("""COMPUTED_VALUE"""),"")</f>
        <v/>
      </c>
      <c r="M190" s="261">
        <f>IFERROR(__xludf.DUMMYFUNCTION("""COMPUTED_VALUE"""),231.0)</f>
        <v>231</v>
      </c>
      <c r="N190" s="262" t="str">
        <f>IFERROR(__xludf.DUMMYFUNCTION("""COMPUTED_VALUE"""),"")</f>
        <v/>
      </c>
      <c r="O190" s="259" t="str">
        <f>IFERROR(__xludf.DUMMYFUNCTION("""COMPUTED_VALUE"""),"")</f>
        <v/>
      </c>
      <c r="P190" s="259">
        <f>IFERROR(__xludf.DUMMYFUNCTION("""COMPUTED_VALUE"""),41907.0)</f>
        <v>41907</v>
      </c>
      <c r="Q190" s="258">
        <f>IFERROR(__xludf.DUMMYFUNCTION("""COMPUTED_VALUE"""),15300.0)</f>
        <v>15300</v>
      </c>
      <c r="R190" s="261">
        <f>IFERROR(__xludf.DUMMYFUNCTION("""COMPUTED_VALUE"""),285.0)</f>
        <v>285</v>
      </c>
      <c r="S190" s="258">
        <v>284.0</v>
      </c>
      <c r="T190" s="263">
        <v>1.0035211267605635</v>
      </c>
      <c r="U190" s="264">
        <v>9507.0</v>
      </c>
      <c r="V190" s="265">
        <v>15300.0</v>
      </c>
      <c r="W190" s="264">
        <v>9507.0</v>
      </c>
      <c r="X190" s="266" t="str">
        <f>IFERROR(__xludf.DUMMYFUNCTION("""COMPUTED_VALUE"""),"Fuelman")</f>
        <v>Fuelman</v>
      </c>
      <c r="Y190" s="267">
        <v>-0.01</v>
      </c>
      <c r="Z190" s="267">
        <v>0.9785369805166184</v>
      </c>
      <c r="AA190" s="269"/>
      <c r="AB190" s="270"/>
      <c r="AC190" s="270"/>
      <c r="AD190" s="270"/>
      <c r="AE190" s="270"/>
    </row>
    <row r="191">
      <c r="A191" s="256">
        <f>IFERROR(__xludf.DUMMYFUNCTION("""COMPUTED_VALUE"""),43769.40635549769)</f>
        <v>43769.40636</v>
      </c>
      <c r="B191" s="257" t="str">
        <f>IFERROR(__xludf.DUMMYFUNCTION("""COMPUTED_VALUE"""),"Carmen")</f>
        <v>Carmen</v>
      </c>
      <c r="C191" s="258" t="str">
        <f>IFERROR(__xludf.DUMMYFUNCTION("""COMPUTED_VALUE"""),"UK")</f>
        <v>UK</v>
      </c>
      <c r="D191" s="258" t="str">
        <f>IFERROR(__xludf.DUMMYFUNCTION("""COMPUTED_VALUE"""),"mi. My car displays range in miles and I will enter all range numbers in miles.")</f>
        <v>mi. My car displays range in miles and I will enter all range numbers in miles.</v>
      </c>
      <c r="E191" s="259">
        <f>IFERROR(__xludf.DUMMYFUNCTION("""COMPUTED_VALUE"""),43682.0)</f>
        <v>43682</v>
      </c>
      <c r="F191" s="258" t="str">
        <f>IFERROR(__xludf.DUMMYFUNCTION("""COMPUTED_VALUE"""),"Model 3 SR+")</f>
        <v>Model 3 SR+</v>
      </c>
      <c r="G191" s="258" t="str">
        <f>IFERROR(__xludf.DUMMYFUNCTION("""COMPUTED_VALUE"""),"Twice a month")</f>
        <v>Twice a month</v>
      </c>
      <c r="H191" s="258" t="str">
        <f>IFERROR(__xludf.DUMMYFUNCTION("""COMPUTED_VALUE"""),"Twice a month")</f>
        <v>Twice a month</v>
      </c>
      <c r="I191" s="258" t="str">
        <f>IFERROR(__xludf.DUMMYFUNCTION("""COMPUTED_VALUE"""),"")</f>
        <v/>
      </c>
      <c r="J191" s="260">
        <f>IFERROR(__xludf.DUMMYFUNCTION("""COMPUTED_VALUE"""),0.7)</f>
        <v>0.7</v>
      </c>
      <c r="K191" s="258">
        <f>IFERROR(__xludf.DUMMYFUNCTION("""COMPUTED_VALUE"""),248.0)</f>
        <v>248</v>
      </c>
      <c r="L191" s="258" t="str">
        <f>IFERROR(__xludf.DUMMYFUNCTION("""COMPUTED_VALUE"""),"")</f>
        <v/>
      </c>
      <c r="M191" s="261">
        <f>IFERROR(__xludf.DUMMYFUNCTION("""COMPUTED_VALUE"""),242.0)</f>
        <v>242</v>
      </c>
      <c r="N191" s="262" t="str">
        <f>IFERROR(__xludf.DUMMYFUNCTION("""COMPUTED_VALUE"""),"")</f>
        <v/>
      </c>
      <c r="O191" s="259" t="str">
        <f>IFERROR(__xludf.DUMMYFUNCTION("""COMPUTED_VALUE"""),"")</f>
        <v/>
      </c>
      <c r="P191" s="259">
        <f>IFERROR(__xludf.DUMMYFUNCTION("""COMPUTED_VALUE"""),43769.0)</f>
        <v>43769</v>
      </c>
      <c r="Q191" s="258">
        <f>IFERROR(__xludf.DUMMYFUNCTION("""COMPUTED_VALUE"""),2365.0)</f>
        <v>2365</v>
      </c>
      <c r="R191" s="261">
        <f>IFERROR(__xludf.DUMMYFUNCTION("""COMPUTED_VALUE"""),236.0)</f>
        <v>236</v>
      </c>
      <c r="S191" s="258">
        <v>258.0</v>
      </c>
      <c r="T191" s="263">
        <v>0.9147286821705426</v>
      </c>
      <c r="U191" s="264">
        <v>2365.0</v>
      </c>
      <c r="V191" s="265">
        <v>3806.0</v>
      </c>
      <c r="W191" s="264">
        <v>2365.0</v>
      </c>
      <c r="X191" s="266" t="str">
        <f>IFERROR(__xludf.DUMMYFUNCTION("""COMPUTED_VALUE"""),"FVO")</f>
        <v>FVO</v>
      </c>
      <c r="Y191" s="267">
        <v>-0.01</v>
      </c>
      <c r="Z191" s="267">
        <v>0.9930795036822755</v>
      </c>
      <c r="AA191" s="269"/>
      <c r="AB191" s="270"/>
      <c r="AC191" s="270"/>
      <c r="AD191" s="270"/>
      <c r="AE191" s="270"/>
    </row>
    <row r="192">
      <c r="A192" s="256">
        <f>IFERROR(__xludf.DUMMYFUNCTION("""COMPUTED_VALUE"""),43721.49463163194)</f>
        <v>43721.49463</v>
      </c>
      <c r="B192" s="257" t="str">
        <f>IFERROR(__xludf.DUMMYFUNCTION("""COMPUTED_VALUE"""),"caspakomiker")</f>
        <v>caspakomiker</v>
      </c>
      <c r="C192" s="258" t="str">
        <f>IFERROR(__xludf.DUMMYFUNCTION("""COMPUTED_VALUE"""),"Canada")</f>
        <v>Canada</v>
      </c>
      <c r="D192" s="258" t="str">
        <f>IFERROR(__xludf.DUMMYFUNCTION("""COMPUTED_VALUE"""),"km. My car displays range in kilometres and I will enter all range numbers in kilometres.")</f>
        <v>km. My car displays range in kilometres and I will enter all range numbers in kilometres.</v>
      </c>
      <c r="E192" s="259">
        <f>IFERROR(__xludf.DUMMYFUNCTION("""COMPUTED_VALUE"""),41932.0)</f>
        <v>41932</v>
      </c>
      <c r="F192" s="258" t="str">
        <f>IFERROR(__xludf.DUMMYFUNCTION("""COMPUTED_VALUE"""),"Model S 85")</f>
        <v>Model S 85</v>
      </c>
      <c r="G192" s="258" t="str">
        <f>IFERROR(__xludf.DUMMYFUNCTION("""COMPUTED_VALUE"""),"Twice a month")</f>
        <v>Twice a month</v>
      </c>
      <c r="H192" s="258" t="str">
        <f>IFERROR(__xludf.DUMMYFUNCTION("""COMPUTED_VALUE"""),"A few times a year")</f>
        <v>A few times a year</v>
      </c>
      <c r="I192" s="258" t="str">
        <f>IFERROR(__xludf.DUMMYFUNCTION("""COMPUTED_VALUE"""),"Monthly")</f>
        <v>Monthly</v>
      </c>
      <c r="J192" s="260">
        <f>IFERROR(__xludf.DUMMYFUNCTION("""COMPUTED_VALUE"""),0.9)</f>
        <v>0.9</v>
      </c>
      <c r="K192" s="258">
        <f>IFERROR(__xludf.DUMMYFUNCTION("""COMPUTED_VALUE"""),404.0)</f>
        <v>404</v>
      </c>
      <c r="L192" s="258">
        <f>IFERROR(__xludf.DUMMYFUNCTION("""COMPUTED_VALUE"""),220.0)</f>
        <v>220</v>
      </c>
      <c r="M192" s="261" t="str">
        <f>IFERROR(__xludf.DUMMYFUNCTION("""COMPUTED_VALUE"""),"")</f>
        <v/>
      </c>
      <c r="N192" s="262" t="str">
        <f>IFERROR(__xludf.DUMMYFUNCTION("""COMPUTED_VALUE"""),"")</f>
        <v/>
      </c>
      <c r="O192" s="259" t="str">
        <f>IFERROR(__xludf.DUMMYFUNCTION("""COMPUTED_VALUE"""),"")</f>
        <v/>
      </c>
      <c r="P192" s="259">
        <f>IFERROR(__xludf.DUMMYFUNCTION("""COMPUTED_VALUE"""),43721.0)</f>
        <v>43721</v>
      </c>
      <c r="Q192" s="258">
        <f>IFERROR(__xludf.DUMMYFUNCTION("""COMPUTED_VALUE"""),208800.0)</f>
        <v>208800</v>
      </c>
      <c r="R192" s="261">
        <f>IFERROR(__xludf.DUMMYFUNCTION("""COMPUTED_VALUE"""),365.0)</f>
        <v>365</v>
      </c>
      <c r="S192" s="258">
        <v>428.0</v>
      </c>
      <c r="T192" s="263">
        <v>0.852803738317757</v>
      </c>
      <c r="U192" s="264">
        <v>129742.0</v>
      </c>
      <c r="V192" s="265">
        <v>208800.0</v>
      </c>
      <c r="W192" s="264">
        <v>129742.0</v>
      </c>
      <c r="X192" s="266" t="str">
        <f>IFERROR(__xludf.DUMMYFUNCTION("""COMPUTED_VALUE"""),"Gabeincal")</f>
        <v>Gabeincal</v>
      </c>
      <c r="Y192" s="267">
        <v>-0.01</v>
      </c>
      <c r="Z192" s="267">
        <v>0.9214005628069961</v>
      </c>
      <c r="AA192" s="269"/>
      <c r="AB192" s="270"/>
      <c r="AC192" s="270"/>
      <c r="AD192" s="270"/>
      <c r="AE192" s="270"/>
    </row>
    <row r="193">
      <c r="A193" s="256">
        <f>IFERROR(__xludf.DUMMYFUNCTION("""COMPUTED_VALUE"""),42304.21527777778)</f>
        <v>42304.21528</v>
      </c>
      <c r="B193" s="257" t="str">
        <f>IFERROR(__xludf.DUMMYFUNCTION("""COMPUTED_VALUE"""),"Cato76")</f>
        <v>Cato76</v>
      </c>
      <c r="C193" s="258" t="str">
        <f>IFERROR(__xludf.DUMMYFUNCTION("""COMPUTED_VALUE"""),"Europe (excluding UK) &amp; Asia Pacific")</f>
        <v>Europe (excluding UK) &amp; Asia Pacific</v>
      </c>
      <c r="D193" s="258" t="str">
        <f>IFERROR(__xludf.DUMMYFUNCTION("""COMPUTED_VALUE"""),"km. My car displays range in kilometres and I will enter all range numbers in kilometres.")</f>
        <v>km. My car displays range in kilometres and I will enter all range numbers in kilometres.</v>
      </c>
      <c r="E193" s="259">
        <f>IFERROR(__xludf.DUMMYFUNCTION("""COMPUTED_VALUE"""),41530.0)</f>
        <v>41530</v>
      </c>
      <c r="F193" s="258" t="str">
        <f>IFERROR(__xludf.DUMMYFUNCTION("""COMPUTED_VALUE"""),"Model S P85")</f>
        <v>Model S P85</v>
      </c>
      <c r="G193" s="258" t="str">
        <f>IFERROR(__xludf.DUMMYFUNCTION("""COMPUTED_VALUE"""),"Twice a month")</f>
        <v>Twice a month</v>
      </c>
      <c r="H193" s="258" t="str">
        <f>IFERROR(__xludf.DUMMYFUNCTION("""COMPUTED_VALUE"""),"Monthly")</f>
        <v>Monthly</v>
      </c>
      <c r="I193" s="258" t="str">
        <f>IFERROR(__xludf.DUMMYFUNCTION("""COMPUTED_VALUE"""),"Never")</f>
        <v>Never</v>
      </c>
      <c r="J193" s="260">
        <f>IFERROR(__xludf.DUMMYFUNCTION("""COMPUTED_VALUE"""),0.9)</f>
        <v>0.9</v>
      </c>
      <c r="K193" s="258">
        <f>IFERROR(__xludf.DUMMYFUNCTION("""COMPUTED_VALUE"""),408.0)</f>
        <v>408</v>
      </c>
      <c r="L193" s="258" t="str">
        <f>IFERROR(__xludf.DUMMYFUNCTION("""COMPUTED_VALUE"""),"")</f>
        <v/>
      </c>
      <c r="M193" s="261">
        <f>IFERROR(__xludf.DUMMYFUNCTION("""COMPUTED_VALUE"""),224.0)</f>
        <v>224</v>
      </c>
      <c r="N193" s="262" t="str">
        <f>IFERROR(__xludf.DUMMYFUNCTION("""COMPUTED_VALUE"""),"")</f>
        <v/>
      </c>
      <c r="O193" s="259" t="str">
        <f>IFERROR(__xludf.DUMMYFUNCTION("""COMPUTED_VALUE"""),"")</f>
        <v/>
      </c>
      <c r="P193" s="259">
        <f>IFERROR(__xludf.DUMMYFUNCTION("""COMPUTED_VALUE"""),42304.0)</f>
        <v>42304</v>
      </c>
      <c r="Q193" s="258">
        <f>IFERROR(__xludf.DUMMYFUNCTION("""COMPUTED_VALUE"""),64908.0)</f>
        <v>64908</v>
      </c>
      <c r="R193" s="261">
        <f>IFERROR(__xludf.DUMMYFUNCTION("""COMPUTED_VALUE"""),388.0)</f>
        <v>388</v>
      </c>
      <c r="S193" s="258">
        <v>395.0</v>
      </c>
      <c r="T193" s="263">
        <v>0.9822784810126582</v>
      </c>
      <c r="U193" s="264">
        <v>40332.0</v>
      </c>
      <c r="V193" s="265">
        <v>64908.0</v>
      </c>
      <c r="W193" s="264">
        <v>40332.0</v>
      </c>
      <c r="X193" s="266" t="str">
        <f>IFERROR(__xludf.DUMMYFUNCTION("""COMPUTED_VALUE"""),"ganimed")</f>
        <v>ganimed</v>
      </c>
      <c r="Y193" s="267">
        <v>-0.01</v>
      </c>
      <c r="Z193" s="267">
        <v>0.95528777022358</v>
      </c>
      <c r="AA193" s="269"/>
      <c r="AB193" s="270"/>
      <c r="AC193" s="270"/>
      <c r="AD193" s="270"/>
      <c r="AE193" s="270"/>
    </row>
    <row r="194">
      <c r="A194" s="256">
        <f>IFERROR(__xludf.DUMMYFUNCTION("""COMPUTED_VALUE"""),42316.22152777778)</f>
        <v>42316.22153</v>
      </c>
      <c r="B194" s="257" t="str">
        <f>IFERROR(__xludf.DUMMYFUNCTION("""COMPUTED_VALUE"""),"cbretaud")</f>
        <v>cbretaud</v>
      </c>
      <c r="C194" s="258" t="str">
        <f>IFERROR(__xludf.DUMMYFUNCTION("""COMPUTED_VALUE"""),"Europe (excluding UK) &amp; Asia Pacific")</f>
        <v>Europe (excluding UK) &amp; Asia Pacific</v>
      </c>
      <c r="D194" s="258" t="str">
        <f>IFERROR(__xludf.DUMMYFUNCTION("""COMPUTED_VALUE"""),"km. My car displays range in kilometres and I will enter all range numbers in kilometres.")</f>
        <v>km. My car displays range in kilometres and I will enter all range numbers in kilometres.</v>
      </c>
      <c r="E194" s="259">
        <f>IFERROR(__xludf.DUMMYFUNCTION("""COMPUTED_VALUE"""),41635.0)</f>
        <v>41635</v>
      </c>
      <c r="F194" s="258" t="str">
        <f>IFERROR(__xludf.DUMMYFUNCTION("""COMPUTED_VALUE"""),"Model S P85")</f>
        <v>Model S P85</v>
      </c>
      <c r="G194" s="258" t="str">
        <f>IFERROR(__xludf.DUMMYFUNCTION("""COMPUTED_VALUE"""),"Monthly")</f>
        <v>Monthly</v>
      </c>
      <c r="H194" s="258" t="str">
        <f>IFERROR(__xludf.DUMMYFUNCTION("""COMPUTED_VALUE"""),"Monthly")</f>
        <v>Monthly</v>
      </c>
      <c r="I194" s="258" t="str">
        <f>IFERROR(__xludf.DUMMYFUNCTION("""COMPUTED_VALUE"""),"Once or twice a year")</f>
        <v>Once or twice a year</v>
      </c>
      <c r="J194" s="260">
        <f>IFERROR(__xludf.DUMMYFUNCTION("""COMPUTED_VALUE"""),0.9)</f>
        <v>0.9</v>
      </c>
      <c r="K194" s="258">
        <f>IFERROR(__xludf.DUMMYFUNCTION("""COMPUTED_VALUE"""),398.0)</f>
        <v>398</v>
      </c>
      <c r="L194" s="258" t="str">
        <f>IFERROR(__xludf.DUMMYFUNCTION("""COMPUTED_VALUE"""),"")</f>
        <v/>
      </c>
      <c r="M194" s="261">
        <f>IFERROR(__xludf.DUMMYFUNCTION("""COMPUTED_VALUE"""),211.0)</f>
        <v>211</v>
      </c>
      <c r="N194" s="262" t="str">
        <f>IFERROR(__xludf.DUMMYFUNCTION("""COMPUTED_VALUE"""),"")</f>
        <v/>
      </c>
      <c r="O194" s="259" t="str">
        <f>IFERROR(__xludf.DUMMYFUNCTION("""COMPUTED_VALUE"""),"")</f>
        <v/>
      </c>
      <c r="P194" s="259">
        <f>IFERROR(__xludf.DUMMYFUNCTION("""COMPUTED_VALUE"""),42316.0)</f>
        <v>42316</v>
      </c>
      <c r="Q194" s="258">
        <f>IFERROR(__xludf.DUMMYFUNCTION("""COMPUTED_VALUE"""),122100.0)</f>
        <v>122100</v>
      </c>
      <c r="R194" s="261">
        <f>IFERROR(__xludf.DUMMYFUNCTION("""COMPUTED_VALUE"""),361.0)</f>
        <v>361</v>
      </c>
      <c r="S194" s="258">
        <v>395.0</v>
      </c>
      <c r="T194" s="263">
        <v>0.9139240506329114</v>
      </c>
      <c r="U194" s="264">
        <v>75869.0</v>
      </c>
      <c r="V194" s="265">
        <v>122100.0</v>
      </c>
      <c r="W194" s="264">
        <v>75869.0</v>
      </c>
      <c r="X194" s="266" t="str">
        <f>IFERROR(__xludf.DUMMYFUNCTION("""COMPUTED_VALUE"""),"Gary")</f>
        <v>Gary</v>
      </c>
      <c r="Y194" s="267">
        <v>-0.01</v>
      </c>
      <c r="Z194" s="267">
        <v>0.9414226419093877</v>
      </c>
      <c r="AA194" s="269"/>
      <c r="AB194" s="270"/>
      <c r="AC194" s="270"/>
      <c r="AD194" s="270"/>
      <c r="AE194" s="270"/>
    </row>
    <row r="195">
      <c r="A195" s="256">
        <f>IFERROR(__xludf.DUMMYFUNCTION("""COMPUTED_VALUE"""),42815.919444444444)</f>
        <v>42815.91944</v>
      </c>
      <c r="B195" s="257" t="str">
        <f>IFERROR(__xludf.DUMMYFUNCTION("""COMPUTED_VALUE"""),"cedv17")</f>
        <v>cedv17</v>
      </c>
      <c r="C195" s="258" t="str">
        <f>IFERROR(__xludf.DUMMYFUNCTION("""COMPUTED_VALUE"""),"Canada")</f>
        <v>Canada</v>
      </c>
      <c r="D195" s="258" t="str">
        <f>IFERROR(__xludf.DUMMYFUNCTION("""COMPUTED_VALUE"""),"km. My car displays range in kilometres and I will enter all range numbers in kilometres.")</f>
        <v>km. My car displays range in kilometres and I will enter all range numbers in kilometres.</v>
      </c>
      <c r="E195" s="259">
        <f>IFERROR(__xludf.DUMMYFUNCTION("""COMPUTED_VALUE"""),42732.0)</f>
        <v>42732</v>
      </c>
      <c r="F195" s="258" t="str">
        <f>IFERROR(__xludf.DUMMYFUNCTION("""COMPUTED_VALUE"""),"Model X 60D")</f>
        <v>Model X 60D</v>
      </c>
      <c r="G195" s="258" t="str">
        <f>IFERROR(__xludf.DUMMYFUNCTION("""COMPUTED_VALUE"""),"Twice a month")</f>
        <v>Twice a month</v>
      </c>
      <c r="H195" s="258" t="str">
        <f>IFERROR(__xludf.DUMMYFUNCTION("""COMPUTED_VALUE"""),"Twice a month")</f>
        <v>Twice a month</v>
      </c>
      <c r="I195" s="258" t="str">
        <f>IFERROR(__xludf.DUMMYFUNCTION("""COMPUTED_VALUE"""),"Never")</f>
        <v>Never</v>
      </c>
      <c r="J195" s="260">
        <f>IFERROR(__xludf.DUMMYFUNCTION("""COMPUTED_VALUE"""),0.8)</f>
        <v>0.8</v>
      </c>
      <c r="K195" s="258" t="str">
        <f>IFERROR(__xludf.DUMMYFUNCTION("""COMPUTED_VALUE"""),"")</f>
        <v/>
      </c>
      <c r="L195" s="258" t="str">
        <f>IFERROR(__xludf.DUMMYFUNCTION("""COMPUTED_VALUE"""),"")</f>
        <v/>
      </c>
      <c r="M195" s="261">
        <f>IFERROR(__xludf.DUMMYFUNCTION("""COMPUTED_VALUE"""),215.0)</f>
        <v>215</v>
      </c>
      <c r="N195" s="262" t="str">
        <f>IFERROR(__xludf.DUMMYFUNCTION("""COMPUTED_VALUE"""),"")</f>
        <v/>
      </c>
      <c r="O195" s="259" t="str">
        <f>IFERROR(__xludf.DUMMYFUNCTION("""COMPUTED_VALUE"""),"")</f>
        <v/>
      </c>
      <c r="P195" s="259">
        <f>IFERROR(__xludf.DUMMYFUNCTION("""COMPUTED_VALUE"""),42815.0)</f>
        <v>42815</v>
      </c>
      <c r="Q195" s="258">
        <f>IFERROR(__xludf.DUMMYFUNCTION("""COMPUTED_VALUE"""),3800.0)</f>
        <v>3800</v>
      </c>
      <c r="R195" s="261">
        <f>IFERROR(__xludf.DUMMYFUNCTION("""COMPUTED_VALUE"""),323.0)</f>
        <v>323</v>
      </c>
      <c r="S195" s="258">
        <v>317.0</v>
      </c>
      <c r="T195" s="263">
        <v>1.0189274447949528</v>
      </c>
      <c r="U195" s="264">
        <v>2361.0</v>
      </c>
      <c r="V195" s="265">
        <v>3800.0</v>
      </c>
      <c r="W195" s="264">
        <v>2361.0</v>
      </c>
      <c r="X195" s="266" t="str">
        <f>IFERROR(__xludf.DUMMYFUNCTION("""COMPUTED_VALUE"""),"GDgreen")</f>
        <v>GDgreen</v>
      </c>
      <c r="Y195" s="267">
        <v>-0.01</v>
      </c>
      <c r="Z195" s="267">
        <v>0.9930893999268694</v>
      </c>
      <c r="AA195" s="269"/>
      <c r="AB195" s="270"/>
      <c r="AC195" s="270"/>
      <c r="AD195" s="270"/>
      <c r="AE195" s="270"/>
    </row>
    <row r="196">
      <c r="A196" s="256">
        <f>IFERROR(__xludf.DUMMYFUNCTION("""COMPUTED_VALUE"""),42957.57152777778)</f>
        <v>42957.57153</v>
      </c>
      <c r="B196" s="257" t="str">
        <f>IFERROR(__xludf.DUMMYFUNCTION("""COMPUTED_VALUE"""),"CF777E")</f>
        <v>CF777E</v>
      </c>
      <c r="C196" s="258" t="str">
        <f>IFERROR(__xludf.DUMMYFUNCTION("""COMPUTED_VALUE"""),"Europe (excluding UK) &amp; Asia Pacific")</f>
        <v>Europe (excluding UK) &amp; Asia Pacific</v>
      </c>
      <c r="D196" s="258" t="str">
        <f>IFERROR(__xludf.DUMMYFUNCTION("""COMPUTED_VALUE"""),"km. My car displays range in kilometres and I will enter all range numbers in kilometres.")</f>
        <v>km. My car displays range in kilometres and I will enter all range numbers in kilometres.</v>
      </c>
      <c r="E196" s="259">
        <f>IFERROR(__xludf.DUMMYFUNCTION("""COMPUTED_VALUE"""),42825.0)</f>
        <v>42825</v>
      </c>
      <c r="F196" s="258" t="str">
        <f>IFERROR(__xludf.DUMMYFUNCTION("""COMPUTED_VALUE"""),"Model S 90D")</f>
        <v>Model S 90D</v>
      </c>
      <c r="G196" s="258" t="str">
        <f>IFERROR(__xludf.DUMMYFUNCTION("""COMPUTED_VALUE"""),"A few times a year")</f>
        <v>A few times a year</v>
      </c>
      <c r="H196" s="258" t="str">
        <f>IFERROR(__xludf.DUMMYFUNCTION("""COMPUTED_VALUE"""),"A few times a year")</f>
        <v>A few times a year</v>
      </c>
      <c r="I196" s="258" t="str">
        <f>IFERROR(__xludf.DUMMYFUNCTION("""COMPUTED_VALUE"""),"Never")</f>
        <v>Never</v>
      </c>
      <c r="J196" s="260">
        <f>IFERROR(__xludf.DUMMYFUNCTION("""COMPUTED_VALUE"""),0.9)</f>
        <v>0.9</v>
      </c>
      <c r="K196" s="258">
        <f>IFERROR(__xludf.DUMMYFUNCTION("""COMPUTED_VALUE"""),456.0)</f>
        <v>456</v>
      </c>
      <c r="L196" s="258" t="str">
        <f>IFERROR(__xludf.DUMMYFUNCTION("""COMPUTED_VALUE"""),"")</f>
        <v/>
      </c>
      <c r="M196" s="261">
        <f>IFERROR(__xludf.DUMMYFUNCTION("""COMPUTED_VALUE"""),198.0)</f>
        <v>198</v>
      </c>
      <c r="N196" s="262" t="str">
        <f>IFERROR(__xludf.DUMMYFUNCTION("""COMPUTED_VALUE"""),"")</f>
        <v/>
      </c>
      <c r="O196" s="259" t="str">
        <f>IFERROR(__xludf.DUMMYFUNCTION("""COMPUTED_VALUE"""),"")</f>
        <v/>
      </c>
      <c r="P196" s="259">
        <f>IFERROR(__xludf.DUMMYFUNCTION("""COMPUTED_VALUE"""),42957.0)</f>
        <v>42957</v>
      </c>
      <c r="Q196" s="258">
        <f>IFERROR(__xludf.DUMMYFUNCTION("""COMPUTED_VALUE"""),8900.0)</f>
        <v>8900</v>
      </c>
      <c r="R196" s="261">
        <f>IFERROR(__xludf.DUMMYFUNCTION("""COMPUTED_VALUE"""),456.0)</f>
        <v>456</v>
      </c>
      <c r="S196" s="258">
        <v>447.0</v>
      </c>
      <c r="T196" s="263">
        <v>1.0201342281879195</v>
      </c>
      <c r="U196" s="264">
        <v>5530.0</v>
      </c>
      <c r="V196" s="265">
        <v>8900.0</v>
      </c>
      <c r="W196" s="264">
        <v>5530.0</v>
      </c>
      <c r="X196" s="266" t="str">
        <f>IFERROR(__xludf.DUMMYFUNCTION("""COMPUTED_VALUE"""),"gec")</f>
        <v>gec</v>
      </c>
      <c r="Y196" s="267">
        <v>-0.01</v>
      </c>
      <c r="Z196" s="267">
        <v>0.9856505980214608</v>
      </c>
      <c r="AA196" s="269"/>
      <c r="AB196" s="270"/>
      <c r="AC196" s="270"/>
      <c r="AD196" s="270"/>
      <c r="AE196" s="270"/>
    </row>
    <row r="197">
      <c r="A197" s="256">
        <f>IFERROR(__xludf.DUMMYFUNCTION("""COMPUTED_VALUE"""),43095.6625)</f>
        <v>43095.6625</v>
      </c>
      <c r="B197" s="257" t="str">
        <f>IFERROR(__xludf.DUMMYFUNCTION("""COMPUTED_VALUE"""),"CF777E")</f>
        <v>CF777E</v>
      </c>
      <c r="C197" s="258" t="str">
        <f>IFERROR(__xludf.DUMMYFUNCTION("""COMPUTED_VALUE"""),"Europe (excluding UK) &amp; Asia Pacific")</f>
        <v>Europe (excluding UK) &amp; Asia Pacific</v>
      </c>
      <c r="D197" s="258" t="str">
        <f>IFERROR(__xludf.DUMMYFUNCTION("""COMPUTED_VALUE"""),"km. My car displays range in kilometres and I will enter all range numbers in kilometres.")</f>
        <v>km. My car displays range in kilometres and I will enter all range numbers in kilometres.</v>
      </c>
      <c r="E197" s="259">
        <f>IFERROR(__xludf.DUMMYFUNCTION("""COMPUTED_VALUE"""),42825.0)</f>
        <v>42825</v>
      </c>
      <c r="F197" s="258" t="str">
        <f>IFERROR(__xludf.DUMMYFUNCTION("""COMPUTED_VALUE"""),"Model S 90D")</f>
        <v>Model S 90D</v>
      </c>
      <c r="G197" s="258" t="str">
        <f>IFERROR(__xludf.DUMMYFUNCTION("""COMPUTED_VALUE"""),"A few times a year")</f>
        <v>A few times a year</v>
      </c>
      <c r="H197" s="258" t="str">
        <f>IFERROR(__xludf.DUMMYFUNCTION("""COMPUTED_VALUE"""),"A few times a year")</f>
        <v>A few times a year</v>
      </c>
      <c r="I197" s="258" t="str">
        <f>IFERROR(__xludf.DUMMYFUNCTION("""COMPUTED_VALUE"""),"Never")</f>
        <v>Never</v>
      </c>
      <c r="J197" s="260">
        <f>IFERROR(__xludf.DUMMYFUNCTION("""COMPUTED_VALUE"""),0.9)</f>
        <v>0.9</v>
      </c>
      <c r="K197" s="258">
        <f>IFERROR(__xludf.DUMMYFUNCTION("""COMPUTED_VALUE"""),456.0)</f>
        <v>456</v>
      </c>
      <c r="L197" s="258" t="str">
        <f>IFERROR(__xludf.DUMMYFUNCTION("""COMPUTED_VALUE"""),"")</f>
        <v/>
      </c>
      <c r="M197" s="261">
        <f>IFERROR(__xludf.DUMMYFUNCTION("""COMPUTED_VALUE"""),204.0)</f>
        <v>204</v>
      </c>
      <c r="N197" s="262" t="str">
        <f>IFERROR(__xludf.DUMMYFUNCTION("""COMPUTED_VALUE"""),"")</f>
        <v/>
      </c>
      <c r="O197" s="259" t="str">
        <f>IFERROR(__xludf.DUMMYFUNCTION("""COMPUTED_VALUE"""),"")</f>
        <v/>
      </c>
      <c r="P197" s="259">
        <f>IFERROR(__xludf.DUMMYFUNCTION("""COMPUTED_VALUE"""),43095.0)</f>
        <v>43095</v>
      </c>
      <c r="Q197" s="258">
        <f>IFERROR(__xludf.DUMMYFUNCTION("""COMPUTED_VALUE"""),14500.0)</f>
        <v>14500</v>
      </c>
      <c r="R197" s="261">
        <f>IFERROR(__xludf.DUMMYFUNCTION("""COMPUTED_VALUE"""),446.0)</f>
        <v>446</v>
      </c>
      <c r="S197" s="258">
        <v>447.0</v>
      </c>
      <c r="T197" s="263">
        <v>0.9977628635346756</v>
      </c>
      <c r="U197" s="264">
        <v>9010.0</v>
      </c>
      <c r="V197" s="265">
        <v>14500.0</v>
      </c>
      <c r="W197" s="264">
        <v>9010.0</v>
      </c>
      <c r="X197" s="266" t="str">
        <f>IFERROR(__xludf.DUMMYFUNCTION("""COMPUTED_VALUE"""),"Geert.Snijders")</f>
        <v>Geert.Snijders</v>
      </c>
      <c r="Y197" s="267">
        <v>-0.01</v>
      </c>
      <c r="Z197" s="267">
        <v>0.9793169303052411</v>
      </c>
      <c r="AA197" s="269"/>
      <c r="AB197" s="270"/>
      <c r="AC197" s="270"/>
      <c r="AD197" s="270"/>
      <c r="AE197" s="270"/>
    </row>
    <row r="198">
      <c r="A198" s="256">
        <f>IFERROR(__xludf.DUMMYFUNCTION("""COMPUTED_VALUE"""),42110.09722222222)</f>
        <v>42110.09722</v>
      </c>
      <c r="B198" s="257" t="str">
        <f>IFERROR(__xludf.DUMMYFUNCTION("""COMPUTED_VALUE"""),"cges")</f>
        <v>cges</v>
      </c>
      <c r="C198" s="258" t="str">
        <f>IFERROR(__xludf.DUMMYFUNCTION("""COMPUTED_VALUE"""),"Europe (excluding UK) &amp; Asia Pacific")</f>
        <v>Europe (excluding UK) &amp; Asia Pacific</v>
      </c>
      <c r="D198" s="258" t="str">
        <f>IFERROR(__xludf.DUMMYFUNCTION("""COMPUTED_VALUE"""),"km. My car displays range in kilometres and I will enter all range numbers in kilometres.")</f>
        <v>km. My car displays range in kilometres and I will enter all range numbers in kilometres.</v>
      </c>
      <c r="E198" s="259">
        <f>IFERROR(__xludf.DUMMYFUNCTION("""COMPUTED_VALUE"""),41584.0)</f>
        <v>41584</v>
      </c>
      <c r="F198" s="258" t="str">
        <f>IFERROR(__xludf.DUMMYFUNCTION("""COMPUTED_VALUE"""),"Unspecified 85 kWh")</f>
        <v>Unspecified 85 kWh</v>
      </c>
      <c r="G198" s="258" t="str">
        <f>IFERROR(__xludf.DUMMYFUNCTION("""COMPUTED_VALUE"""),"Twice a month")</f>
        <v>Twice a month</v>
      </c>
      <c r="H198" s="258" t="str">
        <f>IFERROR(__xludf.DUMMYFUNCTION("""COMPUTED_VALUE"""),"Twice a month")</f>
        <v>Twice a month</v>
      </c>
      <c r="I198" s="258" t="str">
        <f>IFERROR(__xludf.DUMMYFUNCTION("""COMPUTED_VALUE"""),"Never")</f>
        <v>Never</v>
      </c>
      <c r="J198" s="260" t="str">
        <f>IFERROR(__xludf.DUMMYFUNCTION("""COMPUTED_VALUE"""),"")</f>
        <v/>
      </c>
      <c r="K198" s="258" t="str">
        <f>IFERROR(__xludf.DUMMYFUNCTION("""COMPUTED_VALUE"""),"")</f>
        <v/>
      </c>
      <c r="L198" s="258" t="str">
        <f>IFERROR(__xludf.DUMMYFUNCTION("""COMPUTED_VALUE"""),"")</f>
        <v/>
      </c>
      <c r="M198" s="261">
        <f>IFERROR(__xludf.DUMMYFUNCTION("""COMPUTED_VALUE"""),229.0)</f>
        <v>229</v>
      </c>
      <c r="N198" s="262" t="str">
        <f>IFERROR(__xludf.DUMMYFUNCTION("""COMPUTED_VALUE"""),"")</f>
        <v/>
      </c>
      <c r="O198" s="259" t="str">
        <f>IFERROR(__xludf.DUMMYFUNCTION("""COMPUTED_VALUE"""),"")</f>
        <v/>
      </c>
      <c r="P198" s="259">
        <f>IFERROR(__xludf.DUMMYFUNCTION("""COMPUTED_VALUE"""),42110.0)</f>
        <v>42110</v>
      </c>
      <c r="Q198" s="258">
        <f>IFERROR(__xludf.DUMMYFUNCTION("""COMPUTED_VALUE"""),64000.0)</f>
        <v>64000</v>
      </c>
      <c r="R198" s="261">
        <f>IFERROR(__xludf.DUMMYFUNCTION("""COMPUTED_VALUE"""),385.0)</f>
        <v>385</v>
      </c>
      <c r="S198" s="258">
        <v>395.0</v>
      </c>
      <c r="T198" s="263">
        <v>0.9746835443037974</v>
      </c>
      <c r="U198" s="264">
        <v>39768.0</v>
      </c>
      <c r="V198" s="265">
        <v>64000.0</v>
      </c>
      <c r="W198" s="264">
        <v>39768.0</v>
      </c>
      <c r="X198" s="266" t="str">
        <f>IFERROR(__xludf.DUMMYFUNCTION("""COMPUTED_VALUE"""),"GeirHM")</f>
        <v>GeirHM</v>
      </c>
      <c r="Y198" s="267">
        <v>-0.01</v>
      </c>
      <c r="Z198" s="267">
        <v>0.9555350957587039</v>
      </c>
      <c r="AA198" s="269"/>
      <c r="AB198" s="270"/>
      <c r="AC198" s="270"/>
      <c r="AD198" s="270"/>
      <c r="AE198" s="270"/>
    </row>
    <row r="199">
      <c r="A199" s="256">
        <f>IFERROR(__xludf.DUMMYFUNCTION("""COMPUTED_VALUE"""),42878.83194444445)</f>
        <v>42878.83194</v>
      </c>
      <c r="B199" s="257" t="str">
        <f>IFERROR(__xludf.DUMMYFUNCTION("""COMPUTED_VALUE"""),"cgladue")</f>
        <v>cgladue</v>
      </c>
      <c r="C199" s="258" t="str">
        <f>IFERROR(__xludf.DUMMYFUNCTION("""COMPUTED_VALUE"""),"USA")</f>
        <v>USA</v>
      </c>
      <c r="D199" s="258" t="str">
        <f>IFERROR(__xludf.DUMMYFUNCTION("""COMPUTED_VALUE"""),"mi. My car displays range in miles and I will enter all range numbers in miles.")</f>
        <v>mi. My car displays range in miles and I will enter all range numbers in miles.</v>
      </c>
      <c r="E199" s="259">
        <f>IFERROR(__xludf.DUMMYFUNCTION("""COMPUTED_VALUE"""),42771.0)</f>
        <v>42771</v>
      </c>
      <c r="F199" s="258" t="str">
        <f>IFERROR(__xludf.DUMMYFUNCTION("""COMPUTED_VALUE"""),"Model S 60D")</f>
        <v>Model S 60D</v>
      </c>
      <c r="G199" s="258" t="str">
        <f>IFERROR(__xludf.DUMMYFUNCTION("""COMPUTED_VALUE"""),"A few times a year")</f>
        <v>A few times a year</v>
      </c>
      <c r="H199" s="258" t="str">
        <f>IFERROR(__xludf.DUMMYFUNCTION("""COMPUTED_VALUE"""),"Never")</f>
        <v>Never</v>
      </c>
      <c r="I199" s="258" t="str">
        <f>IFERROR(__xludf.DUMMYFUNCTION("""COMPUTED_VALUE"""),"Never")</f>
        <v>Never</v>
      </c>
      <c r="J199" s="260">
        <f>IFERROR(__xludf.DUMMYFUNCTION("""COMPUTED_VALUE"""),1.0)</f>
        <v>1</v>
      </c>
      <c r="K199" s="258">
        <f>IFERROR(__xludf.DUMMYFUNCTION("""COMPUTED_VALUE"""),220.0)</f>
        <v>220</v>
      </c>
      <c r="L199" s="258" t="str">
        <f>IFERROR(__xludf.DUMMYFUNCTION("""COMPUTED_VALUE"""),"")</f>
        <v/>
      </c>
      <c r="M199" s="261">
        <f>IFERROR(__xludf.DUMMYFUNCTION("""COMPUTED_VALUE"""),270.0)</f>
        <v>270</v>
      </c>
      <c r="N199" s="262" t="str">
        <f>IFERROR(__xludf.DUMMYFUNCTION("""COMPUTED_VALUE"""),"")</f>
        <v/>
      </c>
      <c r="O199" s="259" t="str">
        <f>IFERROR(__xludf.DUMMYFUNCTION("""COMPUTED_VALUE"""),"")</f>
        <v/>
      </c>
      <c r="P199" s="259">
        <f>IFERROR(__xludf.DUMMYFUNCTION("""COMPUTED_VALUE"""),42878.0)</f>
        <v>42878</v>
      </c>
      <c r="Q199" s="258">
        <f>IFERROR(__xludf.DUMMYFUNCTION("""COMPUTED_VALUE"""),10654.0)</f>
        <v>10654</v>
      </c>
      <c r="R199" s="261">
        <f>IFERROR(__xludf.DUMMYFUNCTION("""COMPUTED_VALUE"""),218.0)</f>
        <v>218</v>
      </c>
      <c r="S199" s="258">
        <v>219.0</v>
      </c>
      <c r="T199" s="263">
        <v>0.9954337899543378</v>
      </c>
      <c r="U199" s="264">
        <v>10654.0</v>
      </c>
      <c r="V199" s="265">
        <v>17146.0</v>
      </c>
      <c r="W199" s="264">
        <v>10654.0</v>
      </c>
      <c r="X199" s="266" t="str">
        <f>IFERROR(__xludf.DUMMYFUNCTION("""COMPUTED_VALUE"""),"gelden")</f>
        <v>gelden</v>
      </c>
      <c r="Y199" s="267">
        <v>-0.01</v>
      </c>
      <c r="Z199" s="267">
        <v>0.9768384712156363</v>
      </c>
      <c r="AA199" s="269"/>
      <c r="AB199" s="270"/>
      <c r="AC199" s="270"/>
      <c r="AD199" s="270"/>
      <c r="AE199" s="270"/>
    </row>
    <row r="200">
      <c r="A200" s="256">
        <f>IFERROR(__xludf.DUMMYFUNCTION("""COMPUTED_VALUE"""),42322.77291666667)</f>
        <v>42322.77292</v>
      </c>
      <c r="B200" s="257" t="str">
        <f>IFERROR(__xludf.DUMMYFUNCTION("""COMPUTED_VALUE"""),"ChadS")</f>
        <v>ChadS</v>
      </c>
      <c r="C200" s="258" t="str">
        <f>IFERROR(__xludf.DUMMYFUNCTION("""COMPUTED_VALUE"""),"USA")</f>
        <v>USA</v>
      </c>
      <c r="D200" s="258" t="str">
        <f>IFERROR(__xludf.DUMMYFUNCTION("""COMPUTED_VALUE"""),"mi. My car displays range in miles and I will enter all range numbers in miles.")</f>
        <v>mi. My car displays range in miles and I will enter all range numbers in miles.</v>
      </c>
      <c r="E200" s="259">
        <f>IFERROR(__xludf.DUMMYFUNCTION("""COMPUTED_VALUE"""),41164.0)</f>
        <v>41164</v>
      </c>
      <c r="F200" s="258" t="str">
        <f>IFERROR(__xludf.DUMMYFUNCTION("""COMPUTED_VALUE"""),"Model S 85")</f>
        <v>Model S 85</v>
      </c>
      <c r="G200" s="258" t="str">
        <f>IFERROR(__xludf.DUMMYFUNCTION("""COMPUTED_VALUE"""),"A few times a year")</f>
        <v>A few times a year</v>
      </c>
      <c r="H200" s="258" t="str">
        <f>IFERROR(__xludf.DUMMYFUNCTION("""COMPUTED_VALUE"""),"A few times a year")</f>
        <v>A few times a year</v>
      </c>
      <c r="I200" s="258" t="str">
        <f>IFERROR(__xludf.DUMMYFUNCTION("""COMPUTED_VALUE"""),"Never")</f>
        <v>Never</v>
      </c>
      <c r="J200" s="260">
        <f>IFERROR(__xludf.DUMMYFUNCTION("""COMPUTED_VALUE"""),0.9)</f>
        <v>0.9</v>
      </c>
      <c r="K200" s="258">
        <f>IFERROR(__xludf.DUMMYFUNCTION("""COMPUTED_VALUE"""),271.0)</f>
        <v>271</v>
      </c>
      <c r="L200" s="258" t="str">
        <f>IFERROR(__xludf.DUMMYFUNCTION("""COMPUTED_VALUE"""),"")</f>
        <v/>
      </c>
      <c r="M200" s="261">
        <f>IFERROR(__xludf.DUMMYFUNCTION("""COMPUTED_VALUE"""),328.0)</f>
        <v>328</v>
      </c>
      <c r="N200" s="262">
        <f>IFERROR(__xludf.DUMMYFUNCTION("""COMPUTED_VALUE"""),40000.0)</f>
        <v>40000</v>
      </c>
      <c r="O200" s="259" t="str">
        <f>IFERROR(__xludf.DUMMYFUNCTION("""COMPUTED_VALUE"""),"I don't know")</f>
        <v>I don't know</v>
      </c>
      <c r="P200" s="259">
        <f>IFERROR(__xludf.DUMMYFUNCTION("""COMPUTED_VALUE"""),42322.0)</f>
        <v>42322</v>
      </c>
      <c r="Q200" s="258">
        <f>IFERROR(__xludf.DUMMYFUNCTION("""COMPUTED_VALUE"""),55200.0)</f>
        <v>55200</v>
      </c>
      <c r="R200" s="261">
        <f>IFERROR(__xludf.DUMMYFUNCTION("""COMPUTED_VALUE"""),253.0)</f>
        <v>253</v>
      </c>
      <c r="S200" s="258">
        <v>266.0</v>
      </c>
      <c r="T200" s="263">
        <v>0.9511278195488722</v>
      </c>
      <c r="U200" s="264">
        <v>55200.0</v>
      </c>
      <c r="V200" s="265">
        <v>88836.0</v>
      </c>
      <c r="W200" s="264">
        <v>55200.0</v>
      </c>
      <c r="X200" s="266" t="str">
        <f>IFERROR(__xludf.DUMMYFUNCTION("""COMPUTED_VALUE"""),"Gepekop")</f>
        <v>Gepekop</v>
      </c>
      <c r="Y200" s="267">
        <v>-0.01</v>
      </c>
      <c r="Z200" s="267">
        <v>0.9492436670202572</v>
      </c>
      <c r="AA200" s="269"/>
      <c r="AB200" s="270"/>
      <c r="AC200" s="270"/>
      <c r="AD200" s="270"/>
      <c r="AE200" s="270"/>
    </row>
    <row r="201">
      <c r="A201" s="256">
        <f>IFERROR(__xludf.DUMMYFUNCTION("""COMPUTED_VALUE"""),42072.08263888889)</f>
        <v>42072.08264</v>
      </c>
      <c r="B201" s="257" t="str">
        <f>IFERROR(__xludf.DUMMYFUNCTION("""COMPUTED_VALUE"""),"Changedriver")</f>
        <v>Changedriver</v>
      </c>
      <c r="C201" s="258" t="str">
        <f>IFERROR(__xludf.DUMMYFUNCTION("""COMPUTED_VALUE"""),"Europe (excluding UK) &amp; Asia Pacific")</f>
        <v>Europe (excluding UK) &amp; Asia Pacific</v>
      </c>
      <c r="D201" s="258" t="str">
        <f>IFERROR(__xludf.DUMMYFUNCTION("""COMPUTED_VALUE"""),"km. My car displays range in kilometres and I will enter all range numbers in kilometres.")</f>
        <v>km. My car displays range in kilometres and I will enter all range numbers in kilometres.</v>
      </c>
      <c r="E201" s="259">
        <f>IFERROR(__xludf.DUMMYFUNCTION("""COMPUTED_VALUE"""),41594.0)</f>
        <v>41594</v>
      </c>
      <c r="F201" s="258" t="str">
        <f>IFERROR(__xludf.DUMMYFUNCTION("""COMPUTED_VALUE"""),"Unspecified 85 kWh")</f>
        <v>Unspecified 85 kWh</v>
      </c>
      <c r="G201" s="258" t="str">
        <f>IFERROR(__xludf.DUMMYFUNCTION("""COMPUTED_VALUE"""),"Never")</f>
        <v>Never</v>
      </c>
      <c r="H201" s="258" t="str">
        <f>IFERROR(__xludf.DUMMYFUNCTION("""COMPUTED_VALUE"""),"Never")</f>
        <v>Never</v>
      </c>
      <c r="I201" s="258" t="str">
        <f>IFERROR(__xludf.DUMMYFUNCTION("""COMPUTED_VALUE"""),"Once or twice a year")</f>
        <v>Once or twice a year</v>
      </c>
      <c r="J201" s="260" t="str">
        <f>IFERROR(__xludf.DUMMYFUNCTION("""COMPUTED_VALUE"""),"")</f>
        <v/>
      </c>
      <c r="K201" s="258" t="str">
        <f>IFERROR(__xludf.DUMMYFUNCTION("""COMPUTED_VALUE"""),"")</f>
        <v/>
      </c>
      <c r="L201" s="258" t="str">
        <f>IFERROR(__xludf.DUMMYFUNCTION("""COMPUTED_VALUE"""),"")</f>
        <v/>
      </c>
      <c r="M201" s="261">
        <f>IFERROR(__xludf.DUMMYFUNCTION("""COMPUTED_VALUE"""),222.0)</f>
        <v>222</v>
      </c>
      <c r="N201" s="262" t="str">
        <f>IFERROR(__xludf.DUMMYFUNCTION("""COMPUTED_VALUE"""),"")</f>
        <v/>
      </c>
      <c r="O201" s="259" t="str">
        <f>IFERROR(__xludf.DUMMYFUNCTION("""COMPUTED_VALUE"""),"")</f>
        <v/>
      </c>
      <c r="P201" s="259">
        <f>IFERROR(__xludf.DUMMYFUNCTION("""COMPUTED_VALUE"""),42072.0)</f>
        <v>42072</v>
      </c>
      <c r="Q201" s="258">
        <f>IFERROR(__xludf.DUMMYFUNCTION("""COMPUTED_VALUE"""),39000.0)</f>
        <v>39000</v>
      </c>
      <c r="R201" s="261">
        <f>IFERROR(__xludf.DUMMYFUNCTION("""COMPUTED_VALUE"""),378.0)</f>
        <v>378</v>
      </c>
      <c r="S201" s="258">
        <v>395.0</v>
      </c>
      <c r="T201" s="263">
        <v>0.9569620253164557</v>
      </c>
      <c r="U201" s="264">
        <v>24233.0</v>
      </c>
      <c r="V201" s="265">
        <v>39000.0</v>
      </c>
      <c r="W201" s="264">
        <v>24233.0</v>
      </c>
      <c r="X201" s="266" t="str">
        <f>IFERROR(__xludf.DUMMYFUNCTION("""COMPUTED_VALUE"""),"GerardF")</f>
        <v>GerardF</v>
      </c>
      <c r="Y201" s="267">
        <v>-0.01</v>
      </c>
      <c r="Z201" s="267">
        <v>0.9637171929117925</v>
      </c>
      <c r="AA201" s="269"/>
      <c r="AB201" s="270"/>
      <c r="AC201" s="270"/>
      <c r="AD201" s="270"/>
      <c r="AE201" s="270"/>
    </row>
    <row r="202">
      <c r="A202" s="256">
        <f>IFERROR(__xludf.DUMMYFUNCTION("""COMPUTED_VALUE"""),42597.40833333333)</f>
        <v>42597.40833</v>
      </c>
      <c r="B202" s="257" t="str">
        <f>IFERROR(__xludf.DUMMYFUNCTION("""COMPUTED_VALUE"""),"chr20")</f>
        <v>chr20</v>
      </c>
      <c r="C202" s="258" t="str">
        <f>IFERROR(__xludf.DUMMYFUNCTION("""COMPUTED_VALUE"""),"Europe (excluding UK) &amp; Asia Pacific")</f>
        <v>Europe (excluding UK) &amp; Asia Pacific</v>
      </c>
      <c r="D202" s="258" t="str">
        <f>IFERROR(__xludf.DUMMYFUNCTION("""COMPUTED_VALUE"""),"km. My car displays range in kilometres and I will enter all range numbers in kilometres.")</f>
        <v>km. My car displays range in kilometres and I will enter all range numbers in kilometres.</v>
      </c>
      <c r="E202" s="259">
        <f>IFERROR(__xludf.DUMMYFUNCTION("""COMPUTED_VALUE"""),41992.0)</f>
        <v>41992</v>
      </c>
      <c r="F202" s="258" t="str">
        <f>IFERROR(__xludf.DUMMYFUNCTION("""COMPUTED_VALUE"""),"Model S 85")</f>
        <v>Model S 85</v>
      </c>
      <c r="G202" s="258" t="str">
        <f>IFERROR(__xludf.DUMMYFUNCTION("""COMPUTED_VALUE"""),"Twice a month")</f>
        <v>Twice a month</v>
      </c>
      <c r="H202" s="258" t="str">
        <f>IFERROR(__xludf.DUMMYFUNCTION("""COMPUTED_VALUE"""),"Monthly")</f>
        <v>Monthly</v>
      </c>
      <c r="I202" s="258" t="str">
        <f>IFERROR(__xludf.DUMMYFUNCTION("""COMPUTED_VALUE"""),"A few times a year")</f>
        <v>A few times a year</v>
      </c>
      <c r="J202" s="260">
        <f>IFERROR(__xludf.DUMMYFUNCTION("""COMPUTED_VALUE"""),0.9)</f>
        <v>0.9</v>
      </c>
      <c r="K202" s="258" t="str">
        <f>IFERROR(__xludf.DUMMYFUNCTION("""COMPUTED_VALUE"""),"")</f>
        <v/>
      </c>
      <c r="L202" s="258" t="str">
        <f>IFERROR(__xludf.DUMMYFUNCTION("""COMPUTED_VALUE"""),"")</f>
        <v/>
      </c>
      <c r="M202" s="261">
        <f>IFERROR(__xludf.DUMMYFUNCTION("""COMPUTED_VALUE"""),229.0)</f>
        <v>229</v>
      </c>
      <c r="N202" s="262" t="str">
        <f>IFERROR(__xludf.DUMMYFUNCTION("""COMPUTED_VALUE"""),"")</f>
        <v/>
      </c>
      <c r="O202" s="259" t="str">
        <f>IFERROR(__xludf.DUMMYFUNCTION("""COMPUTED_VALUE"""),"")</f>
        <v/>
      </c>
      <c r="P202" s="259">
        <f>IFERROR(__xludf.DUMMYFUNCTION("""COMPUTED_VALUE"""),42597.0)</f>
        <v>42597</v>
      </c>
      <c r="Q202" s="258">
        <f>IFERROR(__xludf.DUMMYFUNCTION("""COMPUTED_VALUE"""),102000.0)</f>
        <v>102000</v>
      </c>
      <c r="R202" s="261">
        <f>IFERROR(__xludf.DUMMYFUNCTION("""COMPUTED_VALUE"""),374.0)</f>
        <v>374</v>
      </c>
      <c r="S202" s="258">
        <v>395.0</v>
      </c>
      <c r="T202" s="263">
        <v>0.9468354430379747</v>
      </c>
      <c r="U202" s="264">
        <v>63380.0</v>
      </c>
      <c r="V202" s="265">
        <v>102000.0</v>
      </c>
      <c r="W202" s="264">
        <v>63380.0</v>
      </c>
      <c r="X202" s="266" t="str">
        <f>IFERROR(__xludf.DUMMYFUNCTION("""COMPUTED_VALUE"""),"Gert")</f>
        <v>Gert</v>
      </c>
      <c r="Y202" s="267">
        <v>-0.01</v>
      </c>
      <c r="Z202" s="267">
        <v>0.9461144077329955</v>
      </c>
      <c r="AA202" s="269"/>
      <c r="AB202" s="270"/>
      <c r="AC202" s="270"/>
      <c r="AD202" s="270"/>
      <c r="AE202" s="270"/>
    </row>
    <row r="203">
      <c r="A203" s="256">
        <f>IFERROR(__xludf.DUMMYFUNCTION("""COMPUTED_VALUE"""),42049.07361111111)</f>
        <v>42049.07361</v>
      </c>
      <c r="B203" s="257" t="str">
        <f>IFERROR(__xludf.DUMMYFUNCTION("""COMPUTED_VALUE"""),"chrisdl")</f>
        <v>chrisdl</v>
      </c>
      <c r="C203" s="258" t="str">
        <f>IFERROR(__xludf.DUMMYFUNCTION("""COMPUTED_VALUE"""),"Europe (excluding UK) &amp; Asia Pacific")</f>
        <v>Europe (excluding UK) &amp; Asia Pacific</v>
      </c>
      <c r="D203" s="258" t="str">
        <f>IFERROR(__xludf.DUMMYFUNCTION("""COMPUTED_VALUE"""),"km. My car displays range in kilometres and I will enter all range numbers in kilometres.")</f>
        <v>km. My car displays range in kilometres and I will enter all range numbers in kilometres.</v>
      </c>
      <c r="E203" s="259">
        <f>IFERROR(__xludf.DUMMYFUNCTION("""COMPUTED_VALUE"""),41691.0)</f>
        <v>41691</v>
      </c>
      <c r="F203" s="258" t="str">
        <f>IFERROR(__xludf.DUMMYFUNCTION("""COMPUTED_VALUE"""),"Unspecified 85 kWh")</f>
        <v>Unspecified 85 kWh</v>
      </c>
      <c r="G203" s="258" t="str">
        <f>IFERROR(__xludf.DUMMYFUNCTION("""COMPUTED_VALUE"""),"Once or twice a year")</f>
        <v>Once or twice a year</v>
      </c>
      <c r="H203" s="258" t="str">
        <f>IFERROR(__xludf.DUMMYFUNCTION("""COMPUTED_VALUE"""),"A few times a year")</f>
        <v>A few times a year</v>
      </c>
      <c r="I203" s="258" t="str">
        <f>IFERROR(__xludf.DUMMYFUNCTION("""COMPUTED_VALUE"""),"Once or twice a year")</f>
        <v>Once or twice a year</v>
      </c>
      <c r="J203" s="260" t="str">
        <f>IFERROR(__xludf.DUMMYFUNCTION("""COMPUTED_VALUE"""),"")</f>
        <v/>
      </c>
      <c r="K203" s="258" t="str">
        <f>IFERROR(__xludf.DUMMYFUNCTION("""COMPUTED_VALUE"""),"")</f>
        <v/>
      </c>
      <c r="L203" s="258" t="str">
        <f>IFERROR(__xludf.DUMMYFUNCTION("""COMPUTED_VALUE"""),"")</f>
        <v/>
      </c>
      <c r="M203" s="261">
        <f>IFERROR(__xludf.DUMMYFUNCTION("""COMPUTED_VALUE"""),217.0)</f>
        <v>217</v>
      </c>
      <c r="N203" s="262" t="str">
        <f>IFERROR(__xludf.DUMMYFUNCTION("""COMPUTED_VALUE"""),"")</f>
        <v/>
      </c>
      <c r="O203" s="259" t="str">
        <f>IFERROR(__xludf.DUMMYFUNCTION("""COMPUTED_VALUE"""),"")</f>
        <v/>
      </c>
      <c r="P203" s="259">
        <f>IFERROR(__xludf.DUMMYFUNCTION("""COMPUTED_VALUE"""),42049.0)</f>
        <v>42049</v>
      </c>
      <c r="Q203" s="258">
        <f>IFERROR(__xludf.DUMMYFUNCTION("""COMPUTED_VALUE"""),18000.0)</f>
        <v>18000</v>
      </c>
      <c r="R203" s="261">
        <f>IFERROR(__xludf.DUMMYFUNCTION("""COMPUTED_VALUE"""),380.0)</f>
        <v>380</v>
      </c>
      <c r="S203" s="258">
        <v>395.0</v>
      </c>
      <c r="T203" s="263">
        <v>0.9620253164556962</v>
      </c>
      <c r="U203" s="264">
        <v>11185.0</v>
      </c>
      <c r="V203" s="265">
        <v>18000.0</v>
      </c>
      <c r="W203" s="264">
        <v>11185.0</v>
      </c>
      <c r="X203" s="266" t="str">
        <f>IFERROR(__xludf.DUMMYFUNCTION("""COMPUTED_VALUE"""),"ghurenkamp")</f>
        <v>ghurenkamp</v>
      </c>
      <c r="Y203" s="267">
        <v>-0.01</v>
      </c>
      <c r="Z203" s="267">
        <v>0.9760973554053523</v>
      </c>
      <c r="AA203" s="269"/>
      <c r="AB203" s="270"/>
      <c r="AC203" s="270"/>
      <c r="AD203" s="270"/>
      <c r="AE203" s="270"/>
    </row>
    <row r="204">
      <c r="A204" s="256">
        <f>IFERROR(__xludf.DUMMYFUNCTION("""COMPUTED_VALUE"""),42948.566666666666)</f>
        <v>42948.56667</v>
      </c>
      <c r="B204" s="257" t="str">
        <f>IFERROR(__xludf.DUMMYFUNCTION("""COMPUTED_VALUE"""),"ChrisK")</f>
        <v>ChrisK</v>
      </c>
      <c r="C204" s="258" t="str">
        <f>IFERROR(__xludf.DUMMYFUNCTION("""COMPUTED_VALUE"""),"Europe (excluding UK) &amp; Asia Pacific")</f>
        <v>Europe (excluding UK) &amp; Asia Pacific</v>
      </c>
      <c r="D204" s="258" t="str">
        <f>IFERROR(__xludf.DUMMYFUNCTION("""COMPUTED_VALUE"""),"km. My car displays range in kilometres and I will enter all range numbers in kilometres.")</f>
        <v>km. My car displays range in kilometres and I will enter all range numbers in kilometres.</v>
      </c>
      <c r="E204" s="259">
        <f>IFERROR(__xludf.DUMMYFUNCTION("""COMPUTED_VALUE"""),42180.0)</f>
        <v>42180</v>
      </c>
      <c r="F204" s="258" t="str">
        <f>IFERROR(__xludf.DUMMYFUNCTION("""COMPUTED_VALUE"""),"Model S 85")</f>
        <v>Model S 85</v>
      </c>
      <c r="G204" s="258" t="str">
        <f>IFERROR(__xludf.DUMMYFUNCTION("""COMPUTED_VALUE"""),"Weekly")</f>
        <v>Weekly</v>
      </c>
      <c r="H204" s="258" t="str">
        <f>IFERROR(__xludf.DUMMYFUNCTION("""COMPUTED_VALUE"""),"Monthly")</f>
        <v>Monthly</v>
      </c>
      <c r="I204" s="258" t="str">
        <f>IFERROR(__xludf.DUMMYFUNCTION("""COMPUTED_VALUE"""),"Twice a month")</f>
        <v>Twice a month</v>
      </c>
      <c r="J204" s="260">
        <f>IFERROR(__xludf.DUMMYFUNCTION("""COMPUTED_VALUE"""),0.9)</f>
        <v>0.9</v>
      </c>
      <c r="K204" s="258" t="str">
        <f>IFERROR(__xludf.DUMMYFUNCTION("""COMPUTED_VALUE"""),"")</f>
        <v/>
      </c>
      <c r="L204" s="258" t="str">
        <f>IFERROR(__xludf.DUMMYFUNCTION("""COMPUTED_VALUE"""),"")</f>
        <v/>
      </c>
      <c r="M204" s="261">
        <f>IFERROR(__xludf.DUMMYFUNCTION("""COMPUTED_VALUE"""),227.0)</f>
        <v>227</v>
      </c>
      <c r="N204" s="262" t="str">
        <f>IFERROR(__xludf.DUMMYFUNCTION("""COMPUTED_VALUE"""),"")</f>
        <v/>
      </c>
      <c r="O204" s="259" t="str">
        <f>IFERROR(__xludf.DUMMYFUNCTION("""COMPUTED_VALUE"""),"")</f>
        <v/>
      </c>
      <c r="P204" s="259">
        <f>IFERROR(__xludf.DUMMYFUNCTION("""COMPUTED_VALUE"""),42948.0)</f>
        <v>42948</v>
      </c>
      <c r="Q204" s="258">
        <f>IFERROR(__xludf.DUMMYFUNCTION("""COMPUTED_VALUE"""),145128.0)</f>
        <v>145128</v>
      </c>
      <c r="R204" s="261">
        <f>IFERROR(__xludf.DUMMYFUNCTION("""COMPUTED_VALUE"""),370.0)</f>
        <v>370</v>
      </c>
      <c r="S204" s="258">
        <v>395.0</v>
      </c>
      <c r="T204" s="263">
        <v>0.9367088607594937</v>
      </c>
      <c r="U204" s="264">
        <v>90178.0</v>
      </c>
      <c r="V204" s="265">
        <v>145128.0</v>
      </c>
      <c r="W204" s="264">
        <v>90178.0</v>
      </c>
      <c r="X204" s="266" t="str">
        <f>IFERROR(__xludf.DUMMYFUNCTION("""COMPUTED_VALUE"""),"glhs272")</f>
        <v>glhs272</v>
      </c>
      <c r="Y204" s="267">
        <v>-0.01</v>
      </c>
      <c r="Z204" s="267">
        <v>0.9360927486718307</v>
      </c>
      <c r="AA204" s="269"/>
      <c r="AB204" s="270"/>
      <c r="AC204" s="270"/>
      <c r="AD204" s="270"/>
      <c r="AE204" s="270"/>
    </row>
    <row r="205">
      <c r="A205" s="256">
        <f>IFERROR(__xludf.DUMMYFUNCTION("""COMPUTED_VALUE"""),42963.57777777778)</f>
        <v>42963.57778</v>
      </c>
      <c r="B205" s="257" t="str">
        <f>IFERROR(__xludf.DUMMYFUNCTION("""COMPUTED_VALUE"""),"chrisschorsch")</f>
        <v>chrisschorsch</v>
      </c>
      <c r="C205" s="258" t="str">
        <f>IFERROR(__xludf.DUMMYFUNCTION("""COMPUTED_VALUE"""),"Europe (excluding UK) &amp; Asia Pacific")</f>
        <v>Europe (excluding UK) &amp; Asia Pacific</v>
      </c>
      <c r="D205" s="258" t="str">
        <f>IFERROR(__xludf.DUMMYFUNCTION("""COMPUTED_VALUE"""),"km. My car displays range in kilometres and I will enter all range numbers in kilometres.")</f>
        <v>km. My car displays range in kilometres and I will enter all range numbers in kilometres.</v>
      </c>
      <c r="E205" s="259">
        <f>IFERROR(__xludf.DUMMYFUNCTION("""COMPUTED_VALUE"""),42704.0)</f>
        <v>42704</v>
      </c>
      <c r="F205" s="258" t="str">
        <f>IFERROR(__xludf.DUMMYFUNCTION("""COMPUTED_VALUE"""),"Model S 90D")</f>
        <v>Model S 90D</v>
      </c>
      <c r="G205" s="258" t="str">
        <f>IFERROR(__xludf.DUMMYFUNCTION("""COMPUTED_VALUE"""),"Twice a month")</f>
        <v>Twice a month</v>
      </c>
      <c r="H205" s="258" t="str">
        <f>IFERROR(__xludf.DUMMYFUNCTION("""COMPUTED_VALUE"""),"A few times a year")</f>
        <v>A few times a year</v>
      </c>
      <c r="I205" s="258" t="str">
        <f>IFERROR(__xludf.DUMMYFUNCTION("""COMPUTED_VALUE"""),"Never")</f>
        <v>Never</v>
      </c>
      <c r="J205" s="260">
        <f>IFERROR(__xludf.DUMMYFUNCTION("""COMPUTED_VALUE"""),0.9)</f>
        <v>0.9</v>
      </c>
      <c r="K205" s="258">
        <f>IFERROR(__xludf.DUMMYFUNCTION("""COMPUTED_VALUE"""),451.0)</f>
        <v>451</v>
      </c>
      <c r="L205" s="258" t="str">
        <f>IFERROR(__xludf.DUMMYFUNCTION("""COMPUTED_VALUE"""),"")</f>
        <v/>
      </c>
      <c r="M205" s="261">
        <f>IFERROR(__xludf.DUMMYFUNCTION("""COMPUTED_VALUE"""),218.0)</f>
        <v>218</v>
      </c>
      <c r="N205" s="262" t="str">
        <f>IFERROR(__xludf.DUMMYFUNCTION("""COMPUTED_VALUE"""),"")</f>
        <v/>
      </c>
      <c r="O205" s="259" t="str">
        <f>IFERROR(__xludf.DUMMYFUNCTION("""COMPUTED_VALUE"""),"")</f>
        <v/>
      </c>
      <c r="P205" s="259">
        <f>IFERROR(__xludf.DUMMYFUNCTION("""COMPUTED_VALUE"""),42963.0)</f>
        <v>42963</v>
      </c>
      <c r="Q205" s="258">
        <f>IFERROR(__xludf.DUMMYFUNCTION("""COMPUTED_VALUE"""),22185.0)</f>
        <v>22185</v>
      </c>
      <c r="R205" s="261">
        <f>IFERROR(__xludf.DUMMYFUNCTION("""COMPUTED_VALUE"""),439.0)</f>
        <v>439</v>
      </c>
      <c r="S205" s="258">
        <v>447.0</v>
      </c>
      <c r="T205" s="263">
        <v>0.9821029082774049</v>
      </c>
      <c r="U205" s="264">
        <v>13785.0</v>
      </c>
      <c r="V205" s="265">
        <v>22185.0</v>
      </c>
      <c r="W205" s="264">
        <v>13785.0</v>
      </c>
      <c r="X205" s="266" t="str">
        <f>IFERROR(__xludf.DUMMYFUNCTION("""COMPUTED_VALUE"""),"Go4IT")</f>
        <v>Go4IT</v>
      </c>
      <c r="Y205" s="267">
        <v>-0.01</v>
      </c>
      <c r="Z205" s="267">
        <v>0.9728234352392356</v>
      </c>
      <c r="AA205" s="269"/>
      <c r="AB205" s="270"/>
      <c r="AC205" s="270"/>
      <c r="AD205" s="270"/>
      <c r="AE205" s="270"/>
    </row>
    <row r="206">
      <c r="A206" s="256">
        <f>IFERROR(__xludf.DUMMYFUNCTION("""COMPUTED_VALUE"""),42314.22361111111)</f>
        <v>42314.22361</v>
      </c>
      <c r="B206" s="257" t="str">
        <f>IFERROR(__xludf.DUMMYFUNCTION("""COMPUTED_VALUE"""),"ChrisWorks")</f>
        <v>ChrisWorks</v>
      </c>
      <c r="C206" s="258" t="str">
        <f>IFERROR(__xludf.DUMMYFUNCTION("""COMPUTED_VALUE"""),"Europe (excluding UK) &amp; Asia Pacific")</f>
        <v>Europe (excluding UK) &amp; Asia Pacific</v>
      </c>
      <c r="D206" s="258" t="str">
        <f>IFERROR(__xludf.DUMMYFUNCTION("""COMPUTED_VALUE"""),"km. My car displays range in kilometres and I will enter all range numbers in kilometres.")</f>
        <v>km. My car displays range in kilometres and I will enter all range numbers in kilometres.</v>
      </c>
      <c r="E206" s="259">
        <f>IFERROR(__xludf.DUMMYFUNCTION("""COMPUTED_VALUE"""),42036.0)</f>
        <v>42036</v>
      </c>
      <c r="F206" s="258" t="str">
        <f>IFERROR(__xludf.DUMMYFUNCTION("""COMPUTED_VALUE"""),"Model S 85D")</f>
        <v>Model S 85D</v>
      </c>
      <c r="G206" s="258" t="str">
        <f>IFERROR(__xludf.DUMMYFUNCTION("""COMPUTED_VALUE"""),"Monthly")</f>
        <v>Monthly</v>
      </c>
      <c r="H206" s="258" t="str">
        <f>IFERROR(__xludf.DUMMYFUNCTION("""COMPUTED_VALUE"""),"Monthly")</f>
        <v>Monthly</v>
      </c>
      <c r="I206" s="258" t="str">
        <f>IFERROR(__xludf.DUMMYFUNCTION("""COMPUTED_VALUE"""),"Never")</f>
        <v>Never</v>
      </c>
      <c r="J206" s="260">
        <f>IFERROR(__xludf.DUMMYFUNCTION("""COMPUTED_VALUE"""),0.8)</f>
        <v>0.8</v>
      </c>
      <c r="K206" s="258">
        <f>IFERROR(__xludf.DUMMYFUNCTION("""COMPUTED_VALUE"""),404.0)</f>
        <v>404</v>
      </c>
      <c r="L206" s="258" t="str">
        <f>IFERROR(__xludf.DUMMYFUNCTION("""COMPUTED_VALUE"""),"")</f>
        <v/>
      </c>
      <c r="M206" s="261">
        <f>IFERROR(__xludf.DUMMYFUNCTION("""COMPUTED_VALUE"""),204.0)</f>
        <v>204</v>
      </c>
      <c r="N206" s="262" t="str">
        <f>IFERROR(__xludf.DUMMYFUNCTION("""COMPUTED_VALUE"""),"")</f>
        <v/>
      </c>
      <c r="O206" s="259" t="str">
        <f>IFERROR(__xludf.DUMMYFUNCTION("""COMPUTED_VALUE"""),"")</f>
        <v/>
      </c>
      <c r="P206" s="259">
        <f>IFERROR(__xludf.DUMMYFUNCTION("""COMPUTED_VALUE"""),42314.0)</f>
        <v>42314</v>
      </c>
      <c r="Q206" s="258">
        <f>IFERROR(__xludf.DUMMYFUNCTION("""COMPUTED_VALUE"""),14000.0)</f>
        <v>14000</v>
      </c>
      <c r="R206" s="261">
        <f>IFERROR(__xludf.DUMMYFUNCTION("""COMPUTED_VALUE"""),396.0)</f>
        <v>396</v>
      </c>
      <c r="S206" s="258">
        <v>425.0</v>
      </c>
      <c r="T206" s="263">
        <v>0.9317647058823529</v>
      </c>
      <c r="U206" s="264">
        <v>8699.0</v>
      </c>
      <c r="V206" s="265">
        <v>14000.0</v>
      </c>
      <c r="W206" s="264">
        <v>8699.0</v>
      </c>
      <c r="X206" s="266" t="str">
        <f>IFERROR(__xludf.DUMMYFUNCTION("""COMPUTED_VALUE"""),"GoChaddy")</f>
        <v>GoChaddy</v>
      </c>
      <c r="Y206" s="267">
        <v>-0.01</v>
      </c>
      <c r="Z206" s="267">
        <v>0.9798187104354721</v>
      </c>
      <c r="AA206" s="269"/>
      <c r="AB206" s="270"/>
      <c r="AC206" s="270"/>
      <c r="AD206" s="270"/>
      <c r="AE206" s="270"/>
    </row>
    <row r="207">
      <c r="A207" s="256">
        <f>IFERROR(__xludf.DUMMYFUNCTION("""COMPUTED_VALUE"""),42538.353472222225)</f>
        <v>42538.35347</v>
      </c>
      <c r="B207" s="257" t="str">
        <f>IFERROR(__xludf.DUMMYFUNCTION("""COMPUTED_VALUE"""),"CJAHulskamp")</f>
        <v>CJAHulskamp</v>
      </c>
      <c r="C207" s="258" t="str">
        <f>IFERROR(__xludf.DUMMYFUNCTION("""COMPUTED_VALUE"""),"Europe (excluding UK) &amp; Asia Pacific")</f>
        <v>Europe (excluding UK) &amp; Asia Pacific</v>
      </c>
      <c r="D207" s="258" t="str">
        <f>IFERROR(__xludf.DUMMYFUNCTION("""COMPUTED_VALUE"""),"km. My car displays range in kilometres and I will enter all range numbers in kilometres.")</f>
        <v>km. My car displays range in kilometres and I will enter all range numbers in kilometres.</v>
      </c>
      <c r="E207" s="259">
        <f>IFERROR(__xludf.DUMMYFUNCTION("""COMPUTED_VALUE"""),42339.0)</f>
        <v>42339</v>
      </c>
      <c r="F207" s="258" t="str">
        <f>IFERROR(__xludf.DUMMYFUNCTION("""COMPUTED_VALUE"""),"Model S 70")</f>
        <v>Model S 70</v>
      </c>
      <c r="G207" s="258" t="str">
        <f>IFERROR(__xludf.DUMMYFUNCTION("""COMPUTED_VALUE"""),"Twice a month")</f>
        <v>Twice a month</v>
      </c>
      <c r="H207" s="258" t="str">
        <f>IFERROR(__xludf.DUMMYFUNCTION("""COMPUTED_VALUE"""),"Monthly")</f>
        <v>Monthly</v>
      </c>
      <c r="I207" s="258" t="str">
        <f>IFERROR(__xludf.DUMMYFUNCTION("""COMPUTED_VALUE"""),"Twice a month")</f>
        <v>Twice a month</v>
      </c>
      <c r="J207" s="260">
        <f>IFERROR(__xludf.DUMMYFUNCTION("""COMPUTED_VALUE"""),0.8)</f>
        <v>0.8</v>
      </c>
      <c r="K207" s="258" t="str">
        <f>IFERROR(__xludf.DUMMYFUNCTION("""COMPUTED_VALUE"""),"")</f>
        <v/>
      </c>
      <c r="L207" s="258" t="str">
        <f>IFERROR(__xludf.DUMMYFUNCTION("""COMPUTED_VALUE"""),"")</f>
        <v/>
      </c>
      <c r="M207" s="261">
        <f>IFERROR(__xludf.DUMMYFUNCTION("""COMPUTED_VALUE"""),187.0)</f>
        <v>187</v>
      </c>
      <c r="N207" s="262" t="str">
        <f>IFERROR(__xludf.DUMMYFUNCTION("""COMPUTED_VALUE"""),"")</f>
        <v/>
      </c>
      <c r="O207" s="259" t="str">
        <f>IFERROR(__xludf.DUMMYFUNCTION("""COMPUTED_VALUE"""),"")</f>
        <v/>
      </c>
      <c r="P207" s="259">
        <f>IFERROR(__xludf.DUMMYFUNCTION("""COMPUTED_VALUE"""),42538.0)</f>
        <v>42538</v>
      </c>
      <c r="Q207" s="258">
        <f>IFERROR(__xludf.DUMMYFUNCTION("""COMPUTED_VALUE"""),11968.0)</f>
        <v>11968</v>
      </c>
      <c r="R207" s="261">
        <f>IFERROR(__xludf.DUMMYFUNCTION("""COMPUTED_VALUE"""),369.0)</f>
        <v>369</v>
      </c>
      <c r="S207" s="258">
        <v>355.0</v>
      </c>
      <c r="T207" s="263">
        <v>1.0394366197183098</v>
      </c>
      <c r="U207" s="264">
        <v>7437.0</v>
      </c>
      <c r="V207" s="265">
        <v>11968.0</v>
      </c>
      <c r="W207" s="264">
        <v>7437.0</v>
      </c>
      <c r="X207" s="266" t="str">
        <f>IFERROR(__xludf.DUMMYFUNCTION("""COMPUTED_VALUE"""),"goetzingert")</f>
        <v>goetzingert</v>
      </c>
      <c r="Y207" s="267">
        <v>-0.01</v>
      </c>
      <c r="Z207" s="267">
        <v>0.9819788298012537</v>
      </c>
      <c r="AA207" s="269"/>
      <c r="AB207" s="270"/>
      <c r="AC207" s="270"/>
      <c r="AD207" s="270"/>
      <c r="AE207" s="270"/>
    </row>
    <row r="208">
      <c r="A208" s="256">
        <f>IFERROR(__xludf.DUMMYFUNCTION("""COMPUTED_VALUE"""),42795.50625)</f>
        <v>42795.50625</v>
      </c>
      <c r="B208" s="257" t="str">
        <f>IFERROR(__xludf.DUMMYFUNCTION("""COMPUTED_VALUE"""),"CJAhulskamp")</f>
        <v>CJAhulskamp</v>
      </c>
      <c r="C208" s="258" t="str">
        <f>IFERROR(__xludf.DUMMYFUNCTION("""COMPUTED_VALUE"""),"Europe (excluding UK) &amp; Asia Pacific")</f>
        <v>Europe (excluding UK) &amp; Asia Pacific</v>
      </c>
      <c r="D208" s="258" t="str">
        <f>IFERROR(__xludf.DUMMYFUNCTION("""COMPUTED_VALUE"""),"km. My car displays range in kilometres and I will enter all range numbers in kilometres.")</f>
        <v>km. My car displays range in kilometres and I will enter all range numbers in kilometres.</v>
      </c>
      <c r="E208" s="259">
        <f>IFERROR(__xludf.DUMMYFUNCTION("""COMPUTED_VALUE"""),42339.0)</f>
        <v>42339</v>
      </c>
      <c r="F208" s="258" t="str">
        <f>IFERROR(__xludf.DUMMYFUNCTION("""COMPUTED_VALUE"""),"Model S 70")</f>
        <v>Model S 70</v>
      </c>
      <c r="G208" s="258" t="str">
        <f>IFERROR(__xludf.DUMMYFUNCTION("""COMPUTED_VALUE"""),"Monthly")</f>
        <v>Monthly</v>
      </c>
      <c r="H208" s="258" t="str">
        <f>IFERROR(__xludf.DUMMYFUNCTION("""COMPUTED_VALUE"""),"A few times a year")</f>
        <v>A few times a year</v>
      </c>
      <c r="I208" s="258" t="str">
        <f>IFERROR(__xludf.DUMMYFUNCTION("""COMPUTED_VALUE"""),"A few times a year")</f>
        <v>A few times a year</v>
      </c>
      <c r="J208" s="260">
        <f>IFERROR(__xludf.DUMMYFUNCTION("""COMPUTED_VALUE"""),0.9)</f>
        <v>0.9</v>
      </c>
      <c r="K208" s="258" t="str">
        <f>IFERROR(__xludf.DUMMYFUNCTION("""COMPUTED_VALUE"""),"")</f>
        <v/>
      </c>
      <c r="L208" s="258" t="str">
        <f>IFERROR(__xludf.DUMMYFUNCTION("""COMPUTED_VALUE"""),"")</f>
        <v/>
      </c>
      <c r="M208" s="261">
        <f>IFERROR(__xludf.DUMMYFUNCTION("""COMPUTED_VALUE"""),210.0)</f>
        <v>210</v>
      </c>
      <c r="N208" s="262" t="str">
        <f>IFERROR(__xludf.DUMMYFUNCTION("""COMPUTED_VALUE"""),"")</f>
        <v/>
      </c>
      <c r="O208" s="259" t="str">
        <f>IFERROR(__xludf.DUMMYFUNCTION("""COMPUTED_VALUE"""),"")</f>
        <v/>
      </c>
      <c r="P208" s="259">
        <f>IFERROR(__xludf.DUMMYFUNCTION("""COMPUTED_VALUE"""),42795.0)</f>
        <v>42795</v>
      </c>
      <c r="Q208" s="258">
        <f>IFERROR(__xludf.DUMMYFUNCTION("""COMPUTED_VALUE"""),38020.0)</f>
        <v>38020</v>
      </c>
      <c r="R208" s="261">
        <f>IFERROR(__xludf.DUMMYFUNCTION("""COMPUTED_VALUE"""),359.0)</f>
        <v>359</v>
      </c>
      <c r="S208" s="258">
        <v>355.0</v>
      </c>
      <c r="T208" s="263">
        <v>1.0112676056338028</v>
      </c>
      <c r="U208" s="264">
        <v>23625.0</v>
      </c>
      <c r="V208" s="265">
        <v>38020.0</v>
      </c>
      <c r="W208" s="264">
        <v>23625.0</v>
      </c>
      <c r="X208" s="266" t="str">
        <f>IFERROR(__xludf.DUMMYFUNCTION("""COMPUTED_VALUE"""),"golfleep")</f>
        <v>golfleep</v>
      </c>
      <c r="Y208" s="267">
        <v>-0.01</v>
      </c>
      <c r="Z208" s="267">
        <v>0.964128087031735</v>
      </c>
      <c r="AA208" s="269"/>
      <c r="AB208" s="270"/>
      <c r="AC208" s="270"/>
      <c r="AD208" s="270"/>
      <c r="AE208" s="270"/>
    </row>
    <row r="209">
      <c r="A209" s="256">
        <f>IFERROR(__xludf.DUMMYFUNCTION("""COMPUTED_VALUE"""),42883.83472222222)</f>
        <v>42883.83472</v>
      </c>
      <c r="B209" s="257" t="str">
        <f>IFERROR(__xludf.DUMMYFUNCTION("""COMPUTED_VALUE"""),"ckcland2")</f>
        <v>ckcland2</v>
      </c>
      <c r="C209" s="258" t="str">
        <f>IFERROR(__xludf.DUMMYFUNCTION("""COMPUTED_VALUE"""),"USA")</f>
        <v>USA</v>
      </c>
      <c r="D209" s="258" t="str">
        <f>IFERROR(__xludf.DUMMYFUNCTION("""COMPUTED_VALUE"""),"mi. My car displays range in miles and I will enter all range numbers in miles.")</f>
        <v>mi. My car displays range in miles and I will enter all range numbers in miles.</v>
      </c>
      <c r="E209" s="259">
        <f>IFERROR(__xludf.DUMMYFUNCTION("""COMPUTED_VALUE"""),42577.0)</f>
        <v>42577</v>
      </c>
      <c r="F209" s="258" t="str">
        <f>IFERROR(__xludf.DUMMYFUNCTION("""COMPUTED_VALUE"""),"Model S 60D")</f>
        <v>Model S 60D</v>
      </c>
      <c r="G209" s="258" t="str">
        <f>IFERROR(__xludf.DUMMYFUNCTION("""COMPUTED_VALUE"""),"A few times a year")</f>
        <v>A few times a year</v>
      </c>
      <c r="H209" s="258" t="str">
        <f>IFERROR(__xludf.DUMMYFUNCTION("""COMPUTED_VALUE"""),"Twice a month")</f>
        <v>Twice a month</v>
      </c>
      <c r="I209" s="258" t="str">
        <f>IFERROR(__xludf.DUMMYFUNCTION("""COMPUTED_VALUE"""),"Once or twice a year")</f>
        <v>Once or twice a year</v>
      </c>
      <c r="J209" s="260">
        <f>IFERROR(__xludf.DUMMYFUNCTION("""COMPUTED_VALUE"""),0.9)</f>
        <v>0.9</v>
      </c>
      <c r="K209" s="258">
        <f>IFERROR(__xludf.DUMMYFUNCTION("""COMPUTED_VALUE"""),219.0)</f>
        <v>219</v>
      </c>
      <c r="L209" s="258" t="str">
        <f>IFERROR(__xludf.DUMMYFUNCTION("""COMPUTED_VALUE"""),"")</f>
        <v/>
      </c>
      <c r="M209" s="261">
        <f>IFERROR(__xludf.DUMMYFUNCTION("""COMPUTED_VALUE"""),325.0)</f>
        <v>325</v>
      </c>
      <c r="N209" s="262" t="str">
        <f>IFERROR(__xludf.DUMMYFUNCTION("""COMPUTED_VALUE"""),"")</f>
        <v/>
      </c>
      <c r="O209" s="259" t="str">
        <f>IFERROR(__xludf.DUMMYFUNCTION("""COMPUTED_VALUE"""),"")</f>
        <v/>
      </c>
      <c r="P209" s="259">
        <f>IFERROR(__xludf.DUMMYFUNCTION("""COMPUTED_VALUE"""),42883.0)</f>
        <v>42883</v>
      </c>
      <c r="Q209" s="258">
        <f>IFERROR(__xludf.DUMMYFUNCTION("""COMPUTED_VALUE"""),12340.0)</f>
        <v>12340</v>
      </c>
      <c r="R209" s="261">
        <f>IFERROR(__xludf.DUMMYFUNCTION("""COMPUTED_VALUE"""),217.0)</f>
        <v>217</v>
      </c>
      <c r="S209" s="258">
        <v>219.0</v>
      </c>
      <c r="T209" s="263">
        <v>0.9908675799086758</v>
      </c>
      <c r="U209" s="264">
        <v>12340.0</v>
      </c>
      <c r="V209" s="265">
        <v>19859.0</v>
      </c>
      <c r="W209" s="264">
        <v>12340.0</v>
      </c>
      <c r="X209" s="266" t="str">
        <f>IFERROR(__xludf.DUMMYFUNCTION("""COMPUTED_VALUE"""),"gollum123")</f>
        <v>gollum123</v>
      </c>
      <c r="Y209" s="267">
        <v>-0.01</v>
      </c>
      <c r="Z209" s="267">
        <v>0.9745734912794487</v>
      </c>
      <c r="AA209" s="269"/>
      <c r="AB209" s="270"/>
      <c r="AC209" s="270"/>
      <c r="AD209" s="270"/>
      <c r="AE209" s="270"/>
    </row>
    <row r="210">
      <c r="A210" s="256">
        <f>IFERROR(__xludf.DUMMYFUNCTION("""COMPUTED_VALUE"""),42350.78333333333)</f>
        <v>42350.78333</v>
      </c>
      <c r="B210" s="257" t="str">
        <f>IFERROR(__xludf.DUMMYFUNCTION("""COMPUTED_VALUE"""),"CliffG")</f>
        <v>CliffG</v>
      </c>
      <c r="C210" s="258" t="str">
        <f>IFERROR(__xludf.DUMMYFUNCTION("""COMPUTED_VALUE"""),"USA")</f>
        <v>USA</v>
      </c>
      <c r="D210" s="258" t="str">
        <f>IFERROR(__xludf.DUMMYFUNCTION("""COMPUTED_VALUE"""),"mi. My car displays range in miles and I will enter all range numbers in miles.")</f>
        <v>mi. My car displays range in miles and I will enter all range numbers in miles.</v>
      </c>
      <c r="E210" s="259">
        <f>IFERROR(__xludf.DUMMYFUNCTION("""COMPUTED_VALUE"""),41619.0)</f>
        <v>41619</v>
      </c>
      <c r="F210" s="258" t="str">
        <f>IFERROR(__xludf.DUMMYFUNCTION("""COMPUTED_VALUE"""),"Model S 85")</f>
        <v>Model S 85</v>
      </c>
      <c r="G210" s="258" t="str">
        <f>IFERROR(__xludf.DUMMYFUNCTION("""COMPUTED_VALUE"""),"A few times a year")</f>
        <v>A few times a year</v>
      </c>
      <c r="H210" s="258" t="str">
        <f>IFERROR(__xludf.DUMMYFUNCTION("""COMPUTED_VALUE"""),"Once or twice a year")</f>
        <v>Once or twice a year</v>
      </c>
      <c r="I210" s="258" t="str">
        <f>IFERROR(__xludf.DUMMYFUNCTION("""COMPUTED_VALUE"""),"Never")</f>
        <v>Never</v>
      </c>
      <c r="J210" s="260">
        <f>IFERROR(__xludf.DUMMYFUNCTION("""COMPUTED_VALUE"""),0.9)</f>
        <v>0.9</v>
      </c>
      <c r="K210" s="258" t="str">
        <f>IFERROR(__xludf.DUMMYFUNCTION("""COMPUTED_VALUE"""),"")</f>
        <v/>
      </c>
      <c r="L210" s="258" t="str">
        <f>IFERROR(__xludf.DUMMYFUNCTION("""COMPUTED_VALUE"""),"")</f>
        <v/>
      </c>
      <c r="M210" s="261">
        <f>IFERROR(__xludf.DUMMYFUNCTION("""COMPUTED_VALUE"""),321.0)</f>
        <v>321</v>
      </c>
      <c r="N210" s="262" t="str">
        <f>IFERROR(__xludf.DUMMYFUNCTION("""COMPUTED_VALUE"""),"")</f>
        <v/>
      </c>
      <c r="O210" s="259" t="str">
        <f>IFERROR(__xludf.DUMMYFUNCTION("""COMPUTED_VALUE"""),"")</f>
        <v/>
      </c>
      <c r="P210" s="259">
        <f>IFERROR(__xludf.DUMMYFUNCTION("""COMPUTED_VALUE"""),42350.0)</f>
        <v>42350</v>
      </c>
      <c r="Q210" s="258">
        <f>IFERROR(__xludf.DUMMYFUNCTION("""COMPUTED_VALUE"""),23298.0)</f>
        <v>23298</v>
      </c>
      <c r="R210" s="261">
        <f>IFERROR(__xludf.DUMMYFUNCTION("""COMPUTED_VALUE"""),265.0)</f>
        <v>265</v>
      </c>
      <c r="S210" s="258">
        <v>266.0</v>
      </c>
      <c r="T210" s="263">
        <v>0.9962406015037594</v>
      </c>
      <c r="U210" s="264">
        <v>23298.0</v>
      </c>
      <c r="V210" s="265">
        <v>37494.0</v>
      </c>
      <c r="W210" s="264">
        <v>23298.0</v>
      </c>
      <c r="X210" s="266" t="str">
        <f>IFERROR(__xludf.DUMMYFUNCTION("""COMPUTED_VALUE"""),"GOS")</f>
        <v>GOS</v>
      </c>
      <c r="Y210" s="267">
        <v>-0.01</v>
      </c>
      <c r="Z210" s="267">
        <v>0.9643530584608988</v>
      </c>
      <c r="AA210" s="269"/>
      <c r="AB210" s="270"/>
      <c r="AC210" s="270"/>
      <c r="AD210" s="270"/>
      <c r="AE210" s="270"/>
    </row>
    <row r="211">
      <c r="A211" s="256">
        <f>IFERROR(__xludf.DUMMYFUNCTION("""COMPUTED_VALUE"""),42911.84236111111)</f>
        <v>42911.84236</v>
      </c>
      <c r="B211" s="257" t="str">
        <f>IFERROR(__xludf.DUMMYFUNCTION("""COMPUTED_VALUE"""),"cmorgan")</f>
        <v>cmorgan</v>
      </c>
      <c r="C211" s="258" t="str">
        <f>IFERROR(__xludf.DUMMYFUNCTION("""COMPUTED_VALUE"""),"USA")</f>
        <v>USA</v>
      </c>
      <c r="D211" s="258" t="str">
        <f>IFERROR(__xludf.DUMMYFUNCTION("""COMPUTED_VALUE"""),"mi. My car displays range in miles and I will enter all range numbers in miles.")</f>
        <v>mi. My car displays range in miles and I will enter all range numbers in miles.</v>
      </c>
      <c r="E211" s="259">
        <f>IFERROR(__xludf.DUMMYFUNCTION("""COMPUTED_VALUE"""),42514.0)</f>
        <v>42514</v>
      </c>
      <c r="F211" s="258" t="str">
        <f>IFERROR(__xludf.DUMMYFUNCTION("""COMPUTED_VALUE"""),"Model S P90D")</f>
        <v>Model S P90D</v>
      </c>
      <c r="G211" s="258" t="str">
        <f>IFERROR(__xludf.DUMMYFUNCTION("""COMPUTED_VALUE"""),"Twice a month")</f>
        <v>Twice a month</v>
      </c>
      <c r="H211" s="258" t="str">
        <f>IFERROR(__xludf.DUMMYFUNCTION("""COMPUTED_VALUE"""),"A few times a year")</f>
        <v>A few times a year</v>
      </c>
      <c r="I211" s="258" t="str">
        <f>IFERROR(__xludf.DUMMYFUNCTION("""COMPUTED_VALUE"""),"Never")</f>
        <v>Never</v>
      </c>
      <c r="J211" s="260">
        <f>IFERROR(__xludf.DUMMYFUNCTION("""COMPUTED_VALUE"""),0.8)</f>
        <v>0.8</v>
      </c>
      <c r="K211" s="258" t="str">
        <f>IFERROR(__xludf.DUMMYFUNCTION("""COMPUTED_VALUE"""),"")</f>
        <v/>
      </c>
      <c r="L211" s="258" t="str">
        <f>IFERROR(__xludf.DUMMYFUNCTION("""COMPUTED_VALUE"""),"")</f>
        <v/>
      </c>
      <c r="M211" s="261">
        <f>IFERROR(__xludf.DUMMYFUNCTION("""COMPUTED_VALUE"""),310.0)</f>
        <v>310</v>
      </c>
      <c r="N211" s="262" t="str">
        <f>IFERROR(__xludf.DUMMYFUNCTION("""COMPUTED_VALUE"""),"")</f>
        <v/>
      </c>
      <c r="O211" s="259" t="str">
        <f>IFERROR(__xludf.DUMMYFUNCTION("""COMPUTED_VALUE"""),"")</f>
        <v/>
      </c>
      <c r="P211" s="259">
        <f>IFERROR(__xludf.DUMMYFUNCTION("""COMPUTED_VALUE"""),42911.0)</f>
        <v>42911</v>
      </c>
      <c r="Q211" s="258">
        <f>IFERROR(__xludf.DUMMYFUNCTION("""COMPUTED_VALUE"""),23102.0)</f>
        <v>23102</v>
      </c>
      <c r="R211" s="261">
        <f>IFERROR(__xludf.DUMMYFUNCTION("""COMPUTED_VALUE"""),263.0)</f>
        <v>263</v>
      </c>
      <c r="S211" s="258">
        <v>271.0</v>
      </c>
      <c r="T211" s="263">
        <v>0.9704797047970479</v>
      </c>
      <c r="U211" s="264">
        <v>23102.0</v>
      </c>
      <c r="V211" s="265">
        <v>37179.0</v>
      </c>
      <c r="W211" s="264">
        <v>23102.0</v>
      </c>
      <c r="X211" s="266" t="str">
        <f>IFERROR(__xludf.DUMMYFUNCTION("""COMPUTED_VALUE"""),"gr8boy")</f>
        <v>gr8boy</v>
      </c>
      <c r="Y211" s="267">
        <v>-0.01</v>
      </c>
      <c r="Z211" s="267">
        <v>0.9644893193358762</v>
      </c>
      <c r="AA211" s="269"/>
      <c r="AB211" s="270"/>
      <c r="AC211" s="270"/>
      <c r="AD211" s="270"/>
      <c r="AE211" s="270"/>
    </row>
    <row r="212">
      <c r="A212" s="256">
        <f>IFERROR(__xludf.DUMMYFUNCTION("""COMPUTED_VALUE"""),42167.9)</f>
        <v>42167.9</v>
      </c>
      <c r="B212" s="257" t="str">
        <f>IFERROR(__xludf.DUMMYFUNCTION("""COMPUTED_VALUE"""),"Coltsmild")</f>
        <v>Coltsmild</v>
      </c>
      <c r="C212" s="258" t="str">
        <f>IFERROR(__xludf.DUMMYFUNCTION("""COMPUTED_VALUE"""),"Canada")</f>
        <v>Canada</v>
      </c>
      <c r="D212" s="258" t="str">
        <f>IFERROR(__xludf.DUMMYFUNCTION("""COMPUTED_VALUE"""),"km. My car displays range in kilometres and I will enter all range numbers in kilometres.")</f>
        <v>km. My car displays range in kilometres and I will enter all range numbers in kilometres.</v>
      </c>
      <c r="E212" s="259">
        <f>IFERROR(__xludf.DUMMYFUNCTION("""COMPUTED_VALUE"""),41492.0)</f>
        <v>41492</v>
      </c>
      <c r="F212" s="258" t="str">
        <f>IFERROR(__xludf.DUMMYFUNCTION("""COMPUTED_VALUE"""),"Model S 85")</f>
        <v>Model S 85</v>
      </c>
      <c r="G212" s="258" t="str">
        <f>IFERROR(__xludf.DUMMYFUNCTION("""COMPUTED_VALUE"""),"Twice a month")</f>
        <v>Twice a month</v>
      </c>
      <c r="H212" s="258" t="str">
        <f>IFERROR(__xludf.DUMMYFUNCTION("""COMPUTED_VALUE"""),"A few times a year")</f>
        <v>A few times a year</v>
      </c>
      <c r="I212" s="258" t="str">
        <f>IFERROR(__xludf.DUMMYFUNCTION("""COMPUTED_VALUE"""),"Once or twice a year")</f>
        <v>Once or twice a year</v>
      </c>
      <c r="J212" s="260">
        <f>IFERROR(__xludf.DUMMYFUNCTION("""COMPUTED_VALUE"""),0.9)</f>
        <v>0.9</v>
      </c>
      <c r="K212" s="258">
        <f>IFERROR(__xludf.DUMMYFUNCTION("""COMPUTED_VALUE"""),426.0)</f>
        <v>426</v>
      </c>
      <c r="L212" s="258" t="str">
        <f>IFERROR(__xludf.DUMMYFUNCTION("""COMPUTED_VALUE"""),"")</f>
        <v/>
      </c>
      <c r="M212" s="261">
        <f>IFERROR(__xludf.DUMMYFUNCTION("""COMPUTED_VALUE"""),223.0)</f>
        <v>223</v>
      </c>
      <c r="N212" s="262" t="str">
        <f>IFERROR(__xludf.DUMMYFUNCTION("""COMPUTED_VALUE"""),"")</f>
        <v/>
      </c>
      <c r="O212" s="259" t="str">
        <f>IFERROR(__xludf.DUMMYFUNCTION("""COMPUTED_VALUE"""),"")</f>
        <v/>
      </c>
      <c r="P212" s="259">
        <f>IFERROR(__xludf.DUMMYFUNCTION("""COMPUTED_VALUE"""),42167.0)</f>
        <v>42167</v>
      </c>
      <c r="Q212" s="258">
        <f>IFERROR(__xludf.DUMMYFUNCTION("""COMPUTED_VALUE"""),73623.0)</f>
        <v>73623</v>
      </c>
      <c r="R212" s="261">
        <f>IFERROR(__xludf.DUMMYFUNCTION("""COMPUTED_VALUE"""),405.0)</f>
        <v>405</v>
      </c>
      <c r="S212" s="258">
        <v>428.0</v>
      </c>
      <c r="T212" s="263">
        <v>0.9462616822429907</v>
      </c>
      <c r="U212" s="264">
        <v>45747.0</v>
      </c>
      <c r="V212" s="265">
        <v>73623.0</v>
      </c>
      <c r="W212" s="264">
        <v>45747.0</v>
      </c>
      <c r="X212" s="266" t="str">
        <f>IFERROR(__xludf.DUMMYFUNCTION("""COMPUTED_VALUE"""),"Greenstorm")</f>
        <v>Greenstorm</v>
      </c>
      <c r="Y212" s="267">
        <v>-0.01</v>
      </c>
      <c r="Z212" s="267">
        <v>0.9529997774318801</v>
      </c>
      <c r="AA212" s="269"/>
      <c r="AB212" s="270"/>
      <c r="AC212" s="270"/>
      <c r="AD212" s="270"/>
      <c r="AE212" s="270"/>
    </row>
    <row r="213">
      <c r="A213" s="256">
        <f>IFERROR(__xludf.DUMMYFUNCTION("""COMPUTED_VALUE"""),43138.69305555556)</f>
        <v>43138.69306</v>
      </c>
      <c r="B213" s="257" t="str">
        <f>IFERROR(__xludf.DUMMYFUNCTION("""COMPUTED_VALUE"""),"Consolaus")</f>
        <v>Consolaus</v>
      </c>
      <c r="C213" s="258" t="str">
        <f>IFERROR(__xludf.DUMMYFUNCTION("""COMPUTED_VALUE"""),"Europe (excluding UK) &amp; Asia Pacific")</f>
        <v>Europe (excluding UK) &amp; Asia Pacific</v>
      </c>
      <c r="D213" s="258" t="str">
        <f>IFERROR(__xludf.DUMMYFUNCTION("""COMPUTED_VALUE"""),"km. My car displays range in kilometres and I will enter all range numbers in kilometres.")</f>
        <v>km. My car displays range in kilometres and I will enter all range numbers in kilometres.</v>
      </c>
      <c r="E213" s="259">
        <f>IFERROR(__xludf.DUMMYFUNCTION("""COMPUTED_VALUE"""),42726.0)</f>
        <v>42726</v>
      </c>
      <c r="F213" s="258" t="str">
        <f>IFERROR(__xludf.DUMMYFUNCTION("""COMPUTED_VALUE"""),"Model S 75D")</f>
        <v>Model S 75D</v>
      </c>
      <c r="G213" s="258" t="str">
        <f>IFERROR(__xludf.DUMMYFUNCTION("""COMPUTED_VALUE"""),"Twice a week")</f>
        <v>Twice a week</v>
      </c>
      <c r="H213" s="258" t="str">
        <f>IFERROR(__xludf.DUMMYFUNCTION("""COMPUTED_VALUE"""),"Monthly")</f>
        <v>Monthly</v>
      </c>
      <c r="I213" s="258" t="str">
        <f>IFERROR(__xludf.DUMMYFUNCTION("""COMPUTED_VALUE"""),"A few times a year")</f>
        <v>A few times a year</v>
      </c>
      <c r="J213" s="260" t="str">
        <f>IFERROR(__xludf.DUMMYFUNCTION("""COMPUTED_VALUE"""),"")</f>
        <v/>
      </c>
      <c r="K213" s="258" t="str">
        <f>IFERROR(__xludf.DUMMYFUNCTION("""COMPUTED_VALUE"""),"")</f>
        <v/>
      </c>
      <c r="L213" s="258" t="str">
        <f>IFERROR(__xludf.DUMMYFUNCTION("""COMPUTED_VALUE"""),"")</f>
        <v/>
      </c>
      <c r="M213" s="261">
        <f>IFERROR(__xludf.DUMMYFUNCTION("""COMPUTED_VALUE"""),218.0)</f>
        <v>218</v>
      </c>
      <c r="N213" s="262" t="str">
        <f>IFERROR(__xludf.DUMMYFUNCTION("""COMPUTED_VALUE"""),"")</f>
        <v/>
      </c>
      <c r="O213" s="259" t="str">
        <f>IFERROR(__xludf.DUMMYFUNCTION("""COMPUTED_VALUE"""),"")</f>
        <v/>
      </c>
      <c r="P213" s="259">
        <f>IFERROR(__xludf.DUMMYFUNCTION("""COMPUTED_VALUE"""),43138.0)</f>
        <v>43138</v>
      </c>
      <c r="Q213" s="258">
        <f>IFERROR(__xludf.DUMMYFUNCTION("""COMPUTED_VALUE"""),30325.0)</f>
        <v>30325</v>
      </c>
      <c r="R213" s="261">
        <f>IFERROR(__xludf.DUMMYFUNCTION("""COMPUTED_VALUE"""),373.0)</f>
        <v>373</v>
      </c>
      <c r="S213" s="258">
        <v>384.0</v>
      </c>
      <c r="T213" s="263">
        <v>0.9713541666666666</v>
      </c>
      <c r="U213" s="264">
        <v>18843.0</v>
      </c>
      <c r="V213" s="265">
        <v>30325.0</v>
      </c>
      <c r="W213" s="264">
        <v>18843.0</v>
      </c>
      <c r="X213" s="266" t="str">
        <f>IFERROR(__xludf.DUMMYFUNCTION("""COMPUTED_VALUE"""),"Gretsch")</f>
        <v>Gretsch</v>
      </c>
      <c r="Y213" s="267">
        <v>-0.01</v>
      </c>
      <c r="Z213" s="267">
        <v>0.9677861450936156</v>
      </c>
      <c r="AA213" s="269"/>
      <c r="AB213" s="270"/>
      <c r="AC213" s="270"/>
      <c r="AD213" s="270"/>
      <c r="AE213" s="270"/>
    </row>
    <row r="214">
      <c r="A214" s="256">
        <f>IFERROR(__xludf.DUMMYFUNCTION("""COMPUTED_VALUE"""),43795.40423344907)</f>
        <v>43795.40423</v>
      </c>
      <c r="B214" s="257" t="str">
        <f>IFERROR(__xludf.DUMMYFUNCTION("""COMPUTED_VALUE"""),"Consolaus")</f>
        <v>Consolaus</v>
      </c>
      <c r="C214" s="258" t="str">
        <f>IFERROR(__xludf.DUMMYFUNCTION("""COMPUTED_VALUE"""),"Europe (excluding UK) &amp; Asia Pacific")</f>
        <v>Europe (excluding UK) &amp; Asia Pacific</v>
      </c>
      <c r="D214" s="258" t="str">
        <f>IFERROR(__xludf.DUMMYFUNCTION("""COMPUTED_VALUE"""),"km. My car displays range in kilometres and I will enter all range numbers in kilometres.")</f>
        <v>km. My car displays range in kilometres and I will enter all range numbers in kilometres.</v>
      </c>
      <c r="E214" s="259">
        <f>IFERROR(__xludf.DUMMYFUNCTION("""COMPUTED_VALUE"""),42726.0)</f>
        <v>42726</v>
      </c>
      <c r="F214" s="258" t="str">
        <f>IFERROR(__xludf.DUMMYFUNCTION("""COMPUTED_VALUE"""),"Model S 75D")</f>
        <v>Model S 75D</v>
      </c>
      <c r="G214" s="258" t="str">
        <f>IFERROR(__xludf.DUMMYFUNCTION("""COMPUTED_VALUE"""),"Monthly")</f>
        <v>Monthly</v>
      </c>
      <c r="H214" s="258" t="str">
        <f>IFERROR(__xludf.DUMMYFUNCTION("""COMPUTED_VALUE"""),"Monthly")</f>
        <v>Monthly</v>
      </c>
      <c r="I214" s="258" t="str">
        <f>IFERROR(__xludf.DUMMYFUNCTION("""COMPUTED_VALUE"""),"Once or twice a year")</f>
        <v>Once or twice a year</v>
      </c>
      <c r="J214" s="260">
        <f>IFERROR(__xludf.DUMMYFUNCTION("""COMPUTED_VALUE"""),0.9)</f>
        <v>0.9</v>
      </c>
      <c r="K214" s="258" t="str">
        <f>IFERROR(__xludf.DUMMYFUNCTION("""COMPUTED_VALUE"""),"")</f>
        <v/>
      </c>
      <c r="L214" s="258" t="str">
        <f>IFERROR(__xludf.DUMMYFUNCTION("""COMPUTED_VALUE"""),"")</f>
        <v/>
      </c>
      <c r="M214" s="261">
        <f>IFERROR(__xludf.DUMMYFUNCTION("""COMPUTED_VALUE"""),198.0)</f>
        <v>198</v>
      </c>
      <c r="N214" s="262" t="str">
        <f>IFERROR(__xludf.DUMMYFUNCTION("""COMPUTED_VALUE"""),"")</f>
        <v/>
      </c>
      <c r="O214" s="259" t="str">
        <f>IFERROR(__xludf.DUMMYFUNCTION("""COMPUTED_VALUE"""),"")</f>
        <v/>
      </c>
      <c r="P214" s="259">
        <f>IFERROR(__xludf.DUMMYFUNCTION("""COMPUTED_VALUE"""),43740.0)</f>
        <v>43740</v>
      </c>
      <c r="Q214" s="258">
        <f>IFERROR(__xludf.DUMMYFUNCTION("""COMPUTED_VALUE"""),73876.0)</f>
        <v>73876</v>
      </c>
      <c r="R214" s="261">
        <f>IFERROR(__xludf.DUMMYFUNCTION("""COMPUTED_VALUE"""),357.0)</f>
        <v>357</v>
      </c>
      <c r="S214" s="258">
        <v>384.0</v>
      </c>
      <c r="T214" s="263">
        <v>0.9296875</v>
      </c>
      <c r="U214" s="264">
        <v>45904.0</v>
      </c>
      <c r="V214" s="265">
        <v>73876.0</v>
      </c>
      <c r="W214" s="264">
        <v>45904.0</v>
      </c>
      <c r="X214" s="266" t="str">
        <f>IFERROR(__xludf.DUMMYFUNCTION("""COMPUTED_VALUE"""),"Groeneweg1")</f>
        <v>Groeneweg1</v>
      </c>
      <c r="Y214" s="267">
        <v>-0.01</v>
      </c>
      <c r="Z214" s="267">
        <v>0.9529352734334471</v>
      </c>
      <c r="AA214" s="269"/>
      <c r="AB214" s="270"/>
      <c r="AC214" s="270"/>
      <c r="AD214" s="270"/>
      <c r="AE214" s="270"/>
    </row>
    <row r="215">
      <c r="A215" s="256">
        <f>IFERROR(__xludf.DUMMYFUNCTION("""COMPUTED_VALUE"""),42289.19305555556)</f>
        <v>42289.19306</v>
      </c>
      <c r="B215" s="257" t="str">
        <f>IFERROR(__xludf.DUMMYFUNCTION("""COMPUTED_VALUE"""),"Cookie Monster")</f>
        <v>Cookie Monster</v>
      </c>
      <c r="C215" s="258" t="str">
        <f>IFERROR(__xludf.DUMMYFUNCTION("""COMPUTED_VALUE"""),"Europe (excluding UK) &amp; Asia Pacific")</f>
        <v>Europe (excluding UK) &amp; Asia Pacific</v>
      </c>
      <c r="D215" s="258" t="str">
        <f>IFERROR(__xludf.DUMMYFUNCTION("""COMPUTED_VALUE"""),"km. My car displays range in kilometres and I will enter all range numbers in kilometres.")</f>
        <v>km. My car displays range in kilometres and I will enter all range numbers in kilometres.</v>
      </c>
      <c r="E215" s="259">
        <f>IFERROR(__xludf.DUMMYFUNCTION("""COMPUTED_VALUE"""),42045.0)</f>
        <v>42045</v>
      </c>
      <c r="F215" s="258" t="str">
        <f>IFERROR(__xludf.DUMMYFUNCTION("""COMPUTED_VALUE"""),"Model S P85D")</f>
        <v>Model S P85D</v>
      </c>
      <c r="G215" s="258" t="str">
        <f>IFERROR(__xludf.DUMMYFUNCTION("""COMPUTED_VALUE"""),"Monthly")</f>
        <v>Monthly</v>
      </c>
      <c r="H215" s="258" t="str">
        <f>IFERROR(__xludf.DUMMYFUNCTION("""COMPUTED_VALUE"""),"Monthly")</f>
        <v>Monthly</v>
      </c>
      <c r="I215" s="258" t="str">
        <f>IFERROR(__xludf.DUMMYFUNCTION("""COMPUTED_VALUE"""),"Once or twice a year")</f>
        <v>Once or twice a year</v>
      </c>
      <c r="J215" s="260">
        <f>IFERROR(__xludf.DUMMYFUNCTION("""COMPUTED_VALUE"""),0.9)</f>
        <v>0.9</v>
      </c>
      <c r="K215" s="258">
        <f>IFERROR(__xludf.DUMMYFUNCTION("""COMPUTED_VALUE"""),404.0)</f>
        <v>404</v>
      </c>
      <c r="L215" s="258" t="str">
        <f>IFERROR(__xludf.DUMMYFUNCTION("""COMPUTED_VALUE"""),"")</f>
        <v/>
      </c>
      <c r="M215" s="261">
        <f>IFERROR(__xludf.DUMMYFUNCTION("""COMPUTED_VALUE"""),209.0)</f>
        <v>209</v>
      </c>
      <c r="N215" s="262" t="str">
        <f>IFERROR(__xludf.DUMMYFUNCTION("""COMPUTED_VALUE"""),"")</f>
        <v/>
      </c>
      <c r="O215" s="259" t="str">
        <f>IFERROR(__xludf.DUMMYFUNCTION("""COMPUTED_VALUE"""),"")</f>
        <v/>
      </c>
      <c r="P215" s="259">
        <f>IFERROR(__xludf.DUMMYFUNCTION("""COMPUTED_VALUE"""),42289.0)</f>
        <v>42289</v>
      </c>
      <c r="Q215" s="258">
        <f>IFERROR(__xludf.DUMMYFUNCTION("""COMPUTED_VALUE"""),16300.0)</f>
        <v>16300</v>
      </c>
      <c r="R215" s="261">
        <f>IFERROR(__xludf.DUMMYFUNCTION("""COMPUTED_VALUE"""),402.0)</f>
        <v>402</v>
      </c>
      <c r="S215" s="258">
        <v>403.0</v>
      </c>
      <c r="T215" s="263">
        <v>0.9975186104218362</v>
      </c>
      <c r="U215" s="264">
        <v>10128.0</v>
      </c>
      <c r="V215" s="265">
        <v>16300.0</v>
      </c>
      <c r="W215" s="264">
        <v>10128.0</v>
      </c>
      <c r="X215" s="266" t="str">
        <f>IFERROR(__xludf.DUMMYFUNCTION("""COMPUTED_VALUE"""),"Groeneweg2")</f>
        <v>Groeneweg2</v>
      </c>
      <c r="Y215" s="267">
        <v>-0.01</v>
      </c>
      <c r="Z215" s="267">
        <v>0.9775999515073092</v>
      </c>
      <c r="AA215" s="269"/>
      <c r="AB215" s="270"/>
      <c r="AC215" s="270"/>
      <c r="AD215" s="270"/>
      <c r="AE215" s="270"/>
    </row>
    <row r="216">
      <c r="A216" s="256">
        <f>IFERROR(__xludf.DUMMYFUNCTION("""COMPUTED_VALUE"""),42212.75069444445)</f>
        <v>42212.75069</v>
      </c>
      <c r="B216" s="257" t="str">
        <f>IFERROR(__xludf.DUMMYFUNCTION("""COMPUTED_VALUE"""),"CPA")</f>
        <v>CPA</v>
      </c>
      <c r="C216" s="258" t="str">
        <f>IFERROR(__xludf.DUMMYFUNCTION("""COMPUTED_VALUE"""),"USA")</f>
        <v>USA</v>
      </c>
      <c r="D216" s="258" t="str">
        <f>IFERROR(__xludf.DUMMYFUNCTION("""COMPUTED_VALUE"""),"mi. My car displays range in miles and I will enter all range numbers in miles.")</f>
        <v>mi. My car displays range in miles and I will enter all range numbers in miles.</v>
      </c>
      <c r="E216" s="259">
        <f>IFERROR(__xludf.DUMMYFUNCTION("""COMPUTED_VALUE"""),41782.0)</f>
        <v>41782</v>
      </c>
      <c r="F216" s="258" t="str">
        <f>IFERROR(__xludf.DUMMYFUNCTION("""COMPUTED_VALUE"""),"Model S 85")</f>
        <v>Model S 85</v>
      </c>
      <c r="G216" s="258" t="str">
        <f>IFERROR(__xludf.DUMMYFUNCTION("""COMPUTED_VALUE"""),"Weekly")</f>
        <v>Weekly</v>
      </c>
      <c r="H216" s="258" t="str">
        <f>IFERROR(__xludf.DUMMYFUNCTION("""COMPUTED_VALUE"""),"A few times a year")</f>
        <v>A few times a year</v>
      </c>
      <c r="I216" s="258" t="str">
        <f>IFERROR(__xludf.DUMMYFUNCTION("""COMPUTED_VALUE"""),"Never")</f>
        <v>Never</v>
      </c>
      <c r="J216" s="260">
        <f>IFERROR(__xludf.DUMMYFUNCTION("""COMPUTED_VALUE"""),0.6)</f>
        <v>0.6</v>
      </c>
      <c r="K216" s="258">
        <f>IFERROR(__xludf.DUMMYFUNCTION("""COMPUTED_VALUE"""),266.0)</f>
        <v>266</v>
      </c>
      <c r="L216" s="258" t="str">
        <f>IFERROR(__xludf.DUMMYFUNCTION("""COMPUTED_VALUE"""),"")</f>
        <v/>
      </c>
      <c r="M216" s="261">
        <f>IFERROR(__xludf.DUMMYFUNCTION("""COMPUTED_VALUE"""),289.0)</f>
        <v>289</v>
      </c>
      <c r="N216" s="262" t="str">
        <f>IFERROR(__xludf.DUMMYFUNCTION("""COMPUTED_VALUE"""),"")</f>
        <v/>
      </c>
      <c r="O216" s="259" t="str">
        <f>IFERROR(__xludf.DUMMYFUNCTION("""COMPUTED_VALUE"""),"")</f>
        <v/>
      </c>
      <c r="P216" s="259">
        <f>IFERROR(__xludf.DUMMYFUNCTION("""COMPUTED_VALUE"""),42212.0)</f>
        <v>42212</v>
      </c>
      <c r="Q216" s="258">
        <f>IFERROR(__xludf.DUMMYFUNCTION("""COMPUTED_VALUE"""),20240.0)</f>
        <v>20240</v>
      </c>
      <c r="R216" s="261">
        <f>IFERROR(__xludf.DUMMYFUNCTION("""COMPUTED_VALUE"""),260.0)</f>
        <v>260</v>
      </c>
      <c r="S216" s="258">
        <v>266.0</v>
      </c>
      <c r="T216" s="263">
        <v>0.9774436090225563</v>
      </c>
      <c r="U216" s="264">
        <v>20240.0</v>
      </c>
      <c r="V216" s="265">
        <v>32573.0</v>
      </c>
      <c r="W216" s="264">
        <v>20240.0</v>
      </c>
      <c r="X216" s="266" t="str">
        <f>IFERROR(__xludf.DUMMYFUNCTION("""COMPUTED_VALUE"""),"Grotebeer")</f>
        <v>Grotebeer</v>
      </c>
      <c r="Y216" s="267">
        <v>-0.01</v>
      </c>
      <c r="Z216" s="267">
        <v>0.9666279870699432</v>
      </c>
      <c r="AA216" s="269"/>
      <c r="AB216" s="270"/>
      <c r="AC216" s="270"/>
      <c r="AD216" s="270"/>
      <c r="AE216" s="270"/>
    </row>
    <row r="217">
      <c r="A217" s="256">
        <f>IFERROR(__xludf.DUMMYFUNCTION("""COMPUTED_VALUE"""),42947.84652777778)</f>
        <v>42947.84653</v>
      </c>
      <c r="B217" s="257" t="str">
        <f>IFERROR(__xludf.DUMMYFUNCTION("""COMPUTED_VALUE"""),"CrypticError")</f>
        <v>CrypticError</v>
      </c>
      <c r="C217" s="258" t="str">
        <f>IFERROR(__xludf.DUMMYFUNCTION("""COMPUTED_VALUE"""),"USA")</f>
        <v>USA</v>
      </c>
      <c r="D217" s="258" t="str">
        <f>IFERROR(__xludf.DUMMYFUNCTION("""COMPUTED_VALUE"""),"mi. My car displays range in miles and I will enter all range numbers in miles.")</f>
        <v>mi. My car displays range in miles and I will enter all range numbers in miles.</v>
      </c>
      <c r="E217" s="259">
        <f>IFERROR(__xludf.DUMMYFUNCTION("""COMPUTED_VALUE"""),42709.0)</f>
        <v>42709</v>
      </c>
      <c r="F217" s="258" t="str">
        <f>IFERROR(__xludf.DUMMYFUNCTION("""COMPUTED_VALUE"""),"Model S 75D")</f>
        <v>Model S 75D</v>
      </c>
      <c r="G217" s="258" t="str">
        <f>IFERROR(__xludf.DUMMYFUNCTION("""COMPUTED_VALUE"""),"Twice a week")</f>
        <v>Twice a week</v>
      </c>
      <c r="H217" s="258" t="str">
        <f>IFERROR(__xludf.DUMMYFUNCTION("""COMPUTED_VALUE"""),"Twice a month")</f>
        <v>Twice a month</v>
      </c>
      <c r="I217" s="258" t="str">
        <f>IFERROR(__xludf.DUMMYFUNCTION("""COMPUTED_VALUE"""),"A few times a year")</f>
        <v>A few times a year</v>
      </c>
      <c r="J217" s="260">
        <f>IFERROR(__xludf.DUMMYFUNCTION("""COMPUTED_VALUE"""),0.9)</f>
        <v>0.9</v>
      </c>
      <c r="K217" s="258" t="str">
        <f>IFERROR(__xludf.DUMMYFUNCTION("""COMPUTED_VALUE"""),"")</f>
        <v/>
      </c>
      <c r="L217" s="258" t="str">
        <f>IFERROR(__xludf.DUMMYFUNCTION("""COMPUTED_VALUE"""),"")</f>
        <v/>
      </c>
      <c r="M217" s="261">
        <f>IFERROR(__xludf.DUMMYFUNCTION("""COMPUTED_VALUE"""),365.0)</f>
        <v>365</v>
      </c>
      <c r="N217" s="262" t="str">
        <f>IFERROR(__xludf.DUMMYFUNCTION("""COMPUTED_VALUE"""),"")</f>
        <v/>
      </c>
      <c r="O217" s="259" t="str">
        <f>IFERROR(__xludf.DUMMYFUNCTION("""COMPUTED_VALUE"""),"")</f>
        <v/>
      </c>
      <c r="P217" s="259">
        <f>IFERROR(__xludf.DUMMYFUNCTION("""COMPUTED_VALUE"""),42947.0)</f>
        <v>42947</v>
      </c>
      <c r="Q217" s="258">
        <f>IFERROR(__xludf.DUMMYFUNCTION("""COMPUTED_VALUE"""),11252.0)</f>
        <v>11252</v>
      </c>
      <c r="R217" s="261">
        <f>IFERROR(__xludf.DUMMYFUNCTION("""COMPUTED_VALUE"""),250.0)</f>
        <v>250</v>
      </c>
      <c r="S217" s="258">
        <v>259.0</v>
      </c>
      <c r="T217" s="263">
        <v>0.9652509652509652</v>
      </c>
      <c r="U217" s="264">
        <v>11252.0</v>
      </c>
      <c r="V217" s="265">
        <v>18108.0</v>
      </c>
      <c r="W217" s="264">
        <v>11252.0</v>
      </c>
      <c r="X217" s="266" t="str">
        <f>IFERROR(__xludf.DUMMYFUNCTION("""COMPUTED_VALUE"""),"Guillaume")</f>
        <v>Guillaume</v>
      </c>
      <c r="Y217" s="267">
        <v>-0.01</v>
      </c>
      <c r="Z217" s="267">
        <v>0.9760055356637213</v>
      </c>
      <c r="AA217" s="269"/>
      <c r="AB217" s="270"/>
      <c r="AC217" s="270"/>
      <c r="AD217" s="270"/>
      <c r="AE217" s="270"/>
    </row>
    <row r="218">
      <c r="A218" s="256">
        <f>IFERROR(__xludf.DUMMYFUNCTION("""COMPUTED_VALUE"""),43007.85555555555)</f>
        <v>43007.85556</v>
      </c>
      <c r="B218" s="257" t="str">
        <f>IFERROR(__xludf.DUMMYFUNCTION("""COMPUTED_VALUE"""),"CrypticError")</f>
        <v>CrypticError</v>
      </c>
      <c r="C218" s="258" t="str">
        <f>IFERROR(__xludf.DUMMYFUNCTION("""COMPUTED_VALUE"""),"USA")</f>
        <v>USA</v>
      </c>
      <c r="D218" s="258" t="str">
        <f>IFERROR(__xludf.DUMMYFUNCTION("""COMPUTED_VALUE"""),"mi. My car displays range in miles and I will enter all range numbers in miles.")</f>
        <v>mi. My car displays range in miles and I will enter all range numbers in miles.</v>
      </c>
      <c r="E218" s="259">
        <f>IFERROR(__xludf.DUMMYFUNCTION("""COMPUTED_VALUE"""),42705.0)</f>
        <v>42705</v>
      </c>
      <c r="F218" s="258" t="str">
        <f>IFERROR(__xludf.DUMMYFUNCTION("""COMPUTED_VALUE"""),"Model S 75D")</f>
        <v>Model S 75D</v>
      </c>
      <c r="G218" s="258" t="str">
        <f>IFERROR(__xludf.DUMMYFUNCTION("""COMPUTED_VALUE"""),"Twice a week")</f>
        <v>Twice a week</v>
      </c>
      <c r="H218" s="258" t="str">
        <f>IFERROR(__xludf.DUMMYFUNCTION("""COMPUTED_VALUE"""),"Monthly")</f>
        <v>Monthly</v>
      </c>
      <c r="I218" s="258" t="str">
        <f>IFERROR(__xludf.DUMMYFUNCTION("""COMPUTED_VALUE"""),"Monthly")</f>
        <v>Monthly</v>
      </c>
      <c r="J218" s="260">
        <f>IFERROR(__xludf.DUMMYFUNCTION("""COMPUTED_VALUE"""),0.9)</f>
        <v>0.9</v>
      </c>
      <c r="K218" s="258" t="str">
        <f>IFERROR(__xludf.DUMMYFUNCTION("""COMPUTED_VALUE"""),"")</f>
        <v/>
      </c>
      <c r="L218" s="258" t="str">
        <f>IFERROR(__xludf.DUMMYFUNCTION("""COMPUTED_VALUE"""),"")</f>
        <v/>
      </c>
      <c r="M218" s="261">
        <f>IFERROR(__xludf.DUMMYFUNCTION("""COMPUTED_VALUE"""),365.0)</f>
        <v>365</v>
      </c>
      <c r="N218" s="262" t="str">
        <f>IFERROR(__xludf.DUMMYFUNCTION("""COMPUTED_VALUE"""),"")</f>
        <v/>
      </c>
      <c r="O218" s="259" t="str">
        <f>IFERROR(__xludf.DUMMYFUNCTION("""COMPUTED_VALUE"""),"")</f>
        <v/>
      </c>
      <c r="P218" s="259">
        <f>IFERROR(__xludf.DUMMYFUNCTION("""COMPUTED_VALUE"""),43007.0)</f>
        <v>43007</v>
      </c>
      <c r="Q218" s="258">
        <f>IFERROR(__xludf.DUMMYFUNCTION("""COMPUTED_VALUE"""),17351.0)</f>
        <v>17351</v>
      </c>
      <c r="R218" s="261">
        <f>IFERROR(__xludf.DUMMYFUNCTION("""COMPUTED_VALUE"""),244.0)</f>
        <v>244</v>
      </c>
      <c r="S218" s="258">
        <v>259.0</v>
      </c>
      <c r="T218" s="263">
        <v>0.9420849420849421</v>
      </c>
      <c r="U218" s="264">
        <v>17351.0</v>
      </c>
      <c r="V218" s="265">
        <v>27924.0</v>
      </c>
      <c r="W218" s="264">
        <v>17351.0</v>
      </c>
      <c r="X218" s="266" t="str">
        <f>IFERROR(__xludf.DUMMYFUNCTION("""COMPUTED_VALUE"""),"Gunjanov")</f>
        <v>Gunjanov</v>
      </c>
      <c r="Y218" s="267">
        <v>-0.01</v>
      </c>
      <c r="Z218" s="267">
        <v>0.9691220673584605</v>
      </c>
      <c r="AA218" s="269"/>
      <c r="AB218" s="270"/>
      <c r="AC218" s="270"/>
      <c r="AD218" s="270"/>
      <c r="AE218" s="270"/>
    </row>
    <row r="219">
      <c r="A219" s="256">
        <f>IFERROR(__xludf.DUMMYFUNCTION("""COMPUTED_VALUE"""),42874.552777777775)</f>
        <v>42874.55278</v>
      </c>
      <c r="B219" s="257" t="str">
        <f>IFERROR(__xludf.DUMMYFUNCTION("""COMPUTED_VALUE"""),"D4Ha (NL)")</f>
        <v>D4Ha (NL)</v>
      </c>
      <c r="C219" s="258" t="str">
        <f>IFERROR(__xludf.DUMMYFUNCTION("""COMPUTED_VALUE"""),"Europe (excluding UK) &amp; Asia Pacific")</f>
        <v>Europe (excluding UK) &amp; Asia Pacific</v>
      </c>
      <c r="D219" s="258" t="str">
        <f>IFERROR(__xludf.DUMMYFUNCTION("""COMPUTED_VALUE"""),"km. My car displays range in kilometres and I will enter all range numbers in kilometres.")</f>
        <v>km. My car displays range in kilometres and I will enter all range numbers in kilometres.</v>
      </c>
      <c r="E219" s="259">
        <f>IFERROR(__xludf.DUMMYFUNCTION("""COMPUTED_VALUE"""),42146.0)</f>
        <v>42146</v>
      </c>
      <c r="F219" s="258" t="str">
        <f>IFERROR(__xludf.DUMMYFUNCTION("""COMPUTED_VALUE"""),"Model X 90D")</f>
        <v>Model X 90D</v>
      </c>
      <c r="G219" s="258" t="str">
        <f>IFERROR(__xludf.DUMMYFUNCTION("""COMPUTED_VALUE"""),"")</f>
        <v/>
      </c>
      <c r="H219" s="258" t="str">
        <f>IFERROR(__xludf.DUMMYFUNCTION("""COMPUTED_VALUE"""),"")</f>
        <v/>
      </c>
      <c r="I219" s="258" t="str">
        <f>IFERROR(__xludf.DUMMYFUNCTION("""COMPUTED_VALUE"""),"")</f>
        <v/>
      </c>
      <c r="J219" s="260" t="str">
        <f>IFERROR(__xludf.DUMMYFUNCTION("""COMPUTED_VALUE"""),"")</f>
        <v/>
      </c>
      <c r="K219" s="258" t="str">
        <f>IFERROR(__xludf.DUMMYFUNCTION("""COMPUTED_VALUE"""),"")</f>
        <v/>
      </c>
      <c r="L219" s="258" t="str">
        <f>IFERROR(__xludf.DUMMYFUNCTION("""COMPUTED_VALUE"""),"")</f>
        <v/>
      </c>
      <c r="M219" s="261">
        <f>IFERROR(__xludf.DUMMYFUNCTION("""COMPUTED_VALUE"""),230.0)</f>
        <v>230</v>
      </c>
      <c r="N219" s="262" t="str">
        <f>IFERROR(__xludf.DUMMYFUNCTION("""COMPUTED_VALUE"""),"")</f>
        <v/>
      </c>
      <c r="O219" s="259" t="str">
        <f>IFERROR(__xludf.DUMMYFUNCTION("""COMPUTED_VALUE"""),"")</f>
        <v/>
      </c>
      <c r="P219" s="259">
        <f>IFERROR(__xludf.DUMMYFUNCTION("""COMPUTED_VALUE"""),42874.0)</f>
        <v>42874</v>
      </c>
      <c r="Q219" s="258">
        <f>IFERROR(__xludf.DUMMYFUNCTION("""COMPUTED_VALUE"""),120728.0)</f>
        <v>120728</v>
      </c>
      <c r="R219" s="261">
        <f>IFERROR(__xludf.DUMMYFUNCTION("""COMPUTED_VALUE"""),400.0)</f>
        <v>400</v>
      </c>
      <c r="S219" s="258">
        <v>400.0</v>
      </c>
      <c r="T219" s="263">
        <v>1.0</v>
      </c>
      <c r="U219" s="264">
        <v>75017.0</v>
      </c>
      <c r="V219" s="265">
        <v>120728.0</v>
      </c>
      <c r="W219" s="264">
        <v>75017.0</v>
      </c>
      <c r="X219" s="266" t="str">
        <f>IFERROR(__xludf.DUMMYFUNCTION("""COMPUTED_VALUE"""),"Guten")</f>
        <v>Guten</v>
      </c>
      <c r="Y219" s="267">
        <v>-0.01</v>
      </c>
      <c r="Z219" s="267">
        <v>0.9417411775983378</v>
      </c>
      <c r="AA219" s="269"/>
      <c r="AB219" s="270"/>
      <c r="AC219" s="270"/>
      <c r="AD219" s="270"/>
      <c r="AE219" s="270"/>
    </row>
    <row r="220">
      <c r="A220" s="256">
        <f>IFERROR(__xludf.DUMMYFUNCTION("""COMPUTED_VALUE"""),43639.98559506945)</f>
        <v>43639.9856</v>
      </c>
      <c r="B220" s="257" t="str">
        <f>IFERROR(__xludf.DUMMYFUNCTION("""COMPUTED_VALUE"""),"Daankool")</f>
        <v>Daankool</v>
      </c>
      <c r="C220" s="258" t="str">
        <f>IFERROR(__xludf.DUMMYFUNCTION("""COMPUTED_VALUE"""),"Europe (excluding UK) &amp; Asia Pacific")</f>
        <v>Europe (excluding UK) &amp; Asia Pacific</v>
      </c>
      <c r="D220" s="258" t="str">
        <f>IFERROR(__xludf.DUMMYFUNCTION("""COMPUTED_VALUE"""),"km. My car displays range in kilometres and I will enter all range numbers in kilometres.")</f>
        <v>km. My car displays range in kilometres and I will enter all range numbers in kilometres.</v>
      </c>
      <c r="E220" s="259">
        <f>IFERROR(__xludf.DUMMYFUNCTION("""COMPUTED_VALUE"""),41791.0)</f>
        <v>41791</v>
      </c>
      <c r="F220" s="258" t="str">
        <f>IFERROR(__xludf.DUMMYFUNCTION("""COMPUTED_VALUE"""),"Model S 85")</f>
        <v>Model S 85</v>
      </c>
      <c r="G220" s="258" t="str">
        <f>IFERROR(__xludf.DUMMYFUNCTION("""COMPUTED_VALUE"""),"Twice a month")</f>
        <v>Twice a month</v>
      </c>
      <c r="H220" s="258" t="str">
        <f>IFERROR(__xludf.DUMMYFUNCTION("""COMPUTED_VALUE"""),"Monthly")</f>
        <v>Monthly</v>
      </c>
      <c r="I220" s="258" t="str">
        <f>IFERROR(__xludf.DUMMYFUNCTION("""COMPUTED_VALUE"""),"A few times a year")</f>
        <v>A few times a year</v>
      </c>
      <c r="J220" s="260">
        <f>IFERROR(__xludf.DUMMYFUNCTION("""COMPUTED_VALUE"""),0.8)</f>
        <v>0.8</v>
      </c>
      <c r="K220" s="258" t="str">
        <f>IFERROR(__xludf.DUMMYFUNCTION("""COMPUTED_VALUE"""),"")</f>
        <v/>
      </c>
      <c r="L220" s="258" t="str">
        <f>IFERROR(__xludf.DUMMYFUNCTION("""COMPUTED_VALUE"""),"")</f>
        <v/>
      </c>
      <c r="M220" s="261" t="str">
        <f>IFERROR(__xludf.DUMMYFUNCTION("""COMPUTED_VALUE"""),"")</f>
        <v/>
      </c>
      <c r="N220" s="262" t="str">
        <f>IFERROR(__xludf.DUMMYFUNCTION("""COMPUTED_VALUE"""),"")</f>
        <v/>
      </c>
      <c r="O220" s="259" t="str">
        <f>IFERROR(__xludf.DUMMYFUNCTION("""COMPUTED_VALUE"""),"")</f>
        <v/>
      </c>
      <c r="P220" s="259">
        <f>IFERROR(__xludf.DUMMYFUNCTION("""COMPUTED_VALUE"""),43639.0)</f>
        <v>43639</v>
      </c>
      <c r="Q220" s="258">
        <f>IFERROR(__xludf.DUMMYFUNCTION("""COMPUTED_VALUE"""),160163.0)</f>
        <v>160163</v>
      </c>
      <c r="R220" s="261">
        <f>IFERROR(__xludf.DUMMYFUNCTION("""COMPUTED_VALUE"""),361.0)</f>
        <v>361</v>
      </c>
      <c r="S220" s="258">
        <v>395.0</v>
      </c>
      <c r="T220" s="263">
        <v>0.9139240506329114</v>
      </c>
      <c r="U220" s="264">
        <v>99521.0</v>
      </c>
      <c r="V220" s="265">
        <v>160163.0</v>
      </c>
      <c r="W220" s="264">
        <v>99521.0</v>
      </c>
      <c r="X220" s="266" t="str">
        <f>IFERROR(__xludf.DUMMYFUNCTION("""COMPUTED_VALUE"""),"gvveen")</f>
        <v>gvveen</v>
      </c>
      <c r="Y220" s="267">
        <v>-0.01</v>
      </c>
      <c r="Z220" s="267">
        <v>0.9326211292047094</v>
      </c>
      <c r="AA220" s="269"/>
      <c r="AB220" s="270"/>
      <c r="AC220" s="270"/>
      <c r="AD220" s="270"/>
      <c r="AE220" s="270"/>
    </row>
    <row r="221">
      <c r="A221" s="256">
        <f>IFERROR(__xludf.DUMMYFUNCTION("""COMPUTED_VALUE"""),43107.66180555556)</f>
        <v>43107.66181</v>
      </c>
      <c r="B221" s="257" t="str">
        <f>IFERROR(__xludf.DUMMYFUNCTION("""COMPUTED_VALUE"""),"Dagger600")</f>
        <v>Dagger600</v>
      </c>
      <c r="C221" s="258" t="str">
        <f>IFERROR(__xludf.DUMMYFUNCTION("""COMPUTED_VALUE"""),"Europe (excluding UK) &amp; Asia Pacific")</f>
        <v>Europe (excluding UK) &amp; Asia Pacific</v>
      </c>
      <c r="D221" s="258" t="str">
        <f>IFERROR(__xludf.DUMMYFUNCTION("""COMPUTED_VALUE"""),"km. My car displays range in kilometres and I will enter all range numbers in kilometres.")</f>
        <v>km. My car displays range in kilometres and I will enter all range numbers in kilometres.</v>
      </c>
      <c r="E221" s="259">
        <f>IFERROR(__xludf.DUMMYFUNCTION("""COMPUTED_VALUE"""),42887.0)</f>
        <v>42887</v>
      </c>
      <c r="F221" s="258" t="str">
        <f>IFERROR(__xludf.DUMMYFUNCTION("""COMPUTED_VALUE"""),"Model S 90D")</f>
        <v>Model S 90D</v>
      </c>
      <c r="G221" s="258" t="str">
        <f>IFERROR(__xludf.DUMMYFUNCTION("""COMPUTED_VALUE"""),"Twice a month")</f>
        <v>Twice a month</v>
      </c>
      <c r="H221" s="258" t="str">
        <f>IFERROR(__xludf.DUMMYFUNCTION("""COMPUTED_VALUE"""),"A few times a year")</f>
        <v>A few times a year</v>
      </c>
      <c r="I221" s="258" t="str">
        <f>IFERROR(__xludf.DUMMYFUNCTION("""COMPUTED_VALUE"""),"A few times a year")</f>
        <v>A few times a year</v>
      </c>
      <c r="J221" s="260">
        <f>IFERROR(__xludf.DUMMYFUNCTION("""COMPUTED_VALUE"""),0.9)</f>
        <v>0.9</v>
      </c>
      <c r="K221" s="258">
        <f>IFERROR(__xludf.DUMMYFUNCTION("""COMPUTED_VALUE"""),450.0)</f>
        <v>450</v>
      </c>
      <c r="L221" s="258" t="str">
        <f>IFERROR(__xludf.DUMMYFUNCTION("""COMPUTED_VALUE"""),"")</f>
        <v/>
      </c>
      <c r="M221" s="261">
        <f>IFERROR(__xludf.DUMMYFUNCTION("""COMPUTED_VALUE"""),220.0)</f>
        <v>220</v>
      </c>
      <c r="N221" s="262" t="str">
        <f>IFERROR(__xludf.DUMMYFUNCTION("""COMPUTED_VALUE"""),"")</f>
        <v/>
      </c>
      <c r="O221" s="259" t="str">
        <f>IFERROR(__xludf.DUMMYFUNCTION("""COMPUTED_VALUE"""),"")</f>
        <v/>
      </c>
      <c r="P221" s="259">
        <f>IFERROR(__xludf.DUMMYFUNCTION("""COMPUTED_VALUE"""),43107.0)</f>
        <v>43107</v>
      </c>
      <c r="Q221" s="258">
        <f>IFERROR(__xludf.DUMMYFUNCTION("""COMPUTED_VALUE"""),10177.0)</f>
        <v>10177</v>
      </c>
      <c r="R221" s="261">
        <f>IFERROR(__xludf.DUMMYFUNCTION("""COMPUTED_VALUE"""),444.8)</f>
        <v>444.8</v>
      </c>
      <c r="S221" s="258">
        <v>447.0</v>
      </c>
      <c r="T221" s="263">
        <v>0.9950782997762864</v>
      </c>
      <c r="U221" s="264">
        <v>6324.0</v>
      </c>
      <c r="V221" s="265">
        <v>10177.0</v>
      </c>
      <c r="W221" s="264">
        <v>6324.0</v>
      </c>
      <c r="X221" s="266" t="str">
        <f>IFERROR(__xludf.DUMMYFUNCTION("""COMPUTED_VALUE"""),"GW")</f>
        <v>GW</v>
      </c>
      <c r="Y221" s="267">
        <v>-0.01</v>
      </c>
      <c r="Z221" s="267">
        <v>0.9840577770165411</v>
      </c>
      <c r="AA221" s="269"/>
      <c r="AB221" s="270"/>
      <c r="AC221" s="270"/>
      <c r="AD221" s="270"/>
      <c r="AE221" s="270"/>
    </row>
    <row r="222">
      <c r="A222" s="256">
        <f>IFERROR(__xludf.DUMMYFUNCTION("""COMPUTED_VALUE"""),43006.61319444445)</f>
        <v>43006.61319</v>
      </c>
      <c r="B222" s="257" t="str">
        <f>IFERROR(__xludf.DUMMYFUNCTION("""COMPUTED_VALUE"""),"Dakine")</f>
        <v>Dakine</v>
      </c>
      <c r="C222" s="258" t="str">
        <f>IFERROR(__xludf.DUMMYFUNCTION("""COMPUTED_VALUE"""),"Europe (excluding UK) &amp; Asia Pacific")</f>
        <v>Europe (excluding UK) &amp; Asia Pacific</v>
      </c>
      <c r="D222" s="258" t="str">
        <f>IFERROR(__xludf.DUMMYFUNCTION("""COMPUTED_VALUE"""),"km. My car displays range in kilometres and I will enter all range numbers in kilometres.")</f>
        <v>km. My car displays range in kilometres and I will enter all range numbers in kilometres.</v>
      </c>
      <c r="E222" s="259" t="str">
        <f>IFERROR(__xludf.DUMMYFUNCTION("""COMPUTED_VALUE"""),"")</f>
        <v/>
      </c>
      <c r="F222" s="258" t="str">
        <f>IFERROR(__xludf.DUMMYFUNCTION("""COMPUTED_VALUE"""),"Model S 75")</f>
        <v>Model S 75</v>
      </c>
      <c r="G222" s="258" t="str">
        <f>IFERROR(__xludf.DUMMYFUNCTION("""COMPUTED_VALUE"""),"A few times a year")</f>
        <v>A few times a year</v>
      </c>
      <c r="H222" s="258" t="str">
        <f>IFERROR(__xludf.DUMMYFUNCTION("""COMPUTED_VALUE"""),"A few times a year")</f>
        <v>A few times a year</v>
      </c>
      <c r="I222" s="258" t="str">
        <f>IFERROR(__xludf.DUMMYFUNCTION("""COMPUTED_VALUE"""),"Once or twice a year")</f>
        <v>Once or twice a year</v>
      </c>
      <c r="J222" s="260">
        <f>IFERROR(__xludf.DUMMYFUNCTION("""COMPUTED_VALUE"""),0.9)</f>
        <v>0.9</v>
      </c>
      <c r="K222" s="258" t="str">
        <f>IFERROR(__xludf.DUMMYFUNCTION("""COMPUTED_VALUE"""),"")</f>
        <v/>
      </c>
      <c r="L222" s="258" t="str">
        <f>IFERROR(__xludf.DUMMYFUNCTION("""COMPUTED_VALUE"""),"")</f>
        <v/>
      </c>
      <c r="M222" s="261" t="str">
        <f>IFERROR(__xludf.DUMMYFUNCTION("""COMPUTED_VALUE"""),"")</f>
        <v/>
      </c>
      <c r="N222" s="262" t="str">
        <f>IFERROR(__xludf.DUMMYFUNCTION("""COMPUTED_VALUE"""),"")</f>
        <v/>
      </c>
      <c r="O222" s="259" t="str">
        <f>IFERROR(__xludf.DUMMYFUNCTION("""COMPUTED_VALUE"""),"")</f>
        <v/>
      </c>
      <c r="P222" s="259">
        <f>IFERROR(__xludf.DUMMYFUNCTION("""COMPUTED_VALUE"""),43006.0)</f>
        <v>43006</v>
      </c>
      <c r="Q222" s="258">
        <f>IFERROR(__xludf.DUMMYFUNCTION("""COMPUTED_VALUE"""),14806.0)</f>
        <v>14806</v>
      </c>
      <c r="R222" s="261">
        <f>IFERROR(__xludf.DUMMYFUNCTION("""COMPUTED_VALUE"""),379.0)</f>
        <v>379</v>
      </c>
      <c r="S222" s="258">
        <v>375.0</v>
      </c>
      <c r="T222" s="263">
        <v>1.0106666666666666</v>
      </c>
      <c r="U222" s="264">
        <v>9200.0</v>
      </c>
      <c r="V222" s="265">
        <v>14806.0</v>
      </c>
      <c r="W222" s="264">
        <v>9200.0</v>
      </c>
      <c r="X222" s="266" t="str">
        <f>IFERROR(__xludf.DUMMYFUNCTION("""COMPUTED_VALUE"""),"gyapi")</f>
        <v>gyapi</v>
      </c>
      <c r="Y222" s="267">
        <v>-0.01</v>
      </c>
      <c r="Z222" s="267">
        <v>0.9790153230563209</v>
      </c>
      <c r="AA222" s="269"/>
      <c r="AB222" s="270"/>
      <c r="AC222" s="270"/>
      <c r="AD222" s="270"/>
      <c r="AE222" s="270"/>
    </row>
    <row r="223">
      <c r="A223" s="256">
        <f>IFERROR(__xludf.DUMMYFUNCTION("""COMPUTED_VALUE"""),42971.850694444445)</f>
        <v>42971.85069</v>
      </c>
      <c r="B223" s="257" t="str">
        <f>IFERROR(__xludf.DUMMYFUNCTION("""COMPUTED_VALUE"""),"DamienG")</f>
        <v>DamienG</v>
      </c>
      <c r="C223" s="258" t="str">
        <f>IFERROR(__xludf.DUMMYFUNCTION("""COMPUTED_VALUE"""),"USA")</f>
        <v>USA</v>
      </c>
      <c r="D223" s="258" t="str">
        <f>IFERROR(__xludf.DUMMYFUNCTION("""COMPUTED_VALUE"""),"mi. My car displays range in miles and I will enter all range numbers in miles.")</f>
        <v>mi. My car displays range in miles and I will enter all range numbers in miles.</v>
      </c>
      <c r="E223" s="259">
        <f>IFERROR(__xludf.DUMMYFUNCTION("""COMPUTED_VALUE"""),41244.0)</f>
        <v>41244</v>
      </c>
      <c r="F223" s="258" t="str">
        <f>IFERROR(__xludf.DUMMYFUNCTION("""COMPUTED_VALUE"""),"Model S P85")</f>
        <v>Model S P85</v>
      </c>
      <c r="G223" s="258" t="str">
        <f>IFERROR(__xludf.DUMMYFUNCTION("""COMPUTED_VALUE"""),"Twice a month")</f>
        <v>Twice a month</v>
      </c>
      <c r="H223" s="258" t="str">
        <f>IFERROR(__xludf.DUMMYFUNCTION("""COMPUTED_VALUE"""),"Never")</f>
        <v>Never</v>
      </c>
      <c r="I223" s="258" t="str">
        <f>IFERROR(__xludf.DUMMYFUNCTION("""COMPUTED_VALUE"""),"Never")</f>
        <v>Never</v>
      </c>
      <c r="J223" s="260">
        <f>IFERROR(__xludf.DUMMYFUNCTION("""COMPUTED_VALUE"""),0.9)</f>
        <v>0.9</v>
      </c>
      <c r="K223" s="258" t="str">
        <f>IFERROR(__xludf.DUMMYFUNCTION("""COMPUTED_VALUE"""),"")</f>
        <v/>
      </c>
      <c r="L223" s="258" t="str">
        <f>IFERROR(__xludf.DUMMYFUNCTION("""COMPUTED_VALUE"""),"")</f>
        <v/>
      </c>
      <c r="M223" s="261">
        <f>IFERROR(__xludf.DUMMYFUNCTION("""COMPUTED_VALUE"""),329.0)</f>
        <v>329</v>
      </c>
      <c r="N223" s="262" t="str">
        <f>IFERROR(__xludf.DUMMYFUNCTION("""COMPUTED_VALUE"""),"")</f>
        <v/>
      </c>
      <c r="O223" s="259" t="str">
        <f>IFERROR(__xludf.DUMMYFUNCTION("""COMPUTED_VALUE"""),"")</f>
        <v/>
      </c>
      <c r="P223" s="259">
        <f>IFERROR(__xludf.DUMMYFUNCTION("""COMPUTED_VALUE"""),42971.0)</f>
        <v>42971</v>
      </c>
      <c r="Q223" s="258">
        <f>IFERROR(__xludf.DUMMYFUNCTION("""COMPUTED_VALUE"""),47871.0)</f>
        <v>47871</v>
      </c>
      <c r="R223" s="261">
        <f>IFERROR(__xludf.DUMMYFUNCTION("""COMPUTED_VALUE"""),253.0)</f>
        <v>253</v>
      </c>
      <c r="S223" s="258">
        <v>266.0</v>
      </c>
      <c r="T223" s="263">
        <v>0.9511278195488722</v>
      </c>
      <c r="U223" s="264">
        <v>47871.0</v>
      </c>
      <c r="V223" s="265">
        <v>77041.0</v>
      </c>
      <c r="W223" s="264">
        <v>47871.0</v>
      </c>
      <c r="X223" s="266" t="str">
        <f>IFERROR(__xludf.DUMMYFUNCTION("""COMPUTED_VALUE"""),"gyroscope")</f>
        <v>gyroscope</v>
      </c>
      <c r="Y223" s="267">
        <v>-0.01</v>
      </c>
      <c r="Z223" s="267">
        <v>0.9521355155979584</v>
      </c>
      <c r="AA223" s="269"/>
      <c r="AB223" s="270"/>
      <c r="AC223" s="270"/>
      <c r="AD223" s="270"/>
      <c r="AE223" s="270"/>
    </row>
    <row r="224">
      <c r="A224" s="256">
        <f>IFERROR(__xludf.DUMMYFUNCTION("""COMPUTED_VALUE"""),43637.78244092593)</f>
        <v>43637.78244</v>
      </c>
      <c r="B224" s="257" t="str">
        <f>IFERROR(__xludf.DUMMYFUNCTION("""COMPUTED_VALUE"""),"damieng")</f>
        <v>damieng</v>
      </c>
      <c r="C224" s="258" t="str">
        <f>IFERROR(__xludf.DUMMYFUNCTION("""COMPUTED_VALUE"""),"USA")</f>
        <v>USA</v>
      </c>
      <c r="D224" s="258" t="str">
        <f>IFERROR(__xludf.DUMMYFUNCTION("""COMPUTED_VALUE"""),"mi. My car displays range in miles and I will enter all range numbers in miles.")</f>
        <v>mi. My car displays range in miles and I will enter all range numbers in miles.</v>
      </c>
      <c r="E224" s="259">
        <f>IFERROR(__xludf.DUMMYFUNCTION("""COMPUTED_VALUE"""),41244.0)</f>
        <v>41244</v>
      </c>
      <c r="F224" s="258" t="str">
        <f>IFERROR(__xludf.DUMMYFUNCTION("""COMPUTED_VALUE"""),"Model S P85")</f>
        <v>Model S P85</v>
      </c>
      <c r="G224" s="258" t="str">
        <f>IFERROR(__xludf.DUMMYFUNCTION("""COMPUTED_VALUE"""),"A few times a year")</f>
        <v>A few times a year</v>
      </c>
      <c r="H224" s="258" t="str">
        <f>IFERROR(__xludf.DUMMYFUNCTION("""COMPUTED_VALUE"""),"A few times a year")</f>
        <v>A few times a year</v>
      </c>
      <c r="I224" s="258" t="str">
        <f>IFERROR(__xludf.DUMMYFUNCTION("""COMPUTED_VALUE"""),"A few times a year")</f>
        <v>A few times a year</v>
      </c>
      <c r="J224" s="260">
        <f>IFERROR(__xludf.DUMMYFUNCTION("""COMPUTED_VALUE"""),0.9)</f>
        <v>0.9</v>
      </c>
      <c r="K224" s="258" t="str">
        <f>IFERROR(__xludf.DUMMYFUNCTION("""COMPUTED_VALUE"""),"")</f>
        <v/>
      </c>
      <c r="L224" s="258" t="str">
        <f>IFERROR(__xludf.DUMMYFUNCTION("""COMPUTED_VALUE"""),"")</f>
        <v/>
      </c>
      <c r="M224" s="261" t="str">
        <f>IFERROR(__xludf.DUMMYFUNCTION("""COMPUTED_VALUE"""),"")</f>
        <v/>
      </c>
      <c r="N224" s="262" t="str">
        <f>IFERROR(__xludf.DUMMYFUNCTION("""COMPUTED_VALUE"""),"")</f>
        <v/>
      </c>
      <c r="O224" s="259" t="str">
        <f>IFERROR(__xludf.DUMMYFUNCTION("""COMPUTED_VALUE"""),"")</f>
        <v/>
      </c>
      <c r="P224" s="259">
        <f>IFERROR(__xludf.DUMMYFUNCTION("""COMPUTED_VALUE"""),43637.0)</f>
        <v>43637</v>
      </c>
      <c r="Q224" s="258">
        <f>IFERROR(__xludf.DUMMYFUNCTION("""COMPUTED_VALUE"""),61103.0)</f>
        <v>61103</v>
      </c>
      <c r="R224" s="261">
        <f>IFERROR(__xludf.DUMMYFUNCTION("""COMPUTED_VALUE"""),254.0)</f>
        <v>254</v>
      </c>
      <c r="S224" s="258">
        <v>266.0</v>
      </c>
      <c r="T224" s="263">
        <v>0.9548872180451128</v>
      </c>
      <c r="U224" s="264">
        <v>61103.0</v>
      </c>
      <c r="V224" s="265">
        <v>98336.0</v>
      </c>
      <c r="W224" s="264">
        <v>61103.0</v>
      </c>
      <c r="X224" s="266" t="str">
        <f>IFERROR(__xludf.DUMMYFUNCTION("""COMPUTED_VALUE"""),"Haa")</f>
        <v>Haa</v>
      </c>
      <c r="Y224" s="267">
        <v>-0.01</v>
      </c>
      <c r="Z224" s="267">
        <v>0.9469787067252867</v>
      </c>
      <c r="AA224" s="269"/>
      <c r="AB224" s="270"/>
      <c r="AC224" s="270"/>
      <c r="AD224" s="270"/>
      <c r="AE224" s="270"/>
    </row>
    <row r="225">
      <c r="A225" s="256">
        <f>IFERROR(__xludf.DUMMYFUNCTION("""COMPUTED_VALUE"""),42939.84166666667)</f>
        <v>42939.84167</v>
      </c>
      <c r="B225" s="257" t="str">
        <f>IFERROR(__xludf.DUMMYFUNCTION("""COMPUTED_VALUE"""),"DamienP")</f>
        <v>DamienP</v>
      </c>
      <c r="C225" s="258" t="str">
        <f>IFERROR(__xludf.DUMMYFUNCTION("""COMPUTED_VALUE"""),"USA")</f>
        <v>USA</v>
      </c>
      <c r="D225" s="258" t="str">
        <f>IFERROR(__xludf.DUMMYFUNCTION("""COMPUTED_VALUE"""),"mi. My car displays range in miles and I will enter all range numbers in miles.")</f>
        <v>mi. My car displays range in miles and I will enter all range numbers in miles.</v>
      </c>
      <c r="E225" s="259">
        <f>IFERROR(__xludf.DUMMYFUNCTION("""COMPUTED_VALUE"""),41744.0)</f>
        <v>41744</v>
      </c>
      <c r="F225" s="258" t="str">
        <f>IFERROR(__xludf.DUMMYFUNCTION("""COMPUTED_VALUE"""),"Model S 85")</f>
        <v>Model S 85</v>
      </c>
      <c r="G225" s="258" t="str">
        <f>IFERROR(__xludf.DUMMYFUNCTION("""COMPUTED_VALUE"""),"A few times a year")</f>
        <v>A few times a year</v>
      </c>
      <c r="H225" s="258" t="str">
        <f>IFERROR(__xludf.DUMMYFUNCTION("""COMPUTED_VALUE"""),"A few times a year")</f>
        <v>A few times a year</v>
      </c>
      <c r="I225" s="258" t="str">
        <f>IFERROR(__xludf.DUMMYFUNCTION("""COMPUTED_VALUE"""),"Never")</f>
        <v>Never</v>
      </c>
      <c r="J225" s="260">
        <f>IFERROR(__xludf.DUMMYFUNCTION("""COMPUTED_VALUE"""),0.8)</f>
        <v>0.8</v>
      </c>
      <c r="K225" s="258">
        <f>IFERROR(__xludf.DUMMYFUNCTION("""COMPUTED_VALUE"""),272.0)</f>
        <v>272</v>
      </c>
      <c r="L225" s="258" t="str">
        <f>IFERROR(__xludf.DUMMYFUNCTION("""COMPUTED_VALUE"""),"")</f>
        <v/>
      </c>
      <c r="M225" s="261">
        <f>IFERROR(__xludf.DUMMYFUNCTION("""COMPUTED_VALUE"""),330.0)</f>
        <v>330</v>
      </c>
      <c r="N225" s="262" t="str">
        <f>IFERROR(__xludf.DUMMYFUNCTION("""COMPUTED_VALUE"""),"")</f>
        <v/>
      </c>
      <c r="O225" s="259" t="str">
        <f>IFERROR(__xludf.DUMMYFUNCTION("""COMPUTED_VALUE"""),"")</f>
        <v/>
      </c>
      <c r="P225" s="259">
        <f>IFERROR(__xludf.DUMMYFUNCTION("""COMPUTED_VALUE"""),42939.0)</f>
        <v>42939</v>
      </c>
      <c r="Q225" s="258">
        <f>IFERROR(__xludf.DUMMYFUNCTION("""COMPUTED_VALUE"""),55267.0)</f>
        <v>55267</v>
      </c>
      <c r="R225" s="261">
        <f>IFERROR(__xludf.DUMMYFUNCTION("""COMPUTED_VALUE"""),260.0)</f>
        <v>260</v>
      </c>
      <c r="S225" s="258">
        <v>266.0</v>
      </c>
      <c r="T225" s="263">
        <v>0.9774436090225563</v>
      </c>
      <c r="U225" s="264">
        <v>55267.0</v>
      </c>
      <c r="V225" s="265">
        <v>88944.0</v>
      </c>
      <c r="W225" s="264">
        <v>55267.0</v>
      </c>
      <c r="X225" s="266" t="str">
        <f>IFERROR(__xludf.DUMMYFUNCTION("""COMPUTED_VALUE"""),"Haalie")</f>
        <v>Haalie</v>
      </c>
      <c r="Y225" s="267">
        <v>-0.01</v>
      </c>
      <c r="Z225" s="267">
        <v>0.9492176684538556</v>
      </c>
      <c r="AA225" s="269"/>
      <c r="AB225" s="270"/>
      <c r="AC225" s="270"/>
      <c r="AD225" s="270"/>
      <c r="AE225" s="270"/>
    </row>
    <row r="226">
      <c r="A226" s="256">
        <f>IFERROR(__xludf.DUMMYFUNCTION("""COMPUTED_VALUE"""),43675.6462928125)</f>
        <v>43675.64629</v>
      </c>
      <c r="B226" s="257" t="str">
        <f>IFERROR(__xludf.DUMMYFUNCTION("""COMPUTED_VALUE"""),"Dangis")</f>
        <v>Dangis</v>
      </c>
      <c r="C226" s="258" t="str">
        <f>IFERROR(__xludf.DUMMYFUNCTION("""COMPUTED_VALUE"""),"Europe (excluding UK) &amp; Asia Pacific")</f>
        <v>Europe (excluding UK) &amp; Asia Pacific</v>
      </c>
      <c r="D226" s="258" t="str">
        <f>IFERROR(__xludf.DUMMYFUNCTION("""COMPUTED_VALUE"""),"km. My car displays range in kilometres and I will enter all range numbers in kilometres.")</f>
        <v>km. My car displays range in kilometres and I will enter all range numbers in kilometres.</v>
      </c>
      <c r="E226" s="259">
        <f>IFERROR(__xludf.DUMMYFUNCTION("""COMPUTED_VALUE"""),43174.0)</f>
        <v>43174</v>
      </c>
      <c r="F226" s="258" t="str">
        <f>IFERROR(__xludf.DUMMYFUNCTION("""COMPUTED_VALUE"""),"Model X 100D")</f>
        <v>Model X 100D</v>
      </c>
      <c r="G226" s="258" t="str">
        <f>IFERROR(__xludf.DUMMYFUNCTION("""COMPUTED_VALUE"""),"Weekly")</f>
        <v>Weekly</v>
      </c>
      <c r="H226" s="258" t="str">
        <f>IFERROR(__xludf.DUMMYFUNCTION("""COMPUTED_VALUE"""),"")</f>
        <v/>
      </c>
      <c r="I226" s="258" t="str">
        <f>IFERROR(__xludf.DUMMYFUNCTION("""COMPUTED_VALUE"""),"Never")</f>
        <v>Never</v>
      </c>
      <c r="J226" s="260" t="str">
        <f>IFERROR(__xludf.DUMMYFUNCTION("""COMPUTED_VALUE"""),"")</f>
        <v/>
      </c>
      <c r="K226" s="258">
        <f>IFERROR(__xludf.DUMMYFUNCTION("""COMPUTED_VALUE"""),453.0)</f>
        <v>453</v>
      </c>
      <c r="L226" s="258" t="str">
        <f>IFERROR(__xludf.DUMMYFUNCTION("""COMPUTED_VALUE"""),"")</f>
        <v/>
      </c>
      <c r="M226" s="261">
        <f>IFERROR(__xludf.DUMMYFUNCTION("""COMPUTED_VALUE"""),246.0)</f>
        <v>246</v>
      </c>
      <c r="N226" s="262" t="str">
        <f>IFERROR(__xludf.DUMMYFUNCTION("""COMPUTED_VALUE"""),"")</f>
        <v/>
      </c>
      <c r="O226" s="259" t="str">
        <f>IFERROR(__xludf.DUMMYFUNCTION("""COMPUTED_VALUE"""),"")</f>
        <v/>
      </c>
      <c r="P226" s="259">
        <f>IFERROR(__xludf.DUMMYFUNCTION("""COMPUTED_VALUE"""),43314.0)</f>
        <v>43314</v>
      </c>
      <c r="Q226" s="258">
        <f>IFERROR(__xludf.DUMMYFUNCTION("""COMPUTED_VALUE"""),2132.0)</f>
        <v>2132</v>
      </c>
      <c r="R226" s="261">
        <f>IFERROR(__xludf.DUMMYFUNCTION("""COMPUTED_VALUE"""),448.0)</f>
        <v>448</v>
      </c>
      <c r="S226" s="258">
        <v>448.0</v>
      </c>
      <c r="T226" s="263">
        <v>1.0</v>
      </c>
      <c r="U226" s="264">
        <v>1325.0</v>
      </c>
      <c r="V226" s="265">
        <v>2132.0</v>
      </c>
      <c r="W226" s="264">
        <v>1325.0</v>
      </c>
      <c r="X226" s="266" t="str">
        <f>IFERROR(__xludf.DUMMYFUNCTION("""COMPUTED_VALUE"""),"Hammer")</f>
        <v>Hammer</v>
      </c>
      <c r="Y226" s="267">
        <v>-0.01</v>
      </c>
      <c r="Z226" s="267">
        <v>0.9959595349305365</v>
      </c>
      <c r="AA226" s="269"/>
      <c r="AB226" s="270"/>
      <c r="AC226" s="270"/>
      <c r="AD226" s="270"/>
      <c r="AE226" s="270"/>
    </row>
    <row r="227">
      <c r="A227" s="256">
        <f>IFERROR(__xludf.DUMMYFUNCTION("""COMPUTED_VALUE"""),43675.6462928125)</f>
        <v>43675.64629</v>
      </c>
      <c r="B227" s="257" t="str">
        <f>IFERROR(__xludf.DUMMYFUNCTION("""COMPUTED_VALUE"""),"Dangis")</f>
        <v>Dangis</v>
      </c>
      <c r="C227" s="258" t="str">
        <f>IFERROR(__xludf.DUMMYFUNCTION("""COMPUTED_VALUE"""),"Europe (excluding UK) &amp; Asia Pacific")</f>
        <v>Europe (excluding UK) &amp; Asia Pacific</v>
      </c>
      <c r="D227" s="258" t="str">
        <f>IFERROR(__xludf.DUMMYFUNCTION("""COMPUTED_VALUE"""),"km. My car displays range in kilometres and I will enter all range numbers in kilometres.")</f>
        <v>km. My car displays range in kilometres and I will enter all range numbers in kilometres.</v>
      </c>
      <c r="E227" s="259">
        <f>IFERROR(__xludf.DUMMYFUNCTION("""COMPUTED_VALUE"""),43174.0)</f>
        <v>43174</v>
      </c>
      <c r="F227" s="258" t="str">
        <f>IFERROR(__xludf.DUMMYFUNCTION("""COMPUTED_VALUE"""),"Model X 100D")</f>
        <v>Model X 100D</v>
      </c>
      <c r="G227" s="258" t="str">
        <f>IFERROR(__xludf.DUMMYFUNCTION("""COMPUTED_VALUE"""),"Weekly")</f>
        <v>Weekly</v>
      </c>
      <c r="H227" s="258" t="str">
        <f>IFERROR(__xludf.DUMMYFUNCTION("""COMPUTED_VALUE"""),"")</f>
        <v/>
      </c>
      <c r="I227" s="258" t="str">
        <f>IFERROR(__xludf.DUMMYFUNCTION("""COMPUTED_VALUE"""),"Never")</f>
        <v>Never</v>
      </c>
      <c r="J227" s="260" t="str">
        <f>IFERROR(__xludf.DUMMYFUNCTION("""COMPUTED_VALUE"""),"")</f>
        <v/>
      </c>
      <c r="K227" s="258">
        <f>IFERROR(__xludf.DUMMYFUNCTION("""COMPUTED_VALUE"""),453.0)</f>
        <v>453</v>
      </c>
      <c r="L227" s="258" t="str">
        <f>IFERROR(__xludf.DUMMYFUNCTION("""COMPUTED_VALUE"""),"")</f>
        <v/>
      </c>
      <c r="M227" s="261">
        <f>IFERROR(__xludf.DUMMYFUNCTION("""COMPUTED_VALUE"""),246.0)</f>
        <v>246</v>
      </c>
      <c r="N227" s="262" t="str">
        <f>IFERROR(__xludf.DUMMYFUNCTION("""COMPUTED_VALUE"""),"")</f>
        <v/>
      </c>
      <c r="O227" s="259" t="str">
        <f>IFERROR(__xludf.DUMMYFUNCTION("""COMPUTED_VALUE"""),"")</f>
        <v/>
      </c>
      <c r="P227" s="259">
        <f>IFERROR(__xludf.DUMMYFUNCTION("""COMPUTED_VALUE"""),43651.0)</f>
        <v>43651</v>
      </c>
      <c r="Q227" s="258">
        <f>IFERROR(__xludf.DUMMYFUNCTION("""COMPUTED_VALUE"""),23275.0)</f>
        <v>23275</v>
      </c>
      <c r="R227" s="261">
        <f>IFERROR(__xludf.DUMMYFUNCTION("""COMPUTED_VALUE"""),436.0)</f>
        <v>436</v>
      </c>
      <c r="S227" s="258">
        <v>448.0</v>
      </c>
      <c r="T227" s="263">
        <v>0.9732142857142857</v>
      </c>
      <c r="U227" s="264">
        <v>14462.0</v>
      </c>
      <c r="V227" s="265">
        <v>23275.0</v>
      </c>
      <c r="W227" s="264">
        <v>14462.0</v>
      </c>
      <c r="X227" s="266" t="str">
        <f>IFERROR(__xludf.DUMMYFUNCTION("""COMPUTED_VALUE"""),"Hans (Amsterdam)")</f>
        <v>Hans (Amsterdam)</v>
      </c>
      <c r="Y227" s="267">
        <v>-0.01</v>
      </c>
      <c r="Z227" s="267">
        <v>0.9720573973312673</v>
      </c>
      <c r="AA227" s="269"/>
      <c r="AB227" s="270"/>
      <c r="AC227" s="270"/>
      <c r="AD227" s="270"/>
      <c r="AE227" s="270"/>
    </row>
    <row r="228">
      <c r="A228" s="256">
        <f>IFERROR(__xludf.DUMMYFUNCTION("""COMPUTED_VALUE"""),43118.67083333334)</f>
        <v>43118.67083</v>
      </c>
      <c r="B228" s="257" t="str">
        <f>IFERROR(__xludf.DUMMYFUNCTION("""COMPUTED_VALUE"""),"Daniel74")</f>
        <v>Daniel74</v>
      </c>
      <c r="C228" s="258" t="str">
        <f>IFERROR(__xludf.DUMMYFUNCTION("""COMPUTED_VALUE"""),"Europe (excluding UK) &amp; Asia Pacific")</f>
        <v>Europe (excluding UK) &amp; Asia Pacific</v>
      </c>
      <c r="D228" s="258" t="str">
        <f>IFERROR(__xludf.DUMMYFUNCTION("""COMPUTED_VALUE"""),"km. My car displays range in kilometres and I will enter all range numbers in kilometres.")</f>
        <v>km. My car displays range in kilometres and I will enter all range numbers in kilometres.</v>
      </c>
      <c r="E228" s="259">
        <f>IFERROR(__xludf.DUMMYFUNCTION("""COMPUTED_VALUE"""),41605.0)</f>
        <v>41605</v>
      </c>
      <c r="F228" s="258" t="str">
        <f>IFERROR(__xludf.DUMMYFUNCTION("""COMPUTED_VALUE"""),"Model S P85")</f>
        <v>Model S P85</v>
      </c>
      <c r="G228" s="258" t="str">
        <f>IFERROR(__xludf.DUMMYFUNCTION("""COMPUTED_VALUE"""),"Monthly")</f>
        <v>Monthly</v>
      </c>
      <c r="H228" s="258" t="str">
        <f>IFERROR(__xludf.DUMMYFUNCTION("""COMPUTED_VALUE"""),"A few times a year")</f>
        <v>A few times a year</v>
      </c>
      <c r="I228" s="258" t="str">
        <f>IFERROR(__xludf.DUMMYFUNCTION("""COMPUTED_VALUE"""),"Once or twice a year")</f>
        <v>Once or twice a year</v>
      </c>
      <c r="J228" s="260">
        <f>IFERROR(__xludf.DUMMYFUNCTION("""COMPUTED_VALUE"""),0.8)</f>
        <v>0.8</v>
      </c>
      <c r="K228" s="258">
        <f>IFERROR(__xludf.DUMMYFUNCTION("""COMPUTED_VALUE"""),400.0)</f>
        <v>400</v>
      </c>
      <c r="L228" s="258" t="str">
        <f>IFERROR(__xludf.DUMMYFUNCTION("""COMPUTED_VALUE"""),"")</f>
        <v/>
      </c>
      <c r="M228" s="261">
        <f>IFERROR(__xludf.DUMMYFUNCTION("""COMPUTED_VALUE"""),219.0)</f>
        <v>219</v>
      </c>
      <c r="N228" s="262" t="str">
        <f>IFERROR(__xludf.DUMMYFUNCTION("""COMPUTED_VALUE"""),"")</f>
        <v/>
      </c>
      <c r="O228" s="259" t="str">
        <f>IFERROR(__xludf.DUMMYFUNCTION("""COMPUTED_VALUE"""),"")</f>
        <v/>
      </c>
      <c r="P228" s="259">
        <f>IFERROR(__xludf.DUMMYFUNCTION("""COMPUTED_VALUE"""),43118.0)</f>
        <v>43118</v>
      </c>
      <c r="Q228" s="258">
        <f>IFERROR(__xludf.DUMMYFUNCTION("""COMPUTED_VALUE"""),115805.0)</f>
        <v>115805</v>
      </c>
      <c r="R228" s="261">
        <f>IFERROR(__xludf.DUMMYFUNCTION("""COMPUTED_VALUE"""),367.0)</f>
        <v>367</v>
      </c>
      <c r="S228" s="258">
        <v>395.0</v>
      </c>
      <c r="T228" s="263">
        <v>0.9291139240506329</v>
      </c>
      <c r="U228" s="264">
        <v>71958.0</v>
      </c>
      <c r="V228" s="265">
        <v>115805.0</v>
      </c>
      <c r="W228" s="264">
        <v>71958.0</v>
      </c>
      <c r="X228" s="266" t="str">
        <f>IFERROR(__xludf.DUMMYFUNCTION("""COMPUTED_VALUE"""),"Hans Noordsij")</f>
        <v>Hans Noordsij</v>
      </c>
      <c r="Y228" s="267">
        <v>-0.01</v>
      </c>
      <c r="Z228" s="267">
        <v>0.9428856777608511</v>
      </c>
      <c r="AA228" s="269"/>
      <c r="AB228" s="270"/>
      <c r="AC228" s="270"/>
      <c r="AD228" s="270"/>
      <c r="AE228" s="270"/>
    </row>
    <row r="229">
      <c r="A229" s="256">
        <f>IFERROR(__xludf.DUMMYFUNCTION("""COMPUTED_VALUE"""),42110.097916666666)</f>
        <v>42110.09792</v>
      </c>
      <c r="B229" s="257" t="str">
        <f>IFERROR(__xludf.DUMMYFUNCTION("""COMPUTED_VALUE"""),"Danielk")</f>
        <v>Danielk</v>
      </c>
      <c r="C229" s="258" t="str">
        <f>IFERROR(__xludf.DUMMYFUNCTION("""COMPUTED_VALUE"""),"Europe (excluding UK) &amp; Asia Pacific")</f>
        <v>Europe (excluding UK) &amp; Asia Pacific</v>
      </c>
      <c r="D229" s="258" t="str">
        <f>IFERROR(__xludf.DUMMYFUNCTION("""COMPUTED_VALUE"""),"km. My car displays range in kilometres and I will enter all range numbers in kilometres.")</f>
        <v>km. My car displays range in kilometres and I will enter all range numbers in kilometres.</v>
      </c>
      <c r="E229" s="259">
        <f>IFERROR(__xludf.DUMMYFUNCTION("""COMPUTED_VALUE"""),41726.0)</f>
        <v>41726</v>
      </c>
      <c r="F229" s="258" t="str">
        <f>IFERROR(__xludf.DUMMYFUNCTION("""COMPUTED_VALUE"""),"Unspecified 85 kWh")</f>
        <v>Unspecified 85 kWh</v>
      </c>
      <c r="G229" s="258" t="str">
        <f>IFERROR(__xludf.DUMMYFUNCTION("""COMPUTED_VALUE"""),"Monthly")</f>
        <v>Monthly</v>
      </c>
      <c r="H229" s="258" t="str">
        <f>IFERROR(__xludf.DUMMYFUNCTION("""COMPUTED_VALUE"""),"Twice a month")</f>
        <v>Twice a month</v>
      </c>
      <c r="I229" s="258" t="str">
        <f>IFERROR(__xludf.DUMMYFUNCTION("""COMPUTED_VALUE"""),"Never")</f>
        <v>Never</v>
      </c>
      <c r="J229" s="260" t="str">
        <f>IFERROR(__xludf.DUMMYFUNCTION("""COMPUTED_VALUE"""),"")</f>
        <v/>
      </c>
      <c r="K229" s="258" t="str">
        <f>IFERROR(__xludf.DUMMYFUNCTION("""COMPUTED_VALUE"""),"")</f>
        <v/>
      </c>
      <c r="L229" s="258" t="str">
        <f>IFERROR(__xludf.DUMMYFUNCTION("""COMPUTED_VALUE"""),"")</f>
        <v/>
      </c>
      <c r="M229" s="261">
        <f>IFERROR(__xludf.DUMMYFUNCTION("""COMPUTED_VALUE"""),216.0)</f>
        <v>216</v>
      </c>
      <c r="N229" s="262" t="str">
        <f>IFERROR(__xludf.DUMMYFUNCTION("""COMPUTED_VALUE"""),"")</f>
        <v/>
      </c>
      <c r="O229" s="259" t="str">
        <f>IFERROR(__xludf.DUMMYFUNCTION("""COMPUTED_VALUE"""),"")</f>
        <v/>
      </c>
      <c r="P229" s="259">
        <f>IFERROR(__xludf.DUMMYFUNCTION("""COMPUTED_VALUE"""),42110.0)</f>
        <v>42110</v>
      </c>
      <c r="Q229" s="258">
        <f>IFERROR(__xludf.DUMMYFUNCTION("""COMPUTED_VALUE"""),46000.0)</f>
        <v>46000</v>
      </c>
      <c r="R229" s="261">
        <f>IFERROR(__xludf.DUMMYFUNCTION("""COMPUTED_VALUE"""),383.0)</f>
        <v>383</v>
      </c>
      <c r="S229" s="258">
        <v>395.0</v>
      </c>
      <c r="T229" s="263">
        <v>0.9696202531645569</v>
      </c>
      <c r="U229" s="264">
        <v>28583.0</v>
      </c>
      <c r="V229" s="265">
        <v>46000.0</v>
      </c>
      <c r="W229" s="264">
        <v>28583.0</v>
      </c>
      <c r="X229" s="266" t="str">
        <f>IFERROR(__xludf.DUMMYFUNCTION("""COMPUTED_VALUE"""),"HansBe")</f>
        <v>HansBe</v>
      </c>
      <c r="Y229" s="267">
        <v>-0.01</v>
      </c>
      <c r="Z229" s="267">
        <v>0.961048512128177</v>
      </c>
      <c r="AA229" s="269"/>
      <c r="AB229" s="270"/>
      <c r="AC229" s="270"/>
      <c r="AD229" s="270"/>
      <c r="AE229" s="270"/>
    </row>
    <row r="230">
      <c r="A230" s="256">
        <f>IFERROR(__xludf.DUMMYFUNCTION("""COMPUTED_VALUE"""),41908.18819444445)</f>
        <v>41908.18819</v>
      </c>
      <c r="B230" s="257" t="str">
        <f>IFERROR(__xludf.DUMMYFUNCTION("""COMPUTED_VALUE"""),"Danielk")</f>
        <v>Danielk</v>
      </c>
      <c r="C230" s="258" t="str">
        <f>IFERROR(__xludf.DUMMYFUNCTION("""COMPUTED_VALUE"""),"Europe (excluding UK) &amp; Asia Pacific")</f>
        <v>Europe (excluding UK) &amp; Asia Pacific</v>
      </c>
      <c r="D230" s="258" t="str">
        <f>IFERROR(__xludf.DUMMYFUNCTION("""COMPUTED_VALUE"""),"km. My car displays range in kilometres and I will enter all range numbers in kilometres.")</f>
        <v>km. My car displays range in kilometres and I will enter all range numbers in kilometres.</v>
      </c>
      <c r="E230" s="259">
        <f>IFERROR(__xludf.DUMMYFUNCTION("""COMPUTED_VALUE"""),41726.0)</f>
        <v>41726</v>
      </c>
      <c r="F230" s="258" t="str">
        <f>IFERROR(__xludf.DUMMYFUNCTION("""COMPUTED_VALUE"""),"Unspecified 85 kWh")</f>
        <v>Unspecified 85 kWh</v>
      </c>
      <c r="G230" s="258" t="str">
        <f>IFERROR(__xludf.DUMMYFUNCTION("""COMPUTED_VALUE"""),"Monthly")</f>
        <v>Monthly</v>
      </c>
      <c r="H230" s="258" t="str">
        <f>IFERROR(__xludf.DUMMYFUNCTION("""COMPUTED_VALUE"""),"Twice a month")</f>
        <v>Twice a month</v>
      </c>
      <c r="I230" s="258" t="str">
        <f>IFERROR(__xludf.DUMMYFUNCTION("""COMPUTED_VALUE"""),"Never")</f>
        <v>Never</v>
      </c>
      <c r="J230" s="260" t="str">
        <f>IFERROR(__xludf.DUMMYFUNCTION("""COMPUTED_VALUE"""),"")</f>
        <v/>
      </c>
      <c r="K230" s="258" t="str">
        <f>IFERROR(__xludf.DUMMYFUNCTION("""COMPUTED_VALUE"""),"")</f>
        <v/>
      </c>
      <c r="L230" s="258" t="str">
        <f>IFERROR(__xludf.DUMMYFUNCTION("""COMPUTED_VALUE"""),"")</f>
        <v/>
      </c>
      <c r="M230" s="261">
        <f>IFERROR(__xludf.DUMMYFUNCTION("""COMPUTED_VALUE"""),206.0)</f>
        <v>206</v>
      </c>
      <c r="N230" s="262" t="str">
        <f>IFERROR(__xludf.DUMMYFUNCTION("""COMPUTED_VALUE"""),"")</f>
        <v/>
      </c>
      <c r="O230" s="259" t="str">
        <f>IFERROR(__xludf.DUMMYFUNCTION("""COMPUTED_VALUE"""),"")</f>
        <v/>
      </c>
      <c r="P230" s="259">
        <f>IFERROR(__xludf.DUMMYFUNCTION("""COMPUTED_VALUE"""),41908.0)</f>
        <v>41908</v>
      </c>
      <c r="Q230" s="258">
        <f>IFERROR(__xludf.DUMMYFUNCTION("""COMPUTED_VALUE"""),20509.0)</f>
        <v>20509</v>
      </c>
      <c r="R230" s="261">
        <f>IFERROR(__xludf.DUMMYFUNCTION("""COMPUTED_VALUE"""),388.0)</f>
        <v>388</v>
      </c>
      <c r="S230" s="258">
        <v>395.0</v>
      </c>
      <c r="T230" s="263">
        <v>0.9822784810126582</v>
      </c>
      <c r="U230" s="264">
        <v>12744.0</v>
      </c>
      <c r="V230" s="265">
        <v>20509.0</v>
      </c>
      <c r="W230" s="264">
        <v>12744.0</v>
      </c>
      <c r="X230" s="266" t="str">
        <f>IFERROR(__xludf.DUMMYFUNCTION("""COMPUTED_VALUE"""),"HansBE")</f>
        <v>HansBE</v>
      </c>
      <c r="Y230" s="267">
        <v>-0.01</v>
      </c>
      <c r="Z230" s="267">
        <v>0.9740677566962087</v>
      </c>
      <c r="AA230" s="269"/>
      <c r="AB230" s="270"/>
      <c r="AC230" s="270"/>
      <c r="AD230" s="270"/>
      <c r="AE230" s="270"/>
    </row>
    <row r="231">
      <c r="A231" s="256">
        <f>IFERROR(__xludf.DUMMYFUNCTION("""COMPUTED_VALUE"""),43213.728472222225)</f>
        <v>43213.72847</v>
      </c>
      <c r="B231" s="257" t="str">
        <f>IFERROR(__xludf.DUMMYFUNCTION("""COMPUTED_VALUE"""),"DanielP")</f>
        <v>DanielP</v>
      </c>
      <c r="C231" s="258" t="str">
        <f>IFERROR(__xludf.DUMMYFUNCTION("""COMPUTED_VALUE"""),"Europe (excluding UK) &amp; Asia Pacific")</f>
        <v>Europe (excluding UK) &amp; Asia Pacific</v>
      </c>
      <c r="D231" s="258" t="str">
        <f>IFERROR(__xludf.DUMMYFUNCTION("""COMPUTED_VALUE"""),"km. My car displays range in kilometres and I will enter all range numbers in kilometres.")</f>
        <v>km. My car displays range in kilometres and I will enter all range numbers in kilometres.</v>
      </c>
      <c r="E231" s="259">
        <f>IFERROR(__xludf.DUMMYFUNCTION("""COMPUTED_VALUE"""),42417.0)</f>
        <v>42417</v>
      </c>
      <c r="F231" s="258" t="str">
        <f>IFERROR(__xludf.DUMMYFUNCTION("""COMPUTED_VALUE"""),"Model S 90D")</f>
        <v>Model S 90D</v>
      </c>
      <c r="G231" s="258" t="str">
        <f>IFERROR(__xludf.DUMMYFUNCTION("""COMPUTED_VALUE"""),"Monthly")</f>
        <v>Monthly</v>
      </c>
      <c r="H231" s="258" t="str">
        <f>IFERROR(__xludf.DUMMYFUNCTION("""COMPUTED_VALUE"""),"A few times a year")</f>
        <v>A few times a year</v>
      </c>
      <c r="I231" s="258" t="str">
        <f>IFERROR(__xludf.DUMMYFUNCTION("""COMPUTED_VALUE"""),"A few times a year")</f>
        <v>A few times a year</v>
      </c>
      <c r="J231" s="260">
        <f>IFERROR(__xludf.DUMMYFUNCTION("""COMPUTED_VALUE"""),0.8)</f>
        <v>0.8</v>
      </c>
      <c r="K231" s="258">
        <f>IFERROR(__xludf.DUMMYFUNCTION("""COMPUTED_VALUE"""),450.0)</f>
        <v>450</v>
      </c>
      <c r="L231" s="258" t="str">
        <f>IFERROR(__xludf.DUMMYFUNCTION("""COMPUTED_VALUE"""),"")</f>
        <v/>
      </c>
      <c r="M231" s="261">
        <f>IFERROR(__xludf.DUMMYFUNCTION("""COMPUTED_VALUE"""),207.0)</f>
        <v>207</v>
      </c>
      <c r="N231" s="262" t="str">
        <f>IFERROR(__xludf.DUMMYFUNCTION("""COMPUTED_VALUE"""),"")</f>
        <v/>
      </c>
      <c r="O231" s="259" t="str">
        <f>IFERROR(__xludf.DUMMYFUNCTION("""COMPUTED_VALUE"""),"")</f>
        <v/>
      </c>
      <c r="P231" s="259">
        <f>IFERROR(__xludf.DUMMYFUNCTION("""COMPUTED_VALUE"""),43213.0)</f>
        <v>43213</v>
      </c>
      <c r="Q231" s="258">
        <f>IFERROR(__xludf.DUMMYFUNCTION("""COMPUTED_VALUE"""),43642.0)</f>
        <v>43642</v>
      </c>
      <c r="R231" s="261">
        <f>IFERROR(__xludf.DUMMYFUNCTION("""COMPUTED_VALUE"""),440.0)</f>
        <v>440</v>
      </c>
      <c r="S231" s="258">
        <v>447.0</v>
      </c>
      <c r="T231" s="263">
        <v>0.9843400447427293</v>
      </c>
      <c r="U231" s="264">
        <v>27118.0</v>
      </c>
      <c r="V231" s="265">
        <v>43642.0</v>
      </c>
      <c r="W231" s="264">
        <v>27118.0</v>
      </c>
      <c r="X231" s="266" t="str">
        <f>IFERROR(__xludf.DUMMYFUNCTION("""COMPUTED_VALUE"""),"hansenluu")</f>
        <v>hansenluu</v>
      </c>
      <c r="Y231" s="267">
        <v>-0.01</v>
      </c>
      <c r="Z231" s="267">
        <v>0.9619007614457927</v>
      </c>
      <c r="AA231" s="269"/>
      <c r="AB231" s="270"/>
      <c r="AC231" s="270"/>
      <c r="AD231" s="270"/>
      <c r="AE231" s="270"/>
    </row>
    <row r="232">
      <c r="A232" s="256">
        <f>IFERROR(__xludf.DUMMYFUNCTION("""COMPUTED_VALUE"""),42884.83541666667)</f>
        <v>42884.83542</v>
      </c>
      <c r="B232" s="257" t="str">
        <f>IFERROR(__xludf.DUMMYFUNCTION("""COMPUTED_VALUE"""),"Dark Knight")</f>
        <v>Dark Knight</v>
      </c>
      <c r="C232" s="258" t="str">
        <f>IFERROR(__xludf.DUMMYFUNCTION("""COMPUTED_VALUE"""),"USA")</f>
        <v>USA</v>
      </c>
      <c r="D232" s="258" t="str">
        <f>IFERROR(__xludf.DUMMYFUNCTION("""COMPUTED_VALUE"""),"mi. My car displays range in miles and I will enter all range numbers in miles.")</f>
        <v>mi. My car displays range in miles and I will enter all range numbers in miles.</v>
      </c>
      <c r="E232" s="259">
        <f>IFERROR(__xludf.DUMMYFUNCTION("""COMPUTED_VALUE"""),41673.0)</f>
        <v>41673</v>
      </c>
      <c r="F232" s="258" t="str">
        <f>IFERROR(__xludf.DUMMYFUNCTION("""COMPUTED_VALUE"""),"Model S 60")</f>
        <v>Model S 60</v>
      </c>
      <c r="G232" s="258" t="str">
        <f>IFERROR(__xludf.DUMMYFUNCTION("""COMPUTED_VALUE"""),"")</f>
        <v/>
      </c>
      <c r="H232" s="258" t="str">
        <f>IFERROR(__xludf.DUMMYFUNCTION("""COMPUTED_VALUE"""),"")</f>
        <v/>
      </c>
      <c r="I232" s="258" t="str">
        <f>IFERROR(__xludf.DUMMYFUNCTION("""COMPUTED_VALUE"""),"")</f>
        <v/>
      </c>
      <c r="J232" s="260" t="str">
        <f>IFERROR(__xludf.DUMMYFUNCTION("""COMPUTED_VALUE"""),"")</f>
        <v/>
      </c>
      <c r="K232" s="258" t="str">
        <f>IFERROR(__xludf.DUMMYFUNCTION("""COMPUTED_VALUE"""),"")</f>
        <v/>
      </c>
      <c r="L232" s="258" t="str">
        <f>IFERROR(__xludf.DUMMYFUNCTION("""COMPUTED_VALUE"""),"")</f>
        <v/>
      </c>
      <c r="M232" s="261">
        <f>IFERROR(__xludf.DUMMYFUNCTION("""COMPUTED_VALUE"""),318.0)</f>
        <v>318</v>
      </c>
      <c r="N232" s="262" t="str">
        <f>IFERROR(__xludf.DUMMYFUNCTION("""COMPUTED_VALUE"""),"")</f>
        <v/>
      </c>
      <c r="O232" s="259" t="str">
        <f>IFERROR(__xludf.DUMMYFUNCTION("""COMPUTED_VALUE"""),"")</f>
        <v/>
      </c>
      <c r="P232" s="259">
        <f>IFERROR(__xludf.DUMMYFUNCTION("""COMPUTED_VALUE"""),42884.0)</f>
        <v>42884</v>
      </c>
      <c r="Q232" s="258">
        <f>IFERROR(__xludf.DUMMYFUNCTION("""COMPUTED_VALUE"""),29814.0)</f>
        <v>29814</v>
      </c>
      <c r="R232" s="261">
        <f>IFERROR(__xludf.DUMMYFUNCTION("""COMPUTED_VALUE"""),178.0)</f>
        <v>178</v>
      </c>
      <c r="S232" s="258">
        <v>207.0</v>
      </c>
      <c r="T232" s="263">
        <v>0.8599033816425121</v>
      </c>
      <c r="U232" s="264">
        <v>29814.0</v>
      </c>
      <c r="V232" s="265">
        <v>47981.0</v>
      </c>
      <c r="W232" s="264">
        <v>29814.0</v>
      </c>
      <c r="X232" s="266" t="str">
        <f>IFERROR(__xludf.DUMMYFUNCTION("""COMPUTED_VALUE"""),"Hanteta")</f>
        <v>Hanteta</v>
      </c>
      <c r="Y232" s="267">
        <v>-0.01</v>
      </c>
      <c r="Z232" s="267">
        <v>0.9603632757325885</v>
      </c>
      <c r="AA232" s="269"/>
      <c r="AB232" s="270"/>
      <c r="AC232" s="270"/>
      <c r="AD232" s="270"/>
      <c r="AE232" s="270"/>
    </row>
    <row r="233">
      <c r="A233" s="256">
        <f>IFERROR(__xludf.DUMMYFUNCTION("""COMPUTED_VALUE"""),42158.899305555555)</f>
        <v>42158.89931</v>
      </c>
      <c r="B233" s="257" t="str">
        <f>IFERROR(__xludf.DUMMYFUNCTION("""COMPUTED_VALUE"""),"Dark Matter")</f>
        <v>Dark Matter</v>
      </c>
      <c r="C233" s="258" t="str">
        <f>IFERROR(__xludf.DUMMYFUNCTION("""COMPUTED_VALUE"""),"Canada")</f>
        <v>Canada</v>
      </c>
      <c r="D233" s="258" t="str">
        <f>IFERROR(__xludf.DUMMYFUNCTION("""COMPUTED_VALUE"""),"km. My car displays range in kilometres and I will enter all range numbers in kilometres.")</f>
        <v>km. My car displays range in kilometres and I will enter all range numbers in kilometres.</v>
      </c>
      <c r="E233" s="259">
        <f>IFERROR(__xludf.DUMMYFUNCTION("""COMPUTED_VALUE"""),41984.0)</f>
        <v>41984</v>
      </c>
      <c r="F233" s="258" t="str">
        <f>IFERROR(__xludf.DUMMYFUNCTION("""COMPUTED_VALUE"""),"Model S 85")</f>
        <v>Model S 85</v>
      </c>
      <c r="G233" s="258" t="str">
        <f>IFERROR(__xludf.DUMMYFUNCTION("""COMPUTED_VALUE"""),"Monthly")</f>
        <v>Monthly</v>
      </c>
      <c r="H233" s="258" t="str">
        <f>IFERROR(__xludf.DUMMYFUNCTION("""COMPUTED_VALUE"""),"Once or twice a year")</f>
        <v>Once or twice a year</v>
      </c>
      <c r="I233" s="258" t="str">
        <f>IFERROR(__xludf.DUMMYFUNCTION("""COMPUTED_VALUE"""),"Never")</f>
        <v>Never</v>
      </c>
      <c r="J233" s="260">
        <f>IFERROR(__xludf.DUMMYFUNCTION("""COMPUTED_VALUE"""),0.9)</f>
        <v>0.9</v>
      </c>
      <c r="K233" s="258" t="str">
        <f>IFERROR(__xludf.DUMMYFUNCTION("""COMPUTED_VALUE"""),"")</f>
        <v/>
      </c>
      <c r="L233" s="258" t="str">
        <f>IFERROR(__xludf.DUMMYFUNCTION("""COMPUTED_VALUE"""),"")</f>
        <v/>
      </c>
      <c r="M233" s="261">
        <f>IFERROR(__xludf.DUMMYFUNCTION("""COMPUTED_VALUE"""),232.0)</f>
        <v>232</v>
      </c>
      <c r="N233" s="262" t="str">
        <f>IFERROR(__xludf.DUMMYFUNCTION("""COMPUTED_VALUE"""),"")</f>
        <v/>
      </c>
      <c r="O233" s="259" t="str">
        <f>IFERROR(__xludf.DUMMYFUNCTION("""COMPUTED_VALUE"""),"")</f>
        <v/>
      </c>
      <c r="P233" s="259">
        <f>IFERROR(__xludf.DUMMYFUNCTION("""COMPUTED_VALUE"""),42158.0)</f>
        <v>42158</v>
      </c>
      <c r="Q233" s="258">
        <f>IFERROR(__xludf.DUMMYFUNCTION("""COMPUTED_VALUE"""),11896.0)</f>
        <v>11896</v>
      </c>
      <c r="R233" s="261">
        <f>IFERROR(__xludf.DUMMYFUNCTION("""COMPUTED_VALUE"""),424.0)</f>
        <v>424</v>
      </c>
      <c r="S233" s="258">
        <v>428.0</v>
      </c>
      <c r="T233" s="263">
        <v>0.9906542056074766</v>
      </c>
      <c r="U233" s="264">
        <v>7392.0</v>
      </c>
      <c r="V233" s="265">
        <v>11896.0</v>
      </c>
      <c r="W233" s="264">
        <v>7392.0</v>
      </c>
      <c r="X233" s="266" t="str">
        <f>IFERROR(__xludf.DUMMYFUNCTION("""COMPUTED_VALUE"""),"Heinz Ruffieux")</f>
        <v>Heinz Ruffieux</v>
      </c>
      <c r="Y233" s="267">
        <v>-0.01</v>
      </c>
      <c r="Z233" s="267">
        <v>0.9820591125702368</v>
      </c>
      <c r="AA233" s="269"/>
      <c r="AB233" s="270"/>
      <c r="AC233" s="270"/>
      <c r="AD233" s="270"/>
      <c r="AE233" s="270"/>
    </row>
    <row r="234">
      <c r="A234" s="256">
        <f>IFERROR(__xludf.DUMMYFUNCTION("""COMPUTED_VALUE"""),42304.90347222222)</f>
        <v>42304.90347</v>
      </c>
      <c r="B234" s="257" t="str">
        <f>IFERROR(__xludf.DUMMYFUNCTION("""COMPUTED_VALUE"""),"Dark Matter")</f>
        <v>Dark Matter</v>
      </c>
      <c r="C234" s="258" t="str">
        <f>IFERROR(__xludf.DUMMYFUNCTION("""COMPUTED_VALUE"""),"Canada")</f>
        <v>Canada</v>
      </c>
      <c r="D234" s="258" t="str">
        <f>IFERROR(__xludf.DUMMYFUNCTION("""COMPUTED_VALUE"""),"km. My car displays range in kilometres and I will enter all range numbers in kilometres.")</f>
        <v>km. My car displays range in kilometres and I will enter all range numbers in kilometres.</v>
      </c>
      <c r="E234" s="259">
        <f>IFERROR(__xludf.DUMMYFUNCTION("""COMPUTED_VALUE"""),41984.0)</f>
        <v>41984</v>
      </c>
      <c r="F234" s="258" t="str">
        <f>IFERROR(__xludf.DUMMYFUNCTION("""COMPUTED_VALUE"""),"Model S 85")</f>
        <v>Model S 85</v>
      </c>
      <c r="G234" s="258" t="str">
        <f>IFERROR(__xludf.DUMMYFUNCTION("""COMPUTED_VALUE"""),"Monthly")</f>
        <v>Monthly</v>
      </c>
      <c r="H234" s="258" t="str">
        <f>IFERROR(__xludf.DUMMYFUNCTION("""COMPUTED_VALUE"""),"Once or twice a year")</f>
        <v>Once or twice a year</v>
      </c>
      <c r="I234" s="258" t="str">
        <f>IFERROR(__xludf.DUMMYFUNCTION("""COMPUTED_VALUE"""),"Never")</f>
        <v>Never</v>
      </c>
      <c r="J234" s="260">
        <f>IFERROR(__xludf.DUMMYFUNCTION("""COMPUTED_VALUE"""),0.9)</f>
        <v>0.9</v>
      </c>
      <c r="K234" s="258" t="str">
        <f>IFERROR(__xludf.DUMMYFUNCTION("""COMPUTED_VALUE"""),"")</f>
        <v/>
      </c>
      <c r="L234" s="258" t="str">
        <f>IFERROR(__xludf.DUMMYFUNCTION("""COMPUTED_VALUE"""),"")</f>
        <v/>
      </c>
      <c r="M234" s="261">
        <f>IFERROR(__xludf.DUMMYFUNCTION("""COMPUTED_VALUE"""),209.0)</f>
        <v>209</v>
      </c>
      <c r="N234" s="262" t="str">
        <f>IFERROR(__xludf.DUMMYFUNCTION("""COMPUTED_VALUE"""),"")</f>
        <v/>
      </c>
      <c r="O234" s="259" t="str">
        <f>IFERROR(__xludf.DUMMYFUNCTION("""COMPUTED_VALUE"""),"")</f>
        <v/>
      </c>
      <c r="P234" s="259">
        <f>IFERROR(__xludf.DUMMYFUNCTION("""COMPUTED_VALUE"""),42304.0)</f>
        <v>42304</v>
      </c>
      <c r="Q234" s="258">
        <f>IFERROR(__xludf.DUMMYFUNCTION("""COMPUTED_VALUE"""),19996.0)</f>
        <v>19996</v>
      </c>
      <c r="R234" s="261">
        <f>IFERROR(__xludf.DUMMYFUNCTION("""COMPUTED_VALUE"""),421.0)</f>
        <v>421</v>
      </c>
      <c r="S234" s="258">
        <v>428.0</v>
      </c>
      <c r="T234" s="263">
        <v>0.9836448598130841</v>
      </c>
      <c r="U234" s="264">
        <v>12425.0</v>
      </c>
      <c r="V234" s="265">
        <v>19996.0</v>
      </c>
      <c r="W234" s="264">
        <v>12425.0</v>
      </c>
      <c r="X234" s="266" t="str">
        <f>IFERROR(__xludf.DUMMYFUNCTION("""COMPUTED_VALUE"""),"helio")</f>
        <v>helio</v>
      </c>
      <c r="Y234" s="267">
        <v>-0.01</v>
      </c>
      <c r="Z234" s="267">
        <v>0.9744657755584396</v>
      </c>
      <c r="AA234" s="269"/>
      <c r="AB234" s="270"/>
      <c r="AC234" s="270"/>
      <c r="AD234" s="270"/>
      <c r="AE234" s="270"/>
    </row>
    <row r="235">
      <c r="A235" s="256">
        <f>IFERROR(__xludf.DUMMYFUNCTION("""COMPUTED_VALUE"""),42623.91111111111)</f>
        <v>42623.91111</v>
      </c>
      <c r="B235" s="257" t="str">
        <f>IFERROR(__xludf.DUMMYFUNCTION("""COMPUTED_VALUE"""),"Dark Matter")</f>
        <v>Dark Matter</v>
      </c>
      <c r="C235" s="258" t="str">
        <f>IFERROR(__xludf.DUMMYFUNCTION("""COMPUTED_VALUE"""),"Canada")</f>
        <v>Canada</v>
      </c>
      <c r="D235" s="258" t="str">
        <f>IFERROR(__xludf.DUMMYFUNCTION("""COMPUTED_VALUE"""),"km. My car displays range in kilometres and I will enter all range numbers in kilometres.")</f>
        <v>km. My car displays range in kilometres and I will enter all range numbers in kilometres.</v>
      </c>
      <c r="E235" s="259">
        <f>IFERROR(__xludf.DUMMYFUNCTION("""COMPUTED_VALUE"""),41984.0)</f>
        <v>41984</v>
      </c>
      <c r="F235" s="258" t="str">
        <f>IFERROR(__xludf.DUMMYFUNCTION("""COMPUTED_VALUE"""),"Model S 85")</f>
        <v>Model S 85</v>
      </c>
      <c r="G235" s="258" t="str">
        <f>IFERROR(__xludf.DUMMYFUNCTION("""COMPUTED_VALUE"""),"Monthly")</f>
        <v>Monthly</v>
      </c>
      <c r="H235" s="258" t="str">
        <f>IFERROR(__xludf.DUMMYFUNCTION("""COMPUTED_VALUE"""),"Once or twice a year")</f>
        <v>Once or twice a year</v>
      </c>
      <c r="I235" s="258" t="str">
        <f>IFERROR(__xludf.DUMMYFUNCTION("""COMPUTED_VALUE"""),"Never")</f>
        <v>Never</v>
      </c>
      <c r="J235" s="260">
        <f>IFERROR(__xludf.DUMMYFUNCTION("""COMPUTED_VALUE"""),0.9)</f>
        <v>0.9</v>
      </c>
      <c r="K235" s="258" t="str">
        <f>IFERROR(__xludf.DUMMYFUNCTION("""COMPUTED_VALUE"""),"")</f>
        <v/>
      </c>
      <c r="L235" s="258" t="str">
        <f>IFERROR(__xludf.DUMMYFUNCTION("""COMPUTED_VALUE"""),"")</f>
        <v/>
      </c>
      <c r="M235" s="261">
        <f>IFERROR(__xludf.DUMMYFUNCTION("""COMPUTED_VALUE"""),204.0)</f>
        <v>204</v>
      </c>
      <c r="N235" s="262" t="str">
        <f>IFERROR(__xludf.DUMMYFUNCTION("""COMPUTED_VALUE"""),"")</f>
        <v/>
      </c>
      <c r="O235" s="259" t="str">
        <f>IFERROR(__xludf.DUMMYFUNCTION("""COMPUTED_VALUE"""),"")</f>
        <v/>
      </c>
      <c r="P235" s="259">
        <f>IFERROR(__xludf.DUMMYFUNCTION("""COMPUTED_VALUE"""),42623.0)</f>
        <v>42623</v>
      </c>
      <c r="Q235" s="258">
        <f>IFERROR(__xludf.DUMMYFUNCTION("""COMPUTED_VALUE"""),36474.0)</f>
        <v>36474</v>
      </c>
      <c r="R235" s="261">
        <f>IFERROR(__xludf.DUMMYFUNCTION("""COMPUTED_VALUE"""),422.0)</f>
        <v>422</v>
      </c>
      <c r="S235" s="258">
        <v>428.0</v>
      </c>
      <c r="T235" s="263">
        <v>0.985981308411215</v>
      </c>
      <c r="U235" s="264">
        <v>22664.0</v>
      </c>
      <c r="V235" s="265">
        <v>36474.0</v>
      </c>
      <c r="W235" s="264">
        <v>22664.0</v>
      </c>
      <c r="X235" s="266" t="str">
        <f>IFERROR(__xludf.DUMMYFUNCTION("""COMPUTED_VALUE"""),"helipilot")</f>
        <v>helipilot</v>
      </c>
      <c r="Y235" s="267">
        <v>-0.01</v>
      </c>
      <c r="Z235" s="267">
        <v>0.964798576670905</v>
      </c>
      <c r="AA235" s="269"/>
      <c r="AB235" s="270"/>
      <c r="AC235" s="270"/>
      <c r="AD235" s="270"/>
      <c r="AE235" s="270"/>
    </row>
    <row r="236">
      <c r="A236" s="256">
        <f>IFERROR(__xludf.DUMMYFUNCTION("""COMPUTED_VALUE"""),42813.91805555555)</f>
        <v>42813.91806</v>
      </c>
      <c r="B236" s="257" t="str">
        <f>IFERROR(__xludf.DUMMYFUNCTION("""COMPUTED_VALUE"""),"Dark Matter")</f>
        <v>Dark Matter</v>
      </c>
      <c r="C236" s="258" t="str">
        <f>IFERROR(__xludf.DUMMYFUNCTION("""COMPUTED_VALUE"""),"Canada")</f>
        <v>Canada</v>
      </c>
      <c r="D236" s="258" t="str">
        <f>IFERROR(__xludf.DUMMYFUNCTION("""COMPUTED_VALUE"""),"km. My car displays range in kilometres and I will enter all range numbers in kilometres.")</f>
        <v>km. My car displays range in kilometres and I will enter all range numbers in kilometres.</v>
      </c>
      <c r="E236" s="259">
        <f>IFERROR(__xludf.DUMMYFUNCTION("""COMPUTED_VALUE"""),41984.0)</f>
        <v>41984</v>
      </c>
      <c r="F236" s="258" t="str">
        <f>IFERROR(__xludf.DUMMYFUNCTION("""COMPUTED_VALUE"""),"Model S 85")</f>
        <v>Model S 85</v>
      </c>
      <c r="G236" s="258" t="str">
        <f>IFERROR(__xludf.DUMMYFUNCTION("""COMPUTED_VALUE"""),"Monthly")</f>
        <v>Monthly</v>
      </c>
      <c r="H236" s="258" t="str">
        <f>IFERROR(__xludf.DUMMYFUNCTION("""COMPUTED_VALUE"""),"Monthly")</f>
        <v>Monthly</v>
      </c>
      <c r="I236" s="258" t="str">
        <f>IFERROR(__xludf.DUMMYFUNCTION("""COMPUTED_VALUE"""),"Never")</f>
        <v>Never</v>
      </c>
      <c r="J236" s="260">
        <f>IFERROR(__xludf.DUMMYFUNCTION("""COMPUTED_VALUE"""),0.9)</f>
        <v>0.9</v>
      </c>
      <c r="K236" s="258" t="str">
        <f>IFERROR(__xludf.DUMMYFUNCTION("""COMPUTED_VALUE"""),"")</f>
        <v/>
      </c>
      <c r="L236" s="258" t="str">
        <f>IFERROR(__xludf.DUMMYFUNCTION("""COMPUTED_VALUE"""),"")</f>
        <v/>
      </c>
      <c r="M236" s="261">
        <f>IFERROR(__xludf.DUMMYFUNCTION("""COMPUTED_VALUE"""),211.0)</f>
        <v>211</v>
      </c>
      <c r="N236" s="262" t="str">
        <f>IFERROR(__xludf.DUMMYFUNCTION("""COMPUTED_VALUE"""),"")</f>
        <v/>
      </c>
      <c r="O236" s="259" t="str">
        <f>IFERROR(__xludf.DUMMYFUNCTION("""COMPUTED_VALUE"""),"")</f>
        <v/>
      </c>
      <c r="P236" s="259">
        <f>IFERROR(__xludf.DUMMYFUNCTION("""COMPUTED_VALUE"""),42813.0)</f>
        <v>42813</v>
      </c>
      <c r="Q236" s="258">
        <f>IFERROR(__xludf.DUMMYFUNCTION("""COMPUTED_VALUE"""),46800.0)</f>
        <v>46800</v>
      </c>
      <c r="R236" s="261">
        <f>IFERROR(__xludf.DUMMYFUNCTION("""COMPUTED_VALUE"""),420.0)</f>
        <v>420</v>
      </c>
      <c r="S236" s="258">
        <v>428.0</v>
      </c>
      <c r="T236" s="263">
        <v>0.9813084112149533</v>
      </c>
      <c r="U236" s="264">
        <v>29080.0</v>
      </c>
      <c r="V236" s="265">
        <v>46800.0</v>
      </c>
      <c r="W236" s="264">
        <v>29080.0</v>
      </c>
      <c r="X236" s="266" t="str">
        <f>IFERROR(__xludf.DUMMYFUNCTION("""COMPUTED_VALUE"""),"Helmuth")</f>
        <v>Helmuth</v>
      </c>
      <c r="Y236" s="267">
        <v>-0.01</v>
      </c>
      <c r="Z236" s="267">
        <v>0.9607686123026995</v>
      </c>
      <c r="AA236" s="269"/>
      <c r="AB236" s="270"/>
      <c r="AC236" s="270"/>
      <c r="AD236" s="270"/>
      <c r="AE236" s="270"/>
    </row>
    <row r="237">
      <c r="A237" s="256">
        <f>IFERROR(__xludf.DUMMYFUNCTION("""COMPUTED_VALUE"""),43057.92638888889)</f>
        <v>43057.92639</v>
      </c>
      <c r="B237" s="257" t="str">
        <f>IFERROR(__xludf.DUMMYFUNCTION("""COMPUTED_VALUE"""),"Dark Matter")</f>
        <v>Dark Matter</v>
      </c>
      <c r="C237" s="258" t="str">
        <f>IFERROR(__xludf.DUMMYFUNCTION("""COMPUTED_VALUE"""),"Canada")</f>
        <v>Canada</v>
      </c>
      <c r="D237" s="258" t="str">
        <f>IFERROR(__xludf.DUMMYFUNCTION("""COMPUTED_VALUE"""),"km. My car displays range in kilometres and I will enter all range numbers in kilometres.")</f>
        <v>km. My car displays range in kilometres and I will enter all range numbers in kilometres.</v>
      </c>
      <c r="E237" s="259">
        <f>IFERROR(__xludf.DUMMYFUNCTION("""COMPUTED_VALUE"""),41984.0)</f>
        <v>41984</v>
      </c>
      <c r="F237" s="258" t="str">
        <f>IFERROR(__xludf.DUMMYFUNCTION("""COMPUTED_VALUE"""),"Model S 90")</f>
        <v>Model S 90</v>
      </c>
      <c r="G237" s="258" t="str">
        <f>IFERROR(__xludf.DUMMYFUNCTION("""COMPUTED_VALUE"""),"Monthly")</f>
        <v>Monthly</v>
      </c>
      <c r="H237" s="258" t="str">
        <f>IFERROR(__xludf.DUMMYFUNCTION("""COMPUTED_VALUE"""),"A few times a year")</f>
        <v>A few times a year</v>
      </c>
      <c r="I237" s="258" t="str">
        <f>IFERROR(__xludf.DUMMYFUNCTION("""COMPUTED_VALUE"""),"Once or twice a year")</f>
        <v>Once or twice a year</v>
      </c>
      <c r="J237" s="260">
        <f>IFERROR(__xludf.DUMMYFUNCTION("""COMPUTED_VALUE"""),0.9)</f>
        <v>0.9</v>
      </c>
      <c r="K237" s="258" t="str">
        <f>IFERROR(__xludf.DUMMYFUNCTION("""COMPUTED_VALUE"""),"")</f>
        <v/>
      </c>
      <c r="L237" s="258" t="str">
        <f>IFERROR(__xludf.DUMMYFUNCTION("""COMPUTED_VALUE"""),"")</f>
        <v/>
      </c>
      <c r="M237" s="261">
        <f>IFERROR(__xludf.DUMMYFUNCTION("""COMPUTED_VALUE"""),204.0)</f>
        <v>204</v>
      </c>
      <c r="N237" s="262">
        <f>IFERROR(__xludf.DUMMYFUNCTION("""COMPUTED_VALUE"""),53800.0)</f>
        <v>53800</v>
      </c>
      <c r="O237" s="259" t="str">
        <f>IFERROR(__xludf.DUMMYFUNCTION("""COMPUTED_VALUE"""),"Increased by 24 km or mi")</f>
        <v>Increased by 24 km or mi</v>
      </c>
      <c r="P237" s="259">
        <f>IFERROR(__xludf.DUMMYFUNCTION("""COMPUTED_VALUE"""),43057.0)</f>
        <v>43057</v>
      </c>
      <c r="Q237" s="258">
        <f>IFERROR(__xludf.DUMMYFUNCTION("""COMPUTED_VALUE"""),53900.0)</f>
        <v>53900</v>
      </c>
      <c r="R237" s="261">
        <f>IFERROR(__xludf.DUMMYFUNCTION("""COMPUTED_VALUE"""),452.0)</f>
        <v>452</v>
      </c>
      <c r="S237" s="258">
        <v>446.0</v>
      </c>
      <c r="T237" s="263">
        <v>1.0134529147982063</v>
      </c>
      <c r="U237" s="264">
        <v>33492.0</v>
      </c>
      <c r="V237" s="265">
        <v>53900.0</v>
      </c>
      <c r="W237" s="264">
        <v>33492.0</v>
      </c>
      <c r="X237" s="266" t="str">
        <f>IFERROR(__xludf.DUMMYFUNCTION("""COMPUTED_VALUE"""),"Henkepank")</f>
        <v>Henkepank</v>
      </c>
      <c r="Y237" s="267">
        <v>-0.01</v>
      </c>
      <c r="Z237" s="267">
        <v>0.9584534714885117</v>
      </c>
      <c r="AA237" s="269"/>
      <c r="AB237" s="270"/>
      <c r="AC237" s="270"/>
      <c r="AD237" s="270"/>
      <c r="AE237" s="270"/>
    </row>
    <row r="238">
      <c r="A238" s="256">
        <f>IFERROR(__xludf.DUMMYFUNCTION("""COMPUTED_VALUE"""),43079.92708333333)</f>
        <v>43079.92708</v>
      </c>
      <c r="B238" s="257" t="str">
        <f>IFERROR(__xludf.DUMMYFUNCTION("""COMPUTED_VALUE"""),"Dark Matter")</f>
        <v>Dark Matter</v>
      </c>
      <c r="C238" s="258" t="str">
        <f>IFERROR(__xludf.DUMMYFUNCTION("""COMPUTED_VALUE"""),"Canada")</f>
        <v>Canada</v>
      </c>
      <c r="D238" s="258" t="str">
        <f>IFERROR(__xludf.DUMMYFUNCTION("""COMPUTED_VALUE"""),"km. My car displays range in kilometres and I will enter all range numbers in kilometres.")</f>
        <v>km. My car displays range in kilometres and I will enter all range numbers in kilometres.</v>
      </c>
      <c r="E238" s="259">
        <f>IFERROR(__xludf.DUMMYFUNCTION("""COMPUTED_VALUE"""),41984.0)</f>
        <v>41984</v>
      </c>
      <c r="F238" s="258" t="str">
        <f>IFERROR(__xludf.DUMMYFUNCTION("""COMPUTED_VALUE"""),"Model S 90")</f>
        <v>Model S 90</v>
      </c>
      <c r="G238" s="258" t="str">
        <f>IFERROR(__xludf.DUMMYFUNCTION("""COMPUTED_VALUE"""),"Monthly")</f>
        <v>Monthly</v>
      </c>
      <c r="H238" s="258" t="str">
        <f>IFERROR(__xludf.DUMMYFUNCTION("""COMPUTED_VALUE"""),"A few times a year")</f>
        <v>A few times a year</v>
      </c>
      <c r="I238" s="258" t="str">
        <f>IFERROR(__xludf.DUMMYFUNCTION("""COMPUTED_VALUE"""),"Once or twice a year")</f>
        <v>Once or twice a year</v>
      </c>
      <c r="J238" s="260">
        <f>IFERROR(__xludf.DUMMYFUNCTION("""COMPUTED_VALUE"""),0.8)</f>
        <v>0.8</v>
      </c>
      <c r="K238" s="258" t="str">
        <f>IFERROR(__xludf.DUMMYFUNCTION("""COMPUTED_VALUE"""),"")</f>
        <v/>
      </c>
      <c r="L238" s="258" t="str">
        <f>IFERROR(__xludf.DUMMYFUNCTION("""COMPUTED_VALUE"""),"")</f>
        <v/>
      </c>
      <c r="M238" s="261">
        <f>IFERROR(__xludf.DUMMYFUNCTION("""COMPUTED_VALUE"""),208.0)</f>
        <v>208</v>
      </c>
      <c r="N238" s="262">
        <f>IFERROR(__xludf.DUMMYFUNCTION("""COMPUTED_VALUE"""),53800.0)</f>
        <v>53800</v>
      </c>
      <c r="O238" s="259" t="str">
        <f>IFERROR(__xludf.DUMMYFUNCTION("""COMPUTED_VALUE"""),"I don't know")</f>
        <v>I don't know</v>
      </c>
      <c r="P238" s="259">
        <f>IFERROR(__xludf.DUMMYFUNCTION("""COMPUTED_VALUE"""),43079.0)</f>
        <v>43079</v>
      </c>
      <c r="Q238" s="258">
        <f>IFERROR(__xludf.DUMMYFUNCTION("""COMPUTED_VALUE"""),56500.0)</f>
        <v>56500</v>
      </c>
      <c r="R238" s="261">
        <f>IFERROR(__xludf.DUMMYFUNCTION("""COMPUTED_VALUE"""),460.0)</f>
        <v>460</v>
      </c>
      <c r="S238" s="258">
        <v>446.0</v>
      </c>
      <c r="T238" s="263">
        <v>1.031390134529148</v>
      </c>
      <c r="U238" s="264">
        <v>35107.0</v>
      </c>
      <c r="V238" s="265">
        <v>56500.0</v>
      </c>
      <c r="W238" s="264">
        <v>35107.0</v>
      </c>
      <c r="X238" s="266" t="str">
        <f>IFERROR(__xludf.DUMMYFUNCTION("""COMPUTED_VALUE"""),"HenningH")</f>
        <v>HenningH</v>
      </c>
      <c r="Y238" s="267">
        <v>-0.01</v>
      </c>
      <c r="Z238" s="267">
        <v>0.9576677828711833</v>
      </c>
      <c r="AA238" s="269"/>
      <c r="AB238" s="270"/>
      <c r="AC238" s="270"/>
      <c r="AD238" s="270"/>
      <c r="AE238" s="270"/>
    </row>
    <row r="239">
      <c r="A239" s="256">
        <f>IFERROR(__xludf.DUMMYFUNCTION("""COMPUTED_VALUE"""),42813.91875)</f>
        <v>42813.91875</v>
      </c>
      <c r="B239" s="257" t="str">
        <f>IFERROR(__xludf.DUMMYFUNCTION("""COMPUTED_VALUE"""),"Dark Singularity")</f>
        <v>Dark Singularity</v>
      </c>
      <c r="C239" s="258" t="str">
        <f>IFERROR(__xludf.DUMMYFUNCTION("""COMPUTED_VALUE"""),"Canada")</f>
        <v>Canada</v>
      </c>
      <c r="D239" s="258" t="str">
        <f>IFERROR(__xludf.DUMMYFUNCTION("""COMPUTED_VALUE"""),"km. My car displays range in kilometres and I will enter all range numbers in kilometres.")</f>
        <v>km. My car displays range in kilometres and I will enter all range numbers in kilometres.</v>
      </c>
      <c r="E239" s="259">
        <f>IFERROR(__xludf.DUMMYFUNCTION("""COMPUTED_VALUE"""),42767.0)</f>
        <v>42767</v>
      </c>
      <c r="F239" s="258" t="str">
        <f>IFERROR(__xludf.DUMMYFUNCTION("""COMPUTED_VALUE"""),"Model S 60D")</f>
        <v>Model S 60D</v>
      </c>
      <c r="G239" s="258" t="str">
        <f>IFERROR(__xludf.DUMMYFUNCTION("""COMPUTED_VALUE"""),"A few times a year")</f>
        <v>A few times a year</v>
      </c>
      <c r="H239" s="258" t="str">
        <f>IFERROR(__xludf.DUMMYFUNCTION("""COMPUTED_VALUE"""),"Monthly")</f>
        <v>Monthly</v>
      </c>
      <c r="I239" s="258" t="str">
        <f>IFERROR(__xludf.DUMMYFUNCTION("""COMPUTED_VALUE"""),"Never")</f>
        <v>Never</v>
      </c>
      <c r="J239" s="260">
        <f>IFERROR(__xludf.DUMMYFUNCTION("""COMPUTED_VALUE"""),0.9)</f>
        <v>0.9</v>
      </c>
      <c r="K239" s="258" t="str">
        <f>IFERROR(__xludf.DUMMYFUNCTION("""COMPUTED_VALUE"""),"")</f>
        <v/>
      </c>
      <c r="L239" s="258" t="str">
        <f>IFERROR(__xludf.DUMMYFUNCTION("""COMPUTED_VALUE"""),"")</f>
        <v/>
      </c>
      <c r="M239" s="261">
        <f>IFERROR(__xludf.DUMMYFUNCTION("""COMPUTED_VALUE"""),228.0)</f>
        <v>228</v>
      </c>
      <c r="N239" s="262" t="str">
        <f>IFERROR(__xludf.DUMMYFUNCTION("""COMPUTED_VALUE"""),"")</f>
        <v/>
      </c>
      <c r="O239" s="259" t="str">
        <f>IFERROR(__xludf.DUMMYFUNCTION("""COMPUTED_VALUE"""),"")</f>
        <v/>
      </c>
      <c r="P239" s="259">
        <f>IFERROR(__xludf.DUMMYFUNCTION("""COMPUTED_VALUE"""),42813.0)</f>
        <v>42813</v>
      </c>
      <c r="Q239" s="258">
        <f>IFERROR(__xludf.DUMMYFUNCTION("""COMPUTED_VALUE"""),572.0)</f>
        <v>572</v>
      </c>
      <c r="R239" s="261">
        <f>IFERROR(__xludf.DUMMYFUNCTION("""COMPUTED_VALUE"""),351.0)</f>
        <v>351</v>
      </c>
      <c r="S239" s="258">
        <v>352.0</v>
      </c>
      <c r="T239" s="263">
        <v>0.9971590909090909</v>
      </c>
      <c r="U239" s="264">
        <v>355.0</v>
      </c>
      <c r="V239" s="265">
        <v>572.0</v>
      </c>
      <c r="W239" s="264">
        <v>355.0</v>
      </c>
      <c r="X239" s="266" t="str">
        <f>IFERROR(__xludf.DUMMYFUNCTION("""COMPUTED_VALUE"""),"hgs")</f>
        <v>hgs</v>
      </c>
      <c r="Y239" s="267">
        <v>-0.01</v>
      </c>
      <c r="Z239" s="267">
        <v>0.9988723939491757</v>
      </c>
      <c r="AA239" s="269"/>
      <c r="AB239" s="270"/>
      <c r="AC239" s="270"/>
      <c r="AD239" s="270"/>
      <c r="AE239" s="270"/>
    </row>
    <row r="240">
      <c r="A240" s="256">
        <f>IFERROR(__xludf.DUMMYFUNCTION("""COMPUTED_VALUE"""),42164.74444444444)</f>
        <v>42164.74444</v>
      </c>
      <c r="B240" s="257" t="str">
        <f>IFERROR(__xludf.DUMMYFUNCTION("""COMPUTED_VALUE"""),"DavidH")</f>
        <v>DavidH</v>
      </c>
      <c r="C240" s="258" t="str">
        <f>IFERROR(__xludf.DUMMYFUNCTION("""COMPUTED_VALUE"""),"USA")</f>
        <v>USA</v>
      </c>
      <c r="D240" s="258" t="str">
        <f>IFERROR(__xludf.DUMMYFUNCTION("""COMPUTED_VALUE"""),"mi. My car displays range in miles and I will enter all range numbers in miles.")</f>
        <v>mi. My car displays range in miles and I will enter all range numbers in miles.</v>
      </c>
      <c r="E240" s="259">
        <f>IFERROR(__xludf.DUMMYFUNCTION("""COMPUTED_VALUE"""),41724.0)</f>
        <v>41724</v>
      </c>
      <c r="F240" s="258" t="str">
        <f>IFERROR(__xludf.DUMMYFUNCTION("""COMPUTED_VALUE"""),"Model S 85")</f>
        <v>Model S 85</v>
      </c>
      <c r="G240" s="258" t="str">
        <f>IFERROR(__xludf.DUMMYFUNCTION("""COMPUTED_VALUE"""),"Weekly")</f>
        <v>Weekly</v>
      </c>
      <c r="H240" s="258" t="str">
        <f>IFERROR(__xludf.DUMMYFUNCTION("""COMPUTED_VALUE"""),"Monthly")</f>
        <v>Monthly</v>
      </c>
      <c r="I240" s="258" t="str">
        <f>IFERROR(__xludf.DUMMYFUNCTION("""COMPUTED_VALUE"""),"A few times a year")</f>
        <v>A few times a year</v>
      </c>
      <c r="J240" s="260">
        <f>IFERROR(__xludf.DUMMYFUNCTION("""COMPUTED_VALUE"""),0.8)</f>
        <v>0.8</v>
      </c>
      <c r="K240" s="258">
        <f>IFERROR(__xludf.DUMMYFUNCTION("""COMPUTED_VALUE"""),271.0)</f>
        <v>271</v>
      </c>
      <c r="L240" s="258" t="str">
        <f>IFERROR(__xludf.DUMMYFUNCTION("""COMPUTED_VALUE"""),"")</f>
        <v/>
      </c>
      <c r="M240" s="261">
        <f>IFERROR(__xludf.DUMMYFUNCTION("""COMPUTED_VALUE"""),321.0)</f>
        <v>321</v>
      </c>
      <c r="N240" s="262" t="str">
        <f>IFERROR(__xludf.DUMMYFUNCTION("""COMPUTED_VALUE"""),"")</f>
        <v/>
      </c>
      <c r="O240" s="259" t="str">
        <f>IFERROR(__xludf.DUMMYFUNCTION("""COMPUTED_VALUE"""),"")</f>
        <v/>
      </c>
      <c r="P240" s="259">
        <f>IFERROR(__xludf.DUMMYFUNCTION("""COMPUTED_VALUE"""),42164.0)</f>
        <v>42164</v>
      </c>
      <c r="Q240" s="258">
        <f>IFERROR(__xludf.DUMMYFUNCTION("""COMPUTED_VALUE"""),49700.0)</f>
        <v>49700</v>
      </c>
      <c r="R240" s="261">
        <f>IFERROR(__xludf.DUMMYFUNCTION("""COMPUTED_VALUE"""),253.0)</f>
        <v>253</v>
      </c>
      <c r="S240" s="258">
        <v>266.0</v>
      </c>
      <c r="T240" s="263">
        <v>0.9511278195488722</v>
      </c>
      <c r="U240" s="264">
        <v>49700.0</v>
      </c>
      <c r="V240" s="265">
        <v>79984.0</v>
      </c>
      <c r="W240" s="264">
        <v>49700.0</v>
      </c>
      <c r="X240" s="266" t="str">
        <f>IFERROR(__xludf.DUMMYFUNCTION("""COMPUTED_VALUE"""),"Hsurapar")</f>
        <v>Hsurapar</v>
      </c>
      <c r="Y240" s="267">
        <v>-0.01</v>
      </c>
      <c r="Z240" s="267">
        <v>0.9514024179359887</v>
      </c>
      <c r="AA240" s="269"/>
      <c r="AB240" s="270"/>
      <c r="AC240" s="270"/>
      <c r="AD240" s="270"/>
      <c r="AE240" s="270"/>
    </row>
    <row r="241">
      <c r="A241" s="256">
        <f>IFERROR(__xludf.DUMMYFUNCTION("""COMPUTED_VALUE"""),41725.74513888889)</f>
        <v>41725.74514</v>
      </c>
      <c r="B241" s="257" t="str">
        <f>IFERROR(__xludf.DUMMYFUNCTION("""COMPUTED_VALUE"""),"DavidH")</f>
        <v>DavidH</v>
      </c>
      <c r="C241" s="258" t="str">
        <f>IFERROR(__xludf.DUMMYFUNCTION("""COMPUTED_VALUE"""),"USA")</f>
        <v>USA</v>
      </c>
      <c r="D241" s="258" t="str">
        <f>IFERROR(__xludf.DUMMYFUNCTION("""COMPUTED_VALUE"""),"mi. My car displays range in miles and I will enter all range numbers in miles.")</f>
        <v>mi. My car displays range in miles and I will enter all range numbers in miles.</v>
      </c>
      <c r="E241" s="259">
        <f>IFERROR(__xludf.DUMMYFUNCTION("""COMPUTED_VALUE"""),41724.0)</f>
        <v>41724</v>
      </c>
      <c r="F241" s="258" t="str">
        <f>IFERROR(__xludf.DUMMYFUNCTION("""COMPUTED_VALUE"""),"Model S 85")</f>
        <v>Model S 85</v>
      </c>
      <c r="G241" s="258" t="str">
        <f>IFERROR(__xludf.DUMMYFUNCTION("""COMPUTED_VALUE"""),"")</f>
        <v/>
      </c>
      <c r="H241" s="258" t="str">
        <f>IFERROR(__xludf.DUMMYFUNCTION("""COMPUTED_VALUE"""),"")</f>
        <v/>
      </c>
      <c r="I241" s="258" t="str">
        <f>IFERROR(__xludf.DUMMYFUNCTION("""COMPUTED_VALUE"""),"")</f>
        <v/>
      </c>
      <c r="J241" s="260" t="str">
        <f>IFERROR(__xludf.DUMMYFUNCTION("""COMPUTED_VALUE"""),"")</f>
        <v/>
      </c>
      <c r="K241" s="258">
        <f>IFERROR(__xludf.DUMMYFUNCTION("""COMPUTED_VALUE"""),271.0)</f>
        <v>271</v>
      </c>
      <c r="L241" s="258" t="str">
        <f>IFERROR(__xludf.DUMMYFUNCTION("""COMPUTED_VALUE"""),"")</f>
        <v/>
      </c>
      <c r="M241" s="261">
        <f>IFERROR(__xludf.DUMMYFUNCTION("""COMPUTED_VALUE"""),310.0)</f>
        <v>310</v>
      </c>
      <c r="N241" s="262" t="str">
        <f>IFERROR(__xludf.DUMMYFUNCTION("""COMPUTED_VALUE"""),"")</f>
        <v/>
      </c>
      <c r="O241" s="259" t="str">
        <f>IFERROR(__xludf.DUMMYFUNCTION("""COMPUTED_VALUE"""),"")</f>
        <v/>
      </c>
      <c r="P241" s="259">
        <f>IFERROR(__xludf.DUMMYFUNCTION("""COMPUTED_VALUE"""),41725.0)</f>
        <v>41725</v>
      </c>
      <c r="Q241" s="258">
        <f>IFERROR(__xludf.DUMMYFUNCTION("""COMPUTED_VALUE"""),50.0)</f>
        <v>50</v>
      </c>
      <c r="R241" s="261">
        <f>IFERROR(__xludf.DUMMYFUNCTION("""COMPUTED_VALUE"""),271.0)</f>
        <v>271</v>
      </c>
      <c r="S241" s="258">
        <v>266.0</v>
      </c>
      <c r="T241" s="263">
        <v>1.018796992481203</v>
      </c>
      <c r="U241" s="264">
        <v>50.0</v>
      </c>
      <c r="V241" s="265">
        <v>80.0</v>
      </c>
      <c r="W241" s="264">
        <v>50.0</v>
      </c>
      <c r="X241" s="266" t="str">
        <f>IFERROR(__xludf.DUMMYFUNCTION("""COMPUTED_VALUE"""),"Hulteberg")</f>
        <v>Hulteberg</v>
      </c>
      <c r="Y241" s="267">
        <v>-0.01</v>
      </c>
      <c r="Z241" s="267">
        <v>0.9998402932552721</v>
      </c>
      <c r="AA241" s="269"/>
      <c r="AB241" s="270"/>
      <c r="AC241" s="270"/>
      <c r="AD241" s="270"/>
      <c r="AE241" s="270"/>
    </row>
    <row r="242">
      <c r="A242" s="256">
        <f>IFERROR(__xludf.DUMMYFUNCTION("""COMPUTED_VALUE"""),42312.771527777775)</f>
        <v>42312.77153</v>
      </c>
      <c r="B242" s="257" t="str">
        <f>IFERROR(__xludf.DUMMYFUNCTION("""COMPUTED_VALUE"""),"DavidH")</f>
        <v>DavidH</v>
      </c>
      <c r="C242" s="258" t="str">
        <f>IFERROR(__xludf.DUMMYFUNCTION("""COMPUTED_VALUE"""),"USA")</f>
        <v>USA</v>
      </c>
      <c r="D242" s="258" t="str">
        <f>IFERROR(__xludf.DUMMYFUNCTION("""COMPUTED_VALUE"""),"mi. My car displays range in miles and I will enter all range numbers in miles.")</f>
        <v>mi. My car displays range in miles and I will enter all range numbers in miles.</v>
      </c>
      <c r="E242" s="259">
        <f>IFERROR(__xludf.DUMMYFUNCTION("""COMPUTED_VALUE"""),41724.0)</f>
        <v>41724</v>
      </c>
      <c r="F242" s="258" t="str">
        <f>IFERROR(__xludf.DUMMYFUNCTION("""COMPUTED_VALUE"""),"Model S 85")</f>
        <v>Model S 85</v>
      </c>
      <c r="G242" s="258" t="str">
        <f>IFERROR(__xludf.DUMMYFUNCTION("""COMPUTED_VALUE"""),"Twice a month")</f>
        <v>Twice a month</v>
      </c>
      <c r="H242" s="258" t="str">
        <f>IFERROR(__xludf.DUMMYFUNCTION("""COMPUTED_VALUE"""),"Twice a month")</f>
        <v>Twice a month</v>
      </c>
      <c r="I242" s="258" t="str">
        <f>IFERROR(__xludf.DUMMYFUNCTION("""COMPUTED_VALUE"""),"Once or twice a year")</f>
        <v>Once or twice a year</v>
      </c>
      <c r="J242" s="260">
        <f>IFERROR(__xludf.DUMMYFUNCTION("""COMPUTED_VALUE"""),0.8)</f>
        <v>0.8</v>
      </c>
      <c r="K242" s="258">
        <f>IFERROR(__xludf.DUMMYFUNCTION("""COMPUTED_VALUE"""),271.0)</f>
        <v>271</v>
      </c>
      <c r="L242" s="258" t="str">
        <f>IFERROR(__xludf.DUMMYFUNCTION("""COMPUTED_VALUE"""),"")</f>
        <v/>
      </c>
      <c r="M242" s="261">
        <f>IFERROR(__xludf.DUMMYFUNCTION("""COMPUTED_VALUE"""),319.0)</f>
        <v>319</v>
      </c>
      <c r="N242" s="262" t="str">
        <f>IFERROR(__xludf.DUMMYFUNCTION("""COMPUTED_VALUE"""),"")</f>
        <v/>
      </c>
      <c r="O242" s="259" t="str">
        <f>IFERROR(__xludf.DUMMYFUNCTION("""COMPUTED_VALUE"""),"")</f>
        <v/>
      </c>
      <c r="P242" s="259">
        <f>IFERROR(__xludf.DUMMYFUNCTION("""COMPUTED_VALUE"""),42312.0)</f>
        <v>42312</v>
      </c>
      <c r="Q242" s="258">
        <f>IFERROR(__xludf.DUMMYFUNCTION("""COMPUTED_VALUE"""),61800.0)</f>
        <v>61800</v>
      </c>
      <c r="R242" s="261">
        <f>IFERROR(__xludf.DUMMYFUNCTION("""COMPUTED_VALUE"""),250.0)</f>
        <v>250</v>
      </c>
      <c r="S242" s="258">
        <v>266.0</v>
      </c>
      <c r="T242" s="263">
        <v>0.9398496240601504</v>
      </c>
      <c r="U242" s="264">
        <v>61800.0</v>
      </c>
      <c r="V242" s="265">
        <v>99457.0</v>
      </c>
      <c r="W242" s="264">
        <v>61800.0</v>
      </c>
      <c r="X242" s="266" t="str">
        <f>IFERROR(__xludf.DUMMYFUNCTION("""COMPUTED_VALUE"""),"HWS")</f>
        <v>HWS</v>
      </c>
      <c r="Y242" s="267">
        <v>-0.01</v>
      </c>
      <c r="Z242" s="267">
        <v>0.9467138345689368</v>
      </c>
      <c r="AA242" s="269"/>
      <c r="AB242" s="270"/>
      <c r="AC242" s="270"/>
      <c r="AD242" s="270"/>
      <c r="AE242" s="270"/>
    </row>
    <row r="243">
      <c r="A243" s="256">
        <f>IFERROR(__xludf.DUMMYFUNCTION("""COMPUTED_VALUE"""),42496.794444444444)</f>
        <v>42496.79444</v>
      </c>
      <c r="B243" s="257" t="str">
        <f>IFERROR(__xludf.DUMMYFUNCTION("""COMPUTED_VALUE"""),"DavidH")</f>
        <v>DavidH</v>
      </c>
      <c r="C243" s="258" t="str">
        <f>IFERROR(__xludf.DUMMYFUNCTION("""COMPUTED_VALUE"""),"USA")</f>
        <v>USA</v>
      </c>
      <c r="D243" s="258" t="str">
        <f>IFERROR(__xludf.DUMMYFUNCTION("""COMPUTED_VALUE"""),"mi. My car displays range in miles and I will enter all range numbers in miles.")</f>
        <v>mi. My car displays range in miles and I will enter all range numbers in miles.</v>
      </c>
      <c r="E243" s="259">
        <f>IFERROR(__xludf.DUMMYFUNCTION("""COMPUTED_VALUE"""),41724.0)</f>
        <v>41724</v>
      </c>
      <c r="F243" s="258" t="str">
        <f>IFERROR(__xludf.DUMMYFUNCTION("""COMPUTED_VALUE"""),"Model S 85")</f>
        <v>Model S 85</v>
      </c>
      <c r="G243" s="258" t="str">
        <f>IFERROR(__xludf.DUMMYFUNCTION("""COMPUTED_VALUE"""),"Twice a month")</f>
        <v>Twice a month</v>
      </c>
      <c r="H243" s="258" t="str">
        <f>IFERROR(__xludf.DUMMYFUNCTION("""COMPUTED_VALUE"""),"Twice a month")</f>
        <v>Twice a month</v>
      </c>
      <c r="I243" s="258" t="str">
        <f>IFERROR(__xludf.DUMMYFUNCTION("""COMPUTED_VALUE"""),"A few times a year")</f>
        <v>A few times a year</v>
      </c>
      <c r="J243" s="260">
        <f>IFERROR(__xludf.DUMMYFUNCTION("""COMPUTED_VALUE"""),0.8)</f>
        <v>0.8</v>
      </c>
      <c r="K243" s="258">
        <f>IFERROR(__xludf.DUMMYFUNCTION("""COMPUTED_VALUE"""),271.0)</f>
        <v>271</v>
      </c>
      <c r="L243" s="258" t="str">
        <f>IFERROR(__xludf.DUMMYFUNCTION("""COMPUTED_VALUE"""),"")</f>
        <v/>
      </c>
      <c r="M243" s="261">
        <f>IFERROR(__xludf.DUMMYFUNCTION("""COMPUTED_VALUE"""),331.0)</f>
        <v>331</v>
      </c>
      <c r="N243" s="262" t="str">
        <f>IFERROR(__xludf.DUMMYFUNCTION("""COMPUTED_VALUE"""),"")</f>
        <v/>
      </c>
      <c r="O243" s="259" t="str">
        <f>IFERROR(__xludf.DUMMYFUNCTION("""COMPUTED_VALUE"""),"")</f>
        <v/>
      </c>
      <c r="P243" s="259">
        <f>IFERROR(__xludf.DUMMYFUNCTION("""COMPUTED_VALUE"""),42496.0)</f>
        <v>42496</v>
      </c>
      <c r="Q243" s="258">
        <f>IFERROR(__xludf.DUMMYFUNCTION("""COMPUTED_VALUE"""),73500.0)</f>
        <v>73500</v>
      </c>
      <c r="R243" s="261">
        <f>IFERROR(__xludf.DUMMYFUNCTION("""COMPUTED_VALUE"""),253.0)</f>
        <v>253</v>
      </c>
      <c r="S243" s="258">
        <v>266.0</v>
      </c>
      <c r="T243" s="263">
        <v>0.9511278195488722</v>
      </c>
      <c r="U243" s="264">
        <v>73500.0</v>
      </c>
      <c r="V243" s="265">
        <v>118287.0</v>
      </c>
      <c r="W243" s="264">
        <v>73500.0</v>
      </c>
      <c r="X243" s="266" t="str">
        <f>IFERROR(__xludf.DUMMYFUNCTION("""COMPUTED_VALUE"""),"HWS 90D")</f>
        <v>HWS 90D</v>
      </c>
      <c r="Y243" s="267">
        <v>-0.01</v>
      </c>
      <c r="Z243" s="267">
        <v>0.9423083396449576</v>
      </c>
      <c r="AA243" s="269"/>
      <c r="AB243" s="270"/>
      <c r="AC243" s="270"/>
      <c r="AD243" s="270"/>
      <c r="AE243" s="270"/>
    </row>
    <row r="244">
      <c r="A244" s="256">
        <f>IFERROR(__xludf.DUMMYFUNCTION("""COMPUTED_VALUE"""),42552.799305555556)</f>
        <v>42552.79931</v>
      </c>
      <c r="B244" s="257" t="str">
        <f>IFERROR(__xludf.DUMMYFUNCTION("""COMPUTED_VALUE"""),"DavidH")</f>
        <v>DavidH</v>
      </c>
      <c r="C244" s="258" t="str">
        <f>IFERROR(__xludf.DUMMYFUNCTION("""COMPUTED_VALUE"""),"USA")</f>
        <v>USA</v>
      </c>
      <c r="D244" s="258" t="str">
        <f>IFERROR(__xludf.DUMMYFUNCTION("""COMPUTED_VALUE"""),"mi. My car displays range in miles and I will enter all range numbers in miles.")</f>
        <v>mi. My car displays range in miles and I will enter all range numbers in miles.</v>
      </c>
      <c r="E244" s="259">
        <f>IFERROR(__xludf.DUMMYFUNCTION("""COMPUTED_VALUE"""),41724.0)</f>
        <v>41724</v>
      </c>
      <c r="F244" s="258" t="str">
        <f>IFERROR(__xludf.DUMMYFUNCTION("""COMPUTED_VALUE"""),"Model S 85")</f>
        <v>Model S 85</v>
      </c>
      <c r="G244" s="258" t="str">
        <f>IFERROR(__xludf.DUMMYFUNCTION("""COMPUTED_VALUE"""),"Weekly")</f>
        <v>Weekly</v>
      </c>
      <c r="H244" s="258" t="str">
        <f>IFERROR(__xludf.DUMMYFUNCTION("""COMPUTED_VALUE"""),"Monthly")</f>
        <v>Monthly</v>
      </c>
      <c r="I244" s="258" t="str">
        <f>IFERROR(__xludf.DUMMYFUNCTION("""COMPUTED_VALUE"""),"Once or twice a year")</f>
        <v>Once or twice a year</v>
      </c>
      <c r="J244" s="260">
        <f>IFERROR(__xludf.DUMMYFUNCTION("""COMPUTED_VALUE"""),0.8)</f>
        <v>0.8</v>
      </c>
      <c r="K244" s="258">
        <f>IFERROR(__xludf.DUMMYFUNCTION("""COMPUTED_VALUE"""),271.0)</f>
        <v>271</v>
      </c>
      <c r="L244" s="258" t="str">
        <f>IFERROR(__xludf.DUMMYFUNCTION("""COMPUTED_VALUE"""),"")</f>
        <v/>
      </c>
      <c r="M244" s="261">
        <f>IFERROR(__xludf.DUMMYFUNCTION("""COMPUTED_VALUE"""),320.0)</f>
        <v>320</v>
      </c>
      <c r="N244" s="262" t="str">
        <f>IFERROR(__xludf.DUMMYFUNCTION("""COMPUTED_VALUE"""),"")</f>
        <v/>
      </c>
      <c r="O244" s="259" t="str">
        <f>IFERROR(__xludf.DUMMYFUNCTION("""COMPUTED_VALUE"""),"")</f>
        <v/>
      </c>
      <c r="P244" s="259">
        <f>IFERROR(__xludf.DUMMYFUNCTION("""COMPUTED_VALUE"""),42552.0)</f>
        <v>42552</v>
      </c>
      <c r="Q244" s="258">
        <f>IFERROR(__xludf.DUMMYFUNCTION("""COMPUTED_VALUE"""),81000.0)</f>
        <v>81000</v>
      </c>
      <c r="R244" s="261">
        <f>IFERROR(__xludf.DUMMYFUNCTION("""COMPUTED_VALUE"""),253.0)</f>
        <v>253</v>
      </c>
      <c r="S244" s="258">
        <v>266.0</v>
      </c>
      <c r="T244" s="263">
        <v>0.9511278195488722</v>
      </c>
      <c r="U244" s="264">
        <v>81000.0</v>
      </c>
      <c r="V244" s="265">
        <v>130357.0</v>
      </c>
      <c r="W244" s="264">
        <v>81000.0</v>
      </c>
      <c r="X244" s="266" t="str">
        <f>IFERROR(__xludf.DUMMYFUNCTION("""COMPUTED_VALUE"""),"HWS X100D")</f>
        <v>HWS X100D</v>
      </c>
      <c r="Y244" s="267">
        <v>-0.01</v>
      </c>
      <c r="Z244" s="267">
        <v>0.9395086026175402</v>
      </c>
      <c r="AA244" s="269"/>
      <c r="AB244" s="270"/>
      <c r="AC244" s="270"/>
      <c r="AD244" s="270"/>
      <c r="AE244" s="270"/>
    </row>
    <row r="245">
      <c r="A245" s="256">
        <f>IFERROR(__xludf.DUMMYFUNCTION("""COMPUTED_VALUE"""),42678.81319444445)</f>
        <v>42678.81319</v>
      </c>
      <c r="B245" s="257" t="str">
        <f>IFERROR(__xludf.DUMMYFUNCTION("""COMPUTED_VALUE"""),"DavidH")</f>
        <v>DavidH</v>
      </c>
      <c r="C245" s="258" t="str">
        <f>IFERROR(__xludf.DUMMYFUNCTION("""COMPUTED_VALUE"""),"USA")</f>
        <v>USA</v>
      </c>
      <c r="D245" s="258" t="str">
        <f>IFERROR(__xludf.DUMMYFUNCTION("""COMPUTED_VALUE"""),"mi. My car displays range in miles and I will enter all range numbers in miles.")</f>
        <v>mi. My car displays range in miles and I will enter all range numbers in miles.</v>
      </c>
      <c r="E245" s="259">
        <f>IFERROR(__xludf.DUMMYFUNCTION("""COMPUTED_VALUE"""),41724.0)</f>
        <v>41724</v>
      </c>
      <c r="F245" s="258" t="str">
        <f>IFERROR(__xludf.DUMMYFUNCTION("""COMPUTED_VALUE"""),"Model S 85")</f>
        <v>Model S 85</v>
      </c>
      <c r="G245" s="258" t="str">
        <f>IFERROR(__xludf.DUMMYFUNCTION("""COMPUTED_VALUE"""),"Weekly")</f>
        <v>Weekly</v>
      </c>
      <c r="H245" s="258" t="str">
        <f>IFERROR(__xludf.DUMMYFUNCTION("""COMPUTED_VALUE"""),"Twice a month")</f>
        <v>Twice a month</v>
      </c>
      <c r="I245" s="258" t="str">
        <f>IFERROR(__xludf.DUMMYFUNCTION("""COMPUTED_VALUE"""),"Monthly")</f>
        <v>Monthly</v>
      </c>
      <c r="J245" s="260">
        <f>IFERROR(__xludf.DUMMYFUNCTION("""COMPUTED_VALUE"""),0.8)</f>
        <v>0.8</v>
      </c>
      <c r="K245" s="258">
        <f>IFERROR(__xludf.DUMMYFUNCTION("""COMPUTED_VALUE"""),271.0)</f>
        <v>271</v>
      </c>
      <c r="L245" s="258" t="str">
        <f>IFERROR(__xludf.DUMMYFUNCTION("""COMPUTED_VALUE"""),"")</f>
        <v/>
      </c>
      <c r="M245" s="261">
        <f>IFERROR(__xludf.DUMMYFUNCTION("""COMPUTED_VALUE"""),318.0)</f>
        <v>318</v>
      </c>
      <c r="N245" s="262" t="str">
        <f>IFERROR(__xludf.DUMMYFUNCTION("""COMPUTED_VALUE"""),"")</f>
        <v/>
      </c>
      <c r="O245" s="259" t="str">
        <f>IFERROR(__xludf.DUMMYFUNCTION("""COMPUTED_VALUE"""),"")</f>
        <v/>
      </c>
      <c r="P245" s="259">
        <f>IFERROR(__xludf.DUMMYFUNCTION("""COMPUTED_VALUE"""),42678.0)</f>
        <v>42678</v>
      </c>
      <c r="Q245" s="258">
        <f>IFERROR(__xludf.DUMMYFUNCTION("""COMPUTED_VALUE"""),89100.0)</f>
        <v>89100</v>
      </c>
      <c r="R245" s="261">
        <f>IFERROR(__xludf.DUMMYFUNCTION("""COMPUTED_VALUE"""),250.0)</f>
        <v>250</v>
      </c>
      <c r="S245" s="258">
        <v>266.0</v>
      </c>
      <c r="T245" s="263">
        <v>0.9398496240601504</v>
      </c>
      <c r="U245" s="264">
        <v>89100.0</v>
      </c>
      <c r="V245" s="265">
        <v>143393.0</v>
      </c>
      <c r="W245" s="264">
        <v>89100.0</v>
      </c>
      <c r="X245" s="266" t="str">
        <f>IFERROR(__xludf.DUMMYFUNCTION("""COMPUTED_VALUE"""),"HWS2")</f>
        <v>HWS2</v>
      </c>
      <c r="Y245" s="267">
        <v>-0.01</v>
      </c>
      <c r="Z245" s="267">
        <v>0.9364936208793547</v>
      </c>
      <c r="AA245" s="269"/>
      <c r="AB245" s="270"/>
      <c r="AC245" s="270"/>
      <c r="AD245" s="270"/>
      <c r="AE245" s="270"/>
    </row>
    <row r="246">
      <c r="A246" s="256">
        <f>IFERROR(__xludf.DUMMYFUNCTION("""COMPUTED_VALUE"""),42685.81458333333)</f>
        <v>42685.81458</v>
      </c>
      <c r="B246" s="257" t="str">
        <f>IFERROR(__xludf.DUMMYFUNCTION("""COMPUTED_VALUE"""),"DavidH")</f>
        <v>DavidH</v>
      </c>
      <c r="C246" s="258" t="str">
        <f>IFERROR(__xludf.DUMMYFUNCTION("""COMPUTED_VALUE"""),"USA")</f>
        <v>USA</v>
      </c>
      <c r="D246" s="258" t="str">
        <f>IFERROR(__xludf.DUMMYFUNCTION("""COMPUTED_VALUE"""),"mi. My car displays range in miles and I will enter all range numbers in miles.")</f>
        <v>mi. My car displays range in miles and I will enter all range numbers in miles.</v>
      </c>
      <c r="E246" s="259">
        <f>IFERROR(__xludf.DUMMYFUNCTION("""COMPUTED_VALUE"""),41724.0)</f>
        <v>41724</v>
      </c>
      <c r="F246" s="258" t="str">
        <f>IFERROR(__xludf.DUMMYFUNCTION("""COMPUTED_VALUE"""),"Model S 85")</f>
        <v>Model S 85</v>
      </c>
      <c r="G246" s="258" t="str">
        <f>IFERROR(__xludf.DUMMYFUNCTION("""COMPUTED_VALUE"""),"Weekly")</f>
        <v>Weekly</v>
      </c>
      <c r="H246" s="258" t="str">
        <f>IFERROR(__xludf.DUMMYFUNCTION("""COMPUTED_VALUE"""),"Twice a month")</f>
        <v>Twice a month</v>
      </c>
      <c r="I246" s="258" t="str">
        <f>IFERROR(__xludf.DUMMYFUNCTION("""COMPUTED_VALUE"""),"Monthly")</f>
        <v>Monthly</v>
      </c>
      <c r="J246" s="260">
        <f>IFERROR(__xludf.DUMMYFUNCTION("""COMPUTED_VALUE"""),0.8)</f>
        <v>0.8</v>
      </c>
      <c r="K246" s="258">
        <f>IFERROR(__xludf.DUMMYFUNCTION("""COMPUTED_VALUE"""),271.0)</f>
        <v>271</v>
      </c>
      <c r="L246" s="258" t="str">
        <f>IFERROR(__xludf.DUMMYFUNCTION("""COMPUTED_VALUE"""),"")</f>
        <v/>
      </c>
      <c r="M246" s="261">
        <f>IFERROR(__xludf.DUMMYFUNCTION("""COMPUTED_VALUE"""),327.0)</f>
        <v>327</v>
      </c>
      <c r="N246" s="262" t="str">
        <f>IFERROR(__xludf.DUMMYFUNCTION("""COMPUTED_VALUE"""),"")</f>
        <v/>
      </c>
      <c r="O246" s="259" t="str">
        <f>IFERROR(__xludf.DUMMYFUNCTION("""COMPUTED_VALUE"""),"")</f>
        <v/>
      </c>
      <c r="P246" s="259">
        <f>IFERROR(__xludf.DUMMYFUNCTION("""COMPUTED_VALUE"""),42685.0)</f>
        <v>42685</v>
      </c>
      <c r="Q246" s="258">
        <f>IFERROR(__xludf.DUMMYFUNCTION("""COMPUTED_VALUE"""),92600.0)</f>
        <v>92600</v>
      </c>
      <c r="R246" s="261">
        <f>IFERROR(__xludf.DUMMYFUNCTION("""COMPUTED_VALUE"""),250.0)</f>
        <v>250</v>
      </c>
      <c r="S246" s="258">
        <v>266.0</v>
      </c>
      <c r="T246" s="263">
        <v>0.9398496240601504</v>
      </c>
      <c r="U246" s="264">
        <v>92600.0</v>
      </c>
      <c r="V246" s="265">
        <v>149025.0</v>
      </c>
      <c r="W246" s="264">
        <v>92600.0</v>
      </c>
      <c r="X246" s="266" t="str">
        <f>IFERROR(__xludf.DUMMYFUNCTION("""COMPUTED_VALUE"""),"IAV_P85_weiss")</f>
        <v>IAV_P85_weiss</v>
      </c>
      <c r="Y246" s="267">
        <v>-0.01</v>
      </c>
      <c r="Z246" s="267">
        <v>0.9351925808307671</v>
      </c>
      <c r="AA246" s="269"/>
      <c r="AB246" s="270"/>
      <c r="AC246" s="270"/>
      <c r="AD246" s="270"/>
      <c r="AE246" s="270"/>
    </row>
    <row r="247">
      <c r="A247" s="256">
        <f>IFERROR(__xludf.DUMMYFUNCTION("""COMPUTED_VALUE"""),42737.81875)</f>
        <v>42737.81875</v>
      </c>
      <c r="B247" s="257" t="str">
        <f>IFERROR(__xludf.DUMMYFUNCTION("""COMPUTED_VALUE"""),"DavidH")</f>
        <v>DavidH</v>
      </c>
      <c r="C247" s="258" t="str">
        <f>IFERROR(__xludf.DUMMYFUNCTION("""COMPUTED_VALUE"""),"USA")</f>
        <v>USA</v>
      </c>
      <c r="D247" s="258" t="str">
        <f>IFERROR(__xludf.DUMMYFUNCTION("""COMPUTED_VALUE"""),"mi. My car displays range in miles and I will enter all range numbers in miles.")</f>
        <v>mi. My car displays range in miles and I will enter all range numbers in miles.</v>
      </c>
      <c r="E247" s="259">
        <f>IFERROR(__xludf.DUMMYFUNCTION("""COMPUTED_VALUE"""),41724.0)</f>
        <v>41724</v>
      </c>
      <c r="F247" s="258" t="str">
        <f>IFERROR(__xludf.DUMMYFUNCTION("""COMPUTED_VALUE"""),"Model S 85")</f>
        <v>Model S 85</v>
      </c>
      <c r="G247" s="258" t="str">
        <f>IFERROR(__xludf.DUMMYFUNCTION("""COMPUTED_VALUE"""),"Weekly")</f>
        <v>Weekly</v>
      </c>
      <c r="H247" s="258" t="str">
        <f>IFERROR(__xludf.DUMMYFUNCTION("""COMPUTED_VALUE"""),"Monthly")</f>
        <v>Monthly</v>
      </c>
      <c r="I247" s="258" t="str">
        <f>IFERROR(__xludf.DUMMYFUNCTION("""COMPUTED_VALUE"""),"Monthly")</f>
        <v>Monthly</v>
      </c>
      <c r="J247" s="260">
        <f>IFERROR(__xludf.DUMMYFUNCTION("""COMPUTED_VALUE"""),0.8)</f>
        <v>0.8</v>
      </c>
      <c r="K247" s="258">
        <f>IFERROR(__xludf.DUMMYFUNCTION("""COMPUTED_VALUE"""),271.0)</f>
        <v>271</v>
      </c>
      <c r="L247" s="258" t="str">
        <f>IFERROR(__xludf.DUMMYFUNCTION("""COMPUTED_VALUE"""),"")</f>
        <v/>
      </c>
      <c r="M247" s="261">
        <f>IFERROR(__xludf.DUMMYFUNCTION("""COMPUTED_VALUE"""),322.0)</f>
        <v>322</v>
      </c>
      <c r="N247" s="262" t="str">
        <f>IFERROR(__xludf.DUMMYFUNCTION("""COMPUTED_VALUE"""),"")</f>
        <v/>
      </c>
      <c r="O247" s="259" t="str">
        <f>IFERROR(__xludf.DUMMYFUNCTION("""COMPUTED_VALUE"""),"")</f>
        <v/>
      </c>
      <c r="P247" s="259">
        <f>IFERROR(__xludf.DUMMYFUNCTION("""COMPUTED_VALUE"""),42737.0)</f>
        <v>42737</v>
      </c>
      <c r="Q247" s="258">
        <f>IFERROR(__xludf.DUMMYFUNCTION("""COMPUTED_VALUE"""),99872.0)</f>
        <v>99872</v>
      </c>
      <c r="R247" s="261">
        <f>IFERROR(__xludf.DUMMYFUNCTION("""COMPUTED_VALUE"""),250.0)</f>
        <v>250</v>
      </c>
      <c r="S247" s="258">
        <v>266.0</v>
      </c>
      <c r="T247" s="263">
        <v>0.9398496240601504</v>
      </c>
      <c r="U247" s="264">
        <v>99872.0</v>
      </c>
      <c r="V247" s="265">
        <v>160728.0</v>
      </c>
      <c r="W247" s="264">
        <v>99872.0</v>
      </c>
      <c r="X247" s="266" t="str">
        <f>IFERROR(__xludf.DUMMYFUNCTION("""COMPUTED_VALUE"""),"idefix")</f>
        <v>idefix</v>
      </c>
      <c r="Y247" s="267">
        <v>-0.01</v>
      </c>
      <c r="Z247" s="267">
        <v>0.9324907247649646</v>
      </c>
      <c r="AA247" s="269"/>
      <c r="AB247" s="270"/>
      <c r="AC247" s="270"/>
      <c r="AD247" s="270"/>
      <c r="AE247" s="270"/>
    </row>
    <row r="248">
      <c r="A248" s="256">
        <f>IFERROR(__xludf.DUMMYFUNCTION("""COMPUTED_VALUE"""),42814.82152777778)</f>
        <v>42814.82153</v>
      </c>
      <c r="B248" s="257" t="str">
        <f>IFERROR(__xludf.DUMMYFUNCTION("""COMPUTED_VALUE"""),"DavidH")</f>
        <v>DavidH</v>
      </c>
      <c r="C248" s="258" t="str">
        <f>IFERROR(__xludf.DUMMYFUNCTION("""COMPUTED_VALUE"""),"USA")</f>
        <v>USA</v>
      </c>
      <c r="D248" s="258" t="str">
        <f>IFERROR(__xludf.DUMMYFUNCTION("""COMPUTED_VALUE"""),"mi. My car displays range in miles and I will enter all range numbers in miles.")</f>
        <v>mi. My car displays range in miles and I will enter all range numbers in miles.</v>
      </c>
      <c r="E248" s="259">
        <f>IFERROR(__xludf.DUMMYFUNCTION("""COMPUTED_VALUE"""),41724.0)</f>
        <v>41724</v>
      </c>
      <c r="F248" s="258" t="str">
        <f>IFERROR(__xludf.DUMMYFUNCTION("""COMPUTED_VALUE"""),"Model S 85")</f>
        <v>Model S 85</v>
      </c>
      <c r="G248" s="258" t="str">
        <f>IFERROR(__xludf.DUMMYFUNCTION("""COMPUTED_VALUE"""),"Twice a week")</f>
        <v>Twice a week</v>
      </c>
      <c r="H248" s="258" t="str">
        <f>IFERROR(__xludf.DUMMYFUNCTION("""COMPUTED_VALUE"""),"Monthly")</f>
        <v>Monthly</v>
      </c>
      <c r="I248" s="258" t="str">
        <f>IFERROR(__xludf.DUMMYFUNCTION("""COMPUTED_VALUE"""),"Monthly")</f>
        <v>Monthly</v>
      </c>
      <c r="J248" s="260">
        <f>IFERROR(__xludf.DUMMYFUNCTION("""COMPUTED_VALUE"""),0.8)</f>
        <v>0.8</v>
      </c>
      <c r="K248" s="258">
        <f>IFERROR(__xludf.DUMMYFUNCTION("""COMPUTED_VALUE"""),271.0)</f>
        <v>271</v>
      </c>
      <c r="L248" s="258" t="str">
        <f>IFERROR(__xludf.DUMMYFUNCTION("""COMPUTED_VALUE"""),"")</f>
        <v/>
      </c>
      <c r="M248" s="261">
        <f>IFERROR(__xludf.DUMMYFUNCTION("""COMPUTED_VALUE"""),325.0)</f>
        <v>325</v>
      </c>
      <c r="N248" s="262" t="str">
        <f>IFERROR(__xludf.DUMMYFUNCTION("""COMPUTED_VALUE"""),"")</f>
        <v/>
      </c>
      <c r="O248" s="259" t="str">
        <f>IFERROR(__xludf.DUMMYFUNCTION("""COMPUTED_VALUE"""),"")</f>
        <v/>
      </c>
      <c r="P248" s="259">
        <f>IFERROR(__xludf.DUMMYFUNCTION("""COMPUTED_VALUE"""),42814.0)</f>
        <v>42814</v>
      </c>
      <c r="Q248" s="258">
        <f>IFERROR(__xludf.DUMMYFUNCTION("""COMPUTED_VALUE"""),111400.0)</f>
        <v>111400</v>
      </c>
      <c r="R248" s="261">
        <f>IFERROR(__xludf.DUMMYFUNCTION("""COMPUTED_VALUE"""),248.0)</f>
        <v>248</v>
      </c>
      <c r="S248" s="258">
        <v>266.0</v>
      </c>
      <c r="T248" s="263">
        <v>0.9323308270676691</v>
      </c>
      <c r="U248" s="264">
        <v>111400.0</v>
      </c>
      <c r="V248" s="265">
        <v>179281.0</v>
      </c>
      <c r="W248" s="264">
        <v>111400.0</v>
      </c>
      <c r="X248" s="266" t="str">
        <f>IFERROR(__xludf.DUMMYFUNCTION("""COMPUTED_VALUE"""),"iDrops")</f>
        <v>iDrops</v>
      </c>
      <c r="Y248" s="267">
        <v>-0.01</v>
      </c>
      <c r="Z248" s="267">
        <v>0.9282097743138119</v>
      </c>
      <c r="AA248" s="269"/>
      <c r="AB248" s="270"/>
      <c r="AC248" s="270"/>
      <c r="AD248" s="270"/>
      <c r="AE248" s="270"/>
    </row>
    <row r="249">
      <c r="A249" s="256">
        <f>IFERROR(__xludf.DUMMYFUNCTION("""COMPUTED_VALUE"""),42968.84930555556)</f>
        <v>42968.84931</v>
      </c>
      <c r="B249" s="257" t="str">
        <f>IFERROR(__xludf.DUMMYFUNCTION("""COMPUTED_VALUE"""),"DavidH")</f>
        <v>DavidH</v>
      </c>
      <c r="C249" s="258" t="str">
        <f>IFERROR(__xludf.DUMMYFUNCTION("""COMPUTED_VALUE"""),"USA")</f>
        <v>USA</v>
      </c>
      <c r="D249" s="258" t="str">
        <f>IFERROR(__xludf.DUMMYFUNCTION("""COMPUTED_VALUE"""),"mi. My car displays range in miles and I will enter all range numbers in miles.")</f>
        <v>mi. My car displays range in miles and I will enter all range numbers in miles.</v>
      </c>
      <c r="E249" s="259">
        <f>IFERROR(__xludf.DUMMYFUNCTION("""COMPUTED_VALUE"""),41724.0)</f>
        <v>41724</v>
      </c>
      <c r="F249" s="258" t="str">
        <f>IFERROR(__xludf.DUMMYFUNCTION("""COMPUTED_VALUE"""),"Model S 85")</f>
        <v>Model S 85</v>
      </c>
      <c r="G249" s="258" t="str">
        <f>IFERROR(__xludf.DUMMYFUNCTION("""COMPUTED_VALUE"""),"Twice a week")</f>
        <v>Twice a week</v>
      </c>
      <c r="H249" s="258" t="str">
        <f>IFERROR(__xludf.DUMMYFUNCTION("""COMPUTED_VALUE"""),"Twice a month")</f>
        <v>Twice a month</v>
      </c>
      <c r="I249" s="258" t="str">
        <f>IFERROR(__xludf.DUMMYFUNCTION("""COMPUTED_VALUE"""),"Weekly")</f>
        <v>Weekly</v>
      </c>
      <c r="J249" s="260">
        <f>IFERROR(__xludf.DUMMYFUNCTION("""COMPUTED_VALUE"""),0.8)</f>
        <v>0.8</v>
      </c>
      <c r="K249" s="258">
        <f>IFERROR(__xludf.DUMMYFUNCTION("""COMPUTED_VALUE"""),270.0)</f>
        <v>270</v>
      </c>
      <c r="L249" s="258" t="str">
        <f>IFERROR(__xludf.DUMMYFUNCTION("""COMPUTED_VALUE"""),"")</f>
        <v/>
      </c>
      <c r="M249" s="261">
        <f>IFERROR(__xludf.DUMMYFUNCTION("""COMPUTED_VALUE"""),326.0)</f>
        <v>326</v>
      </c>
      <c r="N249" s="262" t="str">
        <f>IFERROR(__xludf.DUMMYFUNCTION("""COMPUTED_VALUE"""),"")</f>
        <v/>
      </c>
      <c r="O249" s="259" t="str">
        <f>IFERROR(__xludf.DUMMYFUNCTION("""COMPUTED_VALUE"""),"")</f>
        <v/>
      </c>
      <c r="P249" s="259">
        <f>IFERROR(__xludf.DUMMYFUNCTION("""COMPUTED_VALUE"""),42968.0)</f>
        <v>42968</v>
      </c>
      <c r="Q249" s="258">
        <f>IFERROR(__xludf.DUMMYFUNCTION("""COMPUTED_VALUE"""),126500.0)</f>
        <v>126500</v>
      </c>
      <c r="R249" s="261">
        <f>IFERROR(__xludf.DUMMYFUNCTION("""COMPUTED_VALUE"""),247.0)</f>
        <v>247</v>
      </c>
      <c r="S249" s="258">
        <v>266.0</v>
      </c>
      <c r="T249" s="263">
        <v>0.9285714285714286</v>
      </c>
      <c r="U249" s="264">
        <v>126500.0</v>
      </c>
      <c r="V249" s="265">
        <v>203582.0</v>
      </c>
      <c r="W249" s="264">
        <v>126500.0</v>
      </c>
      <c r="X249" s="266" t="str">
        <f>IFERROR(__xludf.DUMMYFUNCTION("""COMPUTED_VALUE"""),"iggypop")</f>
        <v>iggypop</v>
      </c>
      <c r="Y249" s="267">
        <v>-0.01</v>
      </c>
      <c r="Z249" s="267">
        <v>0.9226041365706151</v>
      </c>
      <c r="AA249" s="269"/>
      <c r="AB249" s="270"/>
      <c r="AC249" s="270"/>
      <c r="AD249" s="270"/>
      <c r="AE249" s="270"/>
    </row>
    <row r="250">
      <c r="A250" s="256">
        <f>IFERROR(__xludf.DUMMYFUNCTION("""COMPUTED_VALUE"""),43102.868055555555)</f>
        <v>43102.86806</v>
      </c>
      <c r="B250" s="257" t="str">
        <f>IFERROR(__xludf.DUMMYFUNCTION("""COMPUTED_VALUE"""),"DavidH")</f>
        <v>DavidH</v>
      </c>
      <c r="C250" s="258" t="str">
        <f>IFERROR(__xludf.DUMMYFUNCTION("""COMPUTED_VALUE"""),"USA")</f>
        <v>USA</v>
      </c>
      <c r="D250" s="258" t="str">
        <f>IFERROR(__xludf.DUMMYFUNCTION("""COMPUTED_VALUE"""),"mi. My car displays range in miles and I will enter all range numbers in miles.")</f>
        <v>mi. My car displays range in miles and I will enter all range numbers in miles.</v>
      </c>
      <c r="E250" s="259">
        <f>IFERROR(__xludf.DUMMYFUNCTION("""COMPUTED_VALUE"""),41724.0)</f>
        <v>41724</v>
      </c>
      <c r="F250" s="258" t="str">
        <f>IFERROR(__xludf.DUMMYFUNCTION("""COMPUTED_VALUE"""),"Model S 85")</f>
        <v>Model S 85</v>
      </c>
      <c r="G250" s="258" t="str">
        <f>IFERROR(__xludf.DUMMYFUNCTION("""COMPUTED_VALUE"""),"Twice a week")</f>
        <v>Twice a week</v>
      </c>
      <c r="H250" s="258" t="str">
        <f>IFERROR(__xludf.DUMMYFUNCTION("""COMPUTED_VALUE"""),"Twice a month")</f>
        <v>Twice a month</v>
      </c>
      <c r="I250" s="258" t="str">
        <f>IFERROR(__xludf.DUMMYFUNCTION("""COMPUTED_VALUE"""),"A few times a year")</f>
        <v>A few times a year</v>
      </c>
      <c r="J250" s="260">
        <f>IFERROR(__xludf.DUMMYFUNCTION("""COMPUTED_VALUE"""),0.8)</f>
        <v>0.8</v>
      </c>
      <c r="K250" s="258">
        <f>IFERROR(__xludf.DUMMYFUNCTION("""COMPUTED_VALUE"""),271.0)</f>
        <v>271</v>
      </c>
      <c r="L250" s="258" t="str">
        <f>IFERROR(__xludf.DUMMYFUNCTION("""COMPUTED_VALUE"""),"")</f>
        <v/>
      </c>
      <c r="M250" s="261">
        <f>IFERROR(__xludf.DUMMYFUNCTION("""COMPUTED_VALUE"""),321.0)</f>
        <v>321</v>
      </c>
      <c r="N250" s="262" t="str">
        <f>IFERROR(__xludf.DUMMYFUNCTION("""COMPUTED_VALUE"""),"")</f>
        <v/>
      </c>
      <c r="O250" s="259" t="str">
        <f>IFERROR(__xludf.DUMMYFUNCTION("""COMPUTED_VALUE"""),"")</f>
        <v/>
      </c>
      <c r="P250" s="259">
        <f>IFERROR(__xludf.DUMMYFUNCTION("""COMPUTED_VALUE"""),43102.0)</f>
        <v>43102</v>
      </c>
      <c r="Q250" s="258">
        <f>IFERROR(__xludf.DUMMYFUNCTION("""COMPUTED_VALUE"""),142000.0)</f>
        <v>142000</v>
      </c>
      <c r="R250" s="261">
        <f>IFERROR(__xludf.DUMMYFUNCTION("""COMPUTED_VALUE"""),243.0)</f>
        <v>243</v>
      </c>
      <c r="S250" s="258">
        <v>266.0</v>
      </c>
      <c r="T250" s="263">
        <v>0.9135338345864662</v>
      </c>
      <c r="U250" s="264">
        <v>142000.0</v>
      </c>
      <c r="V250" s="265">
        <v>228527.0</v>
      </c>
      <c r="W250" s="264">
        <v>142000.0</v>
      </c>
      <c r="X250" s="266" t="str">
        <f>IFERROR(__xludf.DUMMYFUNCTION("""COMPUTED_VALUE"""),"iKhalid")</f>
        <v>iKhalid</v>
      </c>
      <c r="Y250" s="267">
        <v>-0.01</v>
      </c>
      <c r="Z250" s="267">
        <v>0.916850478193634</v>
      </c>
      <c r="AA250" s="269"/>
      <c r="AB250" s="270"/>
      <c r="AC250" s="270"/>
      <c r="AD250" s="270"/>
      <c r="AE250" s="270"/>
    </row>
    <row r="251">
      <c r="A251" s="256">
        <f>IFERROR(__xludf.DUMMYFUNCTION("""COMPUTED_VALUE"""),43151.87569444445)</f>
        <v>43151.87569</v>
      </c>
      <c r="B251" s="257" t="str">
        <f>IFERROR(__xludf.DUMMYFUNCTION("""COMPUTED_VALUE"""),"DavidH")</f>
        <v>DavidH</v>
      </c>
      <c r="C251" s="258" t="str">
        <f>IFERROR(__xludf.DUMMYFUNCTION("""COMPUTED_VALUE"""),"USA")</f>
        <v>USA</v>
      </c>
      <c r="D251" s="258" t="str">
        <f>IFERROR(__xludf.DUMMYFUNCTION("""COMPUTED_VALUE"""),"mi. My car displays range in miles and I will enter all range numbers in miles.")</f>
        <v>mi. My car displays range in miles and I will enter all range numbers in miles.</v>
      </c>
      <c r="E251" s="259">
        <f>IFERROR(__xludf.DUMMYFUNCTION("""COMPUTED_VALUE"""),41724.0)</f>
        <v>41724</v>
      </c>
      <c r="F251" s="258" t="str">
        <f>IFERROR(__xludf.DUMMYFUNCTION("""COMPUTED_VALUE"""),"Model S 85")</f>
        <v>Model S 85</v>
      </c>
      <c r="G251" s="258" t="str">
        <f>IFERROR(__xludf.DUMMYFUNCTION("""COMPUTED_VALUE"""),"Weekly")</f>
        <v>Weekly</v>
      </c>
      <c r="H251" s="258" t="str">
        <f>IFERROR(__xludf.DUMMYFUNCTION("""COMPUTED_VALUE"""),"Twice a month")</f>
        <v>Twice a month</v>
      </c>
      <c r="I251" s="258" t="str">
        <f>IFERROR(__xludf.DUMMYFUNCTION("""COMPUTED_VALUE"""),"A few times a year")</f>
        <v>A few times a year</v>
      </c>
      <c r="J251" s="260">
        <f>IFERROR(__xludf.DUMMYFUNCTION("""COMPUTED_VALUE"""),0.8)</f>
        <v>0.8</v>
      </c>
      <c r="K251" s="258">
        <f>IFERROR(__xludf.DUMMYFUNCTION("""COMPUTED_VALUE"""),271.0)</f>
        <v>271</v>
      </c>
      <c r="L251" s="258" t="str">
        <f>IFERROR(__xludf.DUMMYFUNCTION("""COMPUTED_VALUE"""),"")</f>
        <v/>
      </c>
      <c r="M251" s="261">
        <f>IFERROR(__xludf.DUMMYFUNCTION("""COMPUTED_VALUE"""),322.0)</f>
        <v>322</v>
      </c>
      <c r="N251" s="262" t="str">
        <f>IFERROR(__xludf.DUMMYFUNCTION("""COMPUTED_VALUE"""),"")</f>
        <v/>
      </c>
      <c r="O251" s="259" t="str">
        <f>IFERROR(__xludf.DUMMYFUNCTION("""COMPUTED_VALUE"""),"")</f>
        <v/>
      </c>
      <c r="P251" s="259">
        <f>IFERROR(__xludf.DUMMYFUNCTION("""COMPUTED_VALUE"""),43151.0)</f>
        <v>43151</v>
      </c>
      <c r="Q251" s="258">
        <f>IFERROR(__xludf.DUMMYFUNCTION("""COMPUTED_VALUE"""),151000.0)</f>
        <v>151000</v>
      </c>
      <c r="R251" s="261">
        <f>IFERROR(__xludf.DUMMYFUNCTION("""COMPUTED_VALUE"""),242.0)</f>
        <v>242</v>
      </c>
      <c r="S251" s="258">
        <v>266.0</v>
      </c>
      <c r="T251" s="263">
        <v>0.9097744360902256</v>
      </c>
      <c r="U251" s="264">
        <v>151000.0</v>
      </c>
      <c r="V251" s="265">
        <v>243011.0</v>
      </c>
      <c r="W251" s="264">
        <v>151000.0</v>
      </c>
      <c r="X251" s="266" t="str">
        <f>IFERROR(__xludf.DUMMYFUNCTION("""COMPUTED_VALUE"""),"in-clusion")</f>
        <v>in-clusion</v>
      </c>
      <c r="Y251" s="267">
        <v>-0.01</v>
      </c>
      <c r="Z251" s="267">
        <v>0.9135097574622951</v>
      </c>
      <c r="AA251" s="269"/>
      <c r="AB251" s="270"/>
      <c r="AC251" s="270"/>
      <c r="AD251" s="270"/>
      <c r="AE251" s="270"/>
    </row>
    <row r="252">
      <c r="A252" s="256">
        <f>IFERROR(__xludf.DUMMYFUNCTION("""COMPUTED_VALUE"""),43751.8375712037)</f>
        <v>43751.83757</v>
      </c>
      <c r="B252" s="257" t="str">
        <f>IFERROR(__xludf.DUMMYFUNCTION("""COMPUTED_VALUE"""),"DavidH")</f>
        <v>DavidH</v>
      </c>
      <c r="C252" s="258" t="str">
        <f>IFERROR(__xludf.DUMMYFUNCTION("""COMPUTED_VALUE"""),"USA")</f>
        <v>USA</v>
      </c>
      <c r="D252" s="258" t="str">
        <f>IFERROR(__xludf.DUMMYFUNCTION("""COMPUTED_VALUE"""),"mi. My car displays range in miles and I will enter all range numbers in miles.")</f>
        <v>mi. My car displays range in miles and I will enter all range numbers in miles.</v>
      </c>
      <c r="E252" s="259">
        <f>IFERROR(__xludf.DUMMYFUNCTION("""COMPUTED_VALUE"""),43550.0)</f>
        <v>43550</v>
      </c>
      <c r="F252" s="258" t="str">
        <f>IFERROR(__xludf.DUMMYFUNCTION("""COMPUTED_VALUE"""),"Model S 85")</f>
        <v>Model S 85</v>
      </c>
      <c r="G252" s="258" t="str">
        <f>IFERROR(__xludf.DUMMYFUNCTION("""COMPUTED_VALUE"""),"Daily")</f>
        <v>Daily</v>
      </c>
      <c r="H252" s="258" t="str">
        <f>IFERROR(__xludf.DUMMYFUNCTION("""COMPUTED_VALUE"""),"Weekly")</f>
        <v>Weekly</v>
      </c>
      <c r="I252" s="258" t="str">
        <f>IFERROR(__xludf.DUMMYFUNCTION("""COMPUTED_VALUE"""),"Twice a month")</f>
        <v>Twice a month</v>
      </c>
      <c r="J252" s="260">
        <f>IFERROR(__xludf.DUMMYFUNCTION("""COMPUTED_VALUE"""),0.8)</f>
        <v>0.8</v>
      </c>
      <c r="K252" s="258" t="str">
        <f>IFERROR(__xludf.DUMMYFUNCTION("""COMPUTED_VALUE"""),"")</f>
        <v/>
      </c>
      <c r="L252" s="258">
        <f>IFERROR(__xludf.DUMMYFUNCTION("""COMPUTED_VALUE"""),275.0)</f>
        <v>275</v>
      </c>
      <c r="M252" s="261">
        <f>IFERROR(__xludf.DUMMYFUNCTION("""COMPUTED_VALUE"""),321.0)</f>
        <v>321</v>
      </c>
      <c r="N252" s="262" t="str">
        <f>IFERROR(__xludf.DUMMYFUNCTION("""COMPUTED_VALUE"""),"")</f>
        <v/>
      </c>
      <c r="O252" s="259" t="str">
        <f>IFERROR(__xludf.DUMMYFUNCTION("""COMPUTED_VALUE"""),"")</f>
        <v/>
      </c>
      <c r="P252" s="259">
        <f>IFERROR(__xludf.DUMMYFUNCTION("""COMPUTED_VALUE"""),43743.0)</f>
        <v>43743</v>
      </c>
      <c r="Q252" s="258">
        <f>IFERROR(__xludf.DUMMYFUNCTION("""COMPUTED_VALUE"""),236559.0)</f>
        <v>236559</v>
      </c>
      <c r="R252" s="261">
        <f>IFERROR(__xludf.DUMMYFUNCTION("""COMPUTED_VALUE"""),235.0)</f>
        <v>235</v>
      </c>
      <c r="S252" s="258">
        <v>266.0</v>
      </c>
      <c r="T252" s="263">
        <v>0.8834586466165414</v>
      </c>
      <c r="U252" s="264">
        <v>236559.0</v>
      </c>
      <c r="V252" s="265">
        <v>380705.0</v>
      </c>
      <c r="W252" s="264">
        <v>236559.0</v>
      </c>
      <c r="X252" s="266" t="str">
        <f>IFERROR(__xludf.DUMMYFUNCTION("""COMPUTED_VALUE"""),"J.K")</f>
        <v>J.K</v>
      </c>
      <c r="Y252" s="267">
        <v>-0.01</v>
      </c>
      <c r="Z252" s="267">
        <v>0.8817510255336107</v>
      </c>
      <c r="AA252" s="269"/>
      <c r="AB252" s="270"/>
      <c r="AC252" s="270"/>
      <c r="AD252" s="270"/>
      <c r="AE252" s="270"/>
    </row>
    <row r="253">
      <c r="A253" s="256">
        <f>IFERROR(__xludf.DUMMYFUNCTION("""COMPUTED_VALUE"""),43751.8375712037)</f>
        <v>43751.83757</v>
      </c>
      <c r="B253" s="257" t="str">
        <f>IFERROR(__xludf.DUMMYFUNCTION("""COMPUTED_VALUE"""),"DavidH")</f>
        <v>DavidH</v>
      </c>
      <c r="C253" s="258" t="str">
        <f>IFERROR(__xludf.DUMMYFUNCTION("""COMPUTED_VALUE"""),"USA")</f>
        <v>USA</v>
      </c>
      <c r="D253" s="258" t="str">
        <f>IFERROR(__xludf.DUMMYFUNCTION("""COMPUTED_VALUE"""),"mi. My car displays range in miles and I will enter all range numbers in miles.")</f>
        <v>mi. My car displays range in miles and I will enter all range numbers in miles.</v>
      </c>
      <c r="E253" s="259">
        <f>IFERROR(__xludf.DUMMYFUNCTION("""COMPUTED_VALUE"""),43550.0)</f>
        <v>43550</v>
      </c>
      <c r="F253" s="258" t="str">
        <f>IFERROR(__xludf.DUMMYFUNCTION("""COMPUTED_VALUE"""),"Model S 85")</f>
        <v>Model S 85</v>
      </c>
      <c r="G253" s="258" t="str">
        <f>IFERROR(__xludf.DUMMYFUNCTION("""COMPUTED_VALUE"""),"Daily")</f>
        <v>Daily</v>
      </c>
      <c r="H253" s="258" t="str">
        <f>IFERROR(__xludf.DUMMYFUNCTION("""COMPUTED_VALUE"""),"Weekly")</f>
        <v>Weekly</v>
      </c>
      <c r="I253" s="258" t="str">
        <f>IFERROR(__xludf.DUMMYFUNCTION("""COMPUTED_VALUE"""),"Twice a month")</f>
        <v>Twice a month</v>
      </c>
      <c r="J253" s="260">
        <f>IFERROR(__xludf.DUMMYFUNCTION("""COMPUTED_VALUE"""),0.8)</f>
        <v>0.8</v>
      </c>
      <c r="K253" s="258" t="str">
        <f>IFERROR(__xludf.DUMMYFUNCTION("""COMPUTED_VALUE"""),"")</f>
        <v/>
      </c>
      <c r="L253" s="258">
        <f>IFERROR(__xludf.DUMMYFUNCTION("""COMPUTED_VALUE"""),275.0)</f>
        <v>275</v>
      </c>
      <c r="M253" s="261">
        <f>IFERROR(__xludf.DUMMYFUNCTION("""COMPUTED_VALUE"""),321.0)</f>
        <v>321</v>
      </c>
      <c r="N253" s="262" t="str">
        <f>IFERROR(__xludf.DUMMYFUNCTION("""COMPUTED_VALUE"""),"")</f>
        <v/>
      </c>
      <c r="O253" s="259" t="str">
        <f>IFERROR(__xludf.DUMMYFUNCTION("""COMPUTED_VALUE"""),"")</f>
        <v/>
      </c>
      <c r="P253" s="259">
        <f>IFERROR(__xludf.DUMMYFUNCTION("""COMPUTED_VALUE"""),43642.0)</f>
        <v>43642</v>
      </c>
      <c r="Q253" s="258">
        <f>IFERROR(__xludf.DUMMYFUNCTION("""COMPUTED_VALUE"""),213.568)</f>
        <v>213.568</v>
      </c>
      <c r="R253" s="261">
        <f>IFERROR(__xludf.DUMMYFUNCTION("""COMPUTED_VALUE"""),236.0)</f>
        <v>236</v>
      </c>
      <c r="S253" s="258">
        <v>266.0</v>
      </c>
      <c r="T253" s="263">
        <v>0.8872180451127819</v>
      </c>
      <c r="U253" s="264">
        <v>213.568</v>
      </c>
      <c r="V253" s="265">
        <v>344.0</v>
      </c>
      <c r="W253" s="264">
        <v>213.568</v>
      </c>
      <c r="X253" s="266" t="str">
        <f>IFERROR(__xludf.DUMMYFUNCTION("""COMPUTED_VALUE"""),"J0hnny3010")</f>
        <v>J0hnny3010</v>
      </c>
      <c r="Y253" s="267">
        <v>-0.01</v>
      </c>
      <c r="Z253" s="267">
        <v>0.9993178950683723</v>
      </c>
      <c r="AA253" s="269"/>
      <c r="AB253" s="270"/>
      <c r="AC253" s="270"/>
      <c r="AD253" s="270"/>
      <c r="AE253" s="270"/>
    </row>
    <row r="254">
      <c r="A254" s="256">
        <f>IFERROR(__xludf.DUMMYFUNCTION("""COMPUTED_VALUE"""),43751.8375712037)</f>
        <v>43751.83757</v>
      </c>
      <c r="B254" s="257" t="str">
        <f>IFERROR(__xludf.DUMMYFUNCTION("""COMPUTED_VALUE"""),"DavidH")</f>
        <v>DavidH</v>
      </c>
      <c r="C254" s="258" t="str">
        <f>IFERROR(__xludf.DUMMYFUNCTION("""COMPUTED_VALUE"""),"USA")</f>
        <v>USA</v>
      </c>
      <c r="D254" s="258" t="str">
        <f>IFERROR(__xludf.DUMMYFUNCTION("""COMPUTED_VALUE"""),"mi. My car displays range in miles and I will enter all range numbers in miles.")</f>
        <v>mi. My car displays range in miles and I will enter all range numbers in miles.</v>
      </c>
      <c r="E254" s="259">
        <f>IFERROR(__xludf.DUMMYFUNCTION("""COMPUTED_VALUE"""),43550.0)</f>
        <v>43550</v>
      </c>
      <c r="F254" s="258" t="str">
        <f>IFERROR(__xludf.DUMMYFUNCTION("""COMPUTED_VALUE"""),"Model S 85")</f>
        <v>Model S 85</v>
      </c>
      <c r="G254" s="258" t="str">
        <f>IFERROR(__xludf.DUMMYFUNCTION("""COMPUTED_VALUE"""),"Daily")</f>
        <v>Daily</v>
      </c>
      <c r="H254" s="258" t="str">
        <f>IFERROR(__xludf.DUMMYFUNCTION("""COMPUTED_VALUE"""),"Weekly")</f>
        <v>Weekly</v>
      </c>
      <c r="I254" s="258" t="str">
        <f>IFERROR(__xludf.DUMMYFUNCTION("""COMPUTED_VALUE"""),"Twice a month")</f>
        <v>Twice a month</v>
      </c>
      <c r="J254" s="260">
        <f>IFERROR(__xludf.DUMMYFUNCTION("""COMPUTED_VALUE"""),0.8)</f>
        <v>0.8</v>
      </c>
      <c r="K254" s="258" t="str">
        <f>IFERROR(__xludf.DUMMYFUNCTION("""COMPUTED_VALUE"""),"")</f>
        <v/>
      </c>
      <c r="L254" s="258">
        <f>IFERROR(__xludf.DUMMYFUNCTION("""COMPUTED_VALUE"""),275.0)</f>
        <v>275</v>
      </c>
      <c r="M254" s="261">
        <f>IFERROR(__xludf.DUMMYFUNCTION("""COMPUTED_VALUE"""),321.0)</f>
        <v>321</v>
      </c>
      <c r="N254" s="262" t="str">
        <f>IFERROR(__xludf.DUMMYFUNCTION("""COMPUTED_VALUE"""),"")</f>
        <v/>
      </c>
      <c r="O254" s="259" t="str">
        <f>IFERROR(__xludf.DUMMYFUNCTION("""COMPUTED_VALUE"""),"")</f>
        <v/>
      </c>
      <c r="P254" s="259">
        <f>IFERROR(__xludf.DUMMYFUNCTION("""COMPUTED_VALUE"""),43492.0)</f>
        <v>43492</v>
      </c>
      <c r="Q254" s="258">
        <f>IFERROR(__xludf.DUMMYFUNCTION("""COMPUTED_VALUE"""),194298.0)</f>
        <v>194298</v>
      </c>
      <c r="R254" s="261">
        <f>IFERROR(__xludf.DUMMYFUNCTION("""COMPUTED_VALUE"""),241.0)</f>
        <v>241</v>
      </c>
      <c r="S254" s="258">
        <v>266.0</v>
      </c>
      <c r="T254" s="263">
        <v>0.9060150375939849</v>
      </c>
      <c r="U254" s="264">
        <v>194298.0</v>
      </c>
      <c r="V254" s="265">
        <v>312692.0</v>
      </c>
      <c r="W254" s="264">
        <v>194298.0</v>
      </c>
      <c r="X254" s="266" t="str">
        <f>IFERROR(__xludf.DUMMYFUNCTION("""COMPUTED_VALUE"""),"Jaaacob")</f>
        <v>Jaaacob</v>
      </c>
      <c r="Y254" s="267">
        <v>-0.01</v>
      </c>
      <c r="Z254" s="267">
        <v>0.8974380211441101</v>
      </c>
      <c r="AA254" s="269"/>
      <c r="AB254" s="270"/>
      <c r="AC254" s="270"/>
      <c r="AD254" s="270"/>
      <c r="AE254" s="270"/>
    </row>
    <row r="255">
      <c r="A255" s="256">
        <f>IFERROR(__xludf.DUMMYFUNCTION("""COMPUTED_VALUE"""),43751.8375712037)</f>
        <v>43751.83757</v>
      </c>
      <c r="B255" s="257" t="str">
        <f>IFERROR(__xludf.DUMMYFUNCTION("""COMPUTED_VALUE"""),"DavidH")</f>
        <v>DavidH</v>
      </c>
      <c r="C255" s="258" t="str">
        <f>IFERROR(__xludf.DUMMYFUNCTION("""COMPUTED_VALUE"""),"USA")</f>
        <v>USA</v>
      </c>
      <c r="D255" s="258" t="str">
        <f>IFERROR(__xludf.DUMMYFUNCTION("""COMPUTED_VALUE"""),"mi. My car displays range in miles and I will enter all range numbers in miles.")</f>
        <v>mi. My car displays range in miles and I will enter all range numbers in miles.</v>
      </c>
      <c r="E255" s="259">
        <f>IFERROR(__xludf.DUMMYFUNCTION("""COMPUTED_VALUE"""),43550.0)</f>
        <v>43550</v>
      </c>
      <c r="F255" s="258" t="str">
        <f>IFERROR(__xludf.DUMMYFUNCTION("""COMPUTED_VALUE"""),"Model S 85")</f>
        <v>Model S 85</v>
      </c>
      <c r="G255" s="258" t="str">
        <f>IFERROR(__xludf.DUMMYFUNCTION("""COMPUTED_VALUE"""),"Daily")</f>
        <v>Daily</v>
      </c>
      <c r="H255" s="258" t="str">
        <f>IFERROR(__xludf.DUMMYFUNCTION("""COMPUTED_VALUE"""),"Weekly")</f>
        <v>Weekly</v>
      </c>
      <c r="I255" s="258" t="str">
        <f>IFERROR(__xludf.DUMMYFUNCTION("""COMPUTED_VALUE"""),"Twice a month")</f>
        <v>Twice a month</v>
      </c>
      <c r="J255" s="260">
        <f>IFERROR(__xludf.DUMMYFUNCTION("""COMPUTED_VALUE"""),0.8)</f>
        <v>0.8</v>
      </c>
      <c r="K255" s="258" t="str">
        <f>IFERROR(__xludf.DUMMYFUNCTION("""COMPUTED_VALUE"""),"")</f>
        <v/>
      </c>
      <c r="L255" s="258">
        <f>IFERROR(__xludf.DUMMYFUNCTION("""COMPUTED_VALUE"""),275.0)</f>
        <v>275</v>
      </c>
      <c r="M255" s="261">
        <f>IFERROR(__xludf.DUMMYFUNCTION("""COMPUTED_VALUE"""),321.0)</f>
        <v>321</v>
      </c>
      <c r="N255" s="262" t="str">
        <f>IFERROR(__xludf.DUMMYFUNCTION("""COMPUTED_VALUE"""),"")</f>
        <v/>
      </c>
      <c r="O255" s="259" t="str">
        <f>IFERROR(__xludf.DUMMYFUNCTION("""COMPUTED_VALUE"""),"")</f>
        <v/>
      </c>
      <c r="P255" s="259">
        <f>IFERROR(__xludf.DUMMYFUNCTION("""COMPUTED_VALUE"""),43365.0)</f>
        <v>43365</v>
      </c>
      <c r="Q255" s="258">
        <f>IFERROR(__xludf.DUMMYFUNCTION("""COMPUTED_VALUE"""),175605.0)</f>
        <v>175605</v>
      </c>
      <c r="R255" s="261">
        <f>IFERROR(__xludf.DUMMYFUNCTION("""COMPUTED_VALUE"""),239.0)</f>
        <v>239</v>
      </c>
      <c r="S255" s="258">
        <v>266.0</v>
      </c>
      <c r="T255" s="263">
        <v>0.8984962406015038</v>
      </c>
      <c r="U255" s="264">
        <v>175605.0</v>
      </c>
      <c r="V255" s="265">
        <v>282609.0</v>
      </c>
      <c r="W255" s="264">
        <v>175605.0</v>
      </c>
      <c r="X255" s="266" t="str">
        <f>IFERROR(__xludf.DUMMYFUNCTION("""COMPUTED_VALUE"""),"jakoys")</f>
        <v>jakoys</v>
      </c>
      <c r="Y255" s="267">
        <v>-0.01</v>
      </c>
      <c r="Z255" s="267">
        <v>0.9043765770470181</v>
      </c>
      <c r="AA255" s="269"/>
      <c r="AB255" s="270"/>
      <c r="AC255" s="270"/>
      <c r="AD255" s="270"/>
      <c r="AE255" s="270"/>
    </row>
    <row r="256">
      <c r="A256" s="256">
        <f>IFERROR(__xludf.DUMMYFUNCTION("""COMPUTED_VALUE"""),43751.8375712037)</f>
        <v>43751.83757</v>
      </c>
      <c r="B256" s="257" t="str">
        <f>IFERROR(__xludf.DUMMYFUNCTION("""COMPUTED_VALUE"""),"DavidH")</f>
        <v>DavidH</v>
      </c>
      <c r="C256" s="258" t="str">
        <f>IFERROR(__xludf.DUMMYFUNCTION("""COMPUTED_VALUE"""),"USA")</f>
        <v>USA</v>
      </c>
      <c r="D256" s="258" t="str">
        <f>IFERROR(__xludf.DUMMYFUNCTION("""COMPUTED_VALUE"""),"mi. My car displays range in miles and I will enter all range numbers in miles.")</f>
        <v>mi. My car displays range in miles and I will enter all range numbers in miles.</v>
      </c>
      <c r="E256" s="259">
        <f>IFERROR(__xludf.DUMMYFUNCTION("""COMPUTED_VALUE"""),43550.0)</f>
        <v>43550</v>
      </c>
      <c r="F256" s="258" t="str">
        <f>IFERROR(__xludf.DUMMYFUNCTION("""COMPUTED_VALUE"""),"Model S 85")</f>
        <v>Model S 85</v>
      </c>
      <c r="G256" s="258" t="str">
        <f>IFERROR(__xludf.DUMMYFUNCTION("""COMPUTED_VALUE"""),"Daily")</f>
        <v>Daily</v>
      </c>
      <c r="H256" s="258" t="str">
        <f>IFERROR(__xludf.DUMMYFUNCTION("""COMPUTED_VALUE"""),"Weekly")</f>
        <v>Weekly</v>
      </c>
      <c r="I256" s="258" t="str">
        <f>IFERROR(__xludf.DUMMYFUNCTION("""COMPUTED_VALUE"""),"Twice a month")</f>
        <v>Twice a month</v>
      </c>
      <c r="J256" s="260">
        <f>IFERROR(__xludf.DUMMYFUNCTION("""COMPUTED_VALUE"""),0.8)</f>
        <v>0.8</v>
      </c>
      <c r="K256" s="258" t="str">
        <f>IFERROR(__xludf.DUMMYFUNCTION("""COMPUTED_VALUE"""),"")</f>
        <v/>
      </c>
      <c r="L256" s="258">
        <f>IFERROR(__xludf.DUMMYFUNCTION("""COMPUTED_VALUE"""),275.0)</f>
        <v>275</v>
      </c>
      <c r="M256" s="261">
        <f>IFERROR(__xludf.DUMMYFUNCTION("""COMPUTED_VALUE"""),321.0)</f>
        <v>321</v>
      </c>
      <c r="N256" s="262" t="str">
        <f>IFERROR(__xludf.DUMMYFUNCTION("""COMPUTED_VALUE"""),"")</f>
        <v/>
      </c>
      <c r="O256" s="259" t="str">
        <f>IFERROR(__xludf.DUMMYFUNCTION("""COMPUTED_VALUE"""),"")</f>
        <v/>
      </c>
      <c r="P256" s="259">
        <f>IFERROR(__xludf.DUMMYFUNCTION("""COMPUTED_VALUE"""),43658.0)</f>
        <v>43658</v>
      </c>
      <c r="Q256" s="258">
        <f>IFERROR(__xludf.DUMMYFUNCTION("""COMPUTED_VALUE"""),218057.0)</f>
        <v>218057</v>
      </c>
      <c r="R256" s="261">
        <f>IFERROR(__xludf.DUMMYFUNCTION("""COMPUTED_VALUE"""),236.0)</f>
        <v>236</v>
      </c>
      <c r="S256" s="258">
        <v>266.0</v>
      </c>
      <c r="T256" s="263">
        <v>0.8872180451127819</v>
      </c>
      <c r="U256" s="264">
        <v>218057.0</v>
      </c>
      <c r="V256" s="265">
        <v>350929.0</v>
      </c>
      <c r="W256" s="264">
        <v>218057.0</v>
      </c>
      <c r="X256" s="266" t="str">
        <f>IFERROR(__xludf.DUMMYFUNCTION("""COMPUTED_VALUE"""),"James")</f>
        <v>James</v>
      </c>
      <c r="Y256" s="267">
        <v>-0.01</v>
      </c>
      <c r="Z256" s="267">
        <v>0.8886187709989409</v>
      </c>
      <c r="AA256" s="269"/>
      <c r="AB256" s="270"/>
      <c r="AC256" s="270"/>
      <c r="AD256" s="270"/>
      <c r="AE256" s="270"/>
    </row>
    <row r="257">
      <c r="A257" s="256">
        <f>IFERROR(__xludf.DUMMYFUNCTION("""COMPUTED_VALUE"""),42843.825694444444)</f>
        <v>42843.82569</v>
      </c>
      <c r="B257" s="257" t="str">
        <f>IFERROR(__xludf.DUMMYFUNCTION("""COMPUTED_VALUE"""),"DavidLVN")</f>
        <v>DavidLVN</v>
      </c>
      <c r="C257" s="258" t="str">
        <f>IFERROR(__xludf.DUMMYFUNCTION("""COMPUTED_VALUE"""),"USA")</f>
        <v>USA</v>
      </c>
      <c r="D257" s="258" t="str">
        <f>IFERROR(__xludf.DUMMYFUNCTION("""COMPUTED_VALUE"""),"mi. My car displays range in miles and I will enter all range numbers in miles.")</f>
        <v>mi. My car displays range in miles and I will enter all range numbers in miles.</v>
      </c>
      <c r="E257" s="259">
        <f>IFERROR(__xludf.DUMMYFUNCTION("""COMPUTED_VALUE"""),42050.0)</f>
        <v>42050</v>
      </c>
      <c r="F257" s="258" t="str">
        <f>IFERROR(__xludf.DUMMYFUNCTION("""COMPUTED_VALUE"""),"Model S 85D")</f>
        <v>Model S 85D</v>
      </c>
      <c r="G257" s="258" t="str">
        <f>IFERROR(__xludf.DUMMYFUNCTION("""COMPUTED_VALUE"""),"A few times a year")</f>
        <v>A few times a year</v>
      </c>
      <c r="H257" s="258" t="str">
        <f>IFERROR(__xludf.DUMMYFUNCTION("""COMPUTED_VALUE"""),"Once or twice a year")</f>
        <v>Once or twice a year</v>
      </c>
      <c r="I257" s="258" t="str">
        <f>IFERROR(__xludf.DUMMYFUNCTION("""COMPUTED_VALUE"""),"Never")</f>
        <v>Never</v>
      </c>
      <c r="J257" s="260">
        <f>IFERROR(__xludf.DUMMYFUNCTION("""COMPUTED_VALUE"""),0.9)</f>
        <v>0.9</v>
      </c>
      <c r="K257" s="258" t="str">
        <f>IFERROR(__xludf.DUMMYFUNCTION("""COMPUTED_VALUE"""),"")</f>
        <v/>
      </c>
      <c r="L257" s="258" t="str">
        <f>IFERROR(__xludf.DUMMYFUNCTION("""COMPUTED_VALUE"""),"")</f>
        <v/>
      </c>
      <c r="M257" s="261">
        <f>IFERROR(__xludf.DUMMYFUNCTION("""COMPUTED_VALUE"""),287.0)</f>
        <v>287</v>
      </c>
      <c r="N257" s="262" t="str">
        <f>IFERROR(__xludf.DUMMYFUNCTION("""COMPUTED_VALUE"""),"")</f>
        <v/>
      </c>
      <c r="O257" s="259" t="str">
        <f>IFERROR(__xludf.DUMMYFUNCTION("""COMPUTED_VALUE"""),"")</f>
        <v/>
      </c>
      <c r="P257" s="259">
        <f>IFERROR(__xludf.DUMMYFUNCTION("""COMPUTED_VALUE"""),42843.0)</f>
        <v>42843</v>
      </c>
      <c r="Q257" s="258">
        <f>IFERROR(__xludf.DUMMYFUNCTION("""COMPUTED_VALUE"""),42798.0)</f>
        <v>42798</v>
      </c>
      <c r="R257" s="261">
        <f>IFERROR(__xludf.DUMMYFUNCTION("""COMPUTED_VALUE"""),261.0)</f>
        <v>261</v>
      </c>
      <c r="S257" s="258">
        <v>270.0</v>
      </c>
      <c r="T257" s="263">
        <v>0.9666666666666667</v>
      </c>
      <c r="U257" s="264">
        <v>42798.0</v>
      </c>
      <c r="V257" s="265">
        <v>68877.0</v>
      </c>
      <c r="W257" s="264">
        <v>42798.0</v>
      </c>
      <c r="X257" s="266" t="str">
        <f>IFERROR(__xludf.DUMMYFUNCTION("""COMPUTED_VALUE"""),"Janc")</f>
        <v>Janc</v>
      </c>
      <c r="Y257" s="267">
        <v>-0.01</v>
      </c>
      <c r="Z257" s="267">
        <v>0.9542282689009847</v>
      </c>
      <c r="AA257" s="269"/>
      <c r="AB257" s="270"/>
      <c r="AC257" s="270"/>
      <c r="AD257" s="270"/>
      <c r="AE257" s="270"/>
    </row>
    <row r="258">
      <c r="A258" s="256">
        <f>IFERROR(__xludf.DUMMYFUNCTION("""COMPUTED_VALUE"""),42872.83125)</f>
        <v>42872.83125</v>
      </c>
      <c r="B258" s="257" t="str">
        <f>IFERROR(__xludf.DUMMYFUNCTION("""COMPUTED_VALUE"""),"Dax")</f>
        <v>Dax</v>
      </c>
      <c r="C258" s="258" t="str">
        <f>IFERROR(__xludf.DUMMYFUNCTION("""COMPUTED_VALUE"""),"USA")</f>
        <v>USA</v>
      </c>
      <c r="D258" s="258" t="str">
        <f>IFERROR(__xludf.DUMMYFUNCTION("""COMPUTED_VALUE"""),"mi. My car displays range in miles and I will enter all range numbers in miles.")</f>
        <v>mi. My car displays range in miles and I will enter all range numbers in miles.</v>
      </c>
      <c r="E258" s="259">
        <f>IFERROR(__xludf.DUMMYFUNCTION("""COMPUTED_VALUE"""),41893.0)</f>
        <v>41893</v>
      </c>
      <c r="F258" s="258" t="str">
        <f>IFERROR(__xludf.DUMMYFUNCTION("""COMPUTED_VALUE"""),"Model S P85")</f>
        <v>Model S P85</v>
      </c>
      <c r="G258" s="258" t="str">
        <f>IFERROR(__xludf.DUMMYFUNCTION("""COMPUTED_VALUE"""),"A few times a year")</f>
        <v>A few times a year</v>
      </c>
      <c r="H258" s="258" t="str">
        <f>IFERROR(__xludf.DUMMYFUNCTION("""COMPUTED_VALUE"""),"Never")</f>
        <v>Never</v>
      </c>
      <c r="I258" s="258" t="str">
        <f>IFERROR(__xludf.DUMMYFUNCTION("""COMPUTED_VALUE"""),"Never")</f>
        <v>Never</v>
      </c>
      <c r="J258" s="260">
        <f>IFERROR(__xludf.DUMMYFUNCTION("""COMPUTED_VALUE"""),0.7)</f>
        <v>0.7</v>
      </c>
      <c r="K258" s="258" t="str">
        <f>IFERROR(__xludf.DUMMYFUNCTION("""COMPUTED_VALUE"""),"")</f>
        <v/>
      </c>
      <c r="L258" s="258" t="str">
        <f>IFERROR(__xludf.DUMMYFUNCTION("""COMPUTED_VALUE"""),"")</f>
        <v/>
      </c>
      <c r="M258" s="261">
        <f>IFERROR(__xludf.DUMMYFUNCTION("""COMPUTED_VALUE"""),344.0)</f>
        <v>344</v>
      </c>
      <c r="N258" s="262" t="str">
        <f>IFERROR(__xludf.DUMMYFUNCTION("""COMPUTED_VALUE"""),"")</f>
        <v/>
      </c>
      <c r="O258" s="259" t="str">
        <f>IFERROR(__xludf.DUMMYFUNCTION("""COMPUTED_VALUE"""),"")</f>
        <v/>
      </c>
      <c r="P258" s="259">
        <f>IFERROR(__xludf.DUMMYFUNCTION("""COMPUTED_VALUE"""),42872.0)</f>
        <v>42872</v>
      </c>
      <c r="Q258" s="258">
        <f>IFERROR(__xludf.DUMMYFUNCTION("""COMPUTED_VALUE"""),33666.0)</f>
        <v>33666</v>
      </c>
      <c r="R258" s="261">
        <f>IFERROR(__xludf.DUMMYFUNCTION("""COMPUTED_VALUE"""),257.0)</f>
        <v>257</v>
      </c>
      <c r="S258" s="258">
        <v>266.0</v>
      </c>
      <c r="T258" s="263">
        <v>0.9661654135338346</v>
      </c>
      <c r="U258" s="264">
        <v>33666.0</v>
      </c>
      <c r="V258" s="265">
        <v>54180.0</v>
      </c>
      <c r="W258" s="264">
        <v>33666.0</v>
      </c>
      <c r="X258" s="266" t="str">
        <f>IFERROR(__xludf.DUMMYFUNCTION("""COMPUTED_VALUE"""),"Jaydee")</f>
        <v>Jaydee</v>
      </c>
      <c r="Y258" s="267">
        <v>-0.01</v>
      </c>
      <c r="Z258" s="267">
        <v>0.9583674814646448</v>
      </c>
      <c r="AA258" s="269"/>
      <c r="AB258" s="270"/>
      <c r="AC258" s="270"/>
      <c r="AD258" s="270"/>
      <c r="AE258" s="270"/>
    </row>
    <row r="259">
      <c r="A259" s="256">
        <f>IFERROR(__xludf.DUMMYFUNCTION("""COMPUTED_VALUE"""),42397.27916666667)</f>
        <v>42397.27917</v>
      </c>
      <c r="B259" s="257" t="str">
        <f>IFERROR(__xludf.DUMMYFUNCTION("""COMPUTED_VALUE"""),"Deffe")</f>
        <v>Deffe</v>
      </c>
      <c r="C259" s="258" t="str">
        <f>IFERROR(__xludf.DUMMYFUNCTION("""COMPUTED_VALUE"""),"Europe (excluding UK) &amp; Asia Pacific")</f>
        <v>Europe (excluding UK) &amp; Asia Pacific</v>
      </c>
      <c r="D259" s="258" t="str">
        <f>IFERROR(__xludf.DUMMYFUNCTION("""COMPUTED_VALUE"""),"km. My car displays range in kilometres and I will enter all range numbers in kilometres.")</f>
        <v>km. My car displays range in kilometres and I will enter all range numbers in kilometres.</v>
      </c>
      <c r="E259" s="259">
        <f>IFERROR(__xludf.DUMMYFUNCTION("""COMPUTED_VALUE"""),41993.0)</f>
        <v>41993</v>
      </c>
      <c r="F259" s="258" t="str">
        <f>IFERROR(__xludf.DUMMYFUNCTION("""COMPUTED_VALUE"""),"Model S P85")</f>
        <v>Model S P85</v>
      </c>
      <c r="G259" s="258" t="str">
        <f>IFERROR(__xludf.DUMMYFUNCTION("""COMPUTED_VALUE"""),"Weekly")</f>
        <v>Weekly</v>
      </c>
      <c r="H259" s="258" t="str">
        <f>IFERROR(__xludf.DUMMYFUNCTION("""COMPUTED_VALUE"""),"A few times a year")</f>
        <v>A few times a year</v>
      </c>
      <c r="I259" s="258" t="str">
        <f>IFERROR(__xludf.DUMMYFUNCTION("""COMPUTED_VALUE"""),"A few times a year")</f>
        <v>A few times a year</v>
      </c>
      <c r="J259" s="260">
        <f>IFERROR(__xludf.DUMMYFUNCTION("""COMPUTED_VALUE"""),0.9)</f>
        <v>0.9</v>
      </c>
      <c r="K259" s="258" t="str">
        <f>IFERROR(__xludf.DUMMYFUNCTION("""COMPUTED_VALUE"""),"")</f>
        <v/>
      </c>
      <c r="L259" s="258" t="str">
        <f>IFERROR(__xludf.DUMMYFUNCTION("""COMPUTED_VALUE"""),"")</f>
        <v/>
      </c>
      <c r="M259" s="261">
        <f>IFERROR(__xludf.DUMMYFUNCTION("""COMPUTED_VALUE"""),261.0)</f>
        <v>261</v>
      </c>
      <c r="N259" s="262" t="str">
        <f>IFERROR(__xludf.DUMMYFUNCTION("""COMPUTED_VALUE"""),"")</f>
        <v/>
      </c>
      <c r="O259" s="259" t="str">
        <f>IFERROR(__xludf.DUMMYFUNCTION("""COMPUTED_VALUE"""),"")</f>
        <v/>
      </c>
      <c r="P259" s="259">
        <f>IFERROR(__xludf.DUMMYFUNCTION("""COMPUTED_VALUE"""),42397.0)</f>
        <v>42397</v>
      </c>
      <c r="Q259" s="258">
        <f>IFERROR(__xludf.DUMMYFUNCTION("""COMPUTED_VALUE"""),16133.0)</f>
        <v>16133</v>
      </c>
      <c r="R259" s="261">
        <f>IFERROR(__xludf.DUMMYFUNCTION("""COMPUTED_VALUE"""),391.0)</f>
        <v>391</v>
      </c>
      <c r="S259" s="258">
        <v>395.0</v>
      </c>
      <c r="T259" s="263">
        <v>0.9898734177215189</v>
      </c>
      <c r="U259" s="264">
        <v>10025.0</v>
      </c>
      <c r="V259" s="265">
        <v>16133.0</v>
      </c>
      <c r="W259" s="264">
        <v>10025.0</v>
      </c>
      <c r="X259" s="266" t="str">
        <f>IFERROR(__xludf.DUMMYFUNCTION("""COMPUTED_VALUE"""),"JBou")</f>
        <v>JBou</v>
      </c>
      <c r="Y259" s="267">
        <v>-0.01</v>
      </c>
      <c r="Z259" s="267">
        <v>0.9777535973416585</v>
      </c>
      <c r="AA259" s="269"/>
      <c r="AB259" s="270"/>
      <c r="AC259" s="270"/>
      <c r="AD259" s="270"/>
      <c r="AE259" s="270"/>
    </row>
    <row r="260">
      <c r="A260" s="256">
        <f>IFERROR(__xludf.DUMMYFUNCTION("""COMPUTED_VALUE"""),42713.47222222222)</f>
        <v>42713.47222</v>
      </c>
      <c r="B260" s="257" t="str">
        <f>IFERROR(__xludf.DUMMYFUNCTION("""COMPUTED_VALUE"""),"dekoene")</f>
        <v>dekoene</v>
      </c>
      <c r="C260" s="258" t="str">
        <f>IFERROR(__xludf.DUMMYFUNCTION("""COMPUTED_VALUE"""),"Europe (excluding UK) &amp; Asia Pacific")</f>
        <v>Europe (excluding UK) &amp; Asia Pacific</v>
      </c>
      <c r="D260" s="258" t="str">
        <f>IFERROR(__xludf.DUMMYFUNCTION("""COMPUTED_VALUE"""),"km. My car displays range in kilometres and I will enter all range numbers in kilometres.")</f>
        <v>km. My car displays range in kilometres and I will enter all range numbers in kilometres.</v>
      </c>
      <c r="E260" s="259">
        <f>IFERROR(__xludf.DUMMYFUNCTION("""COMPUTED_VALUE"""),42460.0)</f>
        <v>42460</v>
      </c>
      <c r="F260" s="258" t="str">
        <f>IFERROR(__xludf.DUMMYFUNCTION("""COMPUTED_VALUE"""),"Model S 70D")</f>
        <v>Model S 70D</v>
      </c>
      <c r="G260" s="258" t="str">
        <f>IFERROR(__xludf.DUMMYFUNCTION("""COMPUTED_VALUE"""),"A few times a year")</f>
        <v>A few times a year</v>
      </c>
      <c r="H260" s="258" t="str">
        <f>IFERROR(__xludf.DUMMYFUNCTION("""COMPUTED_VALUE"""),"A few times a year")</f>
        <v>A few times a year</v>
      </c>
      <c r="I260" s="258" t="str">
        <f>IFERROR(__xludf.DUMMYFUNCTION("""COMPUTED_VALUE"""),"Once or twice a year")</f>
        <v>Once or twice a year</v>
      </c>
      <c r="J260" s="260">
        <f>IFERROR(__xludf.DUMMYFUNCTION("""COMPUTED_VALUE"""),0.9)</f>
        <v>0.9</v>
      </c>
      <c r="K260" s="258">
        <f>IFERROR(__xludf.DUMMYFUNCTION("""COMPUTED_VALUE"""),361.0)</f>
        <v>361</v>
      </c>
      <c r="L260" s="258" t="str">
        <f>IFERROR(__xludf.DUMMYFUNCTION("""COMPUTED_VALUE"""),"")</f>
        <v/>
      </c>
      <c r="M260" s="261">
        <f>IFERROR(__xludf.DUMMYFUNCTION("""COMPUTED_VALUE"""),229.0)</f>
        <v>229</v>
      </c>
      <c r="N260" s="262" t="str">
        <f>IFERROR(__xludf.DUMMYFUNCTION("""COMPUTED_VALUE"""),"")</f>
        <v/>
      </c>
      <c r="O260" s="259" t="str">
        <f>IFERROR(__xludf.DUMMYFUNCTION("""COMPUTED_VALUE"""),"")</f>
        <v/>
      </c>
      <c r="P260" s="259">
        <f>IFERROR(__xludf.DUMMYFUNCTION("""COMPUTED_VALUE"""),42713.0)</f>
        <v>42713</v>
      </c>
      <c r="Q260" s="258">
        <f>IFERROR(__xludf.DUMMYFUNCTION("""COMPUTED_VALUE"""),17070.0)</f>
        <v>17070</v>
      </c>
      <c r="R260" s="261">
        <f>IFERROR(__xludf.DUMMYFUNCTION("""COMPUTED_VALUE"""),357.0)</f>
        <v>357</v>
      </c>
      <c r="S260" s="258">
        <v>360.0</v>
      </c>
      <c r="T260" s="263">
        <v>0.9916666666666667</v>
      </c>
      <c r="U260" s="264">
        <v>10607.0</v>
      </c>
      <c r="V260" s="265">
        <v>17070.0</v>
      </c>
      <c r="W260" s="264">
        <v>10607.0</v>
      </c>
      <c r="X260" s="266" t="str">
        <f>IFERROR(__xludf.DUMMYFUNCTION("""COMPUTED_VALUE"""),"JCar")</f>
        <v>JCar</v>
      </c>
      <c r="Y260" s="267">
        <v>-0.01</v>
      </c>
      <c r="Z260" s="267">
        <v>0.9769057472656146</v>
      </c>
      <c r="AA260" s="269"/>
      <c r="AB260" s="270"/>
      <c r="AC260" s="270"/>
      <c r="AD260" s="270"/>
      <c r="AE260" s="270"/>
    </row>
    <row r="261">
      <c r="A261" s="256">
        <f>IFERROR(__xludf.DUMMYFUNCTION("""COMPUTED_VALUE"""),42775.49861111111)</f>
        <v>42775.49861</v>
      </c>
      <c r="B261" s="257" t="str">
        <f>IFERROR(__xludf.DUMMYFUNCTION("""COMPUTED_VALUE"""),"dekoene")</f>
        <v>dekoene</v>
      </c>
      <c r="C261" s="258" t="str">
        <f>IFERROR(__xludf.DUMMYFUNCTION("""COMPUTED_VALUE"""),"Europe (excluding UK) &amp; Asia Pacific")</f>
        <v>Europe (excluding UK) &amp; Asia Pacific</v>
      </c>
      <c r="D261" s="258" t="str">
        <f>IFERROR(__xludf.DUMMYFUNCTION("""COMPUTED_VALUE"""),"km. My car displays range in kilometres and I will enter all range numbers in kilometres.")</f>
        <v>km. My car displays range in kilometres and I will enter all range numbers in kilometres.</v>
      </c>
      <c r="E261" s="259">
        <f>IFERROR(__xludf.DUMMYFUNCTION("""COMPUTED_VALUE"""),42460.0)</f>
        <v>42460</v>
      </c>
      <c r="F261" s="258" t="str">
        <f>IFERROR(__xludf.DUMMYFUNCTION("""COMPUTED_VALUE"""),"Model S 70D")</f>
        <v>Model S 70D</v>
      </c>
      <c r="G261" s="258" t="str">
        <f>IFERROR(__xludf.DUMMYFUNCTION("""COMPUTED_VALUE"""),"A few times a year")</f>
        <v>A few times a year</v>
      </c>
      <c r="H261" s="258" t="str">
        <f>IFERROR(__xludf.DUMMYFUNCTION("""COMPUTED_VALUE"""),"A few times a year")</f>
        <v>A few times a year</v>
      </c>
      <c r="I261" s="258" t="str">
        <f>IFERROR(__xludf.DUMMYFUNCTION("""COMPUTED_VALUE"""),"Once or twice a year")</f>
        <v>Once or twice a year</v>
      </c>
      <c r="J261" s="260">
        <f>IFERROR(__xludf.DUMMYFUNCTION("""COMPUTED_VALUE"""),0.9)</f>
        <v>0.9</v>
      </c>
      <c r="K261" s="258">
        <f>IFERROR(__xludf.DUMMYFUNCTION("""COMPUTED_VALUE"""),361.0)</f>
        <v>361</v>
      </c>
      <c r="L261" s="258" t="str">
        <f>IFERROR(__xludf.DUMMYFUNCTION("""COMPUTED_VALUE"""),"")</f>
        <v/>
      </c>
      <c r="M261" s="261">
        <f>IFERROR(__xludf.DUMMYFUNCTION("""COMPUTED_VALUE"""),232.0)</f>
        <v>232</v>
      </c>
      <c r="N261" s="262" t="str">
        <f>IFERROR(__xludf.DUMMYFUNCTION("""COMPUTED_VALUE"""),"")</f>
        <v/>
      </c>
      <c r="O261" s="259" t="str">
        <f>IFERROR(__xludf.DUMMYFUNCTION("""COMPUTED_VALUE"""),"")</f>
        <v/>
      </c>
      <c r="P261" s="259">
        <f>IFERROR(__xludf.DUMMYFUNCTION("""COMPUTED_VALUE"""),42775.0)</f>
        <v>42775</v>
      </c>
      <c r="Q261" s="258">
        <f>IFERROR(__xludf.DUMMYFUNCTION("""COMPUTED_VALUE"""),21000.0)</f>
        <v>21000</v>
      </c>
      <c r="R261" s="261">
        <f>IFERROR(__xludf.DUMMYFUNCTION("""COMPUTED_VALUE"""),358.0)</f>
        <v>358</v>
      </c>
      <c r="S261" s="258">
        <v>360.0</v>
      </c>
      <c r="T261" s="263">
        <v>0.9944444444444445</v>
      </c>
      <c r="U261" s="264">
        <v>13049.0</v>
      </c>
      <c r="V261" s="265">
        <v>21000.0</v>
      </c>
      <c r="W261" s="264">
        <v>13049.0</v>
      </c>
      <c r="X261" s="266" t="str">
        <f>IFERROR(__xludf.DUMMYFUNCTION("""COMPUTED_VALUE"""),"jcaspar")</f>
        <v>jcaspar</v>
      </c>
      <c r="Y261" s="267">
        <v>-0.01</v>
      </c>
      <c r="Z261" s="267">
        <v>0.9736945079285355</v>
      </c>
      <c r="AA261" s="269"/>
      <c r="AB261" s="270"/>
      <c r="AC261" s="270"/>
      <c r="AD261" s="270"/>
      <c r="AE261" s="270"/>
    </row>
    <row r="262">
      <c r="A262" s="256">
        <f>IFERROR(__xludf.DUMMYFUNCTION("""COMPUTED_VALUE"""),42867.53333333333)</f>
        <v>42867.53333</v>
      </c>
      <c r="B262" s="257" t="str">
        <f>IFERROR(__xludf.DUMMYFUNCTION("""COMPUTED_VALUE"""),"dekoene")</f>
        <v>dekoene</v>
      </c>
      <c r="C262" s="258" t="str">
        <f>IFERROR(__xludf.DUMMYFUNCTION("""COMPUTED_VALUE"""),"Europe (excluding UK) &amp; Asia Pacific")</f>
        <v>Europe (excluding UK) &amp; Asia Pacific</v>
      </c>
      <c r="D262" s="258" t="str">
        <f>IFERROR(__xludf.DUMMYFUNCTION("""COMPUTED_VALUE"""),"km. My car displays range in kilometres and I will enter all range numbers in kilometres.")</f>
        <v>km. My car displays range in kilometres and I will enter all range numbers in kilometres.</v>
      </c>
      <c r="E262" s="259">
        <f>IFERROR(__xludf.DUMMYFUNCTION("""COMPUTED_VALUE"""),42460.0)</f>
        <v>42460</v>
      </c>
      <c r="F262" s="258" t="str">
        <f>IFERROR(__xludf.DUMMYFUNCTION("""COMPUTED_VALUE"""),"Model S 70D")</f>
        <v>Model S 70D</v>
      </c>
      <c r="G262" s="258" t="str">
        <f>IFERROR(__xludf.DUMMYFUNCTION("""COMPUTED_VALUE"""),"A few times a year")</f>
        <v>A few times a year</v>
      </c>
      <c r="H262" s="258" t="str">
        <f>IFERROR(__xludf.DUMMYFUNCTION("""COMPUTED_VALUE"""),"A few times a year")</f>
        <v>A few times a year</v>
      </c>
      <c r="I262" s="258" t="str">
        <f>IFERROR(__xludf.DUMMYFUNCTION("""COMPUTED_VALUE"""),"Once or twice a year")</f>
        <v>Once or twice a year</v>
      </c>
      <c r="J262" s="260">
        <f>IFERROR(__xludf.DUMMYFUNCTION("""COMPUTED_VALUE"""),0.9)</f>
        <v>0.9</v>
      </c>
      <c r="K262" s="258">
        <f>IFERROR(__xludf.DUMMYFUNCTION("""COMPUTED_VALUE"""),361.0)</f>
        <v>361</v>
      </c>
      <c r="L262" s="258" t="str">
        <f>IFERROR(__xludf.DUMMYFUNCTION("""COMPUTED_VALUE"""),"")</f>
        <v/>
      </c>
      <c r="M262" s="261">
        <f>IFERROR(__xludf.DUMMYFUNCTION("""COMPUTED_VALUE"""),234.0)</f>
        <v>234</v>
      </c>
      <c r="N262" s="262" t="str">
        <f>IFERROR(__xludf.DUMMYFUNCTION("""COMPUTED_VALUE"""),"")</f>
        <v/>
      </c>
      <c r="O262" s="259" t="str">
        <f>IFERROR(__xludf.DUMMYFUNCTION("""COMPUTED_VALUE"""),"")</f>
        <v/>
      </c>
      <c r="P262" s="259">
        <f>IFERROR(__xludf.DUMMYFUNCTION("""COMPUTED_VALUE"""),42867.0)</f>
        <v>42867</v>
      </c>
      <c r="Q262" s="258">
        <f>IFERROR(__xludf.DUMMYFUNCTION("""COMPUTED_VALUE"""),27991.0)</f>
        <v>27991</v>
      </c>
      <c r="R262" s="261">
        <f>IFERROR(__xludf.DUMMYFUNCTION("""COMPUTED_VALUE"""),359.0)</f>
        <v>359</v>
      </c>
      <c r="S262" s="258">
        <v>360.0</v>
      </c>
      <c r="T262" s="263">
        <v>0.9972222222222222</v>
      </c>
      <c r="U262" s="264">
        <v>17393.0</v>
      </c>
      <c r="V262" s="265">
        <v>27991.0</v>
      </c>
      <c r="W262" s="264">
        <v>17393.0</v>
      </c>
      <c r="X262" s="266" t="str">
        <f>IFERROR(__xludf.DUMMYFUNCTION("""COMPUTED_VALUE"""),"JCK")</f>
        <v>JCK</v>
      </c>
      <c r="Y262" s="267">
        <v>-0.01</v>
      </c>
      <c r="Z262" s="267">
        <v>0.9690832750991591</v>
      </c>
      <c r="AA262" s="269"/>
      <c r="AB262" s="270"/>
      <c r="AC262" s="270"/>
      <c r="AD262" s="270"/>
      <c r="AE262" s="270"/>
    </row>
    <row r="263">
      <c r="A263" s="256">
        <f>IFERROR(__xludf.DUMMYFUNCTION("""COMPUTED_VALUE"""),42400.788194444445)</f>
        <v>42400.78819</v>
      </c>
      <c r="B263" s="257" t="str">
        <f>IFERROR(__xludf.DUMMYFUNCTION("""COMPUTED_VALUE"""),"DFibRL8r")</f>
        <v>DFibRL8r</v>
      </c>
      <c r="C263" s="258" t="str">
        <f>IFERROR(__xludf.DUMMYFUNCTION("""COMPUTED_VALUE"""),"USA")</f>
        <v>USA</v>
      </c>
      <c r="D263" s="258" t="str">
        <f>IFERROR(__xludf.DUMMYFUNCTION("""COMPUTED_VALUE"""),"mi. My car displays range in miles and I will enter all range numbers in miles.")</f>
        <v>mi. My car displays range in miles and I will enter all range numbers in miles.</v>
      </c>
      <c r="E263" s="259">
        <f>IFERROR(__xludf.DUMMYFUNCTION("""COMPUTED_VALUE"""),41309.0)</f>
        <v>41309</v>
      </c>
      <c r="F263" s="258" t="str">
        <f>IFERROR(__xludf.DUMMYFUNCTION("""COMPUTED_VALUE"""),"Model S 60")</f>
        <v>Model S 60</v>
      </c>
      <c r="G263" s="258" t="str">
        <f>IFERROR(__xludf.DUMMYFUNCTION("""COMPUTED_VALUE"""),"Monthly")</f>
        <v>Monthly</v>
      </c>
      <c r="H263" s="258" t="str">
        <f>IFERROR(__xludf.DUMMYFUNCTION("""COMPUTED_VALUE"""),"A few times a year")</f>
        <v>A few times a year</v>
      </c>
      <c r="I263" s="258" t="str">
        <f>IFERROR(__xludf.DUMMYFUNCTION("""COMPUTED_VALUE"""),"Once or twice a year")</f>
        <v>Once or twice a year</v>
      </c>
      <c r="J263" s="260">
        <f>IFERROR(__xludf.DUMMYFUNCTION("""COMPUTED_VALUE"""),0.8)</f>
        <v>0.8</v>
      </c>
      <c r="K263" s="258" t="str">
        <f>IFERROR(__xludf.DUMMYFUNCTION("""COMPUTED_VALUE"""),"")</f>
        <v/>
      </c>
      <c r="L263" s="258" t="str">
        <f>IFERROR(__xludf.DUMMYFUNCTION("""COMPUTED_VALUE"""),"")</f>
        <v/>
      </c>
      <c r="M263" s="261">
        <f>IFERROR(__xludf.DUMMYFUNCTION("""COMPUTED_VALUE"""),291.0)</f>
        <v>291</v>
      </c>
      <c r="N263" s="262" t="str">
        <f>IFERROR(__xludf.DUMMYFUNCTION("""COMPUTED_VALUE"""),"")</f>
        <v/>
      </c>
      <c r="O263" s="259" t="str">
        <f>IFERROR(__xludf.DUMMYFUNCTION("""COMPUTED_VALUE"""),"")</f>
        <v/>
      </c>
      <c r="P263" s="259">
        <f>IFERROR(__xludf.DUMMYFUNCTION("""COMPUTED_VALUE"""),42400.0)</f>
        <v>42400</v>
      </c>
      <c r="Q263" s="258">
        <f>IFERROR(__xludf.DUMMYFUNCTION("""COMPUTED_VALUE"""),67736.0)</f>
        <v>67736</v>
      </c>
      <c r="R263" s="261">
        <f>IFERROR(__xludf.DUMMYFUNCTION("""COMPUTED_VALUE"""),191.0)</f>
        <v>191</v>
      </c>
      <c r="S263" s="258">
        <v>207.0</v>
      </c>
      <c r="T263" s="263">
        <v>0.9227053140096618</v>
      </c>
      <c r="U263" s="264">
        <v>67736.0</v>
      </c>
      <c r="V263" s="265">
        <v>109011.0</v>
      </c>
      <c r="W263" s="264">
        <v>67736.0</v>
      </c>
      <c r="X263" s="266" t="str">
        <f>IFERROR(__xludf.DUMMYFUNCTION("""COMPUTED_VALUE"""),"jdw")</f>
        <v>jdw</v>
      </c>
      <c r="Y263" s="267">
        <v>-0.01</v>
      </c>
      <c r="Z263" s="267">
        <v>0.9444702567223546</v>
      </c>
      <c r="AA263" s="269"/>
      <c r="AB263" s="270"/>
      <c r="AC263" s="270"/>
      <c r="AD263" s="270"/>
      <c r="AE263" s="270"/>
    </row>
    <row r="264">
      <c r="A264" s="256">
        <f>IFERROR(__xludf.DUMMYFUNCTION("""COMPUTED_VALUE"""),42236.17083333334)</f>
        <v>42236.17083</v>
      </c>
      <c r="B264" s="257" t="str">
        <f>IFERROR(__xludf.DUMMYFUNCTION("""COMPUTED_VALUE"""),"dfranssen")</f>
        <v>dfranssen</v>
      </c>
      <c r="C264" s="258" t="str">
        <f>IFERROR(__xludf.DUMMYFUNCTION("""COMPUTED_VALUE"""),"Europe (excluding UK) &amp; Asia Pacific")</f>
        <v>Europe (excluding UK) &amp; Asia Pacific</v>
      </c>
      <c r="D264" s="258" t="str">
        <f>IFERROR(__xludf.DUMMYFUNCTION("""COMPUTED_VALUE"""),"km. My car displays range in kilometres and I will enter all range numbers in kilometres.")</f>
        <v>km. My car displays range in kilometres and I will enter all range numbers in kilometres.</v>
      </c>
      <c r="E264" s="259">
        <f>IFERROR(__xludf.DUMMYFUNCTION("""COMPUTED_VALUE"""),42174.0)</f>
        <v>42174</v>
      </c>
      <c r="F264" s="258" t="str">
        <f>IFERROR(__xludf.DUMMYFUNCTION("""COMPUTED_VALUE"""),"Model S 85D")</f>
        <v>Model S 85D</v>
      </c>
      <c r="G264" s="258" t="str">
        <f>IFERROR(__xludf.DUMMYFUNCTION("""COMPUTED_VALUE"""),"A few times a year")</f>
        <v>A few times a year</v>
      </c>
      <c r="H264" s="258" t="str">
        <f>IFERROR(__xludf.DUMMYFUNCTION("""COMPUTED_VALUE"""),"A few times a year")</f>
        <v>A few times a year</v>
      </c>
      <c r="I264" s="258" t="str">
        <f>IFERROR(__xludf.DUMMYFUNCTION("""COMPUTED_VALUE"""),"A few times a year")</f>
        <v>A few times a year</v>
      </c>
      <c r="J264" s="260">
        <f>IFERROR(__xludf.DUMMYFUNCTION("""COMPUTED_VALUE"""),0.9)</f>
        <v>0.9</v>
      </c>
      <c r="K264" s="258" t="str">
        <f>IFERROR(__xludf.DUMMYFUNCTION("""COMPUTED_VALUE"""),"")</f>
        <v/>
      </c>
      <c r="L264" s="258" t="str">
        <f>IFERROR(__xludf.DUMMYFUNCTION("""COMPUTED_VALUE"""),"")</f>
        <v/>
      </c>
      <c r="M264" s="261">
        <f>IFERROR(__xludf.DUMMYFUNCTION("""COMPUTED_VALUE"""),227.0)</f>
        <v>227</v>
      </c>
      <c r="N264" s="262" t="str">
        <f>IFERROR(__xludf.DUMMYFUNCTION("""COMPUTED_VALUE"""),"")</f>
        <v/>
      </c>
      <c r="O264" s="259" t="str">
        <f>IFERROR(__xludf.DUMMYFUNCTION("""COMPUTED_VALUE"""),"")</f>
        <v/>
      </c>
      <c r="P264" s="259">
        <f>IFERROR(__xludf.DUMMYFUNCTION("""COMPUTED_VALUE"""),42236.0)</f>
        <v>42236</v>
      </c>
      <c r="Q264" s="258">
        <f>IFERROR(__xludf.DUMMYFUNCTION("""COMPUTED_VALUE"""),4761.0)</f>
        <v>4761</v>
      </c>
      <c r="R264" s="261">
        <f>IFERROR(__xludf.DUMMYFUNCTION("""COMPUTED_VALUE"""),402.0)</f>
        <v>402</v>
      </c>
      <c r="S264" s="258">
        <v>425.0</v>
      </c>
      <c r="T264" s="263">
        <v>0.9458823529411765</v>
      </c>
      <c r="U264" s="264">
        <v>2958.0</v>
      </c>
      <c r="V264" s="265">
        <v>4761.0</v>
      </c>
      <c r="W264" s="264">
        <v>2958.0</v>
      </c>
      <c r="X264" s="266" t="str">
        <f>IFERROR(__xludf.DUMMYFUNCTION("""COMPUTED_VALUE"""),"Jean")</f>
        <v>Jean</v>
      </c>
      <c r="Y264" s="267">
        <v>-0.01</v>
      </c>
      <c r="Z264" s="267">
        <v>0.991541508486288</v>
      </c>
      <c r="AA264" s="269"/>
      <c r="AB264" s="270"/>
      <c r="AC264" s="270"/>
      <c r="AD264" s="270"/>
      <c r="AE264" s="270"/>
    </row>
    <row r="265">
      <c r="A265" s="256">
        <f>IFERROR(__xludf.DUMMYFUNCTION("""COMPUTED_VALUE"""),42272.18680555555)</f>
        <v>42272.18681</v>
      </c>
      <c r="B265" s="257" t="str">
        <f>IFERROR(__xludf.DUMMYFUNCTION("""COMPUTED_VALUE"""),"dfranssen")</f>
        <v>dfranssen</v>
      </c>
      <c r="C265" s="258" t="str">
        <f>IFERROR(__xludf.DUMMYFUNCTION("""COMPUTED_VALUE"""),"Europe (excluding UK) &amp; Asia Pacific")</f>
        <v>Europe (excluding UK) &amp; Asia Pacific</v>
      </c>
      <c r="D265" s="258" t="str">
        <f>IFERROR(__xludf.DUMMYFUNCTION("""COMPUTED_VALUE"""),"km. My car displays range in kilometres and I will enter all range numbers in kilometres.")</f>
        <v>km. My car displays range in kilometres and I will enter all range numbers in kilometres.</v>
      </c>
      <c r="E265" s="259">
        <f>IFERROR(__xludf.DUMMYFUNCTION("""COMPUTED_VALUE"""),42174.0)</f>
        <v>42174</v>
      </c>
      <c r="F265" s="258" t="str">
        <f>IFERROR(__xludf.DUMMYFUNCTION("""COMPUTED_VALUE"""),"Model S 85D")</f>
        <v>Model S 85D</v>
      </c>
      <c r="G265" s="258" t="str">
        <f>IFERROR(__xludf.DUMMYFUNCTION("""COMPUTED_VALUE"""),"A few times a year")</f>
        <v>A few times a year</v>
      </c>
      <c r="H265" s="258" t="str">
        <f>IFERROR(__xludf.DUMMYFUNCTION("""COMPUTED_VALUE"""),"A few times a year")</f>
        <v>A few times a year</v>
      </c>
      <c r="I265" s="258" t="str">
        <f>IFERROR(__xludf.DUMMYFUNCTION("""COMPUTED_VALUE"""),"Never")</f>
        <v>Never</v>
      </c>
      <c r="J265" s="260">
        <f>IFERROR(__xludf.DUMMYFUNCTION("""COMPUTED_VALUE"""),0.9)</f>
        <v>0.9</v>
      </c>
      <c r="K265" s="258" t="str">
        <f>IFERROR(__xludf.DUMMYFUNCTION("""COMPUTED_VALUE"""),"")</f>
        <v/>
      </c>
      <c r="L265" s="258" t="str">
        <f>IFERROR(__xludf.DUMMYFUNCTION("""COMPUTED_VALUE"""),"")</f>
        <v/>
      </c>
      <c r="M265" s="261">
        <f>IFERROR(__xludf.DUMMYFUNCTION("""COMPUTED_VALUE"""),224.0)</f>
        <v>224</v>
      </c>
      <c r="N265" s="262" t="str">
        <f>IFERROR(__xludf.DUMMYFUNCTION("""COMPUTED_VALUE"""),"")</f>
        <v/>
      </c>
      <c r="O265" s="259" t="str">
        <f>IFERROR(__xludf.DUMMYFUNCTION("""COMPUTED_VALUE"""),"")</f>
        <v/>
      </c>
      <c r="P265" s="259">
        <f>IFERROR(__xludf.DUMMYFUNCTION("""COMPUTED_VALUE"""),42272.0)</f>
        <v>42272</v>
      </c>
      <c r="Q265" s="258">
        <f>IFERROR(__xludf.DUMMYFUNCTION("""COMPUTED_VALUE"""),8414.0)</f>
        <v>8414</v>
      </c>
      <c r="R265" s="261">
        <f>IFERROR(__xludf.DUMMYFUNCTION("""COMPUTED_VALUE"""),401.0)</f>
        <v>401</v>
      </c>
      <c r="S265" s="258">
        <v>425.0</v>
      </c>
      <c r="T265" s="263">
        <v>0.9435294117647058</v>
      </c>
      <c r="U265" s="264">
        <v>5228.0</v>
      </c>
      <c r="V265" s="265">
        <v>8414.0</v>
      </c>
      <c r="W265" s="264">
        <v>5228.0</v>
      </c>
      <c r="X265" s="266" t="str">
        <f>IFERROR(__xludf.DUMMYFUNCTION("""COMPUTED_VALUE"""),"jedi2b")</f>
        <v>jedi2b</v>
      </c>
      <c r="Y265" s="267">
        <v>-0.01</v>
      </c>
      <c r="Z265" s="267">
        <v>0.9862826736575813</v>
      </c>
      <c r="AA265" s="269"/>
      <c r="AB265" s="270"/>
      <c r="AC265" s="270"/>
      <c r="AD265" s="270"/>
      <c r="AE265" s="270"/>
    </row>
    <row r="266">
      <c r="A266" s="256">
        <f>IFERROR(__xludf.DUMMYFUNCTION("""COMPUTED_VALUE"""),43012.89722222222)</f>
        <v>43012.89722</v>
      </c>
      <c r="B266" s="257" t="str">
        <f>IFERROR(__xludf.DUMMYFUNCTION("""COMPUTED_VALUE"""),"DH12345")</f>
        <v>DH12345</v>
      </c>
      <c r="C266" s="258" t="str">
        <f>IFERROR(__xludf.DUMMYFUNCTION("""COMPUTED_VALUE"""),"UK")</f>
        <v>UK</v>
      </c>
      <c r="D266" s="258" t="str">
        <f>IFERROR(__xludf.DUMMYFUNCTION("""COMPUTED_VALUE"""),"mi. My car displays range in miles and I will enter all range numbers in miles.")</f>
        <v>mi. My car displays range in miles and I will enter all range numbers in miles.</v>
      </c>
      <c r="E266" s="259">
        <f>IFERROR(__xludf.DUMMYFUNCTION("""COMPUTED_VALUE"""),42064.0)</f>
        <v>42064</v>
      </c>
      <c r="F266" s="258" t="str">
        <f>IFERROR(__xludf.DUMMYFUNCTION("""COMPUTED_VALUE"""),"Model S 85")</f>
        <v>Model S 85</v>
      </c>
      <c r="G266" s="258" t="str">
        <f>IFERROR(__xludf.DUMMYFUNCTION("""COMPUTED_VALUE"""),"Monthly")</f>
        <v>Monthly</v>
      </c>
      <c r="H266" s="258" t="str">
        <f>IFERROR(__xludf.DUMMYFUNCTION("""COMPUTED_VALUE"""),"Monthly")</f>
        <v>Monthly</v>
      </c>
      <c r="I266" s="258" t="str">
        <f>IFERROR(__xludf.DUMMYFUNCTION("""COMPUTED_VALUE"""),"Once or twice a year")</f>
        <v>Once or twice a year</v>
      </c>
      <c r="J266" s="260">
        <f>IFERROR(__xludf.DUMMYFUNCTION("""COMPUTED_VALUE"""),0.8)</f>
        <v>0.8</v>
      </c>
      <c r="K266" s="258">
        <f>IFERROR(__xludf.DUMMYFUNCTION("""COMPUTED_VALUE"""),245.0)</f>
        <v>245</v>
      </c>
      <c r="L266" s="258" t="str">
        <f>IFERROR(__xludf.DUMMYFUNCTION("""COMPUTED_VALUE"""),"")</f>
        <v/>
      </c>
      <c r="M266" s="261">
        <f>IFERROR(__xludf.DUMMYFUNCTION("""COMPUTED_VALUE"""),355.0)</f>
        <v>355</v>
      </c>
      <c r="N266" s="262" t="str">
        <f>IFERROR(__xludf.DUMMYFUNCTION("""COMPUTED_VALUE"""),"")</f>
        <v/>
      </c>
      <c r="O266" s="259" t="str">
        <f>IFERROR(__xludf.DUMMYFUNCTION("""COMPUTED_VALUE"""),"")</f>
        <v/>
      </c>
      <c r="P266" s="259">
        <f>IFERROR(__xludf.DUMMYFUNCTION("""COMPUTED_VALUE"""),43012.0)</f>
        <v>43012</v>
      </c>
      <c r="Q266" s="258">
        <f>IFERROR(__xludf.DUMMYFUNCTION("""COMPUTED_VALUE"""),58633.0)</f>
        <v>58633</v>
      </c>
      <c r="R266" s="261">
        <f>IFERROR(__xludf.DUMMYFUNCTION("""COMPUTED_VALUE"""),241.0)</f>
        <v>241</v>
      </c>
      <c r="S266" s="258">
        <v>245.0</v>
      </c>
      <c r="T266" s="263">
        <v>0.9836734693877551</v>
      </c>
      <c r="U266" s="264">
        <v>58633.0</v>
      </c>
      <c r="V266" s="265">
        <v>94361.0</v>
      </c>
      <c r="W266" s="264">
        <v>58633.0</v>
      </c>
      <c r="X266" s="266" t="str">
        <f>IFERROR(__xludf.DUMMYFUNCTION("""COMPUTED_VALUE"""),"jelloslug")</f>
        <v>jelloslug</v>
      </c>
      <c r="Y266" s="267">
        <v>-0.01</v>
      </c>
      <c r="Z266" s="267">
        <v>0.9479215576202518</v>
      </c>
      <c r="AA266" s="269"/>
      <c r="AB266" s="270"/>
      <c r="AC266" s="270"/>
      <c r="AD266" s="270"/>
      <c r="AE266" s="270"/>
    </row>
    <row r="267">
      <c r="A267" s="256">
        <f>IFERROR(__xludf.DUMMYFUNCTION("""COMPUTED_VALUE"""),43202.72013888889)</f>
        <v>43202.72014</v>
      </c>
      <c r="B267" s="257" t="str">
        <f>IFERROR(__xludf.DUMMYFUNCTION("""COMPUTED_VALUE"""),"DidierDozer")</f>
        <v>DidierDozer</v>
      </c>
      <c r="C267" s="258" t="str">
        <f>IFERROR(__xludf.DUMMYFUNCTION("""COMPUTED_VALUE"""),"Europe (excluding UK) &amp; Asia Pacific")</f>
        <v>Europe (excluding UK) &amp; Asia Pacific</v>
      </c>
      <c r="D267" s="258" t="str">
        <f>IFERROR(__xludf.DUMMYFUNCTION("""COMPUTED_VALUE"""),"km. My car displays range in kilometres and I will enter all range numbers in kilometres.")</f>
        <v>km. My car displays range in kilometres and I will enter all range numbers in kilometres.</v>
      </c>
      <c r="E267" s="259">
        <f>IFERROR(__xludf.DUMMYFUNCTION("""COMPUTED_VALUE"""),42957.0)</f>
        <v>42957</v>
      </c>
      <c r="F267" s="258" t="str">
        <f>IFERROR(__xludf.DUMMYFUNCTION("""COMPUTED_VALUE"""),"Model S 75D")</f>
        <v>Model S 75D</v>
      </c>
      <c r="G267" s="258" t="str">
        <f>IFERROR(__xludf.DUMMYFUNCTION("""COMPUTED_VALUE"""),"A few times a year")</f>
        <v>A few times a year</v>
      </c>
      <c r="H267" s="258" t="str">
        <f>IFERROR(__xludf.DUMMYFUNCTION("""COMPUTED_VALUE"""),"Twice a month")</f>
        <v>Twice a month</v>
      </c>
      <c r="I267" s="258" t="str">
        <f>IFERROR(__xludf.DUMMYFUNCTION("""COMPUTED_VALUE"""),"Never")</f>
        <v>Never</v>
      </c>
      <c r="J267" s="260">
        <f>IFERROR(__xludf.DUMMYFUNCTION("""COMPUTED_VALUE"""),0.8)</f>
        <v>0.8</v>
      </c>
      <c r="K267" s="258">
        <f>IFERROR(__xludf.DUMMYFUNCTION("""COMPUTED_VALUE"""),397.0)</f>
        <v>397</v>
      </c>
      <c r="L267" s="258" t="str">
        <f>IFERROR(__xludf.DUMMYFUNCTION("""COMPUTED_VALUE"""),"")</f>
        <v/>
      </c>
      <c r="M267" s="261">
        <f>IFERROR(__xludf.DUMMYFUNCTION("""COMPUTED_VALUE"""),215.0)</f>
        <v>215</v>
      </c>
      <c r="N267" s="262" t="str">
        <f>IFERROR(__xludf.DUMMYFUNCTION("""COMPUTED_VALUE"""),"")</f>
        <v/>
      </c>
      <c r="O267" s="259" t="str">
        <f>IFERROR(__xludf.DUMMYFUNCTION("""COMPUTED_VALUE"""),"")</f>
        <v/>
      </c>
      <c r="P267" s="259">
        <f>IFERROR(__xludf.DUMMYFUNCTION("""COMPUTED_VALUE"""),43202.0)</f>
        <v>43202</v>
      </c>
      <c r="Q267" s="258">
        <f>IFERROR(__xludf.DUMMYFUNCTION("""COMPUTED_VALUE"""),9604.0)</f>
        <v>9604</v>
      </c>
      <c r="R267" s="261">
        <f>IFERROR(__xludf.DUMMYFUNCTION("""COMPUTED_VALUE"""),393.0)</f>
        <v>393</v>
      </c>
      <c r="S267" s="258">
        <v>384.0</v>
      </c>
      <c r="T267" s="263">
        <v>1.0234375</v>
      </c>
      <c r="U267" s="264">
        <v>5968.0</v>
      </c>
      <c r="V267" s="265">
        <v>9604.0</v>
      </c>
      <c r="W267" s="264">
        <v>5968.0</v>
      </c>
      <c r="X267" s="266" t="str">
        <f>IFERROR(__xludf.DUMMYFUNCTION("""COMPUTED_VALUE"""),"jepicken")</f>
        <v>jepicken</v>
      </c>
      <c r="Y267" s="267">
        <v>-0.01</v>
      </c>
      <c r="Z267" s="267">
        <v>0.9847605829182197</v>
      </c>
      <c r="AA267" s="269"/>
      <c r="AB267" s="270"/>
      <c r="AC267" s="270"/>
      <c r="AD267" s="270"/>
      <c r="AE267" s="270"/>
    </row>
    <row r="268">
      <c r="A268" s="256">
        <f>IFERROR(__xludf.DUMMYFUNCTION("""COMPUTED_VALUE"""),42627.402083333334)</f>
        <v>42627.40208</v>
      </c>
      <c r="B268" s="257" t="str">
        <f>IFERROR(__xludf.DUMMYFUNCTION("""COMPUTED_VALUE"""),"diegop")</f>
        <v>diegop</v>
      </c>
      <c r="C268" s="258" t="str">
        <f>IFERROR(__xludf.DUMMYFUNCTION("""COMPUTED_VALUE"""),"Europe (excluding UK) &amp; Asia Pacific")</f>
        <v>Europe (excluding UK) &amp; Asia Pacific</v>
      </c>
      <c r="D268" s="258" t="str">
        <f>IFERROR(__xludf.DUMMYFUNCTION("""COMPUTED_VALUE"""),"km. My car displays range in kilometres and I will enter all range numbers in kilometres.")</f>
        <v>km. My car displays range in kilometres and I will enter all range numbers in kilometres.</v>
      </c>
      <c r="E268" s="259">
        <f>IFERROR(__xludf.DUMMYFUNCTION("""COMPUTED_VALUE"""),42323.0)</f>
        <v>42323</v>
      </c>
      <c r="F268" s="258" t="str">
        <f>IFERROR(__xludf.DUMMYFUNCTION("""COMPUTED_VALUE"""),"Model S 90")</f>
        <v>Model S 90</v>
      </c>
      <c r="G268" s="258" t="str">
        <f>IFERROR(__xludf.DUMMYFUNCTION("""COMPUTED_VALUE"""),"A few times a year")</f>
        <v>A few times a year</v>
      </c>
      <c r="H268" s="258" t="str">
        <f>IFERROR(__xludf.DUMMYFUNCTION("""COMPUTED_VALUE"""),"A few times a year")</f>
        <v>A few times a year</v>
      </c>
      <c r="I268" s="258" t="str">
        <f>IFERROR(__xludf.DUMMYFUNCTION("""COMPUTED_VALUE"""),"A few times a year")</f>
        <v>A few times a year</v>
      </c>
      <c r="J268" s="260">
        <f>IFERROR(__xludf.DUMMYFUNCTION("""COMPUTED_VALUE"""),0.8)</f>
        <v>0.8</v>
      </c>
      <c r="K268" s="258">
        <f>IFERROR(__xludf.DUMMYFUNCTION("""COMPUTED_VALUE"""),420.0)</f>
        <v>420</v>
      </c>
      <c r="L268" s="258" t="str">
        <f>IFERROR(__xludf.DUMMYFUNCTION("""COMPUTED_VALUE"""),"")</f>
        <v/>
      </c>
      <c r="M268" s="261">
        <f>IFERROR(__xludf.DUMMYFUNCTION("""COMPUTED_VALUE"""),204.0)</f>
        <v>204</v>
      </c>
      <c r="N268" s="262" t="str">
        <f>IFERROR(__xludf.DUMMYFUNCTION("""COMPUTED_VALUE"""),"")</f>
        <v/>
      </c>
      <c r="O268" s="259" t="str">
        <f>IFERROR(__xludf.DUMMYFUNCTION("""COMPUTED_VALUE"""),"")</f>
        <v/>
      </c>
      <c r="P268" s="259">
        <f>IFERROR(__xludf.DUMMYFUNCTION("""COMPUTED_VALUE"""),42627.0)</f>
        <v>42627</v>
      </c>
      <c r="Q268" s="258">
        <f>IFERROR(__xludf.DUMMYFUNCTION("""COMPUTED_VALUE"""),16667.0)</f>
        <v>16667</v>
      </c>
      <c r="R268" s="261">
        <f>IFERROR(__xludf.DUMMYFUNCTION("""COMPUTED_VALUE"""),410.0)</f>
        <v>410</v>
      </c>
      <c r="S268" s="258">
        <v>420.0</v>
      </c>
      <c r="T268" s="263">
        <v>0.9761904761904762</v>
      </c>
      <c r="U268" s="264">
        <v>10356.0</v>
      </c>
      <c r="V268" s="265">
        <v>16667.0</v>
      </c>
      <c r="W268" s="264">
        <v>10356.0</v>
      </c>
      <c r="X268" s="266" t="str">
        <f>IFERROR(__xludf.DUMMYFUNCTION("""COMPUTED_VALUE"""),"jgallops")</f>
        <v>jgallops</v>
      </c>
      <c r="Y268" s="267">
        <v>-0.01</v>
      </c>
      <c r="Z268" s="267">
        <v>0.9772661920792783</v>
      </c>
      <c r="AA268" s="269"/>
      <c r="AB268" s="270"/>
      <c r="AC268" s="270"/>
      <c r="AD268" s="270"/>
      <c r="AE268" s="270"/>
    </row>
    <row r="269">
      <c r="A269" s="256">
        <f>IFERROR(__xludf.DUMMYFUNCTION("""COMPUTED_VALUE"""),42298.76944444445)</f>
        <v>42298.76944</v>
      </c>
      <c r="B269" s="257" t="str">
        <f>IFERROR(__xludf.DUMMYFUNCTION("""COMPUTED_VALUE"""),"dieselol")</f>
        <v>dieselol</v>
      </c>
      <c r="C269" s="258" t="str">
        <f>IFERROR(__xludf.DUMMYFUNCTION("""COMPUTED_VALUE"""),"USA")</f>
        <v>USA</v>
      </c>
      <c r="D269" s="258" t="str">
        <f>IFERROR(__xludf.DUMMYFUNCTION("""COMPUTED_VALUE"""),"mi. My car displays range in miles and I will enter all range numbers in miles.")</f>
        <v>mi. My car displays range in miles and I will enter all range numbers in miles.</v>
      </c>
      <c r="E269" s="259">
        <f>IFERROR(__xludf.DUMMYFUNCTION("""COMPUTED_VALUE"""),41477.0)</f>
        <v>41477</v>
      </c>
      <c r="F269" s="258" t="str">
        <f>IFERROR(__xludf.DUMMYFUNCTION("""COMPUTED_VALUE"""),"Model S P85+")</f>
        <v>Model S P85+</v>
      </c>
      <c r="G269" s="258" t="str">
        <f>IFERROR(__xludf.DUMMYFUNCTION("""COMPUTED_VALUE"""),"")</f>
        <v/>
      </c>
      <c r="H269" s="258" t="str">
        <f>IFERROR(__xludf.DUMMYFUNCTION("""COMPUTED_VALUE"""),"")</f>
        <v/>
      </c>
      <c r="I269" s="258" t="str">
        <f>IFERROR(__xludf.DUMMYFUNCTION("""COMPUTED_VALUE"""),"")</f>
        <v/>
      </c>
      <c r="J269" s="260" t="str">
        <f>IFERROR(__xludf.DUMMYFUNCTION("""COMPUTED_VALUE"""),"")</f>
        <v/>
      </c>
      <c r="K269" s="258" t="str">
        <f>IFERROR(__xludf.DUMMYFUNCTION("""COMPUTED_VALUE"""),"")</f>
        <v/>
      </c>
      <c r="L269" s="258" t="str">
        <f>IFERROR(__xludf.DUMMYFUNCTION("""COMPUTED_VALUE"""),"")</f>
        <v/>
      </c>
      <c r="M269" s="261">
        <f>IFERROR(__xludf.DUMMYFUNCTION("""COMPUTED_VALUE"""),332.0)</f>
        <v>332</v>
      </c>
      <c r="N269" s="262" t="str">
        <f>IFERROR(__xludf.DUMMYFUNCTION("""COMPUTED_VALUE"""),"")</f>
        <v/>
      </c>
      <c r="O269" s="259" t="str">
        <f>IFERROR(__xludf.DUMMYFUNCTION("""COMPUTED_VALUE"""),"")</f>
        <v/>
      </c>
      <c r="P269" s="259">
        <f>IFERROR(__xludf.DUMMYFUNCTION("""COMPUTED_VALUE"""),42298.0)</f>
        <v>42298</v>
      </c>
      <c r="Q269" s="258">
        <f>IFERROR(__xludf.DUMMYFUNCTION("""COMPUTED_VALUE"""),43337.0)</f>
        <v>43337</v>
      </c>
      <c r="R269" s="261">
        <f>IFERROR(__xludf.DUMMYFUNCTION("""COMPUTED_VALUE"""),250.0)</f>
        <v>250</v>
      </c>
      <c r="S269" s="258">
        <v>266.0</v>
      </c>
      <c r="T269" s="263">
        <v>0.9398496240601504</v>
      </c>
      <c r="U269" s="264">
        <v>43337.0</v>
      </c>
      <c r="V269" s="265">
        <v>69744.0</v>
      </c>
      <c r="W269" s="264">
        <v>43337.0</v>
      </c>
      <c r="X269" s="266" t="str">
        <f>IFERROR(__xludf.DUMMYFUNCTION("""COMPUTED_VALUE"""),"JHO")</f>
        <v>JHO</v>
      </c>
      <c r="Y269" s="267">
        <v>-0.01</v>
      </c>
      <c r="Z269" s="267">
        <v>0.9540010131541224</v>
      </c>
      <c r="AA269" s="269"/>
      <c r="AB269" s="270"/>
      <c r="AC269" s="270"/>
      <c r="AD269" s="270"/>
      <c r="AE269" s="270"/>
    </row>
    <row r="270">
      <c r="A270" s="256">
        <f>IFERROR(__xludf.DUMMYFUNCTION("""COMPUTED_VALUE"""),42019.05)</f>
        <v>42019.05</v>
      </c>
      <c r="B270" s="257" t="str">
        <f>IFERROR(__xludf.DUMMYFUNCTION("""COMPUTED_VALUE"""),"Dimivdb")</f>
        <v>Dimivdb</v>
      </c>
      <c r="C270" s="258" t="str">
        <f>IFERROR(__xludf.DUMMYFUNCTION("""COMPUTED_VALUE"""),"Europe (excluding UK) &amp; Asia Pacific")</f>
        <v>Europe (excluding UK) &amp; Asia Pacific</v>
      </c>
      <c r="D270" s="258" t="str">
        <f>IFERROR(__xludf.DUMMYFUNCTION("""COMPUTED_VALUE"""),"km. My car displays range in kilometres and I will enter all range numbers in kilometres.")</f>
        <v>km. My car displays range in kilometres and I will enter all range numbers in kilometres.</v>
      </c>
      <c r="E270" s="259">
        <f>IFERROR(__xludf.DUMMYFUNCTION("""COMPUTED_VALUE"""),42003.0)</f>
        <v>42003</v>
      </c>
      <c r="F270" s="258" t="str">
        <f>IFERROR(__xludf.DUMMYFUNCTION("""COMPUTED_VALUE"""),"Model S 85")</f>
        <v>Model S 85</v>
      </c>
      <c r="G270" s="258" t="str">
        <f>IFERROR(__xludf.DUMMYFUNCTION("""COMPUTED_VALUE"""),"Weekly")</f>
        <v>Weekly</v>
      </c>
      <c r="H270" s="258" t="str">
        <f>IFERROR(__xludf.DUMMYFUNCTION("""COMPUTED_VALUE"""),"Monthly")</f>
        <v>Monthly</v>
      </c>
      <c r="I270" s="258" t="str">
        <f>IFERROR(__xludf.DUMMYFUNCTION("""COMPUTED_VALUE"""),"Never")</f>
        <v>Never</v>
      </c>
      <c r="J270" s="260" t="str">
        <f>IFERROR(__xludf.DUMMYFUNCTION("""COMPUTED_VALUE"""),"")</f>
        <v/>
      </c>
      <c r="K270" s="258" t="str">
        <f>IFERROR(__xludf.DUMMYFUNCTION("""COMPUTED_VALUE"""),"")</f>
        <v/>
      </c>
      <c r="L270" s="258" t="str">
        <f>IFERROR(__xludf.DUMMYFUNCTION("""COMPUTED_VALUE"""),"")</f>
        <v/>
      </c>
      <c r="M270" s="261">
        <f>IFERROR(__xludf.DUMMYFUNCTION("""COMPUTED_VALUE"""),278.0)</f>
        <v>278</v>
      </c>
      <c r="N270" s="262" t="str">
        <f>IFERROR(__xludf.DUMMYFUNCTION("""COMPUTED_VALUE"""),"")</f>
        <v/>
      </c>
      <c r="O270" s="259" t="str">
        <f>IFERROR(__xludf.DUMMYFUNCTION("""COMPUTED_VALUE"""),"")</f>
        <v/>
      </c>
      <c r="P270" s="259">
        <f>IFERROR(__xludf.DUMMYFUNCTION("""COMPUTED_VALUE"""),42019.0)</f>
        <v>42019</v>
      </c>
      <c r="Q270" s="258">
        <f>IFERROR(__xludf.DUMMYFUNCTION("""COMPUTED_VALUE"""),980.0)</f>
        <v>980</v>
      </c>
      <c r="R270" s="261">
        <f>IFERROR(__xludf.DUMMYFUNCTION("""COMPUTED_VALUE"""),394.0)</f>
        <v>394</v>
      </c>
      <c r="S270" s="258">
        <v>395.0</v>
      </c>
      <c r="T270" s="263">
        <v>0.9974683544303797</v>
      </c>
      <c r="U270" s="264">
        <v>609.0</v>
      </c>
      <c r="V270" s="265">
        <v>980.0</v>
      </c>
      <c r="W270" s="264">
        <v>609.0</v>
      </c>
      <c r="X270" s="266" t="str">
        <f>IFERROR(__xludf.DUMMYFUNCTION("""COMPUTED_VALUE"""),"JimmyJam")</f>
        <v>JimmyJam</v>
      </c>
      <c r="Y270" s="267">
        <v>-0.01</v>
      </c>
      <c r="Z270" s="267">
        <v>0.9980880501924829</v>
      </c>
      <c r="AA270" s="269"/>
      <c r="AB270" s="270"/>
      <c r="AC270" s="270"/>
      <c r="AD270" s="270"/>
      <c r="AE270" s="270"/>
    </row>
    <row r="271">
      <c r="A271" s="256">
        <f>IFERROR(__xludf.DUMMYFUNCTION("""COMPUTED_VALUE"""),42076.08333333333)</f>
        <v>42076.08333</v>
      </c>
      <c r="B271" s="257" t="str">
        <f>IFERROR(__xludf.DUMMYFUNCTION("""COMPUTED_VALUE"""),"Dimivdb")</f>
        <v>Dimivdb</v>
      </c>
      <c r="C271" s="258" t="str">
        <f>IFERROR(__xludf.DUMMYFUNCTION("""COMPUTED_VALUE"""),"Europe (excluding UK) &amp; Asia Pacific")</f>
        <v>Europe (excluding UK) &amp; Asia Pacific</v>
      </c>
      <c r="D271" s="258" t="str">
        <f>IFERROR(__xludf.DUMMYFUNCTION("""COMPUTED_VALUE"""),"km. My car displays range in kilometres and I will enter all range numbers in kilometres.")</f>
        <v>km. My car displays range in kilometres and I will enter all range numbers in kilometres.</v>
      </c>
      <c r="E271" s="259">
        <f>IFERROR(__xludf.DUMMYFUNCTION("""COMPUTED_VALUE"""),42003.0)</f>
        <v>42003</v>
      </c>
      <c r="F271" s="258" t="str">
        <f>IFERROR(__xludf.DUMMYFUNCTION("""COMPUTED_VALUE"""),"Model S 85")</f>
        <v>Model S 85</v>
      </c>
      <c r="G271" s="258" t="str">
        <f>IFERROR(__xludf.DUMMYFUNCTION("""COMPUTED_VALUE"""),"Weekly")</f>
        <v>Weekly</v>
      </c>
      <c r="H271" s="258" t="str">
        <f>IFERROR(__xludf.DUMMYFUNCTION("""COMPUTED_VALUE"""),"Monthly")</f>
        <v>Monthly</v>
      </c>
      <c r="I271" s="258" t="str">
        <f>IFERROR(__xludf.DUMMYFUNCTION("""COMPUTED_VALUE"""),"Never")</f>
        <v>Never</v>
      </c>
      <c r="J271" s="260" t="str">
        <f>IFERROR(__xludf.DUMMYFUNCTION("""COMPUTED_VALUE"""),"")</f>
        <v/>
      </c>
      <c r="K271" s="258" t="str">
        <f>IFERROR(__xludf.DUMMYFUNCTION("""COMPUTED_VALUE"""),"")</f>
        <v/>
      </c>
      <c r="L271" s="258" t="str">
        <f>IFERROR(__xludf.DUMMYFUNCTION("""COMPUTED_VALUE"""),"")</f>
        <v/>
      </c>
      <c r="M271" s="261">
        <f>IFERROR(__xludf.DUMMYFUNCTION("""COMPUTED_VALUE"""),256.0)</f>
        <v>256</v>
      </c>
      <c r="N271" s="262" t="str">
        <f>IFERROR(__xludf.DUMMYFUNCTION("""COMPUTED_VALUE"""),"")</f>
        <v/>
      </c>
      <c r="O271" s="259" t="str">
        <f>IFERROR(__xludf.DUMMYFUNCTION("""COMPUTED_VALUE"""),"")</f>
        <v/>
      </c>
      <c r="P271" s="259">
        <f>IFERROR(__xludf.DUMMYFUNCTION("""COMPUTED_VALUE"""),42076.0)</f>
        <v>42076</v>
      </c>
      <c r="Q271" s="258">
        <f>IFERROR(__xludf.DUMMYFUNCTION("""COMPUTED_VALUE"""),4400.0)</f>
        <v>4400</v>
      </c>
      <c r="R271" s="261">
        <f>IFERROR(__xludf.DUMMYFUNCTION("""COMPUTED_VALUE"""),394.0)</f>
        <v>394</v>
      </c>
      <c r="S271" s="258">
        <v>395.0</v>
      </c>
      <c r="T271" s="263">
        <v>0.9974683544303797</v>
      </c>
      <c r="U271" s="264">
        <v>2734.0</v>
      </c>
      <c r="V271" s="265">
        <v>4400.0</v>
      </c>
      <c r="W271" s="264">
        <v>2734.0</v>
      </c>
      <c r="X271" s="266" t="str">
        <f>IFERROR(__xludf.DUMMYFUNCTION("""COMPUTED_VALUE"""),"jja")</f>
        <v>jja</v>
      </c>
      <c r="Y271" s="267">
        <v>-0.01</v>
      </c>
      <c r="Z271" s="267">
        <v>0.9921143055452037</v>
      </c>
      <c r="AA271" s="269"/>
      <c r="AB271" s="270"/>
      <c r="AC271" s="270"/>
      <c r="AD271" s="270"/>
      <c r="AE271" s="270"/>
    </row>
    <row r="272">
      <c r="A272" s="256">
        <f>IFERROR(__xludf.DUMMYFUNCTION("""COMPUTED_VALUE"""),42227.15347222222)</f>
        <v>42227.15347</v>
      </c>
      <c r="B272" s="257" t="str">
        <f>IFERROR(__xludf.DUMMYFUNCTION("""COMPUTED_VALUE"""),"Dimivdb")</f>
        <v>Dimivdb</v>
      </c>
      <c r="C272" s="258" t="str">
        <f>IFERROR(__xludf.DUMMYFUNCTION("""COMPUTED_VALUE"""),"Europe (excluding UK) &amp; Asia Pacific")</f>
        <v>Europe (excluding UK) &amp; Asia Pacific</v>
      </c>
      <c r="D272" s="258" t="str">
        <f>IFERROR(__xludf.DUMMYFUNCTION("""COMPUTED_VALUE"""),"km. My car displays range in kilometres and I will enter all range numbers in kilometres.")</f>
        <v>km. My car displays range in kilometres and I will enter all range numbers in kilometres.</v>
      </c>
      <c r="E272" s="259">
        <f>IFERROR(__xludf.DUMMYFUNCTION("""COMPUTED_VALUE"""),42003.0)</f>
        <v>42003</v>
      </c>
      <c r="F272" s="258" t="str">
        <f>IFERROR(__xludf.DUMMYFUNCTION("""COMPUTED_VALUE"""),"Model S 85")</f>
        <v>Model S 85</v>
      </c>
      <c r="G272" s="258" t="str">
        <f>IFERROR(__xludf.DUMMYFUNCTION("""COMPUTED_VALUE"""),"Weekly")</f>
        <v>Weekly</v>
      </c>
      <c r="H272" s="258" t="str">
        <f>IFERROR(__xludf.DUMMYFUNCTION("""COMPUTED_VALUE"""),"A few times a year")</f>
        <v>A few times a year</v>
      </c>
      <c r="I272" s="258" t="str">
        <f>IFERROR(__xludf.DUMMYFUNCTION("""COMPUTED_VALUE"""),"Once or twice a year")</f>
        <v>Once or twice a year</v>
      </c>
      <c r="J272" s="260">
        <f>IFERROR(__xludf.DUMMYFUNCTION("""COMPUTED_VALUE"""),0.7)</f>
        <v>0.7</v>
      </c>
      <c r="K272" s="258">
        <f>IFERROR(__xludf.DUMMYFUNCTION("""COMPUTED_VALUE"""),394.0)</f>
        <v>394</v>
      </c>
      <c r="L272" s="258" t="str">
        <f>IFERROR(__xludf.DUMMYFUNCTION("""COMPUTED_VALUE"""),"")</f>
        <v/>
      </c>
      <c r="M272" s="261">
        <f>IFERROR(__xludf.DUMMYFUNCTION("""COMPUTED_VALUE"""),230.0)</f>
        <v>230</v>
      </c>
      <c r="N272" s="262" t="str">
        <f>IFERROR(__xludf.DUMMYFUNCTION("""COMPUTED_VALUE"""),"")</f>
        <v/>
      </c>
      <c r="O272" s="259" t="str">
        <f>IFERROR(__xludf.DUMMYFUNCTION("""COMPUTED_VALUE"""),"")</f>
        <v/>
      </c>
      <c r="P272" s="259">
        <f>IFERROR(__xludf.DUMMYFUNCTION("""COMPUTED_VALUE"""),42227.0)</f>
        <v>42227</v>
      </c>
      <c r="Q272" s="258">
        <f>IFERROR(__xludf.DUMMYFUNCTION("""COMPUTED_VALUE"""),11500.0)</f>
        <v>11500</v>
      </c>
      <c r="R272" s="261">
        <f>IFERROR(__xludf.DUMMYFUNCTION("""COMPUTED_VALUE"""),394.0)</f>
        <v>394</v>
      </c>
      <c r="S272" s="258">
        <v>395.0</v>
      </c>
      <c r="T272" s="263">
        <v>0.9974683544303797</v>
      </c>
      <c r="U272" s="264">
        <v>7146.0</v>
      </c>
      <c r="V272" s="265">
        <v>11500.0</v>
      </c>
      <c r="W272" s="264">
        <v>7146.0</v>
      </c>
      <c r="X272" s="266" t="str">
        <f>IFERROR(__xludf.DUMMYFUNCTION("""COMPUTED_VALUE"""),"Jlk")</f>
        <v>Jlk</v>
      </c>
      <c r="Y272" s="267">
        <v>-0.01</v>
      </c>
      <c r="Z272" s="267">
        <v>0.9825054725468519</v>
      </c>
      <c r="AA272" s="269"/>
      <c r="AB272" s="270"/>
      <c r="AC272" s="270"/>
      <c r="AD272" s="270"/>
      <c r="AE272" s="270"/>
    </row>
    <row r="273">
      <c r="A273" s="256">
        <f>IFERROR(__xludf.DUMMYFUNCTION("""COMPUTED_VALUE"""),42301.211805555555)</f>
        <v>42301.21181</v>
      </c>
      <c r="B273" s="257" t="str">
        <f>IFERROR(__xludf.DUMMYFUNCTION("""COMPUTED_VALUE"""),"Dimivdb")</f>
        <v>Dimivdb</v>
      </c>
      <c r="C273" s="258" t="str">
        <f>IFERROR(__xludf.DUMMYFUNCTION("""COMPUTED_VALUE"""),"Europe (excluding UK) &amp; Asia Pacific")</f>
        <v>Europe (excluding UK) &amp; Asia Pacific</v>
      </c>
      <c r="D273" s="258" t="str">
        <f>IFERROR(__xludf.DUMMYFUNCTION("""COMPUTED_VALUE"""),"km. My car displays range in kilometres and I will enter all range numbers in kilometres.")</f>
        <v>km. My car displays range in kilometres and I will enter all range numbers in kilometres.</v>
      </c>
      <c r="E273" s="259">
        <f>IFERROR(__xludf.DUMMYFUNCTION("""COMPUTED_VALUE"""),42003.0)</f>
        <v>42003</v>
      </c>
      <c r="F273" s="258" t="str">
        <f>IFERROR(__xludf.DUMMYFUNCTION("""COMPUTED_VALUE"""),"Model S 85")</f>
        <v>Model S 85</v>
      </c>
      <c r="G273" s="258" t="str">
        <f>IFERROR(__xludf.DUMMYFUNCTION("""COMPUTED_VALUE"""),"Twice a month")</f>
        <v>Twice a month</v>
      </c>
      <c r="H273" s="258" t="str">
        <f>IFERROR(__xludf.DUMMYFUNCTION("""COMPUTED_VALUE"""),"Twice a month")</f>
        <v>Twice a month</v>
      </c>
      <c r="I273" s="258" t="str">
        <f>IFERROR(__xludf.DUMMYFUNCTION("""COMPUTED_VALUE"""),"A few times a year")</f>
        <v>A few times a year</v>
      </c>
      <c r="J273" s="260">
        <f>IFERROR(__xludf.DUMMYFUNCTION("""COMPUTED_VALUE"""),0.7)</f>
        <v>0.7</v>
      </c>
      <c r="K273" s="258">
        <f>IFERROR(__xludf.DUMMYFUNCTION("""COMPUTED_VALUE"""),394.0)</f>
        <v>394</v>
      </c>
      <c r="L273" s="258" t="str">
        <f>IFERROR(__xludf.DUMMYFUNCTION("""COMPUTED_VALUE"""),"")</f>
        <v/>
      </c>
      <c r="M273" s="261">
        <f>IFERROR(__xludf.DUMMYFUNCTION("""COMPUTED_VALUE"""),237.0)</f>
        <v>237</v>
      </c>
      <c r="N273" s="262" t="str">
        <f>IFERROR(__xludf.DUMMYFUNCTION("""COMPUTED_VALUE"""),"")</f>
        <v/>
      </c>
      <c r="O273" s="259" t="str">
        <f>IFERROR(__xludf.DUMMYFUNCTION("""COMPUTED_VALUE"""),"")</f>
        <v/>
      </c>
      <c r="P273" s="259">
        <f>IFERROR(__xludf.DUMMYFUNCTION("""COMPUTED_VALUE"""),42301.0)</f>
        <v>42301</v>
      </c>
      <c r="Q273" s="258">
        <f>IFERROR(__xludf.DUMMYFUNCTION("""COMPUTED_VALUE"""),14700.0)</f>
        <v>14700</v>
      </c>
      <c r="R273" s="261">
        <f>IFERROR(__xludf.DUMMYFUNCTION("""COMPUTED_VALUE"""),389.0)</f>
        <v>389</v>
      </c>
      <c r="S273" s="258">
        <v>395.0</v>
      </c>
      <c r="T273" s="263">
        <v>0.9848101265822785</v>
      </c>
      <c r="U273" s="264">
        <v>9134.0</v>
      </c>
      <c r="V273" s="265">
        <v>14700.0</v>
      </c>
      <c r="W273" s="264">
        <v>9134.0</v>
      </c>
      <c r="X273" s="266" t="str">
        <f>IFERROR(__xludf.DUMMYFUNCTION("""COMPUTED_VALUE"""),"JM_AU")</f>
        <v>JM_AU</v>
      </c>
      <c r="Y273" s="267">
        <v>-0.01</v>
      </c>
      <c r="Z273" s="267">
        <v>0.9791193365217492</v>
      </c>
      <c r="AA273" s="269"/>
      <c r="AB273" s="270"/>
      <c r="AC273" s="270"/>
      <c r="AD273" s="270"/>
      <c r="AE273" s="270"/>
    </row>
    <row r="274">
      <c r="A274" s="256">
        <f>IFERROR(__xludf.DUMMYFUNCTION("""COMPUTED_VALUE"""),42347.77569444444)</f>
        <v>42347.77569</v>
      </c>
      <c r="B274" s="257" t="str">
        <f>IFERROR(__xludf.DUMMYFUNCTION("""COMPUTED_VALUE"""),"dirkhh")</f>
        <v>dirkhh</v>
      </c>
      <c r="C274" s="258" t="str">
        <f>IFERROR(__xludf.DUMMYFUNCTION("""COMPUTED_VALUE"""),"USA")</f>
        <v>USA</v>
      </c>
      <c r="D274" s="258" t="str">
        <f>IFERROR(__xludf.DUMMYFUNCTION("""COMPUTED_VALUE"""),"mi. My car displays range in miles and I will enter all range numbers in miles.")</f>
        <v>mi. My car displays range in miles and I will enter all range numbers in miles.</v>
      </c>
      <c r="E274" s="259">
        <f>IFERROR(__xludf.DUMMYFUNCTION("""COMPUTED_VALUE"""),42055.0)</f>
        <v>42055</v>
      </c>
      <c r="F274" s="258" t="str">
        <f>IFERROR(__xludf.DUMMYFUNCTION("""COMPUTED_VALUE"""),"Model S P85D")</f>
        <v>Model S P85D</v>
      </c>
      <c r="G274" s="258" t="str">
        <f>IFERROR(__xludf.DUMMYFUNCTION("""COMPUTED_VALUE"""),"A few times a year")</f>
        <v>A few times a year</v>
      </c>
      <c r="H274" s="258" t="str">
        <f>IFERROR(__xludf.DUMMYFUNCTION("""COMPUTED_VALUE"""),"A few times a year")</f>
        <v>A few times a year</v>
      </c>
      <c r="I274" s="258" t="str">
        <f>IFERROR(__xludf.DUMMYFUNCTION("""COMPUTED_VALUE"""),"Never")</f>
        <v>Never</v>
      </c>
      <c r="J274" s="260">
        <f>IFERROR(__xludf.DUMMYFUNCTION("""COMPUTED_VALUE"""),0.9)</f>
        <v>0.9</v>
      </c>
      <c r="K274" s="258">
        <f>IFERROR(__xludf.DUMMYFUNCTION("""COMPUTED_VALUE"""),253.0)</f>
        <v>253</v>
      </c>
      <c r="L274" s="258" t="str">
        <f>IFERROR(__xludf.DUMMYFUNCTION("""COMPUTED_VALUE"""),"")</f>
        <v/>
      </c>
      <c r="M274" s="261">
        <f>IFERROR(__xludf.DUMMYFUNCTION("""COMPUTED_VALUE"""),325.0)</f>
        <v>325</v>
      </c>
      <c r="N274" s="262" t="str">
        <f>IFERROR(__xludf.DUMMYFUNCTION("""COMPUTED_VALUE"""),"")</f>
        <v/>
      </c>
      <c r="O274" s="259" t="str">
        <f>IFERROR(__xludf.DUMMYFUNCTION("""COMPUTED_VALUE"""),"")</f>
        <v/>
      </c>
      <c r="P274" s="259">
        <f>IFERROR(__xludf.DUMMYFUNCTION("""COMPUTED_VALUE"""),42347.0)</f>
        <v>42347</v>
      </c>
      <c r="Q274" s="258">
        <f>IFERROR(__xludf.DUMMYFUNCTION("""COMPUTED_VALUE"""),12800.0)</f>
        <v>12800</v>
      </c>
      <c r="R274" s="261">
        <f>IFERROR(__xludf.DUMMYFUNCTION("""COMPUTED_VALUE"""),248.0)</f>
        <v>248</v>
      </c>
      <c r="S274" s="258">
        <v>253.0</v>
      </c>
      <c r="T274" s="263">
        <v>0.9802371541501976</v>
      </c>
      <c r="U274" s="264">
        <v>12800.0</v>
      </c>
      <c r="V274" s="265">
        <v>20600.0</v>
      </c>
      <c r="W274" s="264">
        <v>12800.0</v>
      </c>
      <c r="X274" s="266" t="str">
        <f>IFERROR(__xludf.DUMMYFUNCTION("""COMPUTED_VALUE"""),"JMG")</f>
        <v>JMG</v>
      </c>
      <c r="Y274" s="267">
        <v>-0.01</v>
      </c>
      <c r="Z274" s="267">
        <v>0.9739980182518079</v>
      </c>
      <c r="AA274" s="269"/>
      <c r="AB274" s="270"/>
      <c r="AC274" s="270"/>
      <c r="AD274" s="270"/>
      <c r="AE274" s="270"/>
    </row>
    <row r="275">
      <c r="A275" s="256">
        <f>IFERROR(__xludf.DUMMYFUNCTION("""COMPUTED_VALUE"""),43641.89060317129)</f>
        <v>43641.8906</v>
      </c>
      <c r="B275" s="257" t="str">
        <f>IFERROR(__xludf.DUMMYFUNCTION("""COMPUTED_VALUE"""),"DjRazz")</f>
        <v>DjRazz</v>
      </c>
      <c r="C275" s="258" t="str">
        <f>IFERROR(__xludf.DUMMYFUNCTION("""COMPUTED_VALUE"""),"USA")</f>
        <v>USA</v>
      </c>
      <c r="D275" s="258" t="str">
        <f>IFERROR(__xludf.DUMMYFUNCTION("""COMPUTED_VALUE"""),"mi. My car displays range in miles and I will enter all range numbers in miles.")</f>
        <v>mi. My car displays range in miles and I will enter all range numbers in miles.</v>
      </c>
      <c r="E275" s="259">
        <f>IFERROR(__xludf.DUMMYFUNCTION("""COMPUTED_VALUE"""),41897.0)</f>
        <v>41897</v>
      </c>
      <c r="F275" s="258" t="str">
        <f>IFERROR(__xludf.DUMMYFUNCTION("""COMPUTED_VALUE"""),"Model S 85")</f>
        <v>Model S 85</v>
      </c>
      <c r="G275" s="258" t="str">
        <f>IFERROR(__xludf.DUMMYFUNCTION("""COMPUTED_VALUE"""),"Daily")</f>
        <v>Daily</v>
      </c>
      <c r="H275" s="258" t="str">
        <f>IFERROR(__xludf.DUMMYFUNCTION("""COMPUTED_VALUE"""),"A few times a year")</f>
        <v>A few times a year</v>
      </c>
      <c r="I275" s="258" t="str">
        <f>IFERROR(__xludf.DUMMYFUNCTION("""COMPUTED_VALUE"""),"A few times a year")</f>
        <v>A few times a year</v>
      </c>
      <c r="J275" s="260">
        <f>IFERROR(__xludf.DUMMYFUNCTION("""COMPUTED_VALUE"""),0.9)</f>
        <v>0.9</v>
      </c>
      <c r="K275" s="258">
        <f>IFERROR(__xludf.DUMMYFUNCTION("""COMPUTED_VALUE"""),165.0)</f>
        <v>165</v>
      </c>
      <c r="L275" s="258">
        <f>IFERROR(__xludf.DUMMYFUNCTION("""COMPUTED_VALUE"""),320.0)</f>
        <v>320</v>
      </c>
      <c r="M275" s="261">
        <f>IFERROR(__xludf.DUMMYFUNCTION("""COMPUTED_VALUE"""),317.0)</f>
        <v>317</v>
      </c>
      <c r="N275" s="262" t="str">
        <f>IFERROR(__xludf.DUMMYFUNCTION("""COMPUTED_VALUE"""),"")</f>
        <v/>
      </c>
      <c r="O275" s="259" t="str">
        <f>IFERROR(__xludf.DUMMYFUNCTION("""COMPUTED_VALUE"""),"")</f>
        <v/>
      </c>
      <c r="P275" s="259">
        <f>IFERROR(__xludf.DUMMYFUNCTION("""COMPUTED_VALUE"""),43630.0)</f>
        <v>43630</v>
      </c>
      <c r="Q275" s="258">
        <f>IFERROR(__xludf.DUMMYFUNCTION("""COMPUTED_VALUE"""),132872.0)</f>
        <v>132872</v>
      </c>
      <c r="R275" s="261">
        <f>IFERROR(__xludf.DUMMYFUNCTION("""COMPUTED_VALUE"""),217.88)</f>
        <v>217.88</v>
      </c>
      <c r="S275" s="258">
        <v>266.0</v>
      </c>
      <c r="T275" s="263">
        <v>0.8190977443609022</v>
      </c>
      <c r="U275" s="264">
        <v>132872.0</v>
      </c>
      <c r="V275" s="265">
        <v>213837.0</v>
      </c>
      <c r="W275" s="264">
        <v>132872.0</v>
      </c>
      <c r="X275" s="266" t="str">
        <f>IFERROR(__xludf.DUMMYFUNCTION("""COMPUTED_VALUE"""),"joech26")</f>
        <v>joech26</v>
      </c>
      <c r="Y275" s="267">
        <v>-0.01</v>
      </c>
      <c r="Z275" s="267">
        <v>0.9202387525099849</v>
      </c>
      <c r="AA275" s="269"/>
      <c r="AB275" s="270"/>
      <c r="AC275" s="270"/>
      <c r="AD275" s="270"/>
      <c r="AE275" s="270"/>
    </row>
    <row r="276">
      <c r="A276" s="256">
        <f>IFERROR(__xludf.DUMMYFUNCTION("""COMPUTED_VALUE"""),43641.89060317129)</f>
        <v>43641.8906</v>
      </c>
      <c r="B276" s="257" t="str">
        <f>IFERROR(__xludf.DUMMYFUNCTION("""COMPUTED_VALUE"""),"DjRazz")</f>
        <v>DjRazz</v>
      </c>
      <c r="C276" s="258" t="str">
        <f>IFERROR(__xludf.DUMMYFUNCTION("""COMPUTED_VALUE"""),"USA")</f>
        <v>USA</v>
      </c>
      <c r="D276" s="258" t="str">
        <f>IFERROR(__xludf.DUMMYFUNCTION("""COMPUTED_VALUE"""),"mi. My car displays range in miles and I will enter all range numbers in miles.")</f>
        <v>mi. My car displays range in miles and I will enter all range numbers in miles.</v>
      </c>
      <c r="E276" s="259">
        <f>IFERROR(__xludf.DUMMYFUNCTION("""COMPUTED_VALUE"""),41897.0)</f>
        <v>41897</v>
      </c>
      <c r="F276" s="258" t="str">
        <f>IFERROR(__xludf.DUMMYFUNCTION("""COMPUTED_VALUE"""),"Model S 85")</f>
        <v>Model S 85</v>
      </c>
      <c r="G276" s="258" t="str">
        <f>IFERROR(__xludf.DUMMYFUNCTION("""COMPUTED_VALUE"""),"Daily")</f>
        <v>Daily</v>
      </c>
      <c r="H276" s="258" t="str">
        <f>IFERROR(__xludf.DUMMYFUNCTION("""COMPUTED_VALUE"""),"A few times a year")</f>
        <v>A few times a year</v>
      </c>
      <c r="I276" s="258" t="str">
        <f>IFERROR(__xludf.DUMMYFUNCTION("""COMPUTED_VALUE"""),"A few times a year")</f>
        <v>A few times a year</v>
      </c>
      <c r="J276" s="260">
        <f>IFERROR(__xludf.DUMMYFUNCTION("""COMPUTED_VALUE"""),0.9)</f>
        <v>0.9</v>
      </c>
      <c r="K276" s="258">
        <f>IFERROR(__xludf.DUMMYFUNCTION("""COMPUTED_VALUE"""),165.0)</f>
        <v>165</v>
      </c>
      <c r="L276" s="258">
        <f>IFERROR(__xludf.DUMMYFUNCTION("""COMPUTED_VALUE"""),320.0)</f>
        <v>320</v>
      </c>
      <c r="M276" s="261">
        <f>IFERROR(__xludf.DUMMYFUNCTION("""COMPUTED_VALUE"""),317.0)</f>
        <v>317</v>
      </c>
      <c r="N276" s="262" t="str">
        <f>IFERROR(__xludf.DUMMYFUNCTION("""COMPUTED_VALUE"""),"")</f>
        <v/>
      </c>
      <c r="O276" s="259" t="str">
        <f>IFERROR(__xludf.DUMMYFUNCTION("""COMPUTED_VALUE"""),"")</f>
        <v/>
      </c>
      <c r="P276" s="259">
        <f>IFERROR(__xludf.DUMMYFUNCTION("""COMPUTED_VALUE"""),43598.0)</f>
        <v>43598</v>
      </c>
      <c r="Q276" s="258">
        <f>IFERROR(__xludf.DUMMYFUNCTION("""COMPUTED_VALUE"""),129190.0)</f>
        <v>129190</v>
      </c>
      <c r="R276" s="261">
        <f>IFERROR(__xludf.DUMMYFUNCTION("""COMPUTED_VALUE"""),247.46)</f>
        <v>247.46</v>
      </c>
      <c r="S276" s="258">
        <v>266.0</v>
      </c>
      <c r="T276" s="263">
        <v>0.9303007518796993</v>
      </c>
      <c r="U276" s="264">
        <v>129190.0</v>
      </c>
      <c r="V276" s="265">
        <v>207911.0</v>
      </c>
      <c r="W276" s="264">
        <v>129190.0</v>
      </c>
      <c r="X276" s="266" t="str">
        <f>IFERROR(__xludf.DUMMYFUNCTION("""COMPUTED_VALUE"""),"JoeJoe")</f>
        <v>JoeJoe</v>
      </c>
      <c r="Y276" s="267">
        <v>-0.01</v>
      </c>
      <c r="Z276" s="267">
        <v>0.9216056166297785</v>
      </c>
      <c r="AA276" s="269"/>
      <c r="AB276" s="270"/>
      <c r="AC276" s="270"/>
      <c r="AD276" s="270"/>
      <c r="AE276" s="270"/>
    </row>
    <row r="277">
      <c r="A277" s="256">
        <f>IFERROR(__xludf.DUMMYFUNCTION("""COMPUTED_VALUE"""),43641.89060317129)</f>
        <v>43641.8906</v>
      </c>
      <c r="B277" s="257" t="str">
        <f>IFERROR(__xludf.DUMMYFUNCTION("""COMPUTED_VALUE"""),"DjRazz")</f>
        <v>DjRazz</v>
      </c>
      <c r="C277" s="258" t="str">
        <f>IFERROR(__xludf.DUMMYFUNCTION("""COMPUTED_VALUE"""),"USA")</f>
        <v>USA</v>
      </c>
      <c r="D277" s="258" t="str">
        <f>IFERROR(__xludf.DUMMYFUNCTION("""COMPUTED_VALUE"""),"mi. My car displays range in miles and I will enter all range numbers in miles.")</f>
        <v>mi. My car displays range in miles and I will enter all range numbers in miles.</v>
      </c>
      <c r="E277" s="259">
        <f>IFERROR(__xludf.DUMMYFUNCTION("""COMPUTED_VALUE"""),41897.0)</f>
        <v>41897</v>
      </c>
      <c r="F277" s="258" t="str">
        <f>IFERROR(__xludf.DUMMYFUNCTION("""COMPUTED_VALUE"""),"Model S 85")</f>
        <v>Model S 85</v>
      </c>
      <c r="G277" s="258" t="str">
        <f>IFERROR(__xludf.DUMMYFUNCTION("""COMPUTED_VALUE"""),"Daily")</f>
        <v>Daily</v>
      </c>
      <c r="H277" s="258" t="str">
        <f>IFERROR(__xludf.DUMMYFUNCTION("""COMPUTED_VALUE"""),"A few times a year")</f>
        <v>A few times a year</v>
      </c>
      <c r="I277" s="258" t="str">
        <f>IFERROR(__xludf.DUMMYFUNCTION("""COMPUTED_VALUE"""),"A few times a year")</f>
        <v>A few times a year</v>
      </c>
      <c r="J277" s="260">
        <f>IFERROR(__xludf.DUMMYFUNCTION("""COMPUTED_VALUE"""),0.9)</f>
        <v>0.9</v>
      </c>
      <c r="K277" s="258">
        <f>IFERROR(__xludf.DUMMYFUNCTION("""COMPUTED_VALUE"""),165.0)</f>
        <v>165</v>
      </c>
      <c r="L277" s="258">
        <f>IFERROR(__xludf.DUMMYFUNCTION("""COMPUTED_VALUE"""),320.0)</f>
        <v>320</v>
      </c>
      <c r="M277" s="261">
        <f>IFERROR(__xludf.DUMMYFUNCTION("""COMPUTED_VALUE"""),317.0)</f>
        <v>317</v>
      </c>
      <c r="N277" s="262" t="str">
        <f>IFERROR(__xludf.DUMMYFUNCTION("""COMPUTED_VALUE"""),"")</f>
        <v/>
      </c>
      <c r="O277" s="259" t="str">
        <f>IFERROR(__xludf.DUMMYFUNCTION("""COMPUTED_VALUE"""),"")</f>
        <v/>
      </c>
      <c r="P277" s="259">
        <f>IFERROR(__xludf.DUMMYFUNCTION("""COMPUTED_VALUE"""),43484.0)</f>
        <v>43484</v>
      </c>
      <c r="Q277" s="258">
        <f>IFERROR(__xludf.DUMMYFUNCTION("""COMPUTED_VALUE"""),111970.0)</f>
        <v>111970</v>
      </c>
      <c r="R277" s="261">
        <f>IFERROR(__xludf.DUMMYFUNCTION("""COMPUTED_VALUE"""),248.0)</f>
        <v>248</v>
      </c>
      <c r="S277" s="258">
        <v>266.0</v>
      </c>
      <c r="T277" s="263">
        <v>0.9323308270676691</v>
      </c>
      <c r="U277" s="264">
        <v>111970.0</v>
      </c>
      <c r="V277" s="265">
        <v>180198.0</v>
      </c>
      <c r="W277" s="264">
        <v>111970.0</v>
      </c>
      <c r="X277" s="266" t="str">
        <f>IFERROR(__xludf.DUMMYFUNCTION("""COMPUTED_VALUE"""),"JoeNe")</f>
        <v>JoeNe</v>
      </c>
      <c r="Y277" s="267">
        <v>-0.01</v>
      </c>
      <c r="Z277" s="267">
        <v>0.9279982240165745</v>
      </c>
      <c r="AA277" s="269"/>
      <c r="AB277" s="270"/>
      <c r="AC277" s="270"/>
      <c r="AD277" s="270"/>
      <c r="AE277" s="270"/>
    </row>
    <row r="278">
      <c r="A278" s="256">
        <f>IFERROR(__xludf.DUMMYFUNCTION("""COMPUTED_VALUE"""),41970.04236111111)</f>
        <v>41970.04236</v>
      </c>
      <c r="B278" s="257" t="str">
        <f>IFERROR(__xludf.DUMMYFUNCTION("""COMPUTED_VALUE"""),"DLB")</f>
        <v>DLB</v>
      </c>
      <c r="C278" s="258" t="str">
        <f>IFERROR(__xludf.DUMMYFUNCTION("""COMPUTED_VALUE"""),"Europe (excluding UK) &amp; Asia Pacific")</f>
        <v>Europe (excluding UK) &amp; Asia Pacific</v>
      </c>
      <c r="D278" s="258" t="str">
        <f>IFERROR(__xludf.DUMMYFUNCTION("""COMPUTED_VALUE"""),"km. My car displays range in kilometres and I will enter all range numbers in kilometres.")</f>
        <v>km. My car displays range in kilometres and I will enter all range numbers in kilometres.</v>
      </c>
      <c r="E278" s="259">
        <f>IFERROR(__xludf.DUMMYFUNCTION("""COMPUTED_VALUE"""),41537.0)</f>
        <v>41537</v>
      </c>
      <c r="F278" s="258" t="str">
        <f>IFERROR(__xludf.DUMMYFUNCTION("""COMPUTED_VALUE"""),"Unspecified 85 kWh")</f>
        <v>Unspecified 85 kWh</v>
      </c>
      <c r="G278" s="258" t="str">
        <f>IFERROR(__xludf.DUMMYFUNCTION("""COMPUTED_VALUE"""),"Once or twice a year")</f>
        <v>Once or twice a year</v>
      </c>
      <c r="H278" s="258" t="str">
        <f>IFERROR(__xludf.DUMMYFUNCTION("""COMPUTED_VALUE"""),"A few times a year")</f>
        <v>A few times a year</v>
      </c>
      <c r="I278" s="258" t="str">
        <f>IFERROR(__xludf.DUMMYFUNCTION("""COMPUTED_VALUE"""),"Never")</f>
        <v>Never</v>
      </c>
      <c r="J278" s="260" t="str">
        <f>IFERROR(__xludf.DUMMYFUNCTION("""COMPUTED_VALUE"""),"")</f>
        <v/>
      </c>
      <c r="K278" s="258" t="str">
        <f>IFERROR(__xludf.DUMMYFUNCTION("""COMPUTED_VALUE"""),"")</f>
        <v/>
      </c>
      <c r="L278" s="258" t="str">
        <f>IFERROR(__xludf.DUMMYFUNCTION("""COMPUTED_VALUE"""),"")</f>
        <v/>
      </c>
      <c r="M278" s="261">
        <f>IFERROR(__xludf.DUMMYFUNCTION("""COMPUTED_VALUE"""),223.0)</f>
        <v>223</v>
      </c>
      <c r="N278" s="262" t="str">
        <f>IFERROR(__xludf.DUMMYFUNCTION("""COMPUTED_VALUE"""),"")</f>
        <v/>
      </c>
      <c r="O278" s="259" t="str">
        <f>IFERROR(__xludf.DUMMYFUNCTION("""COMPUTED_VALUE"""),"")</f>
        <v/>
      </c>
      <c r="P278" s="259">
        <f>IFERROR(__xludf.DUMMYFUNCTION("""COMPUTED_VALUE"""),41970.0)</f>
        <v>41970</v>
      </c>
      <c r="Q278" s="258">
        <f>IFERROR(__xludf.DUMMYFUNCTION("""COMPUTED_VALUE"""),22507.0)</f>
        <v>22507</v>
      </c>
      <c r="R278" s="261">
        <f>IFERROR(__xludf.DUMMYFUNCTION("""COMPUTED_VALUE"""),383.0)</f>
        <v>383</v>
      </c>
      <c r="S278" s="258">
        <v>395.0</v>
      </c>
      <c r="T278" s="263">
        <v>0.9696202531645569</v>
      </c>
      <c r="U278" s="264">
        <v>13985.0</v>
      </c>
      <c r="V278" s="265">
        <v>22507.0</v>
      </c>
      <c r="W278" s="264">
        <v>13985.0</v>
      </c>
      <c r="X278" s="266" t="str">
        <f>IFERROR(__xludf.DUMMYFUNCTION("""COMPUTED_VALUE"""),"Johan")</f>
        <v>Johan</v>
      </c>
      <c r="Y278" s="267">
        <v>-0.01</v>
      </c>
      <c r="Z278" s="267">
        <v>0.972593729233716</v>
      </c>
      <c r="AA278" s="269"/>
      <c r="AB278" s="270"/>
      <c r="AC278" s="270"/>
      <c r="AD278" s="270"/>
      <c r="AE278" s="270"/>
    </row>
    <row r="279">
      <c r="A279" s="256">
        <f>IFERROR(__xludf.DUMMYFUNCTION("""COMPUTED_VALUE"""),43144.87222222222)</f>
        <v>43144.87222</v>
      </c>
      <c r="B279" s="257" t="str">
        <f>IFERROR(__xludf.DUMMYFUNCTION("""COMPUTED_VALUE"""),"dmann000")</f>
        <v>dmann000</v>
      </c>
      <c r="C279" s="258" t="str">
        <f>IFERROR(__xludf.DUMMYFUNCTION("""COMPUTED_VALUE"""),"USA")</f>
        <v>USA</v>
      </c>
      <c r="D279" s="258" t="str">
        <f>IFERROR(__xludf.DUMMYFUNCTION("""COMPUTED_VALUE"""),"mi. My car displays range in miles and I will enter all range numbers in miles.")</f>
        <v>mi. My car displays range in miles and I will enter all range numbers in miles.</v>
      </c>
      <c r="E279" s="259">
        <f>IFERROR(__xludf.DUMMYFUNCTION("""COMPUTED_VALUE"""),43076.0)</f>
        <v>43076</v>
      </c>
      <c r="F279" s="258" t="str">
        <f>IFERROR(__xludf.DUMMYFUNCTION("""COMPUTED_VALUE"""),"Model X 100D")</f>
        <v>Model X 100D</v>
      </c>
      <c r="G279" s="258" t="str">
        <f>IFERROR(__xludf.DUMMYFUNCTION("""COMPUTED_VALUE"""),"Weekly")</f>
        <v>Weekly</v>
      </c>
      <c r="H279" s="258" t="str">
        <f>IFERROR(__xludf.DUMMYFUNCTION("""COMPUTED_VALUE"""),"A few times a year")</f>
        <v>A few times a year</v>
      </c>
      <c r="I279" s="258" t="str">
        <f>IFERROR(__xludf.DUMMYFUNCTION("""COMPUTED_VALUE"""),"Never")</f>
        <v>Never</v>
      </c>
      <c r="J279" s="260">
        <f>IFERROR(__xludf.DUMMYFUNCTION("""COMPUTED_VALUE"""),0.8)</f>
        <v>0.8</v>
      </c>
      <c r="K279" s="258">
        <f>IFERROR(__xludf.DUMMYFUNCTION("""COMPUTED_VALUE"""),295.0)</f>
        <v>295</v>
      </c>
      <c r="L279" s="258" t="str">
        <f>IFERROR(__xludf.DUMMYFUNCTION("""COMPUTED_VALUE"""),"")</f>
        <v/>
      </c>
      <c r="M279" s="261">
        <f>IFERROR(__xludf.DUMMYFUNCTION("""COMPUTED_VALUE"""),400.0)</f>
        <v>400</v>
      </c>
      <c r="N279" s="262" t="str">
        <f>IFERROR(__xludf.DUMMYFUNCTION("""COMPUTED_VALUE"""),"")</f>
        <v/>
      </c>
      <c r="O279" s="259" t="str">
        <f>IFERROR(__xludf.DUMMYFUNCTION("""COMPUTED_VALUE"""),"")</f>
        <v/>
      </c>
      <c r="P279" s="259">
        <f>IFERROR(__xludf.DUMMYFUNCTION("""COMPUTED_VALUE"""),43144.0)</f>
        <v>43144</v>
      </c>
      <c r="Q279" s="258">
        <f>IFERROR(__xludf.DUMMYFUNCTION("""COMPUTED_VALUE"""),3405.0)</f>
        <v>3405</v>
      </c>
      <c r="R279" s="261">
        <f>IFERROR(__xludf.DUMMYFUNCTION("""COMPUTED_VALUE"""),295.0)</f>
        <v>295</v>
      </c>
      <c r="S279" s="258">
        <v>292.0</v>
      </c>
      <c r="T279" s="263">
        <v>1.0102739726027397</v>
      </c>
      <c r="U279" s="264">
        <v>3405.0</v>
      </c>
      <c r="V279" s="265">
        <v>5480.0</v>
      </c>
      <c r="W279" s="264">
        <v>3405.0</v>
      </c>
      <c r="X279" s="266" t="str">
        <f>IFERROR(__xludf.DUMMYFUNCTION("""COMPUTED_VALUE"""),"Johann Koeber")</f>
        <v>Johann Koeber</v>
      </c>
      <c r="Y279" s="267">
        <v>-0.01</v>
      </c>
      <c r="Z279" s="267">
        <v>0.9904307579069223</v>
      </c>
      <c r="AA279" s="269"/>
      <c r="AB279" s="270"/>
      <c r="AC279" s="270"/>
      <c r="AD279" s="270"/>
      <c r="AE279" s="270"/>
    </row>
    <row r="280">
      <c r="A280" s="256">
        <f>IFERROR(__xludf.DUMMYFUNCTION("""COMPUTED_VALUE"""),43103.87638888889)</f>
        <v>43103.87639</v>
      </c>
      <c r="B280" s="257" t="str">
        <f>IFERROR(__xludf.DUMMYFUNCTION("""COMPUTED_VALUE"""),"dmann000")</f>
        <v>dmann000</v>
      </c>
      <c r="C280" s="258" t="str">
        <f>IFERROR(__xludf.DUMMYFUNCTION("""COMPUTED_VALUE"""),"USA")</f>
        <v>USA</v>
      </c>
      <c r="D280" s="258" t="str">
        <f>IFERROR(__xludf.DUMMYFUNCTION("""COMPUTED_VALUE"""),"mi. My car displays range in miles and I will enter all range numbers in miles.")</f>
        <v>mi. My car displays range in miles and I will enter all range numbers in miles.</v>
      </c>
      <c r="E280" s="259">
        <f>IFERROR(__xludf.DUMMYFUNCTION("""COMPUTED_VALUE"""),43076.0)</f>
        <v>43076</v>
      </c>
      <c r="F280" s="258" t="str">
        <f>IFERROR(__xludf.DUMMYFUNCTION("""COMPUTED_VALUE"""),"Model X 100D")</f>
        <v>Model X 100D</v>
      </c>
      <c r="G280" s="258" t="str">
        <f>IFERROR(__xludf.DUMMYFUNCTION("""COMPUTED_VALUE"""),"Twice a week")</f>
        <v>Twice a week</v>
      </c>
      <c r="H280" s="258" t="str">
        <f>IFERROR(__xludf.DUMMYFUNCTION("""COMPUTED_VALUE"""),"A few times a year")</f>
        <v>A few times a year</v>
      </c>
      <c r="I280" s="258" t="str">
        <f>IFERROR(__xludf.DUMMYFUNCTION("""COMPUTED_VALUE"""),"Never")</f>
        <v>Never</v>
      </c>
      <c r="J280" s="260">
        <f>IFERROR(__xludf.DUMMYFUNCTION("""COMPUTED_VALUE"""),0.8)</f>
        <v>0.8</v>
      </c>
      <c r="K280" s="258">
        <f>IFERROR(__xludf.DUMMYFUNCTION("""COMPUTED_VALUE"""),295.0)</f>
        <v>295</v>
      </c>
      <c r="L280" s="258" t="str">
        <f>IFERROR(__xludf.DUMMYFUNCTION("""COMPUTED_VALUE"""),"")</f>
        <v/>
      </c>
      <c r="M280" s="261">
        <f>IFERROR(__xludf.DUMMYFUNCTION("""COMPUTED_VALUE"""),400.0)</f>
        <v>400</v>
      </c>
      <c r="N280" s="262" t="str">
        <f>IFERROR(__xludf.DUMMYFUNCTION("""COMPUTED_VALUE"""),"")</f>
        <v/>
      </c>
      <c r="O280" s="259" t="str">
        <f>IFERROR(__xludf.DUMMYFUNCTION("""COMPUTED_VALUE"""),"")</f>
        <v/>
      </c>
      <c r="P280" s="259">
        <f>IFERROR(__xludf.DUMMYFUNCTION("""COMPUTED_VALUE"""),43103.0)</f>
        <v>43103</v>
      </c>
      <c r="Q280" s="258">
        <f>IFERROR(__xludf.DUMMYFUNCTION("""COMPUTED_VALUE"""),6592.0)</f>
        <v>6592</v>
      </c>
      <c r="R280" s="261">
        <f>IFERROR(__xludf.DUMMYFUNCTION("""COMPUTED_VALUE"""),295.0)</f>
        <v>295</v>
      </c>
      <c r="S280" s="258">
        <v>292.0</v>
      </c>
      <c r="T280" s="263">
        <v>1.0102739726027397</v>
      </c>
      <c r="U280" s="264">
        <v>6592.0</v>
      </c>
      <c r="V280" s="265">
        <v>10609.0</v>
      </c>
      <c r="W280" s="264">
        <v>6592.0</v>
      </c>
      <c r="X280" s="266" t="str">
        <f>IFERROR(__xludf.DUMMYFUNCTION("""COMPUTED_VALUE"""),"John")</f>
        <v>John</v>
      </c>
      <c r="Y280" s="267">
        <v>-0.01</v>
      </c>
      <c r="Z280" s="267">
        <v>0.9835403084544195</v>
      </c>
      <c r="AA280" s="269"/>
      <c r="AB280" s="270"/>
      <c r="AC280" s="270"/>
      <c r="AD280" s="270"/>
      <c r="AE280" s="270"/>
    </row>
    <row r="281">
      <c r="A281" s="256">
        <f>IFERROR(__xludf.DUMMYFUNCTION("""COMPUTED_VALUE"""),42342.90555555555)</f>
        <v>42342.90556</v>
      </c>
      <c r="B281" s="257" t="str">
        <f>IFERROR(__xludf.DUMMYFUNCTION("""COMPUTED_VALUE"""),"DMC")</f>
        <v>DMC</v>
      </c>
      <c r="C281" s="258" t="str">
        <f>IFERROR(__xludf.DUMMYFUNCTION("""COMPUTED_VALUE"""),"Canada")</f>
        <v>Canada</v>
      </c>
      <c r="D281" s="258" t="str">
        <f>IFERROR(__xludf.DUMMYFUNCTION("""COMPUTED_VALUE"""),"km. My car displays range in kilometres and I will enter all range numbers in kilometres.")</f>
        <v>km. My car displays range in kilometres and I will enter all range numbers in kilometres.</v>
      </c>
      <c r="E281" s="259">
        <f>IFERROR(__xludf.DUMMYFUNCTION("""COMPUTED_VALUE"""),42094.0)</f>
        <v>42094</v>
      </c>
      <c r="F281" s="258" t="str">
        <f>IFERROR(__xludf.DUMMYFUNCTION("""COMPUTED_VALUE"""),"Model S 85D")</f>
        <v>Model S 85D</v>
      </c>
      <c r="G281" s="258" t="str">
        <f>IFERROR(__xludf.DUMMYFUNCTION("""COMPUTED_VALUE"""),"Monthly")</f>
        <v>Monthly</v>
      </c>
      <c r="H281" s="258" t="str">
        <f>IFERROR(__xludf.DUMMYFUNCTION("""COMPUTED_VALUE"""),"Monthly")</f>
        <v>Monthly</v>
      </c>
      <c r="I281" s="258" t="str">
        <f>IFERROR(__xludf.DUMMYFUNCTION("""COMPUTED_VALUE"""),"Never")</f>
        <v>Never</v>
      </c>
      <c r="J281" s="260">
        <f>IFERROR(__xludf.DUMMYFUNCTION("""COMPUTED_VALUE"""),0.9)</f>
        <v>0.9</v>
      </c>
      <c r="K281" s="258">
        <f>IFERROR(__xludf.DUMMYFUNCTION("""COMPUTED_VALUE"""),425.0)</f>
        <v>425</v>
      </c>
      <c r="L281" s="258" t="str">
        <f>IFERROR(__xludf.DUMMYFUNCTION("""COMPUTED_VALUE"""),"")</f>
        <v/>
      </c>
      <c r="M281" s="261">
        <f>IFERROR(__xludf.DUMMYFUNCTION("""COMPUTED_VALUE"""),189.0)</f>
        <v>189</v>
      </c>
      <c r="N281" s="262" t="str">
        <f>IFERROR(__xludf.DUMMYFUNCTION("""COMPUTED_VALUE"""),"")</f>
        <v/>
      </c>
      <c r="O281" s="259" t="str">
        <f>IFERROR(__xludf.DUMMYFUNCTION("""COMPUTED_VALUE"""),"")</f>
        <v/>
      </c>
      <c r="P281" s="259">
        <f>IFERROR(__xludf.DUMMYFUNCTION("""COMPUTED_VALUE"""),42342.0)</f>
        <v>42342</v>
      </c>
      <c r="Q281" s="258">
        <f>IFERROR(__xludf.DUMMYFUNCTION("""COMPUTED_VALUE"""),24027.0)</f>
        <v>24027</v>
      </c>
      <c r="R281" s="261">
        <f>IFERROR(__xludf.DUMMYFUNCTION("""COMPUTED_VALUE"""),415.0)</f>
        <v>415</v>
      </c>
      <c r="S281" s="258">
        <v>435.0</v>
      </c>
      <c r="T281" s="263">
        <v>0.9540229885057471</v>
      </c>
      <c r="U281" s="264">
        <v>14930.0</v>
      </c>
      <c r="V281" s="265">
        <v>24027.0</v>
      </c>
      <c r="W281" s="264">
        <v>14930.0</v>
      </c>
      <c r="X281" s="266" t="str">
        <f>IFERROR(__xludf.DUMMYFUNCTION("""COMPUTED_VALUE"""),"Jolinar")</f>
        <v>Jolinar</v>
      </c>
      <c r="Y281" s="267">
        <v>-0.01</v>
      </c>
      <c r="Z281" s="267">
        <v>0.9715474425746595</v>
      </c>
      <c r="AA281" s="269"/>
      <c r="AB281" s="270"/>
      <c r="AC281" s="270"/>
      <c r="AD281" s="270"/>
      <c r="AE281" s="270"/>
    </row>
    <row r="282">
      <c r="A282" s="256">
        <f>IFERROR(__xludf.DUMMYFUNCTION("""COMPUTED_VALUE"""),42983.600694444445)</f>
        <v>42983.60069</v>
      </c>
      <c r="B282" s="257" t="str">
        <f>IFERROR(__xludf.DUMMYFUNCTION("""COMPUTED_VALUE"""),"docjones")</f>
        <v>docjones</v>
      </c>
      <c r="C282" s="258" t="str">
        <f>IFERROR(__xludf.DUMMYFUNCTION("""COMPUTED_VALUE"""),"Europe (excluding UK) &amp; Asia Pacific")</f>
        <v>Europe (excluding UK) &amp; Asia Pacific</v>
      </c>
      <c r="D282" s="258" t="str">
        <f>IFERROR(__xludf.DUMMYFUNCTION("""COMPUTED_VALUE"""),"km. My car displays range in kilometres and I will enter all range numbers in kilometres.")</f>
        <v>km. My car displays range in kilometres and I will enter all range numbers in kilometres.</v>
      </c>
      <c r="E282" s="259">
        <f>IFERROR(__xludf.DUMMYFUNCTION("""COMPUTED_VALUE"""),41579.0)</f>
        <v>41579</v>
      </c>
      <c r="F282" s="258" t="str">
        <f>IFERROR(__xludf.DUMMYFUNCTION("""COMPUTED_VALUE"""),"Model S 85")</f>
        <v>Model S 85</v>
      </c>
      <c r="G282" s="258" t="str">
        <f>IFERROR(__xludf.DUMMYFUNCTION("""COMPUTED_VALUE"""),"")</f>
        <v/>
      </c>
      <c r="H282" s="258" t="str">
        <f>IFERROR(__xludf.DUMMYFUNCTION("""COMPUTED_VALUE"""),"")</f>
        <v/>
      </c>
      <c r="I282" s="258" t="str">
        <f>IFERROR(__xludf.DUMMYFUNCTION("""COMPUTED_VALUE"""),"")</f>
        <v/>
      </c>
      <c r="J282" s="260" t="str">
        <f>IFERROR(__xludf.DUMMYFUNCTION("""COMPUTED_VALUE"""),"")</f>
        <v/>
      </c>
      <c r="K282" s="258" t="str">
        <f>IFERROR(__xludf.DUMMYFUNCTION("""COMPUTED_VALUE"""),"")</f>
        <v/>
      </c>
      <c r="L282" s="258" t="str">
        <f>IFERROR(__xludf.DUMMYFUNCTION("""COMPUTED_VALUE"""),"")</f>
        <v/>
      </c>
      <c r="M282" s="261">
        <f>IFERROR(__xludf.DUMMYFUNCTION("""COMPUTED_VALUE"""),218.0)</f>
        <v>218</v>
      </c>
      <c r="N282" s="262" t="str">
        <f>IFERROR(__xludf.DUMMYFUNCTION("""COMPUTED_VALUE"""),"")</f>
        <v/>
      </c>
      <c r="O282" s="259" t="str">
        <f>IFERROR(__xludf.DUMMYFUNCTION("""COMPUTED_VALUE"""),"")</f>
        <v/>
      </c>
      <c r="P282" s="259">
        <f>IFERROR(__xludf.DUMMYFUNCTION("""COMPUTED_VALUE"""),42983.0)</f>
        <v>42983</v>
      </c>
      <c r="Q282" s="258">
        <f>IFERROR(__xludf.DUMMYFUNCTION("""COMPUTED_VALUE"""),113418.0)</f>
        <v>113418</v>
      </c>
      <c r="R282" s="261">
        <f>IFERROR(__xludf.DUMMYFUNCTION("""COMPUTED_VALUE"""),385.0)</f>
        <v>385</v>
      </c>
      <c r="S282" s="258">
        <v>395.0</v>
      </c>
      <c r="T282" s="263">
        <v>0.9746835443037974</v>
      </c>
      <c r="U282" s="264">
        <v>70475.0</v>
      </c>
      <c r="V282" s="265">
        <v>113418.0</v>
      </c>
      <c r="W282" s="264">
        <v>70475.0</v>
      </c>
      <c r="X282" s="266" t="str">
        <f>IFERROR(__xludf.DUMMYFUNCTION("""COMPUTED_VALUE"""),"Jolnar")</f>
        <v>Jolnar</v>
      </c>
      <c r="Y282" s="267">
        <v>-0.01</v>
      </c>
      <c r="Z282" s="267">
        <v>0.9434416300267359</v>
      </c>
      <c r="AA282" s="269"/>
      <c r="AB282" s="270"/>
      <c r="AC282" s="270"/>
      <c r="AD282" s="270"/>
      <c r="AE282" s="270"/>
    </row>
    <row r="283">
      <c r="A283" s="256">
        <f>IFERROR(__xludf.DUMMYFUNCTION("""COMPUTED_VALUE"""),42655.80902777778)</f>
        <v>42655.80903</v>
      </c>
      <c r="B283" s="257" t="str">
        <f>IFERROR(__xludf.DUMMYFUNCTION("""COMPUTED_VALUE"""),"Dom")</f>
        <v>Dom</v>
      </c>
      <c r="C283" s="258" t="str">
        <f>IFERROR(__xludf.DUMMYFUNCTION("""COMPUTED_VALUE"""),"USA")</f>
        <v>USA</v>
      </c>
      <c r="D283" s="258" t="str">
        <f>IFERROR(__xludf.DUMMYFUNCTION("""COMPUTED_VALUE"""),"mi. My car displays range in miles and I will enter all range numbers in miles.")</f>
        <v>mi. My car displays range in miles and I will enter all range numbers in miles.</v>
      </c>
      <c r="E283" s="259">
        <f>IFERROR(__xludf.DUMMYFUNCTION("""COMPUTED_VALUE"""),41506.0)</f>
        <v>41506</v>
      </c>
      <c r="F283" s="258" t="str">
        <f>IFERROR(__xludf.DUMMYFUNCTION("""COMPUTED_VALUE"""),"Model S 60")</f>
        <v>Model S 60</v>
      </c>
      <c r="G283" s="258" t="str">
        <f>IFERROR(__xludf.DUMMYFUNCTION("""COMPUTED_VALUE"""),"A few times a year")</f>
        <v>A few times a year</v>
      </c>
      <c r="H283" s="258" t="str">
        <f>IFERROR(__xludf.DUMMYFUNCTION("""COMPUTED_VALUE"""),"Twice a month")</f>
        <v>Twice a month</v>
      </c>
      <c r="I283" s="258" t="str">
        <f>IFERROR(__xludf.DUMMYFUNCTION("""COMPUTED_VALUE"""),"A few times a year")</f>
        <v>A few times a year</v>
      </c>
      <c r="J283" s="260">
        <f>IFERROR(__xludf.DUMMYFUNCTION("""COMPUTED_VALUE"""),0.9)</f>
        <v>0.9</v>
      </c>
      <c r="K283" s="258">
        <f>IFERROR(__xludf.DUMMYFUNCTION("""COMPUTED_VALUE"""),208.0)</f>
        <v>208</v>
      </c>
      <c r="L283" s="258" t="str">
        <f>IFERROR(__xludf.DUMMYFUNCTION("""COMPUTED_VALUE"""),"")</f>
        <v/>
      </c>
      <c r="M283" s="261">
        <f>IFERROR(__xludf.DUMMYFUNCTION("""COMPUTED_VALUE"""),320.0)</f>
        <v>320</v>
      </c>
      <c r="N283" s="262" t="str">
        <f>IFERROR(__xludf.DUMMYFUNCTION("""COMPUTED_VALUE"""),"")</f>
        <v/>
      </c>
      <c r="O283" s="259" t="str">
        <f>IFERROR(__xludf.DUMMYFUNCTION("""COMPUTED_VALUE"""),"")</f>
        <v/>
      </c>
      <c r="P283" s="259">
        <f>IFERROR(__xludf.DUMMYFUNCTION("""COMPUTED_VALUE"""),42655.0)</f>
        <v>42655</v>
      </c>
      <c r="Q283" s="258">
        <f>IFERROR(__xludf.DUMMYFUNCTION("""COMPUTED_VALUE"""),15240.0)</f>
        <v>15240</v>
      </c>
      <c r="R283" s="261">
        <f>IFERROR(__xludf.DUMMYFUNCTION("""COMPUTED_VALUE"""),189.0)</f>
        <v>189</v>
      </c>
      <c r="S283" s="258">
        <v>207.0</v>
      </c>
      <c r="T283" s="263">
        <v>0.9130434782608695</v>
      </c>
      <c r="U283" s="264">
        <v>15240.0</v>
      </c>
      <c r="V283" s="265">
        <v>24526.0</v>
      </c>
      <c r="W283" s="264">
        <v>15240.0</v>
      </c>
      <c r="X283" s="266" t="str">
        <f>IFERROR(__xludf.DUMMYFUNCTION("""COMPUTED_VALUE"""),"jonas_man")</f>
        <v>jonas_man</v>
      </c>
      <c r="Y283" s="267">
        <v>-0.01</v>
      </c>
      <c r="Z283" s="267">
        <v>0.9712170391570053</v>
      </c>
      <c r="AA283" s="269"/>
      <c r="AB283" s="270"/>
      <c r="AC283" s="270"/>
      <c r="AD283" s="270"/>
      <c r="AE283" s="270"/>
    </row>
    <row r="284">
      <c r="A284" s="256">
        <f>IFERROR(__xludf.DUMMYFUNCTION("""COMPUTED_VALUE"""),43095.65416666667)</f>
        <v>43095.65417</v>
      </c>
      <c r="B284" s="257" t="str">
        <f>IFERROR(__xludf.DUMMYFUNCTION("""COMPUTED_VALUE"""),"Domidragon")</f>
        <v>Domidragon</v>
      </c>
      <c r="C284" s="258" t="str">
        <f>IFERROR(__xludf.DUMMYFUNCTION("""COMPUTED_VALUE"""),"Europe (excluding UK) &amp; Asia Pacific")</f>
        <v>Europe (excluding UK) &amp; Asia Pacific</v>
      </c>
      <c r="D284" s="258" t="str">
        <f>IFERROR(__xludf.DUMMYFUNCTION("""COMPUTED_VALUE"""),"km. My car displays range in kilometres and I will enter all range numbers in kilometres.")</f>
        <v>km. My car displays range in kilometres and I will enter all range numbers in kilometres.</v>
      </c>
      <c r="E284" s="259">
        <f>IFERROR(__xludf.DUMMYFUNCTION("""COMPUTED_VALUE"""),42091.0)</f>
        <v>42091</v>
      </c>
      <c r="F284" s="258" t="str">
        <f>IFERROR(__xludf.DUMMYFUNCTION("""COMPUTED_VALUE"""),"Model S P85D")</f>
        <v>Model S P85D</v>
      </c>
      <c r="G284" s="258" t="str">
        <f>IFERROR(__xludf.DUMMYFUNCTION("""COMPUTED_VALUE"""),"Twice a week")</f>
        <v>Twice a week</v>
      </c>
      <c r="H284" s="258" t="str">
        <f>IFERROR(__xludf.DUMMYFUNCTION("""COMPUTED_VALUE"""),"A few times a year")</f>
        <v>A few times a year</v>
      </c>
      <c r="I284" s="258" t="str">
        <f>IFERROR(__xludf.DUMMYFUNCTION("""COMPUTED_VALUE"""),"Monthly")</f>
        <v>Monthly</v>
      </c>
      <c r="J284" s="260">
        <f>IFERROR(__xludf.DUMMYFUNCTION("""COMPUTED_VALUE"""),0.8)</f>
        <v>0.8</v>
      </c>
      <c r="K284" s="258" t="str">
        <f>IFERROR(__xludf.DUMMYFUNCTION("""COMPUTED_VALUE"""),"")</f>
        <v/>
      </c>
      <c r="L284" s="258" t="str">
        <f>IFERROR(__xludf.DUMMYFUNCTION("""COMPUTED_VALUE"""),"")</f>
        <v/>
      </c>
      <c r="M284" s="261">
        <f>IFERROR(__xludf.DUMMYFUNCTION("""COMPUTED_VALUE"""),239.0)</f>
        <v>239</v>
      </c>
      <c r="N284" s="262" t="str">
        <f>IFERROR(__xludf.DUMMYFUNCTION("""COMPUTED_VALUE"""),"")</f>
        <v/>
      </c>
      <c r="O284" s="259" t="str">
        <f>IFERROR(__xludf.DUMMYFUNCTION("""COMPUTED_VALUE"""),"")</f>
        <v/>
      </c>
      <c r="P284" s="259">
        <f>IFERROR(__xludf.DUMMYFUNCTION("""COMPUTED_VALUE"""),43095.0)</f>
        <v>43095</v>
      </c>
      <c r="Q284" s="258">
        <f>IFERROR(__xludf.DUMMYFUNCTION("""COMPUTED_VALUE"""),37444.0)</f>
        <v>37444</v>
      </c>
      <c r="R284" s="261">
        <f>IFERROR(__xludf.DUMMYFUNCTION("""COMPUTED_VALUE"""),390.0)</f>
        <v>390</v>
      </c>
      <c r="S284" s="258">
        <v>403.0</v>
      </c>
      <c r="T284" s="263">
        <v>0.967741935483871</v>
      </c>
      <c r="U284" s="264">
        <v>23267.0</v>
      </c>
      <c r="V284" s="265">
        <v>37444.0</v>
      </c>
      <c r="W284" s="264">
        <v>23267.0</v>
      </c>
      <c r="X284" s="266" t="str">
        <f>IFERROR(__xludf.DUMMYFUNCTION("""COMPUTED_VALUE"""),"JonathanD")</f>
        <v>JonathanD</v>
      </c>
      <c r="Y284" s="267">
        <v>-0.01</v>
      </c>
      <c r="Z284" s="267">
        <v>0.9643746095563478</v>
      </c>
      <c r="AA284" s="269"/>
      <c r="AB284" s="270"/>
      <c r="AC284" s="270"/>
      <c r="AD284" s="270"/>
      <c r="AE284" s="270"/>
    </row>
    <row r="285">
      <c r="A285" s="256">
        <f>IFERROR(__xludf.DUMMYFUNCTION("""COMPUTED_VALUE"""),43167.70347222222)</f>
        <v>43167.70347</v>
      </c>
      <c r="B285" s="257" t="str">
        <f>IFERROR(__xludf.DUMMYFUNCTION("""COMPUTED_VALUE"""),"Domidragon")</f>
        <v>Domidragon</v>
      </c>
      <c r="C285" s="258" t="str">
        <f>IFERROR(__xludf.DUMMYFUNCTION("""COMPUTED_VALUE"""),"Europe (excluding UK) &amp; Asia Pacific")</f>
        <v>Europe (excluding UK) &amp; Asia Pacific</v>
      </c>
      <c r="D285" s="258" t="str">
        <f>IFERROR(__xludf.DUMMYFUNCTION("""COMPUTED_VALUE"""),"km. My car displays range in kilometres and I will enter all range numbers in kilometres.")</f>
        <v>km. My car displays range in kilometres and I will enter all range numbers in kilometres.</v>
      </c>
      <c r="E285" s="259">
        <f>IFERROR(__xludf.DUMMYFUNCTION("""COMPUTED_VALUE"""),42091.0)</f>
        <v>42091</v>
      </c>
      <c r="F285" s="258" t="str">
        <f>IFERROR(__xludf.DUMMYFUNCTION("""COMPUTED_VALUE"""),"Model S P85D")</f>
        <v>Model S P85D</v>
      </c>
      <c r="G285" s="258" t="str">
        <f>IFERROR(__xludf.DUMMYFUNCTION("""COMPUTED_VALUE"""),"Weekly")</f>
        <v>Weekly</v>
      </c>
      <c r="H285" s="258" t="str">
        <f>IFERROR(__xludf.DUMMYFUNCTION("""COMPUTED_VALUE"""),"Monthly")</f>
        <v>Monthly</v>
      </c>
      <c r="I285" s="258" t="str">
        <f>IFERROR(__xludf.DUMMYFUNCTION("""COMPUTED_VALUE"""),"Monthly")</f>
        <v>Monthly</v>
      </c>
      <c r="J285" s="260">
        <f>IFERROR(__xludf.DUMMYFUNCTION("""COMPUTED_VALUE"""),0.9)</f>
        <v>0.9</v>
      </c>
      <c r="K285" s="258" t="str">
        <f>IFERROR(__xludf.DUMMYFUNCTION("""COMPUTED_VALUE"""),"")</f>
        <v/>
      </c>
      <c r="L285" s="258" t="str">
        <f>IFERROR(__xludf.DUMMYFUNCTION("""COMPUTED_VALUE"""),"")</f>
        <v/>
      </c>
      <c r="M285" s="261">
        <f>IFERROR(__xludf.DUMMYFUNCTION("""COMPUTED_VALUE"""),245.0)</f>
        <v>245</v>
      </c>
      <c r="N285" s="262" t="str">
        <f>IFERROR(__xludf.DUMMYFUNCTION("""COMPUTED_VALUE"""),"")</f>
        <v/>
      </c>
      <c r="O285" s="259" t="str">
        <f>IFERROR(__xludf.DUMMYFUNCTION("""COMPUTED_VALUE"""),"")</f>
        <v/>
      </c>
      <c r="P285" s="259">
        <f>IFERROR(__xludf.DUMMYFUNCTION("""COMPUTED_VALUE"""),43167.0)</f>
        <v>43167</v>
      </c>
      <c r="Q285" s="258">
        <f>IFERROR(__xludf.DUMMYFUNCTION("""COMPUTED_VALUE"""),42500.0)</f>
        <v>42500</v>
      </c>
      <c r="R285" s="261">
        <f>IFERROR(__xludf.DUMMYFUNCTION("""COMPUTED_VALUE"""),385.0)</f>
        <v>385</v>
      </c>
      <c r="S285" s="258">
        <v>403.0</v>
      </c>
      <c r="T285" s="263">
        <v>0.9553349875930521</v>
      </c>
      <c r="U285" s="264">
        <v>26408.0</v>
      </c>
      <c r="V285" s="265">
        <v>42500.0</v>
      </c>
      <c r="W285" s="264">
        <v>26408.0</v>
      </c>
      <c r="X285" s="266" t="str">
        <f>IFERROR(__xludf.DUMMYFUNCTION("""COMPUTED_VALUE"""),"jpet")</f>
        <v>jpet</v>
      </c>
      <c r="Y285" s="267">
        <v>-0.01</v>
      </c>
      <c r="Z285" s="267">
        <v>0.9623294099000569</v>
      </c>
      <c r="AA285" s="269"/>
      <c r="AB285" s="270"/>
      <c r="AC285" s="270"/>
      <c r="AD285" s="270"/>
      <c r="AE285" s="270"/>
    </row>
    <row r="286">
      <c r="A286" s="256">
        <f>IFERROR(__xludf.DUMMYFUNCTION("""COMPUTED_VALUE"""),42431.29861111111)</f>
        <v>42431.29861</v>
      </c>
      <c r="B286" s="257" t="str">
        <f>IFERROR(__xludf.DUMMYFUNCTION("""COMPUTED_VALUE"""),"dosmont")</f>
        <v>dosmont</v>
      </c>
      <c r="C286" s="258" t="str">
        <f>IFERROR(__xludf.DUMMYFUNCTION("""COMPUTED_VALUE"""),"Europe (excluding UK) &amp; Asia Pacific")</f>
        <v>Europe (excluding UK) &amp; Asia Pacific</v>
      </c>
      <c r="D286" s="258" t="str">
        <f>IFERROR(__xludf.DUMMYFUNCTION("""COMPUTED_VALUE"""),"km. My car displays range in kilometres and I will enter all range numbers in kilometres.")</f>
        <v>km. My car displays range in kilometres and I will enter all range numbers in kilometres.</v>
      </c>
      <c r="E286" s="259">
        <f>IFERROR(__xludf.DUMMYFUNCTION("""COMPUTED_VALUE"""),42066.0)</f>
        <v>42066</v>
      </c>
      <c r="F286" s="258" t="str">
        <f>IFERROR(__xludf.DUMMYFUNCTION("""COMPUTED_VALUE"""),"Model S 85D")</f>
        <v>Model S 85D</v>
      </c>
      <c r="G286" s="258" t="str">
        <f>IFERROR(__xludf.DUMMYFUNCTION("""COMPUTED_VALUE"""),"Twice a month")</f>
        <v>Twice a month</v>
      </c>
      <c r="H286" s="258" t="str">
        <f>IFERROR(__xludf.DUMMYFUNCTION("""COMPUTED_VALUE"""),"Monthly")</f>
        <v>Monthly</v>
      </c>
      <c r="I286" s="258" t="str">
        <f>IFERROR(__xludf.DUMMYFUNCTION("""COMPUTED_VALUE"""),"A few times a year")</f>
        <v>A few times a year</v>
      </c>
      <c r="J286" s="260">
        <f>IFERROR(__xludf.DUMMYFUNCTION("""COMPUTED_VALUE"""),0.8)</f>
        <v>0.8</v>
      </c>
      <c r="K286" s="258">
        <f>IFERROR(__xludf.DUMMYFUNCTION("""COMPUTED_VALUE"""),409.0)</f>
        <v>409</v>
      </c>
      <c r="L286" s="258" t="str">
        <f>IFERROR(__xludf.DUMMYFUNCTION("""COMPUTED_VALUE"""),"")</f>
        <v/>
      </c>
      <c r="M286" s="261">
        <f>IFERROR(__xludf.DUMMYFUNCTION("""COMPUTED_VALUE"""),214.0)</f>
        <v>214</v>
      </c>
      <c r="N286" s="262" t="str">
        <f>IFERROR(__xludf.DUMMYFUNCTION("""COMPUTED_VALUE"""),"")</f>
        <v/>
      </c>
      <c r="O286" s="259" t="str">
        <f>IFERROR(__xludf.DUMMYFUNCTION("""COMPUTED_VALUE"""),"")</f>
        <v/>
      </c>
      <c r="P286" s="259">
        <f>IFERROR(__xludf.DUMMYFUNCTION("""COMPUTED_VALUE"""),42431.0)</f>
        <v>42431</v>
      </c>
      <c r="Q286" s="258">
        <f>IFERROR(__xludf.DUMMYFUNCTION("""COMPUTED_VALUE"""),36800.0)</f>
        <v>36800</v>
      </c>
      <c r="R286" s="261">
        <f>IFERROR(__xludf.DUMMYFUNCTION("""COMPUTED_VALUE"""),413.0)</f>
        <v>413</v>
      </c>
      <c r="S286" s="258">
        <v>425.0</v>
      </c>
      <c r="T286" s="263">
        <v>0.971764705882353</v>
      </c>
      <c r="U286" s="264">
        <v>22866.0</v>
      </c>
      <c r="V286" s="265">
        <v>36800.0</v>
      </c>
      <c r="W286" s="264">
        <v>22866.0</v>
      </c>
      <c r="X286" s="266" t="str">
        <f>IFERROR(__xludf.DUMMYFUNCTION("""COMPUTED_VALUE"""),"jpgrolle")</f>
        <v>jpgrolle</v>
      </c>
      <c r="Y286" s="267">
        <v>-0.01</v>
      </c>
      <c r="Z286" s="267">
        <v>0.9646548250844915</v>
      </c>
      <c r="AA286" s="269"/>
      <c r="AB286" s="270"/>
      <c r="AC286" s="270"/>
      <c r="AD286" s="270"/>
      <c r="AE286" s="270"/>
    </row>
    <row r="287">
      <c r="A287" s="256">
        <f>IFERROR(__xludf.DUMMYFUNCTION("""COMPUTED_VALUE"""),43073.64513888889)</f>
        <v>43073.64514</v>
      </c>
      <c r="B287" s="257" t="str">
        <f>IFERROR(__xludf.DUMMYFUNCTION("""COMPUTED_VALUE"""),"Dreamy")</f>
        <v>Dreamy</v>
      </c>
      <c r="C287" s="258" t="str">
        <f>IFERROR(__xludf.DUMMYFUNCTION("""COMPUTED_VALUE"""),"Europe (excluding UK) &amp; Asia Pacific")</f>
        <v>Europe (excluding UK) &amp; Asia Pacific</v>
      </c>
      <c r="D287" s="258" t="str">
        <f>IFERROR(__xludf.DUMMYFUNCTION("""COMPUTED_VALUE"""),"km. My car displays range in kilometres and I will enter all range numbers in kilometres.")</f>
        <v>km. My car displays range in kilometres and I will enter all range numbers in kilometres.</v>
      </c>
      <c r="E287" s="259">
        <f>IFERROR(__xludf.DUMMYFUNCTION("""COMPUTED_VALUE"""),42592.0)</f>
        <v>42592</v>
      </c>
      <c r="F287" s="258" t="str">
        <f>IFERROR(__xludf.DUMMYFUNCTION("""COMPUTED_VALUE"""),"Model X 90D")</f>
        <v>Model X 90D</v>
      </c>
      <c r="G287" s="258" t="str">
        <f>IFERROR(__xludf.DUMMYFUNCTION("""COMPUTED_VALUE"""),"Monthly")</f>
        <v>Monthly</v>
      </c>
      <c r="H287" s="258" t="str">
        <f>IFERROR(__xludf.DUMMYFUNCTION("""COMPUTED_VALUE"""),"A few times a year")</f>
        <v>A few times a year</v>
      </c>
      <c r="I287" s="258" t="str">
        <f>IFERROR(__xludf.DUMMYFUNCTION("""COMPUTED_VALUE"""),"A few times a year")</f>
        <v>A few times a year</v>
      </c>
      <c r="J287" s="260">
        <f>IFERROR(__xludf.DUMMYFUNCTION("""COMPUTED_VALUE"""),0.8)</f>
        <v>0.8</v>
      </c>
      <c r="K287" s="258">
        <f>IFERROR(__xludf.DUMMYFUNCTION("""COMPUTED_VALUE"""),397.0)</f>
        <v>397</v>
      </c>
      <c r="L287" s="258" t="str">
        <f>IFERROR(__xludf.DUMMYFUNCTION("""COMPUTED_VALUE"""),"")</f>
        <v/>
      </c>
      <c r="M287" s="261">
        <f>IFERROR(__xludf.DUMMYFUNCTION("""COMPUTED_VALUE"""),218.0)</f>
        <v>218</v>
      </c>
      <c r="N287" s="262" t="str">
        <f>IFERROR(__xludf.DUMMYFUNCTION("""COMPUTED_VALUE"""),"")</f>
        <v/>
      </c>
      <c r="O287" s="259" t="str">
        <f>IFERROR(__xludf.DUMMYFUNCTION("""COMPUTED_VALUE"""),"")</f>
        <v/>
      </c>
      <c r="P287" s="259">
        <f>IFERROR(__xludf.DUMMYFUNCTION("""COMPUTED_VALUE"""),43073.0)</f>
        <v>43073</v>
      </c>
      <c r="Q287" s="258">
        <f>IFERROR(__xludf.DUMMYFUNCTION("""COMPUTED_VALUE"""),28937.0)</f>
        <v>28937</v>
      </c>
      <c r="R287" s="261">
        <f>IFERROR(__xludf.DUMMYFUNCTION("""COMPUTED_VALUE"""),384.0)</f>
        <v>384</v>
      </c>
      <c r="S287" s="258">
        <v>400.0</v>
      </c>
      <c r="T287" s="263">
        <v>0.96</v>
      </c>
      <c r="U287" s="264">
        <v>17981.0</v>
      </c>
      <c r="V287" s="265">
        <v>28937.0</v>
      </c>
      <c r="W287" s="264">
        <v>17981.0</v>
      </c>
      <c r="X287" s="266" t="str">
        <f>IFERROR(__xludf.DUMMYFUNCTION("""COMPUTED_VALUE"""),"jtesla")</f>
        <v>jtesla</v>
      </c>
      <c r="Y287" s="267">
        <v>-0.01</v>
      </c>
      <c r="Z287" s="267">
        <v>0.9685450738772001</v>
      </c>
      <c r="AA287" s="269"/>
      <c r="AB287" s="270"/>
      <c r="AC287" s="270"/>
      <c r="AD287" s="270"/>
      <c r="AE287" s="270"/>
    </row>
    <row r="288">
      <c r="A288" s="256">
        <f>IFERROR(__xludf.DUMMYFUNCTION("""COMPUTED_VALUE"""),43148.70138888889)</f>
        <v>43148.70139</v>
      </c>
      <c r="B288" s="257" t="str">
        <f>IFERROR(__xludf.DUMMYFUNCTION("""COMPUTED_VALUE"""),"Dreamy")</f>
        <v>Dreamy</v>
      </c>
      <c r="C288" s="258" t="str">
        <f>IFERROR(__xludf.DUMMYFUNCTION("""COMPUTED_VALUE"""),"Europe (excluding UK) &amp; Asia Pacific")</f>
        <v>Europe (excluding UK) &amp; Asia Pacific</v>
      </c>
      <c r="D288" s="258" t="str">
        <f>IFERROR(__xludf.DUMMYFUNCTION("""COMPUTED_VALUE"""),"km. My car displays range in kilometres and I will enter all range numbers in kilometres.")</f>
        <v>km. My car displays range in kilometres and I will enter all range numbers in kilometres.</v>
      </c>
      <c r="E288" s="259">
        <f>IFERROR(__xludf.DUMMYFUNCTION("""COMPUTED_VALUE"""),42592.0)</f>
        <v>42592</v>
      </c>
      <c r="F288" s="258" t="str">
        <f>IFERROR(__xludf.DUMMYFUNCTION("""COMPUTED_VALUE"""),"Model X 90D")</f>
        <v>Model X 90D</v>
      </c>
      <c r="G288" s="258" t="str">
        <f>IFERROR(__xludf.DUMMYFUNCTION("""COMPUTED_VALUE"""),"Monthly")</f>
        <v>Monthly</v>
      </c>
      <c r="H288" s="258" t="str">
        <f>IFERROR(__xludf.DUMMYFUNCTION("""COMPUTED_VALUE"""),"A few times a year")</f>
        <v>A few times a year</v>
      </c>
      <c r="I288" s="258" t="str">
        <f>IFERROR(__xludf.DUMMYFUNCTION("""COMPUTED_VALUE"""),"A few times a year")</f>
        <v>A few times a year</v>
      </c>
      <c r="J288" s="260">
        <f>IFERROR(__xludf.DUMMYFUNCTION("""COMPUTED_VALUE"""),0.7)</f>
        <v>0.7</v>
      </c>
      <c r="K288" s="258">
        <f>IFERROR(__xludf.DUMMYFUNCTION("""COMPUTED_VALUE"""),397.0)</f>
        <v>397</v>
      </c>
      <c r="L288" s="258" t="str">
        <f>IFERROR(__xludf.DUMMYFUNCTION("""COMPUTED_VALUE"""),"")</f>
        <v/>
      </c>
      <c r="M288" s="261">
        <f>IFERROR(__xludf.DUMMYFUNCTION("""COMPUTED_VALUE"""),218.0)</f>
        <v>218</v>
      </c>
      <c r="N288" s="262" t="str">
        <f>IFERROR(__xludf.DUMMYFUNCTION("""COMPUTED_VALUE"""),"")</f>
        <v/>
      </c>
      <c r="O288" s="259" t="str">
        <f>IFERROR(__xludf.DUMMYFUNCTION("""COMPUTED_VALUE"""),"")</f>
        <v/>
      </c>
      <c r="P288" s="259">
        <f>IFERROR(__xludf.DUMMYFUNCTION("""COMPUTED_VALUE"""),43148.0)</f>
        <v>43148</v>
      </c>
      <c r="Q288" s="258">
        <f>IFERROR(__xludf.DUMMYFUNCTION("""COMPUTED_VALUE"""),35116.0)</f>
        <v>35116</v>
      </c>
      <c r="R288" s="261">
        <f>IFERROR(__xludf.DUMMYFUNCTION("""COMPUTED_VALUE"""),384.0)</f>
        <v>384</v>
      </c>
      <c r="S288" s="258">
        <v>400.0</v>
      </c>
      <c r="T288" s="263">
        <v>0.96</v>
      </c>
      <c r="U288" s="264">
        <v>21820.0</v>
      </c>
      <c r="V288" s="265">
        <v>35116.0</v>
      </c>
      <c r="W288" s="264">
        <v>21820.0</v>
      </c>
      <c r="X288" s="266" t="str">
        <f>IFERROR(__xludf.DUMMYFUNCTION("""COMPUTED_VALUE"""),"juergen767")</f>
        <v>juergen767</v>
      </c>
      <c r="Y288" s="267">
        <v>-0.01</v>
      </c>
      <c r="Z288" s="267">
        <v>0.9654117969939899</v>
      </c>
      <c r="AA288" s="269"/>
      <c r="AB288" s="270"/>
      <c r="AC288" s="270"/>
      <c r="AD288" s="270"/>
      <c r="AE288" s="270"/>
    </row>
    <row r="289">
      <c r="A289" s="256">
        <f>IFERROR(__xludf.DUMMYFUNCTION("""COMPUTED_VALUE"""),42246.754166666666)</f>
        <v>42246.75417</v>
      </c>
      <c r="B289" s="257" t="str">
        <f>IFERROR(__xludf.DUMMYFUNCTION("""COMPUTED_VALUE"""),"dredog03")</f>
        <v>dredog03</v>
      </c>
      <c r="C289" s="258" t="str">
        <f>IFERROR(__xludf.DUMMYFUNCTION("""COMPUTED_VALUE"""),"USA")</f>
        <v>USA</v>
      </c>
      <c r="D289" s="258" t="str">
        <f>IFERROR(__xludf.DUMMYFUNCTION("""COMPUTED_VALUE"""),"mi. My car displays range in miles and I will enter all range numbers in miles.")</f>
        <v>mi. My car displays range in miles and I will enter all range numbers in miles.</v>
      </c>
      <c r="E289" s="259">
        <f>IFERROR(__xludf.DUMMYFUNCTION("""COMPUTED_VALUE"""),41800.0)</f>
        <v>41800</v>
      </c>
      <c r="F289" s="258" t="str">
        <f>IFERROR(__xludf.DUMMYFUNCTION("""COMPUTED_VALUE"""),"Model S 60")</f>
        <v>Model S 60</v>
      </c>
      <c r="G289" s="258" t="str">
        <f>IFERROR(__xludf.DUMMYFUNCTION("""COMPUTED_VALUE"""),"Twice a month")</f>
        <v>Twice a month</v>
      </c>
      <c r="H289" s="258" t="str">
        <f>IFERROR(__xludf.DUMMYFUNCTION("""COMPUTED_VALUE"""),"Monthly")</f>
        <v>Monthly</v>
      </c>
      <c r="I289" s="258" t="str">
        <f>IFERROR(__xludf.DUMMYFUNCTION("""COMPUTED_VALUE"""),"Once or twice a year")</f>
        <v>Once or twice a year</v>
      </c>
      <c r="J289" s="260">
        <f>IFERROR(__xludf.DUMMYFUNCTION("""COMPUTED_VALUE"""),0.8)</f>
        <v>0.8</v>
      </c>
      <c r="K289" s="258" t="str">
        <f>IFERROR(__xludf.DUMMYFUNCTION("""COMPUTED_VALUE"""),"")</f>
        <v/>
      </c>
      <c r="L289" s="258" t="str">
        <f>IFERROR(__xludf.DUMMYFUNCTION("""COMPUTED_VALUE"""),"")</f>
        <v/>
      </c>
      <c r="M289" s="261">
        <f>IFERROR(__xludf.DUMMYFUNCTION("""COMPUTED_VALUE"""),266.0)</f>
        <v>266</v>
      </c>
      <c r="N289" s="262" t="str">
        <f>IFERROR(__xludf.DUMMYFUNCTION("""COMPUTED_VALUE"""),"")</f>
        <v/>
      </c>
      <c r="O289" s="259" t="str">
        <f>IFERROR(__xludf.DUMMYFUNCTION("""COMPUTED_VALUE"""),"")</f>
        <v/>
      </c>
      <c r="P289" s="259">
        <f>IFERROR(__xludf.DUMMYFUNCTION("""COMPUTED_VALUE"""),42246.0)</f>
        <v>42246</v>
      </c>
      <c r="Q289" s="258">
        <f>IFERROR(__xludf.DUMMYFUNCTION("""COMPUTED_VALUE"""),25500.0)</f>
        <v>25500</v>
      </c>
      <c r="R289" s="261">
        <f>IFERROR(__xludf.DUMMYFUNCTION("""COMPUTED_VALUE"""),186.0)</f>
        <v>186</v>
      </c>
      <c r="S289" s="258">
        <v>207.0</v>
      </c>
      <c r="T289" s="263">
        <v>0.8985507246376812</v>
      </c>
      <c r="U289" s="264">
        <v>25500.0</v>
      </c>
      <c r="V289" s="265">
        <v>41038.0</v>
      </c>
      <c r="W289" s="264">
        <v>25500.0</v>
      </c>
      <c r="X289" s="266" t="str">
        <f>IFERROR(__xludf.DUMMYFUNCTION("""COMPUTED_VALUE"""),"Juicer")</f>
        <v>Juicer</v>
      </c>
      <c r="Y289" s="267">
        <v>-0.01</v>
      </c>
      <c r="Z289" s="267">
        <v>0.9628948326487835</v>
      </c>
      <c r="AA289" s="269"/>
      <c r="AB289" s="270"/>
      <c r="AC289" s="270"/>
      <c r="AD289" s="270"/>
      <c r="AE289" s="270"/>
    </row>
    <row r="290">
      <c r="A290" s="256">
        <f>IFERROR(__xludf.DUMMYFUNCTION("""COMPUTED_VALUE"""),42347.77847222222)</f>
        <v>42347.77847</v>
      </c>
      <c r="B290" s="257" t="str">
        <f>IFERROR(__xludf.DUMMYFUNCTION("""COMPUTED_VALUE"""),"dredog03")</f>
        <v>dredog03</v>
      </c>
      <c r="C290" s="258" t="str">
        <f>IFERROR(__xludf.DUMMYFUNCTION("""COMPUTED_VALUE"""),"USA")</f>
        <v>USA</v>
      </c>
      <c r="D290" s="258" t="str">
        <f>IFERROR(__xludf.DUMMYFUNCTION("""COMPUTED_VALUE"""),"mi. My car displays range in miles and I will enter all range numbers in miles.")</f>
        <v>mi. My car displays range in miles and I will enter all range numbers in miles.</v>
      </c>
      <c r="E290" s="259">
        <f>IFERROR(__xludf.DUMMYFUNCTION("""COMPUTED_VALUE"""),41800.0)</f>
        <v>41800</v>
      </c>
      <c r="F290" s="258" t="str">
        <f>IFERROR(__xludf.DUMMYFUNCTION("""COMPUTED_VALUE"""),"Model S 60")</f>
        <v>Model S 60</v>
      </c>
      <c r="G290" s="258" t="str">
        <f>IFERROR(__xludf.DUMMYFUNCTION("""COMPUTED_VALUE"""),"Weekly")</f>
        <v>Weekly</v>
      </c>
      <c r="H290" s="258" t="str">
        <f>IFERROR(__xludf.DUMMYFUNCTION("""COMPUTED_VALUE"""),"A few times a year")</f>
        <v>A few times a year</v>
      </c>
      <c r="I290" s="258" t="str">
        <f>IFERROR(__xludf.DUMMYFUNCTION("""COMPUTED_VALUE"""),"Once or twice a year")</f>
        <v>Once or twice a year</v>
      </c>
      <c r="J290" s="260">
        <f>IFERROR(__xludf.DUMMYFUNCTION("""COMPUTED_VALUE"""),0.9)</f>
        <v>0.9</v>
      </c>
      <c r="K290" s="258">
        <f>IFERROR(__xludf.DUMMYFUNCTION("""COMPUTED_VALUE"""),208.0)</f>
        <v>208</v>
      </c>
      <c r="L290" s="258" t="str">
        <f>IFERROR(__xludf.DUMMYFUNCTION("""COMPUTED_VALUE"""),"")</f>
        <v/>
      </c>
      <c r="M290" s="261">
        <f>IFERROR(__xludf.DUMMYFUNCTION("""COMPUTED_VALUE"""),259.0)</f>
        <v>259</v>
      </c>
      <c r="N290" s="262" t="str">
        <f>IFERROR(__xludf.DUMMYFUNCTION("""COMPUTED_VALUE"""),"")</f>
        <v/>
      </c>
      <c r="O290" s="259" t="str">
        <f>IFERROR(__xludf.DUMMYFUNCTION("""COMPUTED_VALUE"""),"")</f>
        <v/>
      </c>
      <c r="P290" s="259">
        <f>IFERROR(__xludf.DUMMYFUNCTION("""COMPUTED_VALUE"""),42347.0)</f>
        <v>42347</v>
      </c>
      <c r="Q290" s="258">
        <f>IFERROR(__xludf.DUMMYFUNCTION("""COMPUTED_VALUE"""),36200.0)</f>
        <v>36200</v>
      </c>
      <c r="R290" s="261">
        <f>IFERROR(__xludf.DUMMYFUNCTION("""COMPUTED_VALUE"""),182.0)</f>
        <v>182</v>
      </c>
      <c r="S290" s="258">
        <v>207.0</v>
      </c>
      <c r="T290" s="263">
        <v>0.8792270531400966</v>
      </c>
      <c r="U290" s="264">
        <v>36200.0</v>
      </c>
      <c r="V290" s="265">
        <v>58258.0</v>
      </c>
      <c r="W290" s="264">
        <v>36200.0</v>
      </c>
      <c r="X290" s="266" t="str">
        <f>IFERROR(__xludf.DUMMYFUNCTION("""COMPUTED_VALUE"""),"Justin")</f>
        <v>Justin</v>
      </c>
      <c r="Y290" s="267">
        <v>-0.01</v>
      </c>
      <c r="Z290" s="267">
        <v>0.9571515589415556</v>
      </c>
      <c r="AA290" s="269"/>
      <c r="AB290" s="270"/>
      <c r="AC290" s="270"/>
      <c r="AD290" s="270"/>
      <c r="AE290" s="270"/>
    </row>
    <row r="291">
      <c r="A291" s="256">
        <f>IFERROR(__xludf.DUMMYFUNCTION("""COMPUTED_VALUE"""),42436.30069444445)</f>
        <v>42436.30069</v>
      </c>
      <c r="B291" s="257" t="str">
        <f>IFERROR(__xludf.DUMMYFUNCTION("""COMPUTED_VALUE"""),"Drinden")</f>
        <v>Drinden</v>
      </c>
      <c r="C291" s="258" t="str">
        <f>IFERROR(__xludf.DUMMYFUNCTION("""COMPUTED_VALUE"""),"Europe (excluding UK) &amp; Asia Pacific")</f>
        <v>Europe (excluding UK) &amp; Asia Pacific</v>
      </c>
      <c r="D291" s="258" t="str">
        <f>IFERROR(__xludf.DUMMYFUNCTION("""COMPUTED_VALUE"""),"km. My car displays range in kilometres and I will enter all range numbers in kilometres.")</f>
        <v>km. My car displays range in kilometres and I will enter all range numbers in kilometres.</v>
      </c>
      <c r="E291" s="259">
        <f>IFERROR(__xludf.DUMMYFUNCTION("""COMPUTED_VALUE"""),41722.0)</f>
        <v>41722</v>
      </c>
      <c r="F291" s="258" t="str">
        <f>IFERROR(__xludf.DUMMYFUNCTION("""COMPUTED_VALUE"""),"Model S 85")</f>
        <v>Model S 85</v>
      </c>
      <c r="G291" s="258" t="str">
        <f>IFERROR(__xludf.DUMMYFUNCTION("""COMPUTED_VALUE"""),"Monthly")</f>
        <v>Monthly</v>
      </c>
      <c r="H291" s="258" t="str">
        <f>IFERROR(__xludf.DUMMYFUNCTION("""COMPUTED_VALUE"""),"Once or twice a year")</f>
        <v>Once or twice a year</v>
      </c>
      <c r="I291" s="258" t="str">
        <f>IFERROR(__xludf.DUMMYFUNCTION("""COMPUTED_VALUE"""),"Once or twice a year")</f>
        <v>Once or twice a year</v>
      </c>
      <c r="J291" s="260">
        <f>IFERROR(__xludf.DUMMYFUNCTION("""COMPUTED_VALUE"""),0.8)</f>
        <v>0.8</v>
      </c>
      <c r="K291" s="258" t="str">
        <f>IFERROR(__xludf.DUMMYFUNCTION("""COMPUTED_VALUE"""),"")</f>
        <v/>
      </c>
      <c r="L291" s="258" t="str">
        <f>IFERROR(__xludf.DUMMYFUNCTION("""COMPUTED_VALUE"""),"")</f>
        <v/>
      </c>
      <c r="M291" s="261">
        <f>IFERROR(__xludf.DUMMYFUNCTION("""COMPUTED_VALUE"""),211.0)</f>
        <v>211</v>
      </c>
      <c r="N291" s="262" t="str">
        <f>IFERROR(__xludf.DUMMYFUNCTION("""COMPUTED_VALUE"""),"")</f>
        <v/>
      </c>
      <c r="O291" s="259" t="str">
        <f>IFERROR(__xludf.DUMMYFUNCTION("""COMPUTED_VALUE"""),"")</f>
        <v/>
      </c>
      <c r="P291" s="259">
        <f>IFERROR(__xludf.DUMMYFUNCTION("""COMPUTED_VALUE"""),42436.0)</f>
        <v>42436</v>
      </c>
      <c r="Q291" s="258">
        <f>IFERROR(__xludf.DUMMYFUNCTION("""COMPUTED_VALUE"""),65000.0)</f>
        <v>65000</v>
      </c>
      <c r="R291" s="261">
        <f>IFERROR(__xludf.DUMMYFUNCTION("""COMPUTED_VALUE"""),360.0)</f>
        <v>360</v>
      </c>
      <c r="S291" s="258">
        <v>395.0</v>
      </c>
      <c r="T291" s="263">
        <v>0.9113924050632911</v>
      </c>
      <c r="U291" s="264">
        <v>40389.0</v>
      </c>
      <c r="V291" s="265">
        <v>65000.0</v>
      </c>
      <c r="W291" s="264">
        <v>40389.0</v>
      </c>
      <c r="X291" s="266" t="str">
        <f>IFERROR(__xludf.DUMMYFUNCTION("""COMPUTED_VALUE"""),"justroll")</f>
        <v>justroll</v>
      </c>
      <c r="Y291" s="267">
        <v>-0.01</v>
      </c>
      <c r="Z291" s="267">
        <v>0.95526282125463</v>
      </c>
      <c r="AA291" s="269"/>
      <c r="AB291" s="270"/>
      <c r="AC291" s="270"/>
      <c r="AD291" s="270"/>
      <c r="AE291" s="270"/>
    </row>
    <row r="292">
      <c r="A292" s="256">
        <f>IFERROR(__xludf.DUMMYFUNCTION("""COMPUTED_VALUE"""),42802.51111111111)</f>
        <v>42802.51111</v>
      </c>
      <c r="B292" s="257" t="str">
        <f>IFERROR(__xludf.DUMMYFUNCTION("""COMPUTED_VALUE"""),"Drinden")</f>
        <v>Drinden</v>
      </c>
      <c r="C292" s="258" t="str">
        <f>IFERROR(__xludf.DUMMYFUNCTION("""COMPUTED_VALUE"""),"Europe (excluding UK) &amp; Asia Pacific")</f>
        <v>Europe (excluding UK) &amp; Asia Pacific</v>
      </c>
      <c r="D292" s="258" t="str">
        <f>IFERROR(__xludf.DUMMYFUNCTION("""COMPUTED_VALUE"""),"km. My car displays range in kilometres and I will enter all range numbers in kilometres.")</f>
        <v>km. My car displays range in kilometres and I will enter all range numbers in kilometres.</v>
      </c>
      <c r="E292" s="259">
        <f>IFERROR(__xludf.DUMMYFUNCTION("""COMPUTED_VALUE"""),41722.0)</f>
        <v>41722</v>
      </c>
      <c r="F292" s="258" t="str">
        <f>IFERROR(__xludf.DUMMYFUNCTION("""COMPUTED_VALUE"""),"Model S 85")</f>
        <v>Model S 85</v>
      </c>
      <c r="G292" s="258" t="str">
        <f>IFERROR(__xludf.DUMMYFUNCTION("""COMPUTED_VALUE"""),"Monthly")</f>
        <v>Monthly</v>
      </c>
      <c r="H292" s="258" t="str">
        <f>IFERROR(__xludf.DUMMYFUNCTION("""COMPUTED_VALUE"""),"A few times a year")</f>
        <v>A few times a year</v>
      </c>
      <c r="I292" s="258" t="str">
        <f>IFERROR(__xludf.DUMMYFUNCTION("""COMPUTED_VALUE"""),"Once or twice a year")</f>
        <v>Once or twice a year</v>
      </c>
      <c r="J292" s="260">
        <f>IFERROR(__xludf.DUMMYFUNCTION("""COMPUTED_VALUE"""),0.8)</f>
        <v>0.8</v>
      </c>
      <c r="K292" s="258" t="str">
        <f>IFERROR(__xludf.DUMMYFUNCTION("""COMPUTED_VALUE"""),"")</f>
        <v/>
      </c>
      <c r="L292" s="258" t="str">
        <f>IFERROR(__xludf.DUMMYFUNCTION("""COMPUTED_VALUE"""),"")</f>
        <v/>
      </c>
      <c r="M292" s="261">
        <f>IFERROR(__xludf.DUMMYFUNCTION("""COMPUTED_VALUE"""),210.0)</f>
        <v>210</v>
      </c>
      <c r="N292" s="262" t="str">
        <f>IFERROR(__xludf.DUMMYFUNCTION("""COMPUTED_VALUE"""),"")</f>
        <v/>
      </c>
      <c r="O292" s="259" t="str">
        <f>IFERROR(__xludf.DUMMYFUNCTION("""COMPUTED_VALUE"""),"")</f>
        <v/>
      </c>
      <c r="P292" s="259">
        <f>IFERROR(__xludf.DUMMYFUNCTION("""COMPUTED_VALUE"""),42802.0)</f>
        <v>42802</v>
      </c>
      <c r="Q292" s="258">
        <f>IFERROR(__xludf.DUMMYFUNCTION("""COMPUTED_VALUE"""),100000.0)</f>
        <v>100000</v>
      </c>
      <c r="R292" s="261">
        <f>IFERROR(__xludf.DUMMYFUNCTION("""COMPUTED_VALUE"""),359.0)</f>
        <v>359</v>
      </c>
      <c r="S292" s="258">
        <v>395.0</v>
      </c>
      <c r="T292" s="263">
        <v>0.9088607594936708</v>
      </c>
      <c r="U292" s="264">
        <v>62137.0</v>
      </c>
      <c r="V292" s="265">
        <v>100000.0</v>
      </c>
      <c r="W292" s="264">
        <v>62137.0</v>
      </c>
      <c r="X292" s="266" t="str">
        <f>IFERROR(__xludf.DUMMYFUNCTION("""COMPUTED_VALUE"""),"jvds")</f>
        <v>jvds</v>
      </c>
      <c r="Y292" s="267">
        <v>-0.01</v>
      </c>
      <c r="Z292" s="267">
        <v>0.9465856783080869</v>
      </c>
      <c r="AA292" s="269"/>
      <c r="AB292" s="270"/>
      <c r="AC292" s="270"/>
      <c r="AD292" s="270"/>
      <c r="AE292" s="270"/>
    </row>
    <row r="293">
      <c r="A293" s="256">
        <f>IFERROR(__xludf.DUMMYFUNCTION("""COMPUTED_VALUE"""),42419.290972222225)</f>
        <v>42419.29097</v>
      </c>
      <c r="B293" s="257" t="str">
        <f>IFERROR(__xludf.DUMMYFUNCTION("""COMPUTED_VALUE"""),"DRM")</f>
        <v>DRM</v>
      </c>
      <c r="C293" s="258" t="str">
        <f>IFERROR(__xludf.DUMMYFUNCTION("""COMPUTED_VALUE"""),"Europe (excluding UK) &amp; Asia Pacific")</f>
        <v>Europe (excluding UK) &amp; Asia Pacific</v>
      </c>
      <c r="D293" s="258" t="str">
        <f>IFERROR(__xludf.DUMMYFUNCTION("""COMPUTED_VALUE"""),"km. My car displays range in kilometres and I will enter all range numbers in kilometres.")</f>
        <v>km. My car displays range in kilometres and I will enter all range numbers in kilometres.</v>
      </c>
      <c r="E293" s="259">
        <f>IFERROR(__xludf.DUMMYFUNCTION("""COMPUTED_VALUE"""),41724.0)</f>
        <v>41724</v>
      </c>
      <c r="F293" s="258" t="str">
        <f>IFERROR(__xludf.DUMMYFUNCTION("""COMPUTED_VALUE"""),"Model S 85")</f>
        <v>Model S 85</v>
      </c>
      <c r="G293" s="258" t="str">
        <f>IFERROR(__xludf.DUMMYFUNCTION("""COMPUTED_VALUE"""),"Weekly")</f>
        <v>Weekly</v>
      </c>
      <c r="H293" s="258" t="str">
        <f>IFERROR(__xludf.DUMMYFUNCTION("""COMPUTED_VALUE"""),"Monthly")</f>
        <v>Monthly</v>
      </c>
      <c r="I293" s="258" t="str">
        <f>IFERROR(__xludf.DUMMYFUNCTION("""COMPUTED_VALUE"""),"Never")</f>
        <v>Never</v>
      </c>
      <c r="J293" s="260">
        <f>IFERROR(__xludf.DUMMYFUNCTION("""COMPUTED_VALUE"""),0.9)</f>
        <v>0.9</v>
      </c>
      <c r="K293" s="258" t="str">
        <f>IFERROR(__xludf.DUMMYFUNCTION("""COMPUTED_VALUE"""),"")</f>
        <v/>
      </c>
      <c r="L293" s="258" t="str">
        <f>IFERROR(__xludf.DUMMYFUNCTION("""COMPUTED_VALUE"""),"")</f>
        <v/>
      </c>
      <c r="M293" s="261">
        <f>IFERROR(__xludf.DUMMYFUNCTION("""COMPUTED_VALUE"""),222.0)</f>
        <v>222</v>
      </c>
      <c r="N293" s="262" t="str">
        <f>IFERROR(__xludf.DUMMYFUNCTION("""COMPUTED_VALUE"""),"")</f>
        <v/>
      </c>
      <c r="O293" s="259" t="str">
        <f>IFERROR(__xludf.DUMMYFUNCTION("""COMPUTED_VALUE"""),"")</f>
        <v/>
      </c>
      <c r="P293" s="259">
        <f>IFERROR(__xludf.DUMMYFUNCTION("""COMPUTED_VALUE"""),42419.0)</f>
        <v>42419</v>
      </c>
      <c r="Q293" s="258">
        <f>IFERROR(__xludf.DUMMYFUNCTION("""COMPUTED_VALUE"""),54000.0)</f>
        <v>54000</v>
      </c>
      <c r="R293" s="261">
        <f>IFERROR(__xludf.DUMMYFUNCTION("""COMPUTED_VALUE"""),372.0)</f>
        <v>372</v>
      </c>
      <c r="S293" s="258">
        <v>395.0</v>
      </c>
      <c r="T293" s="263">
        <v>0.9417721518987342</v>
      </c>
      <c r="U293" s="264">
        <v>33554.0</v>
      </c>
      <c r="V293" s="265">
        <v>54000.0</v>
      </c>
      <c r="W293" s="264">
        <v>33554.0</v>
      </c>
      <c r="X293" s="266" t="str">
        <f>IFERROR(__xludf.DUMMYFUNCTION("""COMPUTED_VALUE"""),"KaJu74")</f>
        <v>KaJu74</v>
      </c>
      <c r="Y293" s="267">
        <v>-0.01</v>
      </c>
      <c r="Z293" s="267">
        <v>0.9584227207266385</v>
      </c>
      <c r="AA293" s="269"/>
      <c r="AB293" s="270"/>
      <c r="AC293" s="270"/>
      <c r="AD293" s="270"/>
      <c r="AE293" s="270"/>
    </row>
    <row r="294">
      <c r="A294" s="256">
        <f>IFERROR(__xludf.DUMMYFUNCTION("""COMPUTED_VALUE"""),42735.48055555555)</f>
        <v>42735.48056</v>
      </c>
      <c r="B294" s="257" t="str">
        <f>IFERROR(__xludf.DUMMYFUNCTION("""COMPUTED_VALUE"""),"DRM")</f>
        <v>DRM</v>
      </c>
      <c r="C294" s="258" t="str">
        <f>IFERROR(__xludf.DUMMYFUNCTION("""COMPUTED_VALUE"""),"Europe (excluding UK) &amp; Asia Pacific")</f>
        <v>Europe (excluding UK) &amp; Asia Pacific</v>
      </c>
      <c r="D294" s="258" t="str">
        <f>IFERROR(__xludf.DUMMYFUNCTION("""COMPUTED_VALUE"""),"km. My car displays range in kilometres and I will enter all range numbers in kilometres.")</f>
        <v>km. My car displays range in kilometres and I will enter all range numbers in kilometres.</v>
      </c>
      <c r="E294" s="259">
        <f>IFERROR(__xludf.DUMMYFUNCTION("""COMPUTED_VALUE"""),41721.0)</f>
        <v>41721</v>
      </c>
      <c r="F294" s="258" t="str">
        <f>IFERROR(__xludf.DUMMYFUNCTION("""COMPUTED_VALUE"""),"Model S 85")</f>
        <v>Model S 85</v>
      </c>
      <c r="G294" s="258" t="str">
        <f>IFERROR(__xludf.DUMMYFUNCTION("""COMPUTED_VALUE"""),"")</f>
        <v/>
      </c>
      <c r="H294" s="258" t="str">
        <f>IFERROR(__xludf.DUMMYFUNCTION("""COMPUTED_VALUE"""),"")</f>
        <v/>
      </c>
      <c r="I294" s="258" t="str">
        <f>IFERROR(__xludf.DUMMYFUNCTION("""COMPUTED_VALUE"""),"")</f>
        <v/>
      </c>
      <c r="J294" s="260" t="str">
        <f>IFERROR(__xludf.DUMMYFUNCTION("""COMPUTED_VALUE"""),"")</f>
        <v/>
      </c>
      <c r="K294" s="258" t="str">
        <f>IFERROR(__xludf.DUMMYFUNCTION("""COMPUTED_VALUE"""),"")</f>
        <v/>
      </c>
      <c r="L294" s="258" t="str">
        <f>IFERROR(__xludf.DUMMYFUNCTION("""COMPUTED_VALUE"""),"")</f>
        <v/>
      </c>
      <c r="M294" s="261">
        <f>IFERROR(__xludf.DUMMYFUNCTION("""COMPUTED_VALUE"""),218.0)</f>
        <v>218</v>
      </c>
      <c r="N294" s="262" t="str">
        <f>IFERROR(__xludf.DUMMYFUNCTION("""COMPUTED_VALUE"""),"")</f>
        <v/>
      </c>
      <c r="O294" s="259" t="str">
        <f>IFERROR(__xludf.DUMMYFUNCTION("""COMPUTED_VALUE"""),"")</f>
        <v/>
      </c>
      <c r="P294" s="259">
        <f>IFERROR(__xludf.DUMMYFUNCTION("""COMPUTED_VALUE"""),42735.0)</f>
        <v>42735</v>
      </c>
      <c r="Q294" s="258">
        <f>IFERROR(__xludf.DUMMYFUNCTION("""COMPUTED_VALUE"""),79950.0)</f>
        <v>79950</v>
      </c>
      <c r="R294" s="261">
        <f>IFERROR(__xludf.DUMMYFUNCTION("""COMPUTED_VALUE"""),389.0)</f>
        <v>389</v>
      </c>
      <c r="S294" s="258">
        <v>395.0</v>
      </c>
      <c r="T294" s="263">
        <v>0.9848101265822785</v>
      </c>
      <c r="U294" s="264">
        <v>49679.0</v>
      </c>
      <c r="V294" s="265">
        <v>79950.0</v>
      </c>
      <c r="W294" s="264">
        <v>49679.0</v>
      </c>
      <c r="X294" s="266" t="str">
        <f>IFERROR(__xludf.DUMMYFUNCTION("""COMPUTED_VALUE"""),"Kalud")</f>
        <v>Kalud</v>
      </c>
      <c r="Y294" s="267">
        <v>-0.01</v>
      </c>
      <c r="Z294" s="267">
        <v>0.951410835720637</v>
      </c>
      <c r="AA294" s="269"/>
      <c r="AB294" s="270"/>
      <c r="AC294" s="270"/>
      <c r="AD294" s="270"/>
      <c r="AE294" s="270"/>
    </row>
    <row r="295">
      <c r="A295" s="256">
        <f>IFERROR(__xludf.DUMMYFUNCTION("""COMPUTED_VALUE"""),43649.81723069444)</f>
        <v>43649.81723</v>
      </c>
      <c r="B295" s="257" t="str">
        <f>IFERROR(__xludf.DUMMYFUNCTION("""COMPUTED_VALUE"""),"Dryland")</f>
        <v>Dryland</v>
      </c>
      <c r="C295" s="258" t="str">
        <f>IFERROR(__xludf.DUMMYFUNCTION("""COMPUTED_VALUE"""),"USA")</f>
        <v>USA</v>
      </c>
      <c r="D295" s="258" t="str">
        <f>IFERROR(__xludf.DUMMYFUNCTION("""COMPUTED_VALUE"""),"mi. My car displays range in miles and I will enter all range numbers in miles.")</f>
        <v>mi. My car displays range in miles and I will enter all range numbers in miles.</v>
      </c>
      <c r="E295" s="259">
        <f>IFERROR(__xludf.DUMMYFUNCTION("""COMPUTED_VALUE"""),41883.0)</f>
        <v>41883</v>
      </c>
      <c r="F295" s="258" t="str">
        <f>IFERROR(__xludf.DUMMYFUNCTION("""COMPUTED_VALUE"""),"Model S 60")</f>
        <v>Model S 60</v>
      </c>
      <c r="G295" s="258" t="str">
        <f>IFERROR(__xludf.DUMMYFUNCTION("""COMPUTED_VALUE"""),"A few times a year")</f>
        <v>A few times a year</v>
      </c>
      <c r="H295" s="258" t="str">
        <f>IFERROR(__xludf.DUMMYFUNCTION("""COMPUTED_VALUE"""),"Monthly")</f>
        <v>Monthly</v>
      </c>
      <c r="I295" s="258" t="str">
        <f>IFERROR(__xludf.DUMMYFUNCTION("""COMPUTED_VALUE"""),"Never")</f>
        <v>Never</v>
      </c>
      <c r="J295" s="260">
        <f>IFERROR(__xludf.DUMMYFUNCTION("""COMPUTED_VALUE"""),0.9)</f>
        <v>0.9</v>
      </c>
      <c r="K295" s="258">
        <f>IFERROR(__xludf.DUMMYFUNCTION("""COMPUTED_VALUE"""),208.0)</f>
        <v>208</v>
      </c>
      <c r="L295" s="258" t="str">
        <f>IFERROR(__xludf.DUMMYFUNCTION("""COMPUTED_VALUE"""),"")</f>
        <v/>
      </c>
      <c r="M295" s="261">
        <f>IFERROR(__xludf.DUMMYFUNCTION("""COMPUTED_VALUE"""),293.0)</f>
        <v>293</v>
      </c>
      <c r="N295" s="262" t="str">
        <f>IFERROR(__xludf.DUMMYFUNCTION("""COMPUTED_VALUE"""),"")</f>
        <v/>
      </c>
      <c r="O295" s="259" t="str">
        <f>IFERROR(__xludf.DUMMYFUNCTION("""COMPUTED_VALUE"""),"")</f>
        <v/>
      </c>
      <c r="P295" s="259">
        <f>IFERROR(__xludf.DUMMYFUNCTION("""COMPUTED_VALUE"""),43645.0)</f>
        <v>43645</v>
      </c>
      <c r="Q295" s="258">
        <f>IFERROR(__xludf.DUMMYFUNCTION("""COMPUTED_VALUE"""),85500.0)</f>
        <v>85500</v>
      </c>
      <c r="R295" s="261">
        <f>IFERROR(__xludf.DUMMYFUNCTION("""COMPUTED_VALUE"""),194.0)</f>
        <v>194</v>
      </c>
      <c r="S295" s="258">
        <v>207.0</v>
      </c>
      <c r="T295" s="263">
        <v>0.9371980676328503</v>
      </c>
      <c r="U295" s="264">
        <v>85500.0</v>
      </c>
      <c r="V295" s="265">
        <v>137599.0</v>
      </c>
      <c r="W295" s="264">
        <v>85500.0</v>
      </c>
      <c r="X295" s="266" t="str">
        <f>IFERROR(__xludf.DUMMYFUNCTION("""COMPUTED_VALUE"""),"kbekaert")</f>
        <v>kbekaert</v>
      </c>
      <c r="Y295" s="267">
        <v>-0.01</v>
      </c>
      <c r="Z295" s="267">
        <v>0.9378329102828583</v>
      </c>
      <c r="AA295" s="269"/>
      <c r="AB295" s="270"/>
      <c r="AC295" s="270"/>
      <c r="AD295" s="270"/>
      <c r="AE295" s="270"/>
    </row>
    <row r="296">
      <c r="A296" s="256">
        <f>IFERROR(__xludf.DUMMYFUNCTION("""COMPUTED_VALUE"""),43739.66476373843)</f>
        <v>43739.66476</v>
      </c>
      <c r="B296" s="257" t="str">
        <f>IFERROR(__xludf.DUMMYFUNCTION("""COMPUTED_VALUE"""),"DRZMKRMT")</f>
        <v>DRZMKRMT</v>
      </c>
      <c r="C296" s="258" t="str">
        <f>IFERROR(__xludf.DUMMYFUNCTION("""COMPUTED_VALUE"""),"Europe (excluding UK) &amp; Asia Pacific")</f>
        <v>Europe (excluding UK) &amp; Asia Pacific</v>
      </c>
      <c r="D296" s="258" t="str">
        <f>IFERROR(__xludf.DUMMYFUNCTION("""COMPUTED_VALUE"""),"km. My car displays range in kilometres and I will enter all range numbers in kilometres.")</f>
        <v>km. My car displays range in kilometres and I will enter all range numbers in kilometres.</v>
      </c>
      <c r="E296" s="259">
        <f>IFERROR(__xludf.DUMMYFUNCTION("""COMPUTED_VALUE"""),43616.0)</f>
        <v>43616</v>
      </c>
      <c r="F296" s="258" t="str">
        <f>IFERROR(__xludf.DUMMYFUNCTION("""COMPUTED_VALUE"""),"Model 3 SR+")</f>
        <v>Model 3 SR+</v>
      </c>
      <c r="G296" s="258" t="str">
        <f>IFERROR(__xludf.DUMMYFUNCTION("""COMPUTED_VALUE"""),"Twice a month")</f>
        <v>Twice a month</v>
      </c>
      <c r="H296" s="258" t="str">
        <f>IFERROR(__xludf.DUMMYFUNCTION("""COMPUTED_VALUE"""),"A few times a year")</f>
        <v>A few times a year</v>
      </c>
      <c r="I296" s="258" t="str">
        <f>IFERROR(__xludf.DUMMYFUNCTION("""COMPUTED_VALUE"""),"")</f>
        <v/>
      </c>
      <c r="J296" s="260">
        <f>IFERROR(__xludf.DUMMYFUNCTION("""COMPUTED_VALUE"""),0.8)</f>
        <v>0.8</v>
      </c>
      <c r="K296" s="258" t="str">
        <f>IFERROR(__xludf.DUMMYFUNCTION("""COMPUTED_VALUE"""),"")</f>
        <v/>
      </c>
      <c r="L296" s="258" t="str">
        <f>IFERROR(__xludf.DUMMYFUNCTION("""COMPUTED_VALUE"""),"")</f>
        <v/>
      </c>
      <c r="M296" s="261">
        <f>IFERROR(__xludf.DUMMYFUNCTION("""COMPUTED_VALUE"""),149.0)</f>
        <v>149</v>
      </c>
      <c r="N296" s="262" t="str">
        <f>IFERROR(__xludf.DUMMYFUNCTION("""COMPUTED_VALUE"""),"")</f>
        <v/>
      </c>
      <c r="O296" s="259" t="str">
        <f>IFERROR(__xludf.DUMMYFUNCTION("""COMPUTED_VALUE"""),"")</f>
        <v/>
      </c>
      <c r="P296" s="259">
        <f>IFERROR(__xludf.DUMMYFUNCTION("""COMPUTED_VALUE"""),43651.0)</f>
        <v>43651</v>
      </c>
      <c r="Q296" s="258">
        <f>IFERROR(__xludf.DUMMYFUNCTION("""COMPUTED_VALUE"""),954.0)</f>
        <v>954</v>
      </c>
      <c r="R296" s="261">
        <f>IFERROR(__xludf.DUMMYFUNCTION("""COMPUTED_VALUE"""),382.0)</f>
        <v>382</v>
      </c>
      <c r="S296" s="258">
        <v>415.0</v>
      </c>
      <c r="T296" s="263">
        <v>0.9204819277108434</v>
      </c>
      <c r="U296" s="264">
        <v>593.0</v>
      </c>
      <c r="V296" s="265">
        <v>954.0</v>
      </c>
      <c r="W296" s="264">
        <v>593.0</v>
      </c>
      <c r="X296" s="266" t="str">
        <f>IFERROR(__xludf.DUMMYFUNCTION("""COMPUTED_VALUE"""),"KC")</f>
        <v>KC</v>
      </c>
      <c r="Y296" s="267">
        <v>-0.01</v>
      </c>
      <c r="Z296" s="267">
        <v>0.9981375461214427</v>
      </c>
      <c r="AA296" s="269"/>
      <c r="AB296" s="270"/>
      <c r="AC296" s="270"/>
      <c r="AD296" s="270"/>
      <c r="AE296" s="270"/>
    </row>
    <row r="297">
      <c r="A297" s="256">
        <f>IFERROR(__xludf.DUMMYFUNCTION("""COMPUTED_VALUE"""),43739.66476373843)</f>
        <v>43739.66476</v>
      </c>
      <c r="B297" s="257" t="str">
        <f>IFERROR(__xludf.DUMMYFUNCTION("""COMPUTED_VALUE"""),"DRZMKRMT")</f>
        <v>DRZMKRMT</v>
      </c>
      <c r="C297" s="258" t="str">
        <f>IFERROR(__xludf.DUMMYFUNCTION("""COMPUTED_VALUE"""),"Europe (excluding UK) &amp; Asia Pacific")</f>
        <v>Europe (excluding UK) &amp; Asia Pacific</v>
      </c>
      <c r="D297" s="258" t="str">
        <f>IFERROR(__xludf.DUMMYFUNCTION("""COMPUTED_VALUE"""),"km. My car displays range in kilometres and I will enter all range numbers in kilometres.")</f>
        <v>km. My car displays range in kilometres and I will enter all range numbers in kilometres.</v>
      </c>
      <c r="E297" s="259">
        <f>IFERROR(__xludf.DUMMYFUNCTION("""COMPUTED_VALUE"""),43616.0)</f>
        <v>43616</v>
      </c>
      <c r="F297" s="258" t="str">
        <f>IFERROR(__xludf.DUMMYFUNCTION("""COMPUTED_VALUE"""),"Model 3 SR+")</f>
        <v>Model 3 SR+</v>
      </c>
      <c r="G297" s="258" t="str">
        <f>IFERROR(__xludf.DUMMYFUNCTION("""COMPUTED_VALUE"""),"Twice a month")</f>
        <v>Twice a month</v>
      </c>
      <c r="H297" s="258" t="str">
        <f>IFERROR(__xludf.DUMMYFUNCTION("""COMPUTED_VALUE"""),"A few times a year")</f>
        <v>A few times a year</v>
      </c>
      <c r="I297" s="258" t="str">
        <f>IFERROR(__xludf.DUMMYFUNCTION("""COMPUTED_VALUE"""),"")</f>
        <v/>
      </c>
      <c r="J297" s="260">
        <f>IFERROR(__xludf.DUMMYFUNCTION("""COMPUTED_VALUE"""),0.8)</f>
        <v>0.8</v>
      </c>
      <c r="K297" s="258" t="str">
        <f>IFERROR(__xludf.DUMMYFUNCTION("""COMPUTED_VALUE"""),"")</f>
        <v/>
      </c>
      <c r="L297" s="258" t="str">
        <f>IFERROR(__xludf.DUMMYFUNCTION("""COMPUTED_VALUE"""),"")</f>
        <v/>
      </c>
      <c r="M297" s="261">
        <f>IFERROR(__xludf.DUMMYFUNCTION("""COMPUTED_VALUE"""),149.0)</f>
        <v>149</v>
      </c>
      <c r="N297" s="262" t="str">
        <f>IFERROR(__xludf.DUMMYFUNCTION("""COMPUTED_VALUE"""),"")</f>
        <v/>
      </c>
      <c r="O297" s="259" t="str">
        <f>IFERROR(__xludf.DUMMYFUNCTION("""COMPUTED_VALUE"""),"")</f>
        <v/>
      </c>
      <c r="P297" s="259">
        <f>IFERROR(__xludf.DUMMYFUNCTION("""COMPUTED_VALUE"""),43737.0)</f>
        <v>43737</v>
      </c>
      <c r="Q297" s="258">
        <f>IFERROR(__xludf.DUMMYFUNCTION("""COMPUTED_VALUE"""),5000.0)</f>
        <v>5000</v>
      </c>
      <c r="R297" s="261">
        <f>IFERROR(__xludf.DUMMYFUNCTION("""COMPUTED_VALUE"""),370.0)</f>
        <v>370</v>
      </c>
      <c r="S297" s="258">
        <v>415.0</v>
      </c>
      <c r="T297" s="263">
        <v>0.891566265060241</v>
      </c>
      <c r="U297" s="264">
        <v>3107.0</v>
      </c>
      <c r="V297" s="265">
        <v>5000.0</v>
      </c>
      <c r="W297" s="264">
        <v>3107.0</v>
      </c>
      <c r="X297" s="266" t="str">
        <f>IFERROR(__xludf.DUMMYFUNCTION("""COMPUTED_VALUE"""),"kcain")</f>
        <v>kcain</v>
      </c>
      <c r="Y297" s="267">
        <v>-0.01</v>
      </c>
      <c r="Z297" s="267">
        <v>0.9911678953735428</v>
      </c>
      <c r="AA297" s="269"/>
      <c r="AB297" s="270"/>
      <c r="AC297" s="270"/>
      <c r="AD297" s="270"/>
      <c r="AE297" s="270"/>
    </row>
    <row r="298">
      <c r="A298" s="256">
        <f>IFERROR(__xludf.DUMMYFUNCTION("""COMPUTED_VALUE"""),43815.68189659723)</f>
        <v>43815.6819</v>
      </c>
      <c r="B298" s="257" t="str">
        <f>IFERROR(__xludf.DUMMYFUNCTION("""COMPUTED_VALUE"""),"DvdBlink")</f>
        <v>DvdBlink</v>
      </c>
      <c r="C298" s="258" t="str">
        <f>IFERROR(__xludf.DUMMYFUNCTION("""COMPUTED_VALUE"""),"Europe (excluding UK) &amp; Asia Pacific")</f>
        <v>Europe (excluding UK) &amp; Asia Pacific</v>
      </c>
      <c r="D298" s="258" t="str">
        <f>IFERROR(__xludf.DUMMYFUNCTION("""COMPUTED_VALUE"""),"km. My car displays range in kilometres and I will enter all range numbers in kilometres.")</f>
        <v>km. My car displays range in kilometres and I will enter all range numbers in kilometres.</v>
      </c>
      <c r="E298" s="259">
        <f>IFERROR(__xludf.DUMMYFUNCTION("""COMPUTED_VALUE"""),43132.0)</f>
        <v>43132</v>
      </c>
      <c r="F298" s="258" t="str">
        <f>IFERROR(__xludf.DUMMYFUNCTION("""COMPUTED_VALUE"""),"Model S 75D")</f>
        <v>Model S 75D</v>
      </c>
      <c r="G298" s="258" t="str">
        <f>IFERROR(__xludf.DUMMYFUNCTION("""COMPUTED_VALUE"""),"Weekly")</f>
        <v>Weekly</v>
      </c>
      <c r="H298" s="258" t="str">
        <f>IFERROR(__xludf.DUMMYFUNCTION("""COMPUTED_VALUE"""),"Monthly")</f>
        <v>Monthly</v>
      </c>
      <c r="I298" s="258" t="str">
        <f>IFERROR(__xludf.DUMMYFUNCTION("""COMPUTED_VALUE"""),"A few times a year")</f>
        <v>A few times a year</v>
      </c>
      <c r="J298" s="260">
        <f>IFERROR(__xludf.DUMMYFUNCTION("""COMPUTED_VALUE"""),0.8)</f>
        <v>0.8</v>
      </c>
      <c r="K298" s="258">
        <f>IFERROR(__xludf.DUMMYFUNCTION("""COMPUTED_VALUE"""),386.0)</f>
        <v>386</v>
      </c>
      <c r="L298" s="258" t="str">
        <f>IFERROR(__xludf.DUMMYFUNCTION("""COMPUTED_VALUE"""),"")</f>
        <v/>
      </c>
      <c r="M298" s="261">
        <f>IFERROR(__xludf.DUMMYFUNCTION("""COMPUTED_VALUE"""),194.0)</f>
        <v>194</v>
      </c>
      <c r="N298" s="262" t="str">
        <f>IFERROR(__xludf.DUMMYFUNCTION("""COMPUTED_VALUE"""),"")</f>
        <v/>
      </c>
      <c r="O298" s="259" t="str">
        <f>IFERROR(__xludf.DUMMYFUNCTION("""COMPUTED_VALUE"""),"")</f>
        <v/>
      </c>
      <c r="P298" s="259">
        <f>IFERROR(__xludf.DUMMYFUNCTION("""COMPUTED_VALUE"""),43269.0)</f>
        <v>43269</v>
      </c>
      <c r="Q298" s="258">
        <f>IFERROR(__xludf.DUMMYFUNCTION("""COMPUTED_VALUE"""),3767.0)</f>
        <v>3767</v>
      </c>
      <c r="R298" s="261">
        <f>IFERROR(__xludf.DUMMYFUNCTION("""COMPUTED_VALUE"""),386.0)</f>
        <v>386</v>
      </c>
      <c r="S298" s="258">
        <v>384.0</v>
      </c>
      <c r="T298" s="263">
        <v>1.0052083333333333</v>
      </c>
      <c r="U298" s="264">
        <v>2341.0</v>
      </c>
      <c r="V298" s="265">
        <v>3767.0</v>
      </c>
      <c r="W298" s="264">
        <v>2341.0</v>
      </c>
      <c r="X298" s="266" t="str">
        <f>IFERROR(__xludf.DUMMYFUNCTION("""COMPUTED_VALUE"""),"Keezje")</f>
        <v>Keezje</v>
      </c>
      <c r="Y298" s="267">
        <v>-0.01</v>
      </c>
      <c r="Z298" s="267">
        <v>0.9931438823877257</v>
      </c>
      <c r="AA298" s="269"/>
      <c r="AB298" s="270"/>
      <c r="AC298" s="270"/>
      <c r="AD298" s="270"/>
      <c r="AE298" s="270"/>
    </row>
    <row r="299">
      <c r="A299" s="256">
        <f>IFERROR(__xludf.DUMMYFUNCTION("""COMPUTED_VALUE"""),43815.68189659723)</f>
        <v>43815.6819</v>
      </c>
      <c r="B299" s="257" t="str">
        <f>IFERROR(__xludf.DUMMYFUNCTION("""COMPUTED_VALUE"""),"DvdBlink")</f>
        <v>DvdBlink</v>
      </c>
      <c r="C299" s="258" t="str">
        <f>IFERROR(__xludf.DUMMYFUNCTION("""COMPUTED_VALUE"""),"Europe (excluding UK) &amp; Asia Pacific")</f>
        <v>Europe (excluding UK) &amp; Asia Pacific</v>
      </c>
      <c r="D299" s="258" t="str">
        <f>IFERROR(__xludf.DUMMYFUNCTION("""COMPUTED_VALUE"""),"km. My car displays range in kilometres and I will enter all range numbers in kilometres.")</f>
        <v>km. My car displays range in kilometres and I will enter all range numbers in kilometres.</v>
      </c>
      <c r="E299" s="259">
        <f>IFERROR(__xludf.DUMMYFUNCTION("""COMPUTED_VALUE"""),43132.0)</f>
        <v>43132</v>
      </c>
      <c r="F299" s="258" t="str">
        <f>IFERROR(__xludf.DUMMYFUNCTION("""COMPUTED_VALUE"""),"Model S 75D")</f>
        <v>Model S 75D</v>
      </c>
      <c r="G299" s="258" t="str">
        <f>IFERROR(__xludf.DUMMYFUNCTION("""COMPUTED_VALUE"""),"Weekly")</f>
        <v>Weekly</v>
      </c>
      <c r="H299" s="258" t="str">
        <f>IFERROR(__xludf.DUMMYFUNCTION("""COMPUTED_VALUE"""),"Monthly")</f>
        <v>Monthly</v>
      </c>
      <c r="I299" s="258" t="str">
        <f>IFERROR(__xludf.DUMMYFUNCTION("""COMPUTED_VALUE"""),"A few times a year")</f>
        <v>A few times a year</v>
      </c>
      <c r="J299" s="260">
        <f>IFERROR(__xludf.DUMMYFUNCTION("""COMPUTED_VALUE"""),0.8)</f>
        <v>0.8</v>
      </c>
      <c r="K299" s="258">
        <f>IFERROR(__xludf.DUMMYFUNCTION("""COMPUTED_VALUE"""),386.0)</f>
        <v>386</v>
      </c>
      <c r="L299" s="258" t="str">
        <f>IFERROR(__xludf.DUMMYFUNCTION("""COMPUTED_VALUE"""),"")</f>
        <v/>
      </c>
      <c r="M299" s="261">
        <f>IFERROR(__xludf.DUMMYFUNCTION("""COMPUTED_VALUE"""),194.0)</f>
        <v>194</v>
      </c>
      <c r="N299" s="262" t="str">
        <f>IFERROR(__xludf.DUMMYFUNCTION("""COMPUTED_VALUE"""),"")</f>
        <v/>
      </c>
      <c r="O299" s="259" t="str">
        <f>IFERROR(__xludf.DUMMYFUNCTION("""COMPUTED_VALUE"""),"")</f>
        <v/>
      </c>
      <c r="P299" s="259">
        <f>IFERROR(__xludf.DUMMYFUNCTION("""COMPUTED_VALUE"""),43390.0)</f>
        <v>43390</v>
      </c>
      <c r="Q299" s="258">
        <f>IFERROR(__xludf.DUMMYFUNCTION("""COMPUTED_VALUE"""),11479.0)</f>
        <v>11479</v>
      </c>
      <c r="R299" s="261">
        <f>IFERROR(__xludf.DUMMYFUNCTION("""COMPUTED_VALUE"""),378.0)</f>
        <v>378</v>
      </c>
      <c r="S299" s="258">
        <v>384.0</v>
      </c>
      <c r="T299" s="263">
        <v>0.984375</v>
      </c>
      <c r="U299" s="264">
        <v>7133.0</v>
      </c>
      <c r="V299" s="265">
        <v>11479.0</v>
      </c>
      <c r="W299" s="264">
        <v>7133.0</v>
      </c>
      <c r="X299" s="266" t="str">
        <f>IFERROR(__xludf.DUMMYFUNCTION("""COMPUTED_VALUE"""),"Kensiko")</f>
        <v>Kensiko</v>
      </c>
      <c r="Y299" s="267">
        <v>-0.01</v>
      </c>
      <c r="Z299" s="267">
        <v>0.982529372343707</v>
      </c>
      <c r="AA299" s="269"/>
      <c r="AB299" s="270"/>
      <c r="AC299" s="270"/>
      <c r="AD299" s="270"/>
      <c r="AE299" s="270"/>
    </row>
    <row r="300">
      <c r="A300" s="256">
        <f>IFERROR(__xludf.DUMMYFUNCTION("""COMPUTED_VALUE"""),43815.68189659723)</f>
        <v>43815.6819</v>
      </c>
      <c r="B300" s="257" t="str">
        <f>IFERROR(__xludf.DUMMYFUNCTION("""COMPUTED_VALUE"""),"DvdBlink")</f>
        <v>DvdBlink</v>
      </c>
      <c r="C300" s="258" t="str">
        <f>IFERROR(__xludf.DUMMYFUNCTION("""COMPUTED_VALUE"""),"Europe (excluding UK) &amp; Asia Pacific")</f>
        <v>Europe (excluding UK) &amp; Asia Pacific</v>
      </c>
      <c r="D300" s="258" t="str">
        <f>IFERROR(__xludf.DUMMYFUNCTION("""COMPUTED_VALUE"""),"km. My car displays range in kilometres and I will enter all range numbers in kilometres.")</f>
        <v>km. My car displays range in kilometres and I will enter all range numbers in kilometres.</v>
      </c>
      <c r="E300" s="259">
        <f>IFERROR(__xludf.DUMMYFUNCTION("""COMPUTED_VALUE"""),43132.0)</f>
        <v>43132</v>
      </c>
      <c r="F300" s="258" t="str">
        <f>IFERROR(__xludf.DUMMYFUNCTION("""COMPUTED_VALUE"""),"Model S 75D")</f>
        <v>Model S 75D</v>
      </c>
      <c r="G300" s="258" t="str">
        <f>IFERROR(__xludf.DUMMYFUNCTION("""COMPUTED_VALUE"""),"Weekly")</f>
        <v>Weekly</v>
      </c>
      <c r="H300" s="258" t="str">
        <f>IFERROR(__xludf.DUMMYFUNCTION("""COMPUTED_VALUE"""),"Monthly")</f>
        <v>Monthly</v>
      </c>
      <c r="I300" s="258" t="str">
        <f>IFERROR(__xludf.DUMMYFUNCTION("""COMPUTED_VALUE"""),"A few times a year")</f>
        <v>A few times a year</v>
      </c>
      <c r="J300" s="260">
        <f>IFERROR(__xludf.DUMMYFUNCTION("""COMPUTED_VALUE"""),0.8)</f>
        <v>0.8</v>
      </c>
      <c r="K300" s="258">
        <f>IFERROR(__xludf.DUMMYFUNCTION("""COMPUTED_VALUE"""),386.0)</f>
        <v>386</v>
      </c>
      <c r="L300" s="258" t="str">
        <f>IFERROR(__xludf.DUMMYFUNCTION("""COMPUTED_VALUE"""),"")</f>
        <v/>
      </c>
      <c r="M300" s="261">
        <f>IFERROR(__xludf.DUMMYFUNCTION("""COMPUTED_VALUE"""),194.0)</f>
        <v>194</v>
      </c>
      <c r="N300" s="262" t="str">
        <f>IFERROR(__xludf.DUMMYFUNCTION("""COMPUTED_VALUE"""),"")</f>
        <v/>
      </c>
      <c r="O300" s="259" t="str">
        <f>IFERROR(__xludf.DUMMYFUNCTION("""COMPUTED_VALUE"""),"")</f>
        <v/>
      </c>
      <c r="P300" s="259">
        <f>IFERROR(__xludf.DUMMYFUNCTION("""COMPUTED_VALUE"""),43451.0)</f>
        <v>43451</v>
      </c>
      <c r="Q300" s="258">
        <f>IFERROR(__xludf.DUMMYFUNCTION("""COMPUTED_VALUE"""),18446.0)</f>
        <v>18446</v>
      </c>
      <c r="R300" s="261">
        <f>IFERROR(__xludf.DUMMYFUNCTION("""COMPUTED_VALUE"""),374.0)</f>
        <v>374</v>
      </c>
      <c r="S300" s="258">
        <v>384.0</v>
      </c>
      <c r="T300" s="263">
        <v>0.9739583333333334</v>
      </c>
      <c r="U300" s="264">
        <v>11462.0</v>
      </c>
      <c r="V300" s="265">
        <v>18446.0</v>
      </c>
      <c r="W300" s="264">
        <v>11462.0</v>
      </c>
      <c r="X300" s="266" t="str">
        <f>IFERROR(__xludf.DUMMYFUNCTION("""COMPUTED_VALUE"""),"khattar")</f>
        <v>khattar</v>
      </c>
      <c r="Y300" s="267">
        <v>-0.01</v>
      </c>
      <c r="Z300" s="267">
        <v>0.9757208683048741</v>
      </c>
      <c r="AA300" s="269"/>
      <c r="AB300" s="270"/>
      <c r="AC300" s="270"/>
      <c r="AD300" s="270"/>
      <c r="AE300" s="270"/>
    </row>
    <row r="301">
      <c r="A301" s="256">
        <f>IFERROR(__xludf.DUMMYFUNCTION("""COMPUTED_VALUE"""),43815.68189659723)</f>
        <v>43815.6819</v>
      </c>
      <c r="B301" s="257" t="str">
        <f>IFERROR(__xludf.DUMMYFUNCTION("""COMPUTED_VALUE"""),"DvdBlink")</f>
        <v>DvdBlink</v>
      </c>
      <c r="C301" s="258" t="str">
        <f>IFERROR(__xludf.DUMMYFUNCTION("""COMPUTED_VALUE"""),"Europe (excluding UK) &amp; Asia Pacific")</f>
        <v>Europe (excluding UK) &amp; Asia Pacific</v>
      </c>
      <c r="D301" s="258" t="str">
        <f>IFERROR(__xludf.DUMMYFUNCTION("""COMPUTED_VALUE"""),"km. My car displays range in kilometres and I will enter all range numbers in kilometres.")</f>
        <v>km. My car displays range in kilometres and I will enter all range numbers in kilometres.</v>
      </c>
      <c r="E301" s="259">
        <f>IFERROR(__xludf.DUMMYFUNCTION("""COMPUTED_VALUE"""),43132.0)</f>
        <v>43132</v>
      </c>
      <c r="F301" s="258" t="str">
        <f>IFERROR(__xludf.DUMMYFUNCTION("""COMPUTED_VALUE"""),"Model S 75D")</f>
        <v>Model S 75D</v>
      </c>
      <c r="G301" s="258" t="str">
        <f>IFERROR(__xludf.DUMMYFUNCTION("""COMPUTED_VALUE"""),"Weekly")</f>
        <v>Weekly</v>
      </c>
      <c r="H301" s="258" t="str">
        <f>IFERROR(__xludf.DUMMYFUNCTION("""COMPUTED_VALUE"""),"Monthly")</f>
        <v>Monthly</v>
      </c>
      <c r="I301" s="258" t="str">
        <f>IFERROR(__xludf.DUMMYFUNCTION("""COMPUTED_VALUE"""),"A few times a year")</f>
        <v>A few times a year</v>
      </c>
      <c r="J301" s="260">
        <f>IFERROR(__xludf.DUMMYFUNCTION("""COMPUTED_VALUE"""),0.8)</f>
        <v>0.8</v>
      </c>
      <c r="K301" s="258">
        <f>IFERROR(__xludf.DUMMYFUNCTION("""COMPUTED_VALUE"""),386.0)</f>
        <v>386</v>
      </c>
      <c r="L301" s="258" t="str">
        <f>IFERROR(__xludf.DUMMYFUNCTION("""COMPUTED_VALUE"""),"")</f>
        <v/>
      </c>
      <c r="M301" s="261">
        <f>IFERROR(__xludf.DUMMYFUNCTION("""COMPUTED_VALUE"""),194.0)</f>
        <v>194</v>
      </c>
      <c r="N301" s="262" t="str">
        <f>IFERROR(__xludf.DUMMYFUNCTION("""COMPUTED_VALUE"""),"")</f>
        <v/>
      </c>
      <c r="O301" s="259" t="str">
        <f>IFERROR(__xludf.DUMMYFUNCTION("""COMPUTED_VALUE"""),"")</f>
        <v/>
      </c>
      <c r="P301" s="259">
        <f>IFERROR(__xludf.DUMMYFUNCTION("""COMPUTED_VALUE"""),43558.0)</f>
        <v>43558</v>
      </c>
      <c r="Q301" s="258">
        <f>IFERROR(__xludf.DUMMYFUNCTION("""COMPUTED_VALUE"""),26765.0)</f>
        <v>26765</v>
      </c>
      <c r="R301" s="261">
        <f>IFERROR(__xludf.DUMMYFUNCTION("""COMPUTED_VALUE"""),370.0)</f>
        <v>370</v>
      </c>
      <c r="S301" s="258">
        <v>384.0</v>
      </c>
      <c r="T301" s="263">
        <v>0.9635416666666666</v>
      </c>
      <c r="U301" s="264">
        <v>16631.0</v>
      </c>
      <c r="V301" s="265">
        <v>26765.0</v>
      </c>
      <c r="W301" s="264">
        <v>16631.0</v>
      </c>
      <c r="X301" s="266" t="str">
        <f>IFERROR(__xludf.DUMMYFUNCTION("""COMPUTED_VALUE"""),"khwa")</f>
        <v>khwa</v>
      </c>
      <c r="Y301" s="267">
        <v>-0.01</v>
      </c>
      <c r="Z301" s="267">
        <v>0.9698078426034377</v>
      </c>
      <c r="AA301" s="269"/>
      <c r="AB301" s="270"/>
      <c r="AC301" s="270"/>
      <c r="AD301" s="270"/>
      <c r="AE301" s="270"/>
    </row>
    <row r="302">
      <c r="A302" s="256">
        <f>IFERROR(__xludf.DUMMYFUNCTION("""COMPUTED_VALUE"""),43815.68189659723)</f>
        <v>43815.6819</v>
      </c>
      <c r="B302" s="257" t="str">
        <f>IFERROR(__xludf.DUMMYFUNCTION("""COMPUTED_VALUE"""),"DvdBlink")</f>
        <v>DvdBlink</v>
      </c>
      <c r="C302" s="258" t="str">
        <f>IFERROR(__xludf.DUMMYFUNCTION("""COMPUTED_VALUE"""),"Europe (excluding UK) &amp; Asia Pacific")</f>
        <v>Europe (excluding UK) &amp; Asia Pacific</v>
      </c>
      <c r="D302" s="258" t="str">
        <f>IFERROR(__xludf.DUMMYFUNCTION("""COMPUTED_VALUE"""),"km. My car displays range in kilometres and I will enter all range numbers in kilometres.")</f>
        <v>km. My car displays range in kilometres and I will enter all range numbers in kilometres.</v>
      </c>
      <c r="E302" s="259">
        <f>IFERROR(__xludf.DUMMYFUNCTION("""COMPUTED_VALUE"""),43132.0)</f>
        <v>43132</v>
      </c>
      <c r="F302" s="258" t="str">
        <f>IFERROR(__xludf.DUMMYFUNCTION("""COMPUTED_VALUE"""),"Model S 75D")</f>
        <v>Model S 75D</v>
      </c>
      <c r="G302" s="258" t="str">
        <f>IFERROR(__xludf.DUMMYFUNCTION("""COMPUTED_VALUE"""),"Weekly")</f>
        <v>Weekly</v>
      </c>
      <c r="H302" s="258" t="str">
        <f>IFERROR(__xludf.DUMMYFUNCTION("""COMPUTED_VALUE"""),"Monthly")</f>
        <v>Monthly</v>
      </c>
      <c r="I302" s="258" t="str">
        <f>IFERROR(__xludf.DUMMYFUNCTION("""COMPUTED_VALUE"""),"A few times a year")</f>
        <v>A few times a year</v>
      </c>
      <c r="J302" s="260">
        <f>IFERROR(__xludf.DUMMYFUNCTION("""COMPUTED_VALUE"""),0.8)</f>
        <v>0.8</v>
      </c>
      <c r="K302" s="258">
        <f>IFERROR(__xludf.DUMMYFUNCTION("""COMPUTED_VALUE"""),386.0)</f>
        <v>386</v>
      </c>
      <c r="L302" s="258" t="str">
        <f>IFERROR(__xludf.DUMMYFUNCTION("""COMPUTED_VALUE"""),"")</f>
        <v/>
      </c>
      <c r="M302" s="261">
        <f>IFERROR(__xludf.DUMMYFUNCTION("""COMPUTED_VALUE"""),194.0)</f>
        <v>194</v>
      </c>
      <c r="N302" s="262" t="str">
        <f>IFERROR(__xludf.DUMMYFUNCTION("""COMPUTED_VALUE"""),"")</f>
        <v/>
      </c>
      <c r="O302" s="259" t="str">
        <f>IFERROR(__xludf.DUMMYFUNCTION("""COMPUTED_VALUE"""),"")</f>
        <v/>
      </c>
      <c r="P302" s="259">
        <f>IFERROR(__xludf.DUMMYFUNCTION("""COMPUTED_VALUE"""),43735.0)</f>
        <v>43735</v>
      </c>
      <c r="Q302" s="258">
        <f>IFERROR(__xludf.DUMMYFUNCTION("""COMPUTED_VALUE"""),45770.0)</f>
        <v>45770</v>
      </c>
      <c r="R302" s="261">
        <f>IFERROR(__xludf.DUMMYFUNCTION("""COMPUTED_VALUE"""),370.0)</f>
        <v>370</v>
      </c>
      <c r="S302" s="258">
        <v>384.0</v>
      </c>
      <c r="T302" s="263">
        <v>0.9635416666666666</v>
      </c>
      <c r="U302" s="264">
        <v>28440.0</v>
      </c>
      <c r="V302" s="265">
        <v>45770.0</v>
      </c>
      <c r="W302" s="264">
        <v>28440.0</v>
      </c>
      <c r="X302" s="266" t="str">
        <f>IFERROR(__xludf.DUMMYFUNCTION("""COMPUTED_VALUE"""),"KidDoc")</f>
        <v>KidDoc</v>
      </c>
      <c r="Y302" s="267">
        <v>-0.01</v>
      </c>
      <c r="Z302" s="267">
        <v>0.9611298144849</v>
      </c>
      <c r="AA302" s="269"/>
      <c r="AB302" s="270"/>
      <c r="AC302" s="270"/>
      <c r="AD302" s="270"/>
      <c r="AE302" s="270"/>
    </row>
    <row r="303">
      <c r="A303" s="256">
        <f>IFERROR(__xludf.DUMMYFUNCTION("""COMPUTED_VALUE"""),43815.68189659723)</f>
        <v>43815.6819</v>
      </c>
      <c r="B303" s="257" t="str">
        <f>IFERROR(__xludf.DUMMYFUNCTION("""COMPUTED_VALUE"""),"DvdBlink")</f>
        <v>DvdBlink</v>
      </c>
      <c r="C303" s="258" t="str">
        <f>IFERROR(__xludf.DUMMYFUNCTION("""COMPUTED_VALUE"""),"Europe (excluding UK) &amp; Asia Pacific")</f>
        <v>Europe (excluding UK) &amp; Asia Pacific</v>
      </c>
      <c r="D303" s="258" t="str">
        <f>IFERROR(__xludf.DUMMYFUNCTION("""COMPUTED_VALUE"""),"km. My car displays range in kilometres and I will enter all range numbers in kilometres.")</f>
        <v>km. My car displays range in kilometres and I will enter all range numbers in kilometres.</v>
      </c>
      <c r="E303" s="259">
        <f>IFERROR(__xludf.DUMMYFUNCTION("""COMPUTED_VALUE"""),43132.0)</f>
        <v>43132</v>
      </c>
      <c r="F303" s="258" t="str">
        <f>IFERROR(__xludf.DUMMYFUNCTION("""COMPUTED_VALUE"""),"Model S 75D")</f>
        <v>Model S 75D</v>
      </c>
      <c r="G303" s="258" t="str">
        <f>IFERROR(__xludf.DUMMYFUNCTION("""COMPUTED_VALUE"""),"Weekly")</f>
        <v>Weekly</v>
      </c>
      <c r="H303" s="258" t="str">
        <f>IFERROR(__xludf.DUMMYFUNCTION("""COMPUTED_VALUE"""),"Monthly")</f>
        <v>Monthly</v>
      </c>
      <c r="I303" s="258" t="str">
        <f>IFERROR(__xludf.DUMMYFUNCTION("""COMPUTED_VALUE"""),"A few times a year")</f>
        <v>A few times a year</v>
      </c>
      <c r="J303" s="260">
        <f>IFERROR(__xludf.DUMMYFUNCTION("""COMPUTED_VALUE"""),0.8)</f>
        <v>0.8</v>
      </c>
      <c r="K303" s="258">
        <f>IFERROR(__xludf.DUMMYFUNCTION("""COMPUTED_VALUE"""),386.0)</f>
        <v>386</v>
      </c>
      <c r="L303" s="258" t="str">
        <f>IFERROR(__xludf.DUMMYFUNCTION("""COMPUTED_VALUE"""),"")</f>
        <v/>
      </c>
      <c r="M303" s="261">
        <f>IFERROR(__xludf.DUMMYFUNCTION("""COMPUTED_VALUE"""),194.0)</f>
        <v>194</v>
      </c>
      <c r="N303" s="262" t="str">
        <f>IFERROR(__xludf.DUMMYFUNCTION("""COMPUTED_VALUE"""),"")</f>
        <v/>
      </c>
      <c r="O303" s="259" t="str">
        <f>IFERROR(__xludf.DUMMYFUNCTION("""COMPUTED_VALUE"""),"")</f>
        <v/>
      </c>
      <c r="P303" s="259">
        <f>IFERROR(__xludf.DUMMYFUNCTION("""COMPUTED_VALUE"""),43735.0)</f>
        <v>43735</v>
      </c>
      <c r="Q303" s="258">
        <f>IFERROR(__xludf.DUMMYFUNCTION("""COMPUTED_VALUE"""),45770.0)</f>
        <v>45770</v>
      </c>
      <c r="R303" s="261">
        <f>IFERROR(__xludf.DUMMYFUNCTION("""COMPUTED_VALUE"""),370.0)</f>
        <v>370</v>
      </c>
      <c r="S303" s="258">
        <v>384.0</v>
      </c>
      <c r="T303" s="263">
        <v>0.9635416666666666</v>
      </c>
      <c r="U303" s="264">
        <v>28440.0</v>
      </c>
      <c r="V303" s="265">
        <v>45770.0</v>
      </c>
      <c r="W303" s="264">
        <v>28440.0</v>
      </c>
      <c r="X303" s="266" t="str">
        <f>IFERROR(__xludf.DUMMYFUNCTION("""COMPUTED_VALUE"""),"Kirre")</f>
        <v>Kirre</v>
      </c>
      <c r="Y303" s="267">
        <v>-0.01</v>
      </c>
      <c r="Z303" s="267">
        <v>0.9611298144849</v>
      </c>
      <c r="AA303" s="269"/>
      <c r="AB303" s="270"/>
      <c r="AC303" s="270"/>
      <c r="AD303" s="270"/>
      <c r="AE303" s="270"/>
    </row>
    <row r="304">
      <c r="A304" s="256">
        <f>IFERROR(__xludf.DUMMYFUNCTION("""COMPUTED_VALUE"""),43815.68189659723)</f>
        <v>43815.6819</v>
      </c>
      <c r="B304" s="257" t="str">
        <f>IFERROR(__xludf.DUMMYFUNCTION("""COMPUTED_VALUE"""),"DvdBlink")</f>
        <v>DvdBlink</v>
      </c>
      <c r="C304" s="258" t="str">
        <f>IFERROR(__xludf.DUMMYFUNCTION("""COMPUTED_VALUE"""),"Europe (excluding UK) &amp; Asia Pacific")</f>
        <v>Europe (excluding UK) &amp; Asia Pacific</v>
      </c>
      <c r="D304" s="258" t="str">
        <f>IFERROR(__xludf.DUMMYFUNCTION("""COMPUTED_VALUE"""),"km. My car displays range in kilometres and I will enter all range numbers in kilometres.")</f>
        <v>km. My car displays range in kilometres and I will enter all range numbers in kilometres.</v>
      </c>
      <c r="E304" s="259">
        <f>IFERROR(__xludf.DUMMYFUNCTION("""COMPUTED_VALUE"""),43132.0)</f>
        <v>43132</v>
      </c>
      <c r="F304" s="258" t="str">
        <f>IFERROR(__xludf.DUMMYFUNCTION("""COMPUTED_VALUE"""),"Model S 75D")</f>
        <v>Model S 75D</v>
      </c>
      <c r="G304" s="258" t="str">
        <f>IFERROR(__xludf.DUMMYFUNCTION("""COMPUTED_VALUE"""),"Weekly")</f>
        <v>Weekly</v>
      </c>
      <c r="H304" s="258" t="str">
        <f>IFERROR(__xludf.DUMMYFUNCTION("""COMPUTED_VALUE"""),"Monthly")</f>
        <v>Monthly</v>
      </c>
      <c r="I304" s="258" t="str">
        <f>IFERROR(__xludf.DUMMYFUNCTION("""COMPUTED_VALUE"""),"A few times a year")</f>
        <v>A few times a year</v>
      </c>
      <c r="J304" s="260">
        <f>IFERROR(__xludf.DUMMYFUNCTION("""COMPUTED_VALUE"""),0.8)</f>
        <v>0.8</v>
      </c>
      <c r="K304" s="258">
        <f>IFERROR(__xludf.DUMMYFUNCTION("""COMPUTED_VALUE"""),386.0)</f>
        <v>386</v>
      </c>
      <c r="L304" s="258" t="str">
        <f>IFERROR(__xludf.DUMMYFUNCTION("""COMPUTED_VALUE"""),"")</f>
        <v/>
      </c>
      <c r="M304" s="261">
        <f>IFERROR(__xludf.DUMMYFUNCTION("""COMPUTED_VALUE"""),194.0)</f>
        <v>194</v>
      </c>
      <c r="N304" s="262" t="str">
        <f>IFERROR(__xludf.DUMMYFUNCTION("""COMPUTED_VALUE"""),"")</f>
        <v/>
      </c>
      <c r="O304" s="259" t="str">
        <f>IFERROR(__xludf.DUMMYFUNCTION("""COMPUTED_VALUE"""),"")</f>
        <v/>
      </c>
      <c r="P304" s="259">
        <f>IFERROR(__xludf.DUMMYFUNCTION("""COMPUTED_VALUE"""),43805.0)</f>
        <v>43805</v>
      </c>
      <c r="Q304" s="258">
        <f>IFERROR(__xludf.DUMMYFUNCTION("""COMPUTED_VALUE"""),51689.0)</f>
        <v>51689</v>
      </c>
      <c r="R304" s="261">
        <f>IFERROR(__xludf.DUMMYFUNCTION("""COMPUTED_VALUE"""),366.0)</f>
        <v>366</v>
      </c>
      <c r="S304" s="258">
        <v>384.0</v>
      </c>
      <c r="T304" s="263">
        <v>0.953125</v>
      </c>
      <c r="U304" s="264">
        <v>32118.0</v>
      </c>
      <c r="V304" s="265">
        <v>51689.0</v>
      </c>
      <c r="W304" s="264">
        <v>32118.0</v>
      </c>
      <c r="X304" s="266" t="str">
        <f>IFERROR(__xludf.DUMMYFUNCTION("""COMPUTED_VALUE"""),"kkitzhaber")</f>
        <v>kkitzhaber</v>
      </c>
      <c r="Y304" s="267">
        <v>-0.01</v>
      </c>
      <c r="Z304" s="267">
        <v>0.959145304482344</v>
      </c>
      <c r="AA304" s="269"/>
      <c r="AB304" s="270"/>
      <c r="AC304" s="270"/>
      <c r="AD304" s="270"/>
      <c r="AE304" s="270"/>
    </row>
    <row r="305">
      <c r="A305" s="256">
        <f>IFERROR(__xludf.DUMMYFUNCTION("""COMPUTED_VALUE"""),42131.10833333334)</f>
        <v>42131.10833</v>
      </c>
      <c r="B305" s="257" t="str">
        <f>IFERROR(__xludf.DUMMYFUNCTION("""COMPUTED_VALUE"""),"dvroegop")</f>
        <v>dvroegop</v>
      </c>
      <c r="C305" s="258" t="str">
        <f>IFERROR(__xludf.DUMMYFUNCTION("""COMPUTED_VALUE"""),"Europe (excluding UK) &amp; Asia Pacific")</f>
        <v>Europe (excluding UK) &amp; Asia Pacific</v>
      </c>
      <c r="D305" s="258" t="str">
        <f>IFERROR(__xludf.DUMMYFUNCTION("""COMPUTED_VALUE"""),"km. My car displays range in kilometres and I will enter all range numbers in kilometres.")</f>
        <v>km. My car displays range in kilometres and I will enter all range numbers in kilometres.</v>
      </c>
      <c r="E305" s="259">
        <f>IFERROR(__xludf.DUMMYFUNCTION("""COMPUTED_VALUE"""),42084.0)</f>
        <v>42084</v>
      </c>
      <c r="F305" s="258" t="str">
        <f>IFERROR(__xludf.DUMMYFUNCTION("""COMPUTED_VALUE"""),"Model S 85")</f>
        <v>Model S 85</v>
      </c>
      <c r="G305" s="258" t="str">
        <f>IFERROR(__xludf.DUMMYFUNCTION("""COMPUTED_VALUE"""),"Weekly")</f>
        <v>Weekly</v>
      </c>
      <c r="H305" s="258" t="str">
        <f>IFERROR(__xludf.DUMMYFUNCTION("""COMPUTED_VALUE"""),"Twice a month")</f>
        <v>Twice a month</v>
      </c>
      <c r="I305" s="258" t="str">
        <f>IFERROR(__xludf.DUMMYFUNCTION("""COMPUTED_VALUE"""),"Never")</f>
        <v>Never</v>
      </c>
      <c r="J305" s="260">
        <f>IFERROR(__xludf.DUMMYFUNCTION("""COMPUTED_VALUE"""),0.9)</f>
        <v>0.9</v>
      </c>
      <c r="K305" s="258" t="str">
        <f>IFERROR(__xludf.DUMMYFUNCTION("""COMPUTED_VALUE"""),"")</f>
        <v/>
      </c>
      <c r="L305" s="258" t="str">
        <f>IFERROR(__xludf.DUMMYFUNCTION("""COMPUTED_VALUE"""),"")</f>
        <v/>
      </c>
      <c r="M305" s="261">
        <f>IFERROR(__xludf.DUMMYFUNCTION("""COMPUTED_VALUE"""),224.0)</f>
        <v>224</v>
      </c>
      <c r="N305" s="262" t="str">
        <f>IFERROR(__xludf.DUMMYFUNCTION("""COMPUTED_VALUE"""),"")</f>
        <v/>
      </c>
      <c r="O305" s="259" t="str">
        <f>IFERROR(__xludf.DUMMYFUNCTION("""COMPUTED_VALUE"""),"")</f>
        <v/>
      </c>
      <c r="P305" s="259">
        <f>IFERROR(__xludf.DUMMYFUNCTION("""COMPUTED_VALUE"""),42131.0)</f>
        <v>42131</v>
      </c>
      <c r="Q305" s="258">
        <f>IFERROR(__xludf.DUMMYFUNCTION("""COMPUTED_VALUE"""),8192.0)</f>
        <v>8192</v>
      </c>
      <c r="R305" s="261">
        <f>IFERROR(__xludf.DUMMYFUNCTION("""COMPUTED_VALUE"""),393.0)</f>
        <v>393</v>
      </c>
      <c r="S305" s="258">
        <v>395.0</v>
      </c>
      <c r="T305" s="263">
        <v>0.9949367088607595</v>
      </c>
      <c r="U305" s="264">
        <v>5090.0</v>
      </c>
      <c r="V305" s="265">
        <v>8192.0</v>
      </c>
      <c r="W305" s="264">
        <v>5090.0</v>
      </c>
      <c r="X305" s="266" t="str">
        <f>IFERROR(__xludf.DUMMYFUNCTION("""COMPUTED_VALUE"""),"KL")</f>
        <v>KL</v>
      </c>
      <c r="Y305" s="267">
        <v>-0.01</v>
      </c>
      <c r="Z305" s="267">
        <v>0.9865763323759272</v>
      </c>
      <c r="AA305" s="269"/>
      <c r="AB305" s="270"/>
      <c r="AC305" s="270"/>
      <c r="AD305" s="270"/>
      <c r="AE305" s="270"/>
    </row>
    <row r="306">
      <c r="A306" s="256">
        <f>IFERROR(__xludf.DUMMYFUNCTION("""COMPUTED_VALUE"""),42235.17013888889)</f>
        <v>42235.17014</v>
      </c>
      <c r="B306" s="257" t="str">
        <f>IFERROR(__xludf.DUMMYFUNCTION("""COMPUTED_VALUE"""),"dvroegop")</f>
        <v>dvroegop</v>
      </c>
      <c r="C306" s="258" t="str">
        <f>IFERROR(__xludf.DUMMYFUNCTION("""COMPUTED_VALUE"""),"Europe (excluding UK) &amp; Asia Pacific")</f>
        <v>Europe (excluding UK) &amp; Asia Pacific</v>
      </c>
      <c r="D306" s="258" t="str">
        <f>IFERROR(__xludf.DUMMYFUNCTION("""COMPUTED_VALUE"""),"km. My car displays range in kilometres and I will enter all range numbers in kilometres.")</f>
        <v>km. My car displays range in kilometres and I will enter all range numbers in kilometres.</v>
      </c>
      <c r="E306" s="259">
        <f>IFERROR(__xludf.DUMMYFUNCTION("""COMPUTED_VALUE"""),42084.0)</f>
        <v>42084</v>
      </c>
      <c r="F306" s="258" t="str">
        <f>IFERROR(__xludf.DUMMYFUNCTION("""COMPUTED_VALUE"""),"Model S 85")</f>
        <v>Model S 85</v>
      </c>
      <c r="G306" s="258" t="str">
        <f>IFERROR(__xludf.DUMMYFUNCTION("""COMPUTED_VALUE"""),"Monthly")</f>
        <v>Monthly</v>
      </c>
      <c r="H306" s="258" t="str">
        <f>IFERROR(__xludf.DUMMYFUNCTION("""COMPUTED_VALUE"""),"A few times a year")</f>
        <v>A few times a year</v>
      </c>
      <c r="I306" s="258" t="str">
        <f>IFERROR(__xludf.DUMMYFUNCTION("""COMPUTED_VALUE"""),"Once or twice a year")</f>
        <v>Once or twice a year</v>
      </c>
      <c r="J306" s="260">
        <f>IFERROR(__xludf.DUMMYFUNCTION("""COMPUTED_VALUE"""),0.9)</f>
        <v>0.9</v>
      </c>
      <c r="K306" s="258">
        <f>IFERROR(__xludf.DUMMYFUNCTION("""COMPUTED_VALUE"""),399.0)</f>
        <v>399</v>
      </c>
      <c r="L306" s="258" t="str">
        <f>IFERROR(__xludf.DUMMYFUNCTION("""COMPUTED_VALUE"""),"")</f>
        <v/>
      </c>
      <c r="M306" s="261">
        <f>IFERROR(__xludf.DUMMYFUNCTION("""COMPUTED_VALUE"""),216.0)</f>
        <v>216</v>
      </c>
      <c r="N306" s="262" t="str">
        <f>IFERROR(__xludf.DUMMYFUNCTION("""COMPUTED_VALUE"""),"")</f>
        <v/>
      </c>
      <c r="O306" s="259" t="str">
        <f>IFERROR(__xludf.DUMMYFUNCTION("""COMPUTED_VALUE"""),"")</f>
        <v/>
      </c>
      <c r="P306" s="259">
        <f>IFERROR(__xludf.DUMMYFUNCTION("""COMPUTED_VALUE"""),42235.0)</f>
        <v>42235</v>
      </c>
      <c r="Q306" s="258">
        <f>IFERROR(__xludf.DUMMYFUNCTION("""COMPUTED_VALUE"""),20120.0)</f>
        <v>20120</v>
      </c>
      <c r="R306" s="261">
        <f>IFERROR(__xludf.DUMMYFUNCTION("""COMPUTED_VALUE"""),389.0)</f>
        <v>389</v>
      </c>
      <c r="S306" s="258">
        <v>395.0</v>
      </c>
      <c r="T306" s="263">
        <v>0.9848101265822785</v>
      </c>
      <c r="U306" s="264">
        <v>12502.0</v>
      </c>
      <c r="V306" s="265">
        <v>20120.0</v>
      </c>
      <c r="W306" s="264">
        <v>12502.0</v>
      </c>
      <c r="X306" s="266" t="str">
        <f>IFERROR(__xludf.DUMMYFUNCTION("""COMPUTED_VALUE"""),"KmanAuto")</f>
        <v>KmanAuto</v>
      </c>
      <c r="Y306" s="267">
        <v>-0.01</v>
      </c>
      <c r="Z306" s="267">
        <v>0.9743688018073493</v>
      </c>
      <c r="AA306" s="269"/>
      <c r="AB306" s="270"/>
      <c r="AC306" s="270"/>
      <c r="AD306" s="270"/>
      <c r="AE306" s="270"/>
    </row>
    <row r="307">
      <c r="A307" s="256">
        <f>IFERROR(__xludf.DUMMYFUNCTION("""COMPUTED_VALUE"""),42830.82291666667)</f>
        <v>42830.82292</v>
      </c>
      <c r="B307" s="257" t="str">
        <f>IFERROR(__xludf.DUMMYFUNCTION("""COMPUTED_VALUE"""),"dz1523")</f>
        <v>dz1523</v>
      </c>
      <c r="C307" s="258" t="str">
        <f>IFERROR(__xludf.DUMMYFUNCTION("""COMPUTED_VALUE"""),"USA")</f>
        <v>USA</v>
      </c>
      <c r="D307" s="258" t="str">
        <f>IFERROR(__xludf.DUMMYFUNCTION("""COMPUTED_VALUE"""),"mi. My car displays range in miles and I will enter all range numbers in miles.")</f>
        <v>mi. My car displays range in miles and I will enter all range numbers in miles.</v>
      </c>
      <c r="E307" s="259">
        <f>IFERROR(__xludf.DUMMYFUNCTION("""COMPUTED_VALUE"""),42532.0)</f>
        <v>42532</v>
      </c>
      <c r="F307" s="258" t="str">
        <f>IFERROR(__xludf.DUMMYFUNCTION("""COMPUTED_VALUE"""),"Model S 75")</f>
        <v>Model S 75</v>
      </c>
      <c r="G307" s="258" t="str">
        <f>IFERROR(__xludf.DUMMYFUNCTION("""COMPUTED_VALUE"""),"Twice a week")</f>
        <v>Twice a week</v>
      </c>
      <c r="H307" s="258" t="str">
        <f>IFERROR(__xludf.DUMMYFUNCTION("""COMPUTED_VALUE"""),"A few times a year")</f>
        <v>A few times a year</v>
      </c>
      <c r="I307" s="258" t="str">
        <f>IFERROR(__xludf.DUMMYFUNCTION("""COMPUTED_VALUE"""),"Twice a month")</f>
        <v>Twice a month</v>
      </c>
      <c r="J307" s="260">
        <f>IFERROR(__xludf.DUMMYFUNCTION("""COMPUTED_VALUE"""),0.8)</f>
        <v>0.8</v>
      </c>
      <c r="K307" s="258">
        <f>IFERROR(__xludf.DUMMYFUNCTION("""COMPUTED_VALUE"""),247.0)</f>
        <v>247</v>
      </c>
      <c r="L307" s="258" t="str">
        <f>IFERROR(__xludf.DUMMYFUNCTION("""COMPUTED_VALUE"""),"")</f>
        <v/>
      </c>
      <c r="M307" s="261">
        <f>IFERROR(__xludf.DUMMYFUNCTION("""COMPUTED_VALUE"""),302.0)</f>
        <v>302</v>
      </c>
      <c r="N307" s="262" t="str">
        <f>IFERROR(__xludf.DUMMYFUNCTION("""COMPUTED_VALUE"""),"")</f>
        <v/>
      </c>
      <c r="O307" s="259" t="str">
        <f>IFERROR(__xludf.DUMMYFUNCTION("""COMPUTED_VALUE"""),"")</f>
        <v/>
      </c>
      <c r="P307" s="259">
        <f>IFERROR(__xludf.DUMMYFUNCTION("""COMPUTED_VALUE"""),42830.0)</f>
        <v>42830</v>
      </c>
      <c r="Q307" s="258">
        <f>IFERROR(__xludf.DUMMYFUNCTION("""COMPUTED_VALUE"""),24846.0)</f>
        <v>24846</v>
      </c>
      <c r="R307" s="261">
        <f>IFERROR(__xludf.DUMMYFUNCTION("""COMPUTED_VALUE"""),233.0)</f>
        <v>233</v>
      </c>
      <c r="S307" s="258">
        <v>246.0</v>
      </c>
      <c r="T307" s="263">
        <v>0.9471544715447154</v>
      </c>
      <c r="U307" s="264">
        <v>24846.0</v>
      </c>
      <c r="V307" s="265">
        <v>39986.0</v>
      </c>
      <c r="W307" s="264">
        <v>24846.0</v>
      </c>
      <c r="X307" s="266" t="str">
        <f>IFERROR(__xludf.DUMMYFUNCTION("""COMPUTED_VALUE"""),"Knobby")</f>
        <v>Knobby</v>
      </c>
      <c r="Y307" s="267">
        <v>-0.01</v>
      </c>
      <c r="Z307" s="267">
        <v>0.9633141144282682</v>
      </c>
      <c r="AA307" s="269"/>
      <c r="AB307" s="270"/>
      <c r="AC307" s="270"/>
      <c r="AD307" s="270"/>
      <c r="AE307" s="270"/>
    </row>
    <row r="308">
      <c r="A308" s="256">
        <f>IFERROR(__xludf.DUMMYFUNCTION("""COMPUTED_VALUE"""),43139.695138888885)</f>
        <v>43139.69514</v>
      </c>
      <c r="B308" s="257" t="str">
        <f>IFERROR(__xludf.DUMMYFUNCTION("""COMPUTED_VALUE"""),"e-fan")</f>
        <v>e-fan</v>
      </c>
      <c r="C308" s="258" t="str">
        <f>IFERROR(__xludf.DUMMYFUNCTION("""COMPUTED_VALUE"""),"Europe (excluding UK) &amp; Asia Pacific")</f>
        <v>Europe (excluding UK) &amp; Asia Pacific</v>
      </c>
      <c r="D308" s="258" t="str">
        <f>IFERROR(__xludf.DUMMYFUNCTION("""COMPUTED_VALUE"""),"km. My car displays range in kilometres and I will enter all range numbers in kilometres.")</f>
        <v>km. My car displays range in kilometres and I will enter all range numbers in kilometres.</v>
      </c>
      <c r="E308" s="259">
        <f>IFERROR(__xludf.DUMMYFUNCTION("""COMPUTED_VALUE"""),41662.0)</f>
        <v>41662</v>
      </c>
      <c r="F308" s="258" t="str">
        <f>IFERROR(__xludf.DUMMYFUNCTION("""COMPUTED_VALUE"""),"Model S P85")</f>
        <v>Model S P85</v>
      </c>
      <c r="G308" s="258" t="str">
        <f>IFERROR(__xludf.DUMMYFUNCTION("""COMPUTED_VALUE"""),"Weekly")</f>
        <v>Weekly</v>
      </c>
      <c r="H308" s="258" t="str">
        <f>IFERROR(__xludf.DUMMYFUNCTION("""COMPUTED_VALUE"""),"Monthly")</f>
        <v>Monthly</v>
      </c>
      <c r="I308" s="258" t="str">
        <f>IFERROR(__xludf.DUMMYFUNCTION("""COMPUTED_VALUE"""),"A few times a year")</f>
        <v>A few times a year</v>
      </c>
      <c r="J308" s="260">
        <f>IFERROR(__xludf.DUMMYFUNCTION("""COMPUTED_VALUE"""),0.6)</f>
        <v>0.6</v>
      </c>
      <c r="K308" s="258">
        <f>IFERROR(__xludf.DUMMYFUNCTION("""COMPUTED_VALUE"""),405.0)</f>
        <v>405</v>
      </c>
      <c r="L308" s="258" t="str">
        <f>IFERROR(__xludf.DUMMYFUNCTION("""COMPUTED_VALUE"""),"")</f>
        <v/>
      </c>
      <c r="M308" s="261">
        <f>IFERROR(__xludf.DUMMYFUNCTION("""COMPUTED_VALUE"""),219.0)</f>
        <v>219</v>
      </c>
      <c r="N308" s="262" t="str">
        <f>IFERROR(__xludf.DUMMYFUNCTION("""COMPUTED_VALUE"""),"")</f>
        <v/>
      </c>
      <c r="O308" s="259" t="str">
        <f>IFERROR(__xludf.DUMMYFUNCTION("""COMPUTED_VALUE"""),"")</f>
        <v/>
      </c>
      <c r="P308" s="259">
        <f>IFERROR(__xludf.DUMMYFUNCTION("""COMPUTED_VALUE"""),43139.0)</f>
        <v>43139</v>
      </c>
      <c r="Q308" s="258">
        <f>IFERROR(__xludf.DUMMYFUNCTION("""COMPUTED_VALUE"""),113204.0)</f>
        <v>113204</v>
      </c>
      <c r="R308" s="261">
        <f>IFERROR(__xludf.DUMMYFUNCTION("""COMPUTED_VALUE"""),372.0)</f>
        <v>372</v>
      </c>
      <c r="S308" s="258">
        <v>395.0</v>
      </c>
      <c r="T308" s="263">
        <v>0.9417721518987342</v>
      </c>
      <c r="U308" s="264">
        <v>70342.0</v>
      </c>
      <c r="V308" s="265">
        <v>113204.0</v>
      </c>
      <c r="W308" s="264">
        <v>70342.0</v>
      </c>
      <c r="X308" s="266" t="str">
        <f>IFERROR(__xludf.DUMMYFUNCTION("""COMPUTED_VALUE"""),"Koen De Smet")</f>
        <v>Koen De Smet</v>
      </c>
      <c r="Y308" s="267">
        <v>-0.01</v>
      </c>
      <c r="Z308" s="267">
        <v>0.9434915100104335</v>
      </c>
      <c r="AA308" s="269"/>
      <c r="AB308" s="270"/>
      <c r="AC308" s="270"/>
      <c r="AD308" s="270"/>
      <c r="AE308" s="270"/>
    </row>
    <row r="309">
      <c r="A309" s="256">
        <f>IFERROR(__xludf.DUMMYFUNCTION("""COMPUTED_VALUE"""),41954.03680555556)</f>
        <v>41954.03681</v>
      </c>
      <c r="B309" s="257" t="str">
        <f>IFERROR(__xludf.DUMMYFUNCTION("""COMPUTED_VALUE"""),"e-Rik")</f>
        <v>e-Rik</v>
      </c>
      <c r="C309" s="258" t="str">
        <f>IFERROR(__xludf.DUMMYFUNCTION("""COMPUTED_VALUE"""),"Europe (excluding UK) &amp; Asia Pacific")</f>
        <v>Europe (excluding UK) &amp; Asia Pacific</v>
      </c>
      <c r="D309" s="258" t="str">
        <f>IFERROR(__xludf.DUMMYFUNCTION("""COMPUTED_VALUE"""),"km. My car displays range in kilometres and I will enter all range numbers in kilometres.")</f>
        <v>km. My car displays range in kilometres and I will enter all range numbers in kilometres.</v>
      </c>
      <c r="E309" s="259">
        <f>IFERROR(__xludf.DUMMYFUNCTION("""COMPUTED_VALUE"""),41582.0)</f>
        <v>41582</v>
      </c>
      <c r="F309" s="258" t="str">
        <f>IFERROR(__xludf.DUMMYFUNCTION("""COMPUTED_VALUE"""),"Model S P85")</f>
        <v>Model S P85</v>
      </c>
      <c r="G309" s="258" t="str">
        <f>IFERROR(__xludf.DUMMYFUNCTION("""COMPUTED_VALUE"""),"Monthly")</f>
        <v>Monthly</v>
      </c>
      <c r="H309" s="258" t="str">
        <f>IFERROR(__xludf.DUMMYFUNCTION("""COMPUTED_VALUE"""),"A few times a year")</f>
        <v>A few times a year</v>
      </c>
      <c r="I309" s="258" t="str">
        <f>IFERROR(__xludf.DUMMYFUNCTION("""COMPUTED_VALUE"""),"Never")</f>
        <v>Never</v>
      </c>
      <c r="J309" s="260" t="str">
        <f>IFERROR(__xludf.DUMMYFUNCTION("""COMPUTED_VALUE"""),"")</f>
        <v/>
      </c>
      <c r="K309" s="258" t="str">
        <f>IFERROR(__xludf.DUMMYFUNCTION("""COMPUTED_VALUE"""),"")</f>
        <v/>
      </c>
      <c r="L309" s="258" t="str">
        <f>IFERROR(__xludf.DUMMYFUNCTION("""COMPUTED_VALUE"""),"")</f>
        <v/>
      </c>
      <c r="M309" s="261">
        <f>IFERROR(__xludf.DUMMYFUNCTION("""COMPUTED_VALUE"""),218.0)</f>
        <v>218</v>
      </c>
      <c r="N309" s="262" t="str">
        <f>IFERROR(__xludf.DUMMYFUNCTION("""COMPUTED_VALUE"""),"")</f>
        <v/>
      </c>
      <c r="O309" s="259" t="str">
        <f>IFERROR(__xludf.DUMMYFUNCTION("""COMPUTED_VALUE"""),"")</f>
        <v/>
      </c>
      <c r="P309" s="259">
        <f>IFERROR(__xludf.DUMMYFUNCTION("""COMPUTED_VALUE"""),41954.0)</f>
        <v>41954</v>
      </c>
      <c r="Q309" s="258">
        <f>IFERROR(__xludf.DUMMYFUNCTION("""COMPUTED_VALUE"""),21000.0)</f>
        <v>21000</v>
      </c>
      <c r="R309" s="261">
        <f>IFERROR(__xludf.DUMMYFUNCTION("""COMPUTED_VALUE"""),379.0)</f>
        <v>379</v>
      </c>
      <c r="S309" s="258">
        <v>395.0</v>
      </c>
      <c r="T309" s="263">
        <v>0.959493670886076</v>
      </c>
      <c r="U309" s="264">
        <v>13049.0</v>
      </c>
      <c r="V309" s="265">
        <v>21000.0</v>
      </c>
      <c r="W309" s="264">
        <v>13049.0</v>
      </c>
      <c r="X309" s="266" t="str">
        <f>IFERROR(__xludf.DUMMYFUNCTION("""COMPUTED_VALUE"""),"korgmatose")</f>
        <v>korgmatose</v>
      </c>
      <c r="Y309" s="267">
        <v>-0.01</v>
      </c>
      <c r="Z309" s="267">
        <v>0.9736945079285355</v>
      </c>
      <c r="AA309" s="269"/>
      <c r="AB309" s="270"/>
      <c r="AC309" s="270"/>
      <c r="AD309" s="270"/>
      <c r="AE309" s="270"/>
    </row>
    <row r="310">
      <c r="A310" s="256">
        <f>IFERROR(__xludf.DUMMYFUNCTION("""COMPUTED_VALUE"""),42299.20763888889)</f>
        <v>42299.20764</v>
      </c>
      <c r="B310" s="257" t="str">
        <f>IFERROR(__xludf.DUMMYFUNCTION("""COMPUTED_VALUE"""),"e-Rik")</f>
        <v>e-Rik</v>
      </c>
      <c r="C310" s="258" t="str">
        <f>IFERROR(__xludf.DUMMYFUNCTION("""COMPUTED_VALUE"""),"Europe (excluding UK) &amp; Asia Pacific")</f>
        <v>Europe (excluding UK) &amp; Asia Pacific</v>
      </c>
      <c r="D310" s="258" t="str">
        <f>IFERROR(__xludf.DUMMYFUNCTION("""COMPUTED_VALUE"""),"km. My car displays range in kilometres and I will enter all range numbers in kilometres.")</f>
        <v>km. My car displays range in kilometres and I will enter all range numbers in kilometres.</v>
      </c>
      <c r="E310" s="259">
        <f>IFERROR(__xludf.DUMMYFUNCTION("""COMPUTED_VALUE"""),41582.0)</f>
        <v>41582</v>
      </c>
      <c r="F310" s="258" t="str">
        <f>IFERROR(__xludf.DUMMYFUNCTION("""COMPUTED_VALUE"""),"Model S P85")</f>
        <v>Model S P85</v>
      </c>
      <c r="G310" s="258" t="str">
        <f>IFERROR(__xludf.DUMMYFUNCTION("""COMPUTED_VALUE"""),"A few times a year")</f>
        <v>A few times a year</v>
      </c>
      <c r="H310" s="258" t="str">
        <f>IFERROR(__xludf.DUMMYFUNCTION("""COMPUTED_VALUE"""),"A few times a year")</f>
        <v>A few times a year</v>
      </c>
      <c r="I310" s="258" t="str">
        <f>IFERROR(__xludf.DUMMYFUNCTION("""COMPUTED_VALUE"""),"A few times a year")</f>
        <v>A few times a year</v>
      </c>
      <c r="J310" s="260">
        <f>IFERROR(__xludf.DUMMYFUNCTION("""COMPUTED_VALUE"""),0.8)</f>
        <v>0.8</v>
      </c>
      <c r="K310" s="258" t="str">
        <f>IFERROR(__xludf.DUMMYFUNCTION("""COMPUTED_VALUE"""),"")</f>
        <v/>
      </c>
      <c r="L310" s="258" t="str">
        <f>IFERROR(__xludf.DUMMYFUNCTION("""COMPUTED_VALUE"""),"")</f>
        <v/>
      </c>
      <c r="M310" s="261">
        <f>IFERROR(__xludf.DUMMYFUNCTION("""COMPUTED_VALUE"""),218.0)</f>
        <v>218</v>
      </c>
      <c r="N310" s="262" t="str">
        <f>IFERROR(__xludf.DUMMYFUNCTION("""COMPUTED_VALUE"""),"")</f>
        <v/>
      </c>
      <c r="O310" s="259" t="str">
        <f>IFERROR(__xludf.DUMMYFUNCTION("""COMPUTED_VALUE"""),"")</f>
        <v/>
      </c>
      <c r="P310" s="259">
        <f>IFERROR(__xludf.DUMMYFUNCTION("""COMPUTED_VALUE"""),42299.0)</f>
        <v>42299</v>
      </c>
      <c r="Q310" s="258">
        <f>IFERROR(__xludf.DUMMYFUNCTION("""COMPUTED_VALUE"""),43500.0)</f>
        <v>43500</v>
      </c>
      <c r="R310" s="261">
        <f>IFERROR(__xludf.DUMMYFUNCTION("""COMPUTED_VALUE"""),374.0)</f>
        <v>374</v>
      </c>
      <c r="S310" s="258">
        <v>395.0</v>
      </c>
      <c r="T310" s="263">
        <v>0.9468354430379747</v>
      </c>
      <c r="U310" s="264">
        <v>27030.0</v>
      </c>
      <c r="V310" s="265">
        <v>43500.0</v>
      </c>
      <c r="W310" s="264">
        <v>27030.0</v>
      </c>
      <c r="X310" s="266" t="str">
        <f>IFERROR(__xludf.DUMMYFUNCTION("""COMPUTED_VALUE"""),"KR")</f>
        <v>KR</v>
      </c>
      <c r="Y310" s="267">
        <v>-0.01</v>
      </c>
      <c r="Z310" s="267">
        <v>0.9619534686643864</v>
      </c>
      <c r="AA310" s="269"/>
      <c r="AB310" s="270"/>
      <c r="AC310" s="270"/>
      <c r="AD310" s="270"/>
      <c r="AE310" s="270"/>
    </row>
    <row r="311">
      <c r="A311" s="256">
        <f>IFERROR(__xludf.DUMMYFUNCTION("""COMPUTED_VALUE"""),42356.25347222222)</f>
        <v>42356.25347</v>
      </c>
      <c r="B311" s="257" t="str">
        <f>IFERROR(__xludf.DUMMYFUNCTION("""COMPUTED_VALUE"""),"eae")</f>
        <v>eae</v>
      </c>
      <c r="C311" s="258" t="str">
        <f>IFERROR(__xludf.DUMMYFUNCTION("""COMPUTED_VALUE"""),"Europe (excluding UK) &amp; Asia Pacific")</f>
        <v>Europe (excluding UK) &amp; Asia Pacific</v>
      </c>
      <c r="D311" s="258" t="str">
        <f>IFERROR(__xludf.DUMMYFUNCTION("""COMPUTED_VALUE"""),"km. My car displays range in kilometres and I will enter all range numbers in kilometres.")</f>
        <v>km. My car displays range in kilometres and I will enter all range numbers in kilometres.</v>
      </c>
      <c r="E311" s="259">
        <f>IFERROR(__xludf.DUMMYFUNCTION("""COMPUTED_VALUE"""),42353.0)</f>
        <v>42353</v>
      </c>
      <c r="F311" s="258" t="str">
        <f>IFERROR(__xludf.DUMMYFUNCTION("""COMPUTED_VALUE"""),"Model S 70D")</f>
        <v>Model S 70D</v>
      </c>
      <c r="G311" s="258" t="str">
        <f>IFERROR(__xludf.DUMMYFUNCTION("""COMPUTED_VALUE"""),"Never")</f>
        <v>Never</v>
      </c>
      <c r="H311" s="258" t="str">
        <f>IFERROR(__xludf.DUMMYFUNCTION("""COMPUTED_VALUE"""),"Never")</f>
        <v>Never</v>
      </c>
      <c r="I311" s="258" t="str">
        <f>IFERROR(__xludf.DUMMYFUNCTION("""COMPUTED_VALUE"""),"Never")</f>
        <v>Never</v>
      </c>
      <c r="J311" s="260">
        <f>IFERROR(__xludf.DUMMYFUNCTION("""COMPUTED_VALUE"""),0.9)</f>
        <v>0.9</v>
      </c>
      <c r="K311" s="258">
        <f>IFERROR(__xludf.DUMMYFUNCTION("""COMPUTED_VALUE"""),358.0)</f>
        <v>358</v>
      </c>
      <c r="L311" s="258" t="str">
        <f>IFERROR(__xludf.DUMMYFUNCTION("""COMPUTED_VALUE"""),"")</f>
        <v/>
      </c>
      <c r="M311" s="261">
        <f>IFERROR(__xludf.DUMMYFUNCTION("""COMPUTED_VALUE"""),217.0)</f>
        <v>217</v>
      </c>
      <c r="N311" s="262" t="str">
        <f>IFERROR(__xludf.DUMMYFUNCTION("""COMPUTED_VALUE"""),"")</f>
        <v/>
      </c>
      <c r="O311" s="259" t="str">
        <f>IFERROR(__xludf.DUMMYFUNCTION("""COMPUTED_VALUE"""),"")</f>
        <v/>
      </c>
      <c r="P311" s="259">
        <f>IFERROR(__xludf.DUMMYFUNCTION("""COMPUTED_VALUE"""),42356.0)</f>
        <v>42356</v>
      </c>
      <c r="Q311" s="258">
        <f>IFERROR(__xludf.DUMMYFUNCTION("""COMPUTED_VALUE"""),513.0)</f>
        <v>513</v>
      </c>
      <c r="R311" s="261">
        <f>IFERROR(__xludf.DUMMYFUNCTION("""COMPUTED_VALUE"""),359.0)</f>
        <v>359</v>
      </c>
      <c r="S311" s="258">
        <v>360.0</v>
      </c>
      <c r="T311" s="263">
        <v>0.9972222222222222</v>
      </c>
      <c r="U311" s="264">
        <v>319.0</v>
      </c>
      <c r="V311" s="265">
        <v>513.0</v>
      </c>
      <c r="W311" s="264">
        <v>319.0</v>
      </c>
      <c r="X311" s="266" t="str">
        <f>IFERROR(__xludf.DUMMYFUNCTION("""COMPUTED_VALUE"""),"KrisB")</f>
        <v>KrisB</v>
      </c>
      <c r="Y311" s="267">
        <v>-0.01</v>
      </c>
      <c r="Z311" s="267">
        <v>0.9989871781593046</v>
      </c>
      <c r="AA311" s="269"/>
      <c r="AB311" s="270"/>
      <c r="AC311" s="270"/>
      <c r="AD311" s="270"/>
      <c r="AE311" s="270"/>
    </row>
    <row r="312">
      <c r="A312" s="256">
        <f>IFERROR(__xludf.DUMMYFUNCTION("""COMPUTED_VALUE"""),42404.28125)</f>
        <v>42404.28125</v>
      </c>
      <c r="B312" s="257" t="str">
        <f>IFERROR(__xludf.DUMMYFUNCTION("""COMPUTED_VALUE"""),"eae")</f>
        <v>eae</v>
      </c>
      <c r="C312" s="258" t="str">
        <f>IFERROR(__xludf.DUMMYFUNCTION("""COMPUTED_VALUE"""),"Europe (excluding UK) &amp; Asia Pacific")</f>
        <v>Europe (excluding UK) &amp; Asia Pacific</v>
      </c>
      <c r="D312" s="258" t="str">
        <f>IFERROR(__xludf.DUMMYFUNCTION("""COMPUTED_VALUE"""),"km. My car displays range in kilometres and I will enter all range numbers in kilometres.")</f>
        <v>km. My car displays range in kilometres and I will enter all range numbers in kilometres.</v>
      </c>
      <c r="E312" s="259">
        <f>IFERROR(__xludf.DUMMYFUNCTION("""COMPUTED_VALUE"""),42353.0)</f>
        <v>42353</v>
      </c>
      <c r="F312" s="258" t="str">
        <f>IFERROR(__xludf.DUMMYFUNCTION("""COMPUTED_VALUE"""),"Model S 70D")</f>
        <v>Model S 70D</v>
      </c>
      <c r="G312" s="258" t="str">
        <f>IFERROR(__xludf.DUMMYFUNCTION("""COMPUTED_VALUE"""),"Once or twice a year")</f>
        <v>Once or twice a year</v>
      </c>
      <c r="H312" s="258" t="str">
        <f>IFERROR(__xludf.DUMMYFUNCTION("""COMPUTED_VALUE"""),"Never")</f>
        <v>Never</v>
      </c>
      <c r="I312" s="258" t="str">
        <f>IFERROR(__xludf.DUMMYFUNCTION("""COMPUTED_VALUE"""),"Never")</f>
        <v>Never</v>
      </c>
      <c r="J312" s="260">
        <f>IFERROR(__xludf.DUMMYFUNCTION("""COMPUTED_VALUE"""),0.9)</f>
        <v>0.9</v>
      </c>
      <c r="K312" s="258">
        <f>IFERROR(__xludf.DUMMYFUNCTION("""COMPUTED_VALUE"""),361.0)</f>
        <v>361</v>
      </c>
      <c r="L312" s="258" t="str">
        <f>IFERROR(__xludf.DUMMYFUNCTION("""COMPUTED_VALUE"""),"")</f>
        <v/>
      </c>
      <c r="M312" s="261">
        <f>IFERROR(__xludf.DUMMYFUNCTION("""COMPUTED_VALUE"""),232.0)</f>
        <v>232</v>
      </c>
      <c r="N312" s="262" t="str">
        <f>IFERROR(__xludf.DUMMYFUNCTION("""COMPUTED_VALUE"""),"")</f>
        <v/>
      </c>
      <c r="O312" s="259" t="str">
        <f>IFERROR(__xludf.DUMMYFUNCTION("""COMPUTED_VALUE"""),"")</f>
        <v/>
      </c>
      <c r="P312" s="259">
        <f>IFERROR(__xludf.DUMMYFUNCTION("""COMPUTED_VALUE"""),42404.0)</f>
        <v>42404</v>
      </c>
      <c r="Q312" s="258">
        <f>IFERROR(__xludf.DUMMYFUNCTION("""COMPUTED_VALUE"""),3032.0)</f>
        <v>3032</v>
      </c>
      <c r="R312" s="261">
        <f>IFERROR(__xludf.DUMMYFUNCTION("""COMPUTED_VALUE"""),361.0)</f>
        <v>361</v>
      </c>
      <c r="S312" s="258">
        <v>360.0</v>
      </c>
      <c r="T312" s="263">
        <v>1.0027777777777778</v>
      </c>
      <c r="U312" s="264">
        <v>1884.0</v>
      </c>
      <c r="V312" s="265">
        <v>3032.0</v>
      </c>
      <c r="W312" s="264">
        <v>1884.0</v>
      </c>
      <c r="X312" s="266" t="str">
        <f>IFERROR(__xludf.DUMMYFUNCTION("""COMPUTED_VALUE"""),"KRM")</f>
        <v>KRM</v>
      </c>
      <c r="Y312" s="267">
        <v>-0.01</v>
      </c>
      <c r="Z312" s="267">
        <v>0.9943810052896921</v>
      </c>
      <c r="AA312" s="269"/>
      <c r="AB312" s="270"/>
      <c r="AC312" s="270"/>
      <c r="AD312" s="270"/>
      <c r="AE312" s="270"/>
    </row>
    <row r="313">
      <c r="A313" s="256">
        <f>IFERROR(__xludf.DUMMYFUNCTION("""COMPUTED_VALUE"""),42423.29583333334)</f>
        <v>42423.29583</v>
      </c>
      <c r="B313" s="257" t="str">
        <f>IFERROR(__xludf.DUMMYFUNCTION("""COMPUTED_VALUE"""),"eae")</f>
        <v>eae</v>
      </c>
      <c r="C313" s="258" t="str">
        <f>IFERROR(__xludf.DUMMYFUNCTION("""COMPUTED_VALUE"""),"Europe (excluding UK) &amp; Asia Pacific")</f>
        <v>Europe (excluding UK) &amp; Asia Pacific</v>
      </c>
      <c r="D313" s="258" t="str">
        <f>IFERROR(__xludf.DUMMYFUNCTION("""COMPUTED_VALUE"""),"km. My car displays range in kilometres and I will enter all range numbers in kilometres.")</f>
        <v>km. My car displays range in kilometres and I will enter all range numbers in kilometres.</v>
      </c>
      <c r="E313" s="259">
        <f>IFERROR(__xludf.DUMMYFUNCTION("""COMPUTED_VALUE"""),42353.0)</f>
        <v>42353</v>
      </c>
      <c r="F313" s="258" t="str">
        <f>IFERROR(__xludf.DUMMYFUNCTION("""COMPUTED_VALUE"""),"Model S 70D")</f>
        <v>Model S 70D</v>
      </c>
      <c r="G313" s="258" t="str">
        <f>IFERROR(__xludf.DUMMYFUNCTION("""COMPUTED_VALUE"""),"")</f>
        <v/>
      </c>
      <c r="H313" s="258" t="str">
        <f>IFERROR(__xludf.DUMMYFUNCTION("""COMPUTED_VALUE"""),"")</f>
        <v/>
      </c>
      <c r="I313" s="258" t="str">
        <f>IFERROR(__xludf.DUMMYFUNCTION("""COMPUTED_VALUE"""),"")</f>
        <v/>
      </c>
      <c r="J313" s="260" t="str">
        <f>IFERROR(__xludf.DUMMYFUNCTION("""COMPUTED_VALUE"""),"")</f>
        <v/>
      </c>
      <c r="K313" s="258" t="str">
        <f>IFERROR(__xludf.DUMMYFUNCTION("""COMPUTED_VALUE"""),"")</f>
        <v/>
      </c>
      <c r="L313" s="258" t="str">
        <f>IFERROR(__xludf.DUMMYFUNCTION("""COMPUTED_VALUE"""),"")</f>
        <v/>
      </c>
      <c r="M313" s="261">
        <f>IFERROR(__xludf.DUMMYFUNCTION("""COMPUTED_VALUE"""),230.0)</f>
        <v>230</v>
      </c>
      <c r="N313" s="262" t="str">
        <f>IFERROR(__xludf.DUMMYFUNCTION("""COMPUTED_VALUE"""),"")</f>
        <v/>
      </c>
      <c r="O313" s="259" t="str">
        <f>IFERROR(__xludf.DUMMYFUNCTION("""COMPUTED_VALUE"""),"")</f>
        <v/>
      </c>
      <c r="P313" s="259">
        <f>IFERROR(__xludf.DUMMYFUNCTION("""COMPUTED_VALUE"""),42423.0)</f>
        <v>42423</v>
      </c>
      <c r="Q313" s="258">
        <f>IFERROR(__xludf.DUMMYFUNCTION("""COMPUTED_VALUE"""),4093.0)</f>
        <v>4093</v>
      </c>
      <c r="R313" s="261">
        <f>IFERROR(__xludf.DUMMYFUNCTION("""COMPUTED_VALUE"""),361.0)</f>
        <v>361</v>
      </c>
      <c r="S313" s="258">
        <v>360.0</v>
      </c>
      <c r="T313" s="263">
        <v>1.0027777777777778</v>
      </c>
      <c r="U313" s="264">
        <v>2543.0</v>
      </c>
      <c r="V313" s="265">
        <v>4093.0</v>
      </c>
      <c r="W313" s="264">
        <v>2543.0</v>
      </c>
      <c r="X313" s="266" t="str">
        <f>IFERROR(__xludf.DUMMYFUNCTION("""COMPUTED_VALUE"""),"Krm")</f>
        <v>Krm</v>
      </c>
      <c r="Y313" s="267">
        <v>-0.01</v>
      </c>
      <c r="Z313" s="267">
        <v>0.9926095819931713</v>
      </c>
      <c r="AA313" s="269"/>
      <c r="AB313" s="270"/>
      <c r="AC313" s="270"/>
      <c r="AD313" s="270"/>
      <c r="AE313" s="270"/>
    </row>
    <row r="314">
      <c r="A314" s="256">
        <f>IFERROR(__xludf.DUMMYFUNCTION("""COMPUTED_VALUE"""),42447.30694444444)</f>
        <v>42447.30694</v>
      </c>
      <c r="B314" s="257" t="str">
        <f>IFERROR(__xludf.DUMMYFUNCTION("""COMPUTED_VALUE"""),"eae")</f>
        <v>eae</v>
      </c>
      <c r="C314" s="258" t="str">
        <f>IFERROR(__xludf.DUMMYFUNCTION("""COMPUTED_VALUE"""),"Europe (excluding UK) &amp; Asia Pacific")</f>
        <v>Europe (excluding UK) &amp; Asia Pacific</v>
      </c>
      <c r="D314" s="258" t="str">
        <f>IFERROR(__xludf.DUMMYFUNCTION("""COMPUTED_VALUE"""),"km. My car displays range in kilometres and I will enter all range numbers in kilometres.")</f>
        <v>km. My car displays range in kilometres and I will enter all range numbers in kilometres.</v>
      </c>
      <c r="E314" s="259">
        <f>IFERROR(__xludf.DUMMYFUNCTION("""COMPUTED_VALUE"""),42353.0)</f>
        <v>42353</v>
      </c>
      <c r="F314" s="258" t="str">
        <f>IFERROR(__xludf.DUMMYFUNCTION("""COMPUTED_VALUE"""),"Model S 70D")</f>
        <v>Model S 70D</v>
      </c>
      <c r="G314" s="258" t="str">
        <f>IFERROR(__xludf.DUMMYFUNCTION("""COMPUTED_VALUE"""),"A few times a year")</f>
        <v>A few times a year</v>
      </c>
      <c r="H314" s="258" t="str">
        <f>IFERROR(__xludf.DUMMYFUNCTION("""COMPUTED_VALUE"""),"Never")</f>
        <v>Never</v>
      </c>
      <c r="I314" s="258" t="str">
        <f>IFERROR(__xludf.DUMMYFUNCTION("""COMPUTED_VALUE"""),"Never")</f>
        <v>Never</v>
      </c>
      <c r="J314" s="260">
        <f>IFERROR(__xludf.DUMMYFUNCTION("""COMPUTED_VALUE"""),0.9)</f>
        <v>0.9</v>
      </c>
      <c r="K314" s="258">
        <f>IFERROR(__xludf.DUMMYFUNCTION("""COMPUTED_VALUE"""),361.0)</f>
        <v>361</v>
      </c>
      <c r="L314" s="258" t="str">
        <f>IFERROR(__xludf.DUMMYFUNCTION("""COMPUTED_VALUE"""),"")</f>
        <v/>
      </c>
      <c r="M314" s="261">
        <f>IFERROR(__xludf.DUMMYFUNCTION("""COMPUTED_VALUE"""),228.0)</f>
        <v>228</v>
      </c>
      <c r="N314" s="262" t="str">
        <f>IFERROR(__xludf.DUMMYFUNCTION("""COMPUTED_VALUE"""),"")</f>
        <v/>
      </c>
      <c r="O314" s="259" t="str">
        <f>IFERROR(__xludf.DUMMYFUNCTION("""COMPUTED_VALUE"""),"")</f>
        <v/>
      </c>
      <c r="P314" s="259">
        <f>IFERROR(__xludf.DUMMYFUNCTION("""COMPUTED_VALUE"""),42447.0)</f>
        <v>42447</v>
      </c>
      <c r="Q314" s="258">
        <f>IFERROR(__xludf.DUMMYFUNCTION("""COMPUTED_VALUE"""),6076.0)</f>
        <v>6076</v>
      </c>
      <c r="R314" s="261">
        <f>IFERROR(__xludf.DUMMYFUNCTION("""COMPUTED_VALUE"""),361.0)</f>
        <v>361</v>
      </c>
      <c r="S314" s="258">
        <v>360.0</v>
      </c>
      <c r="T314" s="263">
        <v>1.0027777777777778</v>
      </c>
      <c r="U314" s="264">
        <v>3775.0</v>
      </c>
      <c r="V314" s="265">
        <v>6076.0</v>
      </c>
      <c r="W314" s="264">
        <v>3775.0</v>
      </c>
      <c r="X314" s="266" t="str">
        <f>IFERROR(__xludf.DUMMYFUNCTION("""COMPUTED_VALUE"""),"ku7")</f>
        <v>ku7</v>
      </c>
      <c r="Y314" s="267">
        <v>-0.01</v>
      </c>
      <c r="Z314" s="267">
        <v>0.9895394183510405</v>
      </c>
      <c r="AA314" s="269"/>
      <c r="AB314" s="270"/>
      <c r="AC314" s="270"/>
      <c r="AD314" s="270"/>
      <c r="AE314" s="270"/>
    </row>
    <row r="315">
      <c r="A315" s="256">
        <f>IFERROR(__xludf.DUMMYFUNCTION("""COMPUTED_VALUE"""),42478.32777777778)</f>
        <v>42478.32778</v>
      </c>
      <c r="B315" s="257" t="str">
        <f>IFERROR(__xludf.DUMMYFUNCTION("""COMPUTED_VALUE"""),"eae")</f>
        <v>eae</v>
      </c>
      <c r="C315" s="258" t="str">
        <f>IFERROR(__xludf.DUMMYFUNCTION("""COMPUTED_VALUE"""),"Europe (excluding UK) &amp; Asia Pacific")</f>
        <v>Europe (excluding UK) &amp; Asia Pacific</v>
      </c>
      <c r="D315" s="258" t="str">
        <f>IFERROR(__xludf.DUMMYFUNCTION("""COMPUTED_VALUE"""),"km. My car displays range in kilometres and I will enter all range numbers in kilometres.")</f>
        <v>km. My car displays range in kilometres and I will enter all range numbers in kilometres.</v>
      </c>
      <c r="E315" s="259">
        <f>IFERROR(__xludf.DUMMYFUNCTION("""COMPUTED_VALUE"""),42353.0)</f>
        <v>42353</v>
      </c>
      <c r="F315" s="258" t="str">
        <f>IFERROR(__xludf.DUMMYFUNCTION("""COMPUTED_VALUE"""),"Model S 70D")</f>
        <v>Model S 70D</v>
      </c>
      <c r="G315" s="258" t="str">
        <f>IFERROR(__xludf.DUMMYFUNCTION("""COMPUTED_VALUE"""),"")</f>
        <v/>
      </c>
      <c r="H315" s="258" t="str">
        <f>IFERROR(__xludf.DUMMYFUNCTION("""COMPUTED_VALUE"""),"")</f>
        <v/>
      </c>
      <c r="I315" s="258" t="str">
        <f>IFERROR(__xludf.DUMMYFUNCTION("""COMPUTED_VALUE"""),"")</f>
        <v/>
      </c>
      <c r="J315" s="260" t="str">
        <f>IFERROR(__xludf.DUMMYFUNCTION("""COMPUTED_VALUE"""),"")</f>
        <v/>
      </c>
      <c r="K315" s="258" t="str">
        <f>IFERROR(__xludf.DUMMYFUNCTION("""COMPUTED_VALUE"""),"")</f>
        <v/>
      </c>
      <c r="L315" s="258" t="str">
        <f>IFERROR(__xludf.DUMMYFUNCTION("""COMPUTED_VALUE"""),"")</f>
        <v/>
      </c>
      <c r="M315" s="261">
        <f>IFERROR(__xludf.DUMMYFUNCTION("""COMPUTED_VALUE"""),220.0)</f>
        <v>220</v>
      </c>
      <c r="N315" s="262" t="str">
        <f>IFERROR(__xludf.DUMMYFUNCTION("""COMPUTED_VALUE"""),"")</f>
        <v/>
      </c>
      <c r="O315" s="259" t="str">
        <f>IFERROR(__xludf.DUMMYFUNCTION("""COMPUTED_VALUE"""),"")</f>
        <v/>
      </c>
      <c r="P315" s="259">
        <f>IFERROR(__xludf.DUMMYFUNCTION("""COMPUTED_VALUE"""),42478.0)</f>
        <v>42478</v>
      </c>
      <c r="Q315" s="258">
        <f>IFERROR(__xludf.DUMMYFUNCTION("""COMPUTED_VALUE"""),8643.0)</f>
        <v>8643</v>
      </c>
      <c r="R315" s="261">
        <f>IFERROR(__xludf.DUMMYFUNCTION("""COMPUTED_VALUE"""),361.0)</f>
        <v>361</v>
      </c>
      <c r="S315" s="258">
        <v>360.0</v>
      </c>
      <c r="T315" s="263">
        <v>1.0027777777777778</v>
      </c>
      <c r="U315" s="264">
        <v>5371.0</v>
      </c>
      <c r="V315" s="265">
        <v>8643.0</v>
      </c>
      <c r="W315" s="264">
        <v>5371.0</v>
      </c>
      <c r="X315" s="266" t="str">
        <f>IFERROR(__xludf.DUMMYFUNCTION("""COMPUTED_VALUE"""),"kwdavids")</f>
        <v>kwdavids</v>
      </c>
      <c r="Y315" s="267">
        <v>-0.01</v>
      </c>
      <c r="Z315" s="267">
        <v>0.9859830128479669</v>
      </c>
      <c r="AA315" s="269"/>
      <c r="AB315" s="270"/>
      <c r="AC315" s="270"/>
      <c r="AD315" s="270"/>
      <c r="AE315" s="270"/>
    </row>
    <row r="316">
      <c r="A316" s="256">
        <f>IFERROR(__xludf.DUMMYFUNCTION("""COMPUTED_VALUE"""),42508.336805555555)</f>
        <v>42508.33681</v>
      </c>
      <c r="B316" s="257" t="str">
        <f>IFERROR(__xludf.DUMMYFUNCTION("""COMPUTED_VALUE"""),"eae")</f>
        <v>eae</v>
      </c>
      <c r="C316" s="258" t="str">
        <f>IFERROR(__xludf.DUMMYFUNCTION("""COMPUTED_VALUE"""),"Europe (excluding UK) &amp; Asia Pacific")</f>
        <v>Europe (excluding UK) &amp; Asia Pacific</v>
      </c>
      <c r="D316" s="258" t="str">
        <f>IFERROR(__xludf.DUMMYFUNCTION("""COMPUTED_VALUE"""),"km. My car displays range in kilometres and I will enter all range numbers in kilometres.")</f>
        <v>km. My car displays range in kilometres and I will enter all range numbers in kilometres.</v>
      </c>
      <c r="E316" s="259">
        <f>IFERROR(__xludf.DUMMYFUNCTION("""COMPUTED_VALUE"""),42353.0)</f>
        <v>42353</v>
      </c>
      <c r="F316" s="258" t="str">
        <f>IFERROR(__xludf.DUMMYFUNCTION("""COMPUTED_VALUE"""),"Model S 70D")</f>
        <v>Model S 70D</v>
      </c>
      <c r="G316" s="258" t="str">
        <f>IFERROR(__xludf.DUMMYFUNCTION("""COMPUTED_VALUE"""),"")</f>
        <v/>
      </c>
      <c r="H316" s="258" t="str">
        <f>IFERROR(__xludf.DUMMYFUNCTION("""COMPUTED_VALUE"""),"")</f>
        <v/>
      </c>
      <c r="I316" s="258" t="str">
        <f>IFERROR(__xludf.DUMMYFUNCTION("""COMPUTED_VALUE"""),"")</f>
        <v/>
      </c>
      <c r="J316" s="260" t="str">
        <f>IFERROR(__xludf.DUMMYFUNCTION("""COMPUTED_VALUE"""),"")</f>
        <v/>
      </c>
      <c r="K316" s="258" t="str">
        <f>IFERROR(__xludf.DUMMYFUNCTION("""COMPUTED_VALUE"""),"")</f>
        <v/>
      </c>
      <c r="L316" s="258" t="str">
        <f>IFERROR(__xludf.DUMMYFUNCTION("""COMPUTED_VALUE"""),"")</f>
        <v/>
      </c>
      <c r="M316" s="261">
        <f>IFERROR(__xludf.DUMMYFUNCTION("""COMPUTED_VALUE"""),218.0)</f>
        <v>218</v>
      </c>
      <c r="N316" s="262" t="str">
        <f>IFERROR(__xludf.DUMMYFUNCTION("""COMPUTED_VALUE"""),"")</f>
        <v/>
      </c>
      <c r="O316" s="259" t="str">
        <f>IFERROR(__xludf.DUMMYFUNCTION("""COMPUTED_VALUE"""),"")</f>
        <v/>
      </c>
      <c r="P316" s="259">
        <f>IFERROR(__xludf.DUMMYFUNCTION("""COMPUTED_VALUE"""),42508.0)</f>
        <v>42508</v>
      </c>
      <c r="Q316" s="258">
        <f>IFERROR(__xludf.DUMMYFUNCTION("""COMPUTED_VALUE"""),11680.0)</f>
        <v>11680</v>
      </c>
      <c r="R316" s="261">
        <f>IFERROR(__xludf.DUMMYFUNCTION("""COMPUTED_VALUE"""),364.0)</f>
        <v>364</v>
      </c>
      <c r="S316" s="258">
        <v>360.0</v>
      </c>
      <c r="T316" s="263">
        <v>1.011111111111111</v>
      </c>
      <c r="U316" s="264">
        <v>7258.0</v>
      </c>
      <c r="V316" s="265">
        <v>11680.0</v>
      </c>
      <c r="W316" s="264">
        <v>7258.0</v>
      </c>
      <c r="X316" s="266" t="str">
        <f>IFERROR(__xludf.DUMMYFUNCTION("""COMPUTED_VALUE"""),"kwenix")</f>
        <v>kwenix</v>
      </c>
      <c r="Y316" s="267">
        <v>-0.01</v>
      </c>
      <c r="Z316" s="267">
        <v>0.9823015680246787</v>
      </c>
      <c r="AA316" s="269"/>
      <c r="AB316" s="270"/>
      <c r="AC316" s="270"/>
      <c r="AD316" s="270"/>
      <c r="AE316" s="270"/>
    </row>
    <row r="317">
      <c r="A317" s="256">
        <f>IFERROR(__xludf.DUMMYFUNCTION("""COMPUTED_VALUE"""),42567.361805555556)</f>
        <v>42567.36181</v>
      </c>
      <c r="B317" s="257" t="str">
        <f>IFERROR(__xludf.DUMMYFUNCTION("""COMPUTED_VALUE"""),"eae")</f>
        <v>eae</v>
      </c>
      <c r="C317" s="258" t="str">
        <f>IFERROR(__xludf.DUMMYFUNCTION("""COMPUTED_VALUE"""),"Europe (excluding UK) &amp; Asia Pacific")</f>
        <v>Europe (excluding UK) &amp; Asia Pacific</v>
      </c>
      <c r="D317" s="258" t="str">
        <f>IFERROR(__xludf.DUMMYFUNCTION("""COMPUTED_VALUE"""),"km. My car displays range in kilometres and I will enter all range numbers in kilometres.")</f>
        <v>km. My car displays range in kilometres and I will enter all range numbers in kilometres.</v>
      </c>
      <c r="E317" s="259">
        <f>IFERROR(__xludf.DUMMYFUNCTION("""COMPUTED_VALUE"""),42353.0)</f>
        <v>42353</v>
      </c>
      <c r="F317" s="258" t="str">
        <f>IFERROR(__xludf.DUMMYFUNCTION("""COMPUTED_VALUE"""),"Model S 70D")</f>
        <v>Model S 70D</v>
      </c>
      <c r="G317" s="258" t="str">
        <f>IFERROR(__xludf.DUMMYFUNCTION("""COMPUTED_VALUE"""),"Twice a month")</f>
        <v>Twice a month</v>
      </c>
      <c r="H317" s="258" t="str">
        <f>IFERROR(__xludf.DUMMYFUNCTION("""COMPUTED_VALUE"""),"Never")</f>
        <v>Never</v>
      </c>
      <c r="I317" s="258" t="str">
        <f>IFERROR(__xludf.DUMMYFUNCTION("""COMPUTED_VALUE"""),"Never")</f>
        <v>Never</v>
      </c>
      <c r="J317" s="260">
        <f>IFERROR(__xludf.DUMMYFUNCTION("""COMPUTED_VALUE"""),0.9)</f>
        <v>0.9</v>
      </c>
      <c r="K317" s="258">
        <f>IFERROR(__xludf.DUMMYFUNCTION("""COMPUTED_VALUE"""),361.0)</f>
        <v>361</v>
      </c>
      <c r="L317" s="258" t="str">
        <f>IFERROR(__xludf.DUMMYFUNCTION("""COMPUTED_VALUE"""),"")</f>
        <v/>
      </c>
      <c r="M317" s="261">
        <f>IFERROR(__xludf.DUMMYFUNCTION("""COMPUTED_VALUE"""),211.0)</f>
        <v>211</v>
      </c>
      <c r="N317" s="262" t="str">
        <f>IFERROR(__xludf.DUMMYFUNCTION("""COMPUTED_VALUE"""),"")</f>
        <v/>
      </c>
      <c r="O317" s="259" t="str">
        <f>IFERROR(__xludf.DUMMYFUNCTION("""COMPUTED_VALUE"""),"")</f>
        <v/>
      </c>
      <c r="P317" s="259">
        <f>IFERROR(__xludf.DUMMYFUNCTION("""COMPUTED_VALUE"""),42567.0)</f>
        <v>42567</v>
      </c>
      <c r="Q317" s="258">
        <f>IFERROR(__xludf.DUMMYFUNCTION("""COMPUTED_VALUE"""),15300.0)</f>
        <v>15300</v>
      </c>
      <c r="R317" s="261">
        <f>IFERROR(__xludf.DUMMYFUNCTION("""COMPUTED_VALUE"""),364.0)</f>
        <v>364</v>
      </c>
      <c r="S317" s="258">
        <v>360.0</v>
      </c>
      <c r="T317" s="263">
        <v>1.011111111111111</v>
      </c>
      <c r="U317" s="264">
        <v>9507.0</v>
      </c>
      <c r="V317" s="265">
        <v>15300.0</v>
      </c>
      <c r="W317" s="264">
        <v>9507.0</v>
      </c>
      <c r="X317" s="266" t="str">
        <f>IFERROR(__xludf.DUMMYFUNCTION("""COMPUTED_VALUE"""),"KyP85D")</f>
        <v>KyP85D</v>
      </c>
      <c r="Y317" s="267">
        <v>-0.01</v>
      </c>
      <c r="Z317" s="267">
        <v>0.9785369805166184</v>
      </c>
      <c r="AA317" s="269"/>
      <c r="AB317" s="270"/>
      <c r="AC317" s="270"/>
      <c r="AD317" s="270"/>
      <c r="AE317" s="270"/>
    </row>
    <row r="318">
      <c r="A318" s="256">
        <f>IFERROR(__xludf.DUMMYFUNCTION("""COMPUTED_VALUE"""),42591.37708333333)</f>
        <v>42591.37708</v>
      </c>
      <c r="B318" s="257" t="str">
        <f>IFERROR(__xludf.DUMMYFUNCTION("""COMPUTED_VALUE"""),"eae")</f>
        <v>eae</v>
      </c>
      <c r="C318" s="258" t="str">
        <f>IFERROR(__xludf.DUMMYFUNCTION("""COMPUTED_VALUE"""),"Europe (excluding UK) &amp; Asia Pacific")</f>
        <v>Europe (excluding UK) &amp; Asia Pacific</v>
      </c>
      <c r="D318" s="258" t="str">
        <f>IFERROR(__xludf.DUMMYFUNCTION("""COMPUTED_VALUE"""),"km. My car displays range in kilometres and I will enter all range numbers in kilometres.")</f>
        <v>km. My car displays range in kilometres and I will enter all range numbers in kilometres.</v>
      </c>
      <c r="E318" s="259">
        <f>IFERROR(__xludf.DUMMYFUNCTION("""COMPUTED_VALUE"""),42353.0)</f>
        <v>42353</v>
      </c>
      <c r="F318" s="258" t="str">
        <f>IFERROR(__xludf.DUMMYFUNCTION("""COMPUTED_VALUE"""),"Model S 70D")</f>
        <v>Model S 70D</v>
      </c>
      <c r="G318" s="258" t="str">
        <f>IFERROR(__xludf.DUMMYFUNCTION("""COMPUTED_VALUE"""),"")</f>
        <v/>
      </c>
      <c r="H318" s="258" t="str">
        <f>IFERROR(__xludf.DUMMYFUNCTION("""COMPUTED_VALUE"""),"")</f>
        <v/>
      </c>
      <c r="I318" s="258" t="str">
        <f>IFERROR(__xludf.DUMMYFUNCTION("""COMPUTED_VALUE"""),"")</f>
        <v/>
      </c>
      <c r="J318" s="260" t="str">
        <f>IFERROR(__xludf.DUMMYFUNCTION("""COMPUTED_VALUE"""),"")</f>
        <v/>
      </c>
      <c r="K318" s="258" t="str">
        <f>IFERROR(__xludf.DUMMYFUNCTION("""COMPUTED_VALUE"""),"")</f>
        <v/>
      </c>
      <c r="L318" s="258" t="str">
        <f>IFERROR(__xludf.DUMMYFUNCTION("""COMPUTED_VALUE"""),"")</f>
        <v/>
      </c>
      <c r="M318" s="261">
        <f>IFERROR(__xludf.DUMMYFUNCTION("""COMPUTED_VALUE"""),210.0)</f>
        <v>210</v>
      </c>
      <c r="N318" s="262" t="str">
        <f>IFERROR(__xludf.DUMMYFUNCTION("""COMPUTED_VALUE"""),"")</f>
        <v/>
      </c>
      <c r="O318" s="259" t="str">
        <f>IFERROR(__xludf.DUMMYFUNCTION("""COMPUTED_VALUE"""),"")</f>
        <v/>
      </c>
      <c r="P318" s="259">
        <f>IFERROR(__xludf.DUMMYFUNCTION("""COMPUTED_VALUE"""),42591.0)</f>
        <v>42591</v>
      </c>
      <c r="Q318" s="258">
        <f>IFERROR(__xludf.DUMMYFUNCTION("""COMPUTED_VALUE"""),17500.0)</f>
        <v>17500</v>
      </c>
      <c r="R318" s="261">
        <f>IFERROR(__xludf.DUMMYFUNCTION("""COMPUTED_VALUE"""),361.0)</f>
        <v>361</v>
      </c>
      <c r="S318" s="258">
        <v>360.0</v>
      </c>
      <c r="T318" s="263">
        <v>1.0027777777777778</v>
      </c>
      <c r="U318" s="264">
        <v>10874.0</v>
      </c>
      <c r="V318" s="265">
        <v>17500.0</v>
      </c>
      <c r="W318" s="264">
        <v>10874.0</v>
      </c>
      <c r="X318" s="266" t="str">
        <f>IFERROR(__xludf.DUMMYFUNCTION("""COMPUTED_VALUE"""),"Kyyyyyy")</f>
        <v>Kyyyyyy</v>
      </c>
      <c r="Y318" s="267">
        <v>-0.01</v>
      </c>
      <c r="Z318" s="267">
        <v>0.9765279810226123</v>
      </c>
      <c r="AA318" s="269"/>
      <c r="AB318" s="270"/>
      <c r="AC318" s="270"/>
      <c r="AD318" s="270"/>
      <c r="AE318" s="270"/>
    </row>
    <row r="319">
      <c r="A319" s="256">
        <f>IFERROR(__xludf.DUMMYFUNCTION("""COMPUTED_VALUE"""),42599.379166666666)</f>
        <v>42599.37917</v>
      </c>
      <c r="B319" s="257" t="str">
        <f>IFERROR(__xludf.DUMMYFUNCTION("""COMPUTED_VALUE"""),"eae")</f>
        <v>eae</v>
      </c>
      <c r="C319" s="258" t="str">
        <f>IFERROR(__xludf.DUMMYFUNCTION("""COMPUTED_VALUE"""),"Europe (excluding UK) &amp; Asia Pacific")</f>
        <v>Europe (excluding UK) &amp; Asia Pacific</v>
      </c>
      <c r="D319" s="258" t="str">
        <f>IFERROR(__xludf.DUMMYFUNCTION("""COMPUTED_VALUE"""),"km. My car displays range in kilometres and I will enter all range numbers in kilometres.")</f>
        <v>km. My car displays range in kilometres and I will enter all range numbers in kilometres.</v>
      </c>
      <c r="E319" s="259">
        <f>IFERROR(__xludf.DUMMYFUNCTION("""COMPUTED_VALUE"""),42353.0)</f>
        <v>42353</v>
      </c>
      <c r="F319" s="258" t="str">
        <f>IFERROR(__xludf.DUMMYFUNCTION("""COMPUTED_VALUE"""),"Model S 70D")</f>
        <v>Model S 70D</v>
      </c>
      <c r="G319" s="258" t="str">
        <f>IFERROR(__xludf.DUMMYFUNCTION("""COMPUTED_VALUE"""),"")</f>
        <v/>
      </c>
      <c r="H319" s="258" t="str">
        <f>IFERROR(__xludf.DUMMYFUNCTION("""COMPUTED_VALUE"""),"")</f>
        <v/>
      </c>
      <c r="I319" s="258" t="str">
        <f>IFERROR(__xludf.DUMMYFUNCTION("""COMPUTED_VALUE"""),"")</f>
        <v/>
      </c>
      <c r="J319" s="260" t="str">
        <f>IFERROR(__xludf.DUMMYFUNCTION("""COMPUTED_VALUE"""),"")</f>
        <v/>
      </c>
      <c r="K319" s="258" t="str">
        <f>IFERROR(__xludf.DUMMYFUNCTION("""COMPUTED_VALUE"""),"")</f>
        <v/>
      </c>
      <c r="L319" s="258" t="str">
        <f>IFERROR(__xludf.DUMMYFUNCTION("""COMPUTED_VALUE"""),"")</f>
        <v/>
      </c>
      <c r="M319" s="261">
        <f>IFERROR(__xludf.DUMMYFUNCTION("""COMPUTED_VALUE"""),209.0)</f>
        <v>209</v>
      </c>
      <c r="N319" s="262" t="str">
        <f>IFERROR(__xludf.DUMMYFUNCTION("""COMPUTED_VALUE"""),"")</f>
        <v/>
      </c>
      <c r="O319" s="259" t="str">
        <f>IFERROR(__xludf.DUMMYFUNCTION("""COMPUTED_VALUE"""),"")</f>
        <v/>
      </c>
      <c r="P319" s="259">
        <f>IFERROR(__xludf.DUMMYFUNCTION("""COMPUTED_VALUE"""),42599.0)</f>
        <v>42599</v>
      </c>
      <c r="Q319" s="258">
        <f>IFERROR(__xludf.DUMMYFUNCTION("""COMPUTED_VALUE"""),18300.0)</f>
        <v>18300</v>
      </c>
      <c r="R319" s="261">
        <f>IFERROR(__xludf.DUMMYFUNCTION("""COMPUTED_VALUE"""),359.0)</f>
        <v>359</v>
      </c>
      <c r="S319" s="258">
        <v>360.0</v>
      </c>
      <c r="T319" s="263">
        <v>0.9972222222222222</v>
      </c>
      <c r="U319" s="264">
        <v>11371.0</v>
      </c>
      <c r="V319" s="265">
        <v>18300.0</v>
      </c>
      <c r="W319" s="264">
        <v>11371.0</v>
      </c>
      <c r="X319" s="266" t="str">
        <f>IFERROR(__xludf.DUMMYFUNCTION("""COMPUTED_VALUE"""),"L-P-G")</f>
        <v>L-P-G</v>
      </c>
      <c r="Y319" s="267">
        <v>-0.01</v>
      </c>
      <c r="Z319" s="267">
        <v>0.9758433330009486</v>
      </c>
      <c r="AA319" s="269"/>
      <c r="AB319" s="270"/>
      <c r="AC319" s="270"/>
      <c r="AD319" s="270"/>
      <c r="AE319" s="270"/>
    </row>
    <row r="320">
      <c r="A320" s="256">
        <f>IFERROR(__xludf.DUMMYFUNCTION("""COMPUTED_VALUE"""),42618.39166666666)</f>
        <v>42618.39167</v>
      </c>
      <c r="B320" s="257" t="str">
        <f>IFERROR(__xludf.DUMMYFUNCTION("""COMPUTED_VALUE"""),"eae")</f>
        <v>eae</v>
      </c>
      <c r="C320" s="258" t="str">
        <f>IFERROR(__xludf.DUMMYFUNCTION("""COMPUTED_VALUE"""),"Europe (excluding UK) &amp; Asia Pacific")</f>
        <v>Europe (excluding UK) &amp; Asia Pacific</v>
      </c>
      <c r="D320" s="258" t="str">
        <f>IFERROR(__xludf.DUMMYFUNCTION("""COMPUTED_VALUE"""),"km. My car displays range in kilometres and I will enter all range numbers in kilometres.")</f>
        <v>km. My car displays range in kilometres and I will enter all range numbers in kilometres.</v>
      </c>
      <c r="E320" s="259">
        <f>IFERROR(__xludf.DUMMYFUNCTION("""COMPUTED_VALUE"""),42353.0)</f>
        <v>42353</v>
      </c>
      <c r="F320" s="258" t="str">
        <f>IFERROR(__xludf.DUMMYFUNCTION("""COMPUTED_VALUE"""),"Model S 70D")</f>
        <v>Model S 70D</v>
      </c>
      <c r="G320" s="258" t="str">
        <f>IFERROR(__xludf.DUMMYFUNCTION("""COMPUTED_VALUE"""),"Weekly")</f>
        <v>Weekly</v>
      </c>
      <c r="H320" s="258" t="str">
        <f>IFERROR(__xludf.DUMMYFUNCTION("""COMPUTED_VALUE"""),"Never")</f>
        <v>Never</v>
      </c>
      <c r="I320" s="258" t="str">
        <f>IFERROR(__xludf.DUMMYFUNCTION("""COMPUTED_VALUE"""),"Never")</f>
        <v>Never</v>
      </c>
      <c r="J320" s="260">
        <f>IFERROR(__xludf.DUMMYFUNCTION("""COMPUTED_VALUE"""),0.9)</f>
        <v>0.9</v>
      </c>
      <c r="K320" s="258">
        <f>IFERROR(__xludf.DUMMYFUNCTION("""COMPUTED_VALUE"""),359.0)</f>
        <v>359</v>
      </c>
      <c r="L320" s="258" t="str">
        <f>IFERROR(__xludf.DUMMYFUNCTION("""COMPUTED_VALUE"""),"")</f>
        <v/>
      </c>
      <c r="M320" s="261">
        <f>IFERROR(__xludf.DUMMYFUNCTION("""COMPUTED_VALUE"""),205.0)</f>
        <v>205</v>
      </c>
      <c r="N320" s="262" t="str">
        <f>IFERROR(__xludf.DUMMYFUNCTION("""COMPUTED_VALUE"""),"")</f>
        <v/>
      </c>
      <c r="O320" s="259" t="str">
        <f>IFERROR(__xludf.DUMMYFUNCTION("""COMPUTED_VALUE"""),"")</f>
        <v/>
      </c>
      <c r="P320" s="259">
        <f>IFERROR(__xludf.DUMMYFUNCTION("""COMPUTED_VALUE"""),42618.0)</f>
        <v>42618</v>
      </c>
      <c r="Q320" s="258">
        <f>IFERROR(__xludf.DUMMYFUNCTION("""COMPUTED_VALUE"""),20300.0)</f>
        <v>20300</v>
      </c>
      <c r="R320" s="261">
        <f>IFERROR(__xludf.DUMMYFUNCTION("""COMPUTED_VALUE"""),359.0)</f>
        <v>359</v>
      </c>
      <c r="S320" s="258">
        <v>360.0</v>
      </c>
      <c r="T320" s="263">
        <v>0.9972222222222222</v>
      </c>
      <c r="U320" s="264">
        <v>12614.0</v>
      </c>
      <c r="V320" s="265">
        <v>20300.0</v>
      </c>
      <c r="W320" s="264">
        <v>12614.0</v>
      </c>
      <c r="X320" s="266" t="str">
        <f>IFERROR(__xludf.DUMMYFUNCTION("""COMPUTED_VALUE"""),"l.10.i")</f>
        <v>l.10.i</v>
      </c>
      <c r="Y320" s="267">
        <v>-0.01</v>
      </c>
      <c r="Z320" s="267">
        <v>0.9742289064685928</v>
      </c>
      <c r="AA320" s="269"/>
      <c r="AB320" s="270"/>
      <c r="AC320" s="270"/>
      <c r="AD320" s="270"/>
      <c r="AE320" s="270"/>
    </row>
    <row r="321">
      <c r="A321" s="256">
        <f>IFERROR(__xludf.DUMMYFUNCTION("""COMPUTED_VALUE"""),42633.40416666667)</f>
        <v>42633.40417</v>
      </c>
      <c r="B321" s="257" t="str">
        <f>IFERROR(__xludf.DUMMYFUNCTION("""COMPUTED_VALUE"""),"eae")</f>
        <v>eae</v>
      </c>
      <c r="C321" s="258" t="str">
        <f>IFERROR(__xludf.DUMMYFUNCTION("""COMPUTED_VALUE"""),"Europe (excluding UK) &amp; Asia Pacific")</f>
        <v>Europe (excluding UK) &amp; Asia Pacific</v>
      </c>
      <c r="D321" s="258" t="str">
        <f>IFERROR(__xludf.DUMMYFUNCTION("""COMPUTED_VALUE"""),"km. My car displays range in kilometres and I will enter all range numbers in kilometres.")</f>
        <v>km. My car displays range in kilometres and I will enter all range numbers in kilometres.</v>
      </c>
      <c r="E321" s="259">
        <f>IFERROR(__xludf.DUMMYFUNCTION("""COMPUTED_VALUE"""),42353.0)</f>
        <v>42353</v>
      </c>
      <c r="F321" s="258" t="str">
        <f>IFERROR(__xludf.DUMMYFUNCTION("""COMPUTED_VALUE"""),"Model S 70D")</f>
        <v>Model S 70D</v>
      </c>
      <c r="G321" s="258" t="str">
        <f>IFERROR(__xludf.DUMMYFUNCTION("""COMPUTED_VALUE"""),"")</f>
        <v/>
      </c>
      <c r="H321" s="258" t="str">
        <f>IFERROR(__xludf.DUMMYFUNCTION("""COMPUTED_VALUE"""),"")</f>
        <v/>
      </c>
      <c r="I321" s="258" t="str">
        <f>IFERROR(__xludf.DUMMYFUNCTION("""COMPUTED_VALUE"""),"")</f>
        <v/>
      </c>
      <c r="J321" s="260" t="str">
        <f>IFERROR(__xludf.DUMMYFUNCTION("""COMPUTED_VALUE"""),"")</f>
        <v/>
      </c>
      <c r="K321" s="258" t="str">
        <f>IFERROR(__xludf.DUMMYFUNCTION("""COMPUTED_VALUE"""),"")</f>
        <v/>
      </c>
      <c r="L321" s="258" t="str">
        <f>IFERROR(__xludf.DUMMYFUNCTION("""COMPUTED_VALUE"""),"")</f>
        <v/>
      </c>
      <c r="M321" s="261">
        <f>IFERROR(__xludf.DUMMYFUNCTION("""COMPUTED_VALUE"""),202.0)</f>
        <v>202</v>
      </c>
      <c r="N321" s="262" t="str">
        <f>IFERROR(__xludf.DUMMYFUNCTION("""COMPUTED_VALUE"""),"")</f>
        <v/>
      </c>
      <c r="O321" s="259" t="str">
        <f>IFERROR(__xludf.DUMMYFUNCTION("""COMPUTED_VALUE"""),"")</f>
        <v/>
      </c>
      <c r="P321" s="259">
        <f>IFERROR(__xludf.DUMMYFUNCTION("""COMPUTED_VALUE"""),42633.0)</f>
        <v>42633</v>
      </c>
      <c r="Q321" s="258">
        <f>IFERROR(__xludf.DUMMYFUNCTION("""COMPUTED_VALUE"""),22442.0)</f>
        <v>22442</v>
      </c>
      <c r="R321" s="261">
        <f>IFERROR(__xludf.DUMMYFUNCTION("""COMPUTED_VALUE"""),361.0)</f>
        <v>361</v>
      </c>
      <c r="S321" s="258">
        <v>360.0</v>
      </c>
      <c r="T321" s="263">
        <v>1.0027777777777778</v>
      </c>
      <c r="U321" s="264">
        <v>13945.0</v>
      </c>
      <c r="V321" s="265">
        <v>22442.0</v>
      </c>
      <c r="W321" s="264">
        <v>13945.0</v>
      </c>
      <c r="X321" s="266" t="str">
        <f>IFERROR(__xludf.DUMMYFUNCTION("""COMPUTED_VALUE"""),"l_younis")</f>
        <v>l_younis</v>
      </c>
      <c r="Y321" s="267">
        <v>-0.01</v>
      </c>
      <c r="Z321" s="267">
        <v>0.9726398644790158</v>
      </c>
      <c r="AA321" s="269"/>
      <c r="AB321" s="270"/>
      <c r="AC321" s="270"/>
      <c r="AD321" s="270"/>
      <c r="AE321" s="270"/>
    </row>
    <row r="322">
      <c r="A322" s="256">
        <f>IFERROR(__xludf.DUMMYFUNCTION("""COMPUTED_VALUE"""),42648.410416666666)</f>
        <v>42648.41042</v>
      </c>
      <c r="B322" s="257" t="str">
        <f>IFERROR(__xludf.DUMMYFUNCTION("""COMPUTED_VALUE"""),"eae")</f>
        <v>eae</v>
      </c>
      <c r="C322" s="258" t="str">
        <f>IFERROR(__xludf.DUMMYFUNCTION("""COMPUTED_VALUE"""),"Europe (excluding UK) &amp; Asia Pacific")</f>
        <v>Europe (excluding UK) &amp; Asia Pacific</v>
      </c>
      <c r="D322" s="258" t="str">
        <f>IFERROR(__xludf.DUMMYFUNCTION("""COMPUTED_VALUE"""),"km. My car displays range in kilometres and I will enter all range numbers in kilometres.")</f>
        <v>km. My car displays range in kilometres and I will enter all range numbers in kilometres.</v>
      </c>
      <c r="E322" s="259">
        <f>IFERROR(__xludf.DUMMYFUNCTION("""COMPUTED_VALUE"""),42353.0)</f>
        <v>42353</v>
      </c>
      <c r="F322" s="258" t="str">
        <f>IFERROR(__xludf.DUMMYFUNCTION("""COMPUTED_VALUE"""),"Model S 70D")</f>
        <v>Model S 70D</v>
      </c>
      <c r="G322" s="258" t="str">
        <f>IFERROR(__xludf.DUMMYFUNCTION("""COMPUTED_VALUE"""),"")</f>
        <v/>
      </c>
      <c r="H322" s="258" t="str">
        <f>IFERROR(__xludf.DUMMYFUNCTION("""COMPUTED_VALUE"""),"")</f>
        <v/>
      </c>
      <c r="I322" s="258" t="str">
        <f>IFERROR(__xludf.DUMMYFUNCTION("""COMPUTED_VALUE"""),"")</f>
        <v/>
      </c>
      <c r="J322" s="260" t="str">
        <f>IFERROR(__xludf.DUMMYFUNCTION("""COMPUTED_VALUE"""),"")</f>
        <v/>
      </c>
      <c r="K322" s="258" t="str">
        <f>IFERROR(__xludf.DUMMYFUNCTION("""COMPUTED_VALUE"""),"")</f>
        <v/>
      </c>
      <c r="L322" s="258" t="str">
        <f>IFERROR(__xludf.DUMMYFUNCTION("""COMPUTED_VALUE"""),"")</f>
        <v/>
      </c>
      <c r="M322" s="261">
        <f>IFERROR(__xludf.DUMMYFUNCTION("""COMPUTED_VALUE"""),201.0)</f>
        <v>201</v>
      </c>
      <c r="N322" s="262" t="str">
        <f>IFERROR(__xludf.DUMMYFUNCTION("""COMPUTED_VALUE"""),"")</f>
        <v/>
      </c>
      <c r="O322" s="259" t="str">
        <f>IFERROR(__xludf.DUMMYFUNCTION("""COMPUTED_VALUE"""),"")</f>
        <v/>
      </c>
      <c r="P322" s="259">
        <f>IFERROR(__xludf.DUMMYFUNCTION("""COMPUTED_VALUE"""),42648.0)</f>
        <v>42648</v>
      </c>
      <c r="Q322" s="258">
        <f>IFERROR(__xludf.DUMMYFUNCTION("""COMPUTED_VALUE"""),24088.0)</f>
        <v>24088</v>
      </c>
      <c r="R322" s="261">
        <f>IFERROR(__xludf.DUMMYFUNCTION("""COMPUTED_VALUE"""),359.0)</f>
        <v>359</v>
      </c>
      <c r="S322" s="258">
        <v>360.0</v>
      </c>
      <c r="T322" s="263">
        <v>0.9972222222222222</v>
      </c>
      <c r="U322" s="264">
        <v>14968.0</v>
      </c>
      <c r="V322" s="265">
        <v>24088.0</v>
      </c>
      <c r="W322" s="264">
        <v>14968.0</v>
      </c>
      <c r="X322" s="266" t="str">
        <f>IFERROR(__xludf.DUMMYFUNCTION("""COMPUTED_VALUE"""),"LastGas")</f>
        <v>LastGas</v>
      </c>
      <c r="Y322" s="267">
        <v>-0.01</v>
      </c>
      <c r="Z322" s="267">
        <v>0.9715067162283331</v>
      </c>
      <c r="AA322" s="269"/>
      <c r="AB322" s="270"/>
      <c r="AC322" s="270"/>
      <c r="AD322" s="270"/>
      <c r="AE322" s="270"/>
    </row>
    <row r="323">
      <c r="A323" s="256">
        <f>IFERROR(__xludf.DUMMYFUNCTION("""COMPUTED_VALUE"""),42691.45763888889)</f>
        <v>42691.45764</v>
      </c>
      <c r="B323" s="257" t="str">
        <f>IFERROR(__xludf.DUMMYFUNCTION("""COMPUTED_VALUE"""),"eae")</f>
        <v>eae</v>
      </c>
      <c r="C323" s="258" t="str">
        <f>IFERROR(__xludf.DUMMYFUNCTION("""COMPUTED_VALUE"""),"Europe (excluding UK) &amp; Asia Pacific")</f>
        <v>Europe (excluding UK) &amp; Asia Pacific</v>
      </c>
      <c r="D323" s="258" t="str">
        <f>IFERROR(__xludf.DUMMYFUNCTION("""COMPUTED_VALUE"""),"km. My car displays range in kilometres and I will enter all range numbers in kilometres.")</f>
        <v>km. My car displays range in kilometres and I will enter all range numbers in kilometres.</v>
      </c>
      <c r="E323" s="259">
        <f>IFERROR(__xludf.DUMMYFUNCTION("""COMPUTED_VALUE"""),42353.0)</f>
        <v>42353</v>
      </c>
      <c r="F323" s="258" t="str">
        <f>IFERROR(__xludf.DUMMYFUNCTION("""COMPUTED_VALUE"""),"Model S 70D")</f>
        <v>Model S 70D</v>
      </c>
      <c r="G323" s="258" t="str">
        <f>IFERROR(__xludf.DUMMYFUNCTION("""COMPUTED_VALUE"""),"")</f>
        <v/>
      </c>
      <c r="H323" s="258" t="str">
        <f>IFERROR(__xludf.DUMMYFUNCTION("""COMPUTED_VALUE"""),"")</f>
        <v/>
      </c>
      <c r="I323" s="258" t="str">
        <f>IFERROR(__xludf.DUMMYFUNCTION("""COMPUTED_VALUE"""),"")</f>
        <v/>
      </c>
      <c r="J323" s="260" t="str">
        <f>IFERROR(__xludf.DUMMYFUNCTION("""COMPUTED_VALUE"""),"")</f>
        <v/>
      </c>
      <c r="K323" s="258" t="str">
        <f>IFERROR(__xludf.DUMMYFUNCTION("""COMPUTED_VALUE"""),"")</f>
        <v/>
      </c>
      <c r="L323" s="258" t="str">
        <f>IFERROR(__xludf.DUMMYFUNCTION("""COMPUTED_VALUE"""),"")</f>
        <v/>
      </c>
      <c r="M323" s="261">
        <f>IFERROR(__xludf.DUMMYFUNCTION("""COMPUTED_VALUE"""),203.0)</f>
        <v>203</v>
      </c>
      <c r="N323" s="262" t="str">
        <f>IFERROR(__xludf.DUMMYFUNCTION("""COMPUTED_VALUE"""),"")</f>
        <v/>
      </c>
      <c r="O323" s="259" t="str">
        <f>IFERROR(__xludf.DUMMYFUNCTION("""COMPUTED_VALUE"""),"")</f>
        <v/>
      </c>
      <c r="P323" s="259">
        <f>IFERROR(__xludf.DUMMYFUNCTION("""COMPUTED_VALUE"""),42691.0)</f>
        <v>42691</v>
      </c>
      <c r="Q323" s="258">
        <f>IFERROR(__xludf.DUMMYFUNCTION("""COMPUTED_VALUE"""),28514.0)</f>
        <v>28514</v>
      </c>
      <c r="R323" s="261">
        <f>IFERROR(__xludf.DUMMYFUNCTION("""COMPUTED_VALUE"""),359.0)</f>
        <v>359</v>
      </c>
      <c r="S323" s="258">
        <v>360.0</v>
      </c>
      <c r="T323" s="263">
        <v>0.9972222222222222</v>
      </c>
      <c r="U323" s="264">
        <v>17718.0</v>
      </c>
      <c r="V323" s="265">
        <v>28514.0</v>
      </c>
      <c r="W323" s="264">
        <v>17718.0</v>
      </c>
      <c r="X323" s="266" t="str">
        <f>IFERROR(__xludf.DUMMYFUNCTION("""COMPUTED_VALUE"""),"lcs.toulouse")</f>
        <v>lcs.toulouse</v>
      </c>
      <c r="Y323" s="267">
        <v>-0.01</v>
      </c>
      <c r="Z323" s="267">
        <v>0.9687835550993138</v>
      </c>
      <c r="AA323" s="269"/>
      <c r="AB323" s="270"/>
      <c r="AC323" s="270"/>
      <c r="AD323" s="270"/>
      <c r="AE323" s="270"/>
    </row>
    <row r="324">
      <c r="A324" s="256">
        <f>IFERROR(__xludf.DUMMYFUNCTION("""COMPUTED_VALUE"""),42705.46666666667)</f>
        <v>42705.46667</v>
      </c>
      <c r="B324" s="257" t="str">
        <f>IFERROR(__xludf.DUMMYFUNCTION("""COMPUTED_VALUE"""),"eae")</f>
        <v>eae</v>
      </c>
      <c r="C324" s="258" t="str">
        <f>IFERROR(__xludf.DUMMYFUNCTION("""COMPUTED_VALUE"""),"Europe (excluding UK) &amp; Asia Pacific")</f>
        <v>Europe (excluding UK) &amp; Asia Pacific</v>
      </c>
      <c r="D324" s="258" t="str">
        <f>IFERROR(__xludf.DUMMYFUNCTION("""COMPUTED_VALUE"""),"km. My car displays range in kilometres and I will enter all range numbers in kilometres.")</f>
        <v>km. My car displays range in kilometres and I will enter all range numbers in kilometres.</v>
      </c>
      <c r="E324" s="259">
        <f>IFERROR(__xludf.DUMMYFUNCTION("""COMPUTED_VALUE"""),42353.0)</f>
        <v>42353</v>
      </c>
      <c r="F324" s="258" t="str">
        <f>IFERROR(__xludf.DUMMYFUNCTION("""COMPUTED_VALUE"""),"Model S 70D")</f>
        <v>Model S 70D</v>
      </c>
      <c r="G324" s="258" t="str">
        <f>IFERROR(__xludf.DUMMYFUNCTION("""COMPUTED_VALUE"""),"")</f>
        <v/>
      </c>
      <c r="H324" s="258" t="str">
        <f>IFERROR(__xludf.DUMMYFUNCTION("""COMPUTED_VALUE"""),"")</f>
        <v/>
      </c>
      <c r="I324" s="258" t="str">
        <f>IFERROR(__xludf.DUMMYFUNCTION("""COMPUTED_VALUE"""),"")</f>
        <v/>
      </c>
      <c r="J324" s="260" t="str">
        <f>IFERROR(__xludf.DUMMYFUNCTION("""COMPUTED_VALUE"""),"")</f>
        <v/>
      </c>
      <c r="K324" s="258" t="str">
        <f>IFERROR(__xludf.DUMMYFUNCTION("""COMPUTED_VALUE"""),"")</f>
        <v/>
      </c>
      <c r="L324" s="258" t="str">
        <f>IFERROR(__xludf.DUMMYFUNCTION("""COMPUTED_VALUE"""),"")</f>
        <v/>
      </c>
      <c r="M324" s="261">
        <f>IFERROR(__xludf.DUMMYFUNCTION("""COMPUTED_VALUE"""),205.0)</f>
        <v>205</v>
      </c>
      <c r="N324" s="262" t="str">
        <f>IFERROR(__xludf.DUMMYFUNCTION("""COMPUTED_VALUE"""),"")</f>
        <v/>
      </c>
      <c r="O324" s="259" t="str">
        <f>IFERROR(__xludf.DUMMYFUNCTION("""COMPUTED_VALUE"""),"")</f>
        <v/>
      </c>
      <c r="P324" s="259">
        <f>IFERROR(__xludf.DUMMYFUNCTION("""COMPUTED_VALUE"""),42705.0)</f>
        <v>42705</v>
      </c>
      <c r="Q324" s="258">
        <f>IFERROR(__xludf.DUMMYFUNCTION("""COMPUTED_VALUE"""),30000.0)</f>
        <v>30000</v>
      </c>
      <c r="R324" s="261">
        <f>IFERROR(__xludf.DUMMYFUNCTION("""COMPUTED_VALUE"""),358.0)</f>
        <v>358</v>
      </c>
      <c r="S324" s="258">
        <v>360.0</v>
      </c>
      <c r="T324" s="263">
        <v>0.9944444444444445</v>
      </c>
      <c r="U324" s="264">
        <v>18641.0</v>
      </c>
      <c r="V324" s="265">
        <v>30000.0</v>
      </c>
      <c r="W324" s="264">
        <v>18641.0</v>
      </c>
      <c r="X324" s="266" t="str">
        <f>IFERROR(__xludf.DUMMYFUNCTION("""COMPUTED_VALUE"""),"Leen")</f>
        <v>Leen</v>
      </c>
      <c r="Y324" s="267">
        <v>-0.01</v>
      </c>
      <c r="Z324" s="267">
        <v>0.9679606962965182</v>
      </c>
      <c r="AA324" s="269"/>
      <c r="AB324" s="270"/>
      <c r="AC324" s="270"/>
      <c r="AD324" s="270"/>
      <c r="AE324" s="270"/>
    </row>
    <row r="325">
      <c r="A325" s="256">
        <f>IFERROR(__xludf.DUMMYFUNCTION("""COMPUTED_VALUE"""),42705.476388888885)</f>
        <v>42705.47639</v>
      </c>
      <c r="B325" s="257" t="str">
        <f>IFERROR(__xludf.DUMMYFUNCTION("""COMPUTED_VALUE"""),"eae")</f>
        <v>eae</v>
      </c>
      <c r="C325" s="258" t="str">
        <f>IFERROR(__xludf.DUMMYFUNCTION("""COMPUTED_VALUE"""),"Europe (excluding UK) &amp; Asia Pacific")</f>
        <v>Europe (excluding UK) &amp; Asia Pacific</v>
      </c>
      <c r="D325" s="258" t="str">
        <f>IFERROR(__xludf.DUMMYFUNCTION("""COMPUTED_VALUE"""),"km. My car displays range in kilometres and I will enter all range numbers in kilometres.")</f>
        <v>km. My car displays range in kilometres and I will enter all range numbers in kilometres.</v>
      </c>
      <c r="E325" s="259">
        <f>IFERROR(__xludf.DUMMYFUNCTION("""COMPUTED_VALUE"""),42353.0)</f>
        <v>42353</v>
      </c>
      <c r="F325" s="258" t="str">
        <f>IFERROR(__xludf.DUMMYFUNCTION("""COMPUTED_VALUE"""),"Model S 70D")</f>
        <v>Model S 70D</v>
      </c>
      <c r="G325" s="258" t="str">
        <f>IFERROR(__xludf.DUMMYFUNCTION("""COMPUTED_VALUE"""),"")</f>
        <v/>
      </c>
      <c r="H325" s="258" t="str">
        <f>IFERROR(__xludf.DUMMYFUNCTION("""COMPUTED_VALUE"""),"")</f>
        <v/>
      </c>
      <c r="I325" s="258" t="str">
        <f>IFERROR(__xludf.DUMMYFUNCTION("""COMPUTED_VALUE"""),"")</f>
        <v/>
      </c>
      <c r="J325" s="260" t="str">
        <f>IFERROR(__xludf.DUMMYFUNCTION("""COMPUTED_VALUE"""),"")</f>
        <v/>
      </c>
      <c r="K325" s="258" t="str">
        <f>IFERROR(__xludf.DUMMYFUNCTION("""COMPUTED_VALUE"""),"")</f>
        <v/>
      </c>
      <c r="L325" s="258" t="str">
        <f>IFERROR(__xludf.DUMMYFUNCTION("""COMPUTED_VALUE"""),"")</f>
        <v/>
      </c>
      <c r="M325" s="261">
        <f>IFERROR(__xludf.DUMMYFUNCTION("""COMPUTED_VALUE"""),207.0)</f>
        <v>207</v>
      </c>
      <c r="N325" s="262" t="str">
        <f>IFERROR(__xludf.DUMMYFUNCTION("""COMPUTED_VALUE"""),"")</f>
        <v/>
      </c>
      <c r="O325" s="259" t="str">
        <f>IFERROR(__xludf.DUMMYFUNCTION("""COMPUTED_VALUE"""),"")</f>
        <v/>
      </c>
      <c r="P325" s="259">
        <f>IFERROR(__xludf.DUMMYFUNCTION("""COMPUTED_VALUE"""),42705.0)</f>
        <v>42705</v>
      </c>
      <c r="Q325" s="258">
        <f>IFERROR(__xludf.DUMMYFUNCTION("""COMPUTED_VALUE"""),32054.0)</f>
        <v>32054</v>
      </c>
      <c r="R325" s="261">
        <f>IFERROR(__xludf.DUMMYFUNCTION("""COMPUTED_VALUE"""),358.0)</f>
        <v>358</v>
      </c>
      <c r="S325" s="258">
        <v>360.0</v>
      </c>
      <c r="T325" s="263">
        <v>0.9944444444444445</v>
      </c>
      <c r="U325" s="264">
        <v>19917.0</v>
      </c>
      <c r="V325" s="265">
        <v>32054.0</v>
      </c>
      <c r="W325" s="264">
        <v>19917.0</v>
      </c>
      <c r="X325" s="266" t="str">
        <f>IFERROR(__xludf.DUMMYFUNCTION("""COMPUTED_VALUE"""),"Leiha")</f>
        <v>Leiha</v>
      </c>
      <c r="Y325" s="267">
        <v>-0.01</v>
      </c>
      <c r="Z325" s="267">
        <v>0.9668880394103061</v>
      </c>
      <c r="AA325" s="269"/>
      <c r="AB325" s="270"/>
      <c r="AC325" s="270"/>
      <c r="AD325" s="270"/>
      <c r="AE325" s="270"/>
    </row>
    <row r="326">
      <c r="A326" s="256">
        <f>IFERROR(__xludf.DUMMYFUNCTION("""COMPUTED_VALUE"""),43076.64166666666)</f>
        <v>43076.64167</v>
      </c>
      <c r="B326" s="257" t="str">
        <f>IFERROR(__xludf.DUMMYFUNCTION("""COMPUTED_VALUE"""),"eae")</f>
        <v>eae</v>
      </c>
      <c r="C326" s="258" t="str">
        <f>IFERROR(__xludf.DUMMYFUNCTION("""COMPUTED_VALUE"""),"Europe (excluding UK) &amp; Asia Pacific")</f>
        <v>Europe (excluding UK) &amp; Asia Pacific</v>
      </c>
      <c r="D326" s="258" t="str">
        <f>IFERROR(__xludf.DUMMYFUNCTION("""COMPUTED_VALUE"""),"km. My car displays range in kilometres and I will enter all range numbers in kilometres.")</f>
        <v>km. My car displays range in kilometres and I will enter all range numbers in kilometres.</v>
      </c>
      <c r="E326" s="259">
        <f>IFERROR(__xludf.DUMMYFUNCTION("""COMPUTED_VALUE"""),42354.0)</f>
        <v>42354</v>
      </c>
      <c r="F326" s="258" t="str">
        <f>IFERROR(__xludf.DUMMYFUNCTION("""COMPUTED_VALUE"""),"Model S 70D")</f>
        <v>Model S 70D</v>
      </c>
      <c r="G326" s="258" t="str">
        <f>IFERROR(__xludf.DUMMYFUNCTION("""COMPUTED_VALUE"""),"")</f>
        <v/>
      </c>
      <c r="H326" s="258" t="str">
        <f>IFERROR(__xludf.DUMMYFUNCTION("""COMPUTED_VALUE"""),"")</f>
        <v/>
      </c>
      <c r="I326" s="258" t="str">
        <f>IFERROR(__xludf.DUMMYFUNCTION("""COMPUTED_VALUE"""),"")</f>
        <v/>
      </c>
      <c r="J326" s="260" t="str">
        <f>IFERROR(__xludf.DUMMYFUNCTION("""COMPUTED_VALUE"""),"")</f>
        <v/>
      </c>
      <c r="K326" s="258" t="str">
        <f>IFERROR(__xludf.DUMMYFUNCTION("""COMPUTED_VALUE"""),"")</f>
        <v/>
      </c>
      <c r="L326" s="258" t="str">
        <f>IFERROR(__xludf.DUMMYFUNCTION("""COMPUTED_VALUE"""),"")</f>
        <v/>
      </c>
      <c r="M326" s="261">
        <f>IFERROR(__xludf.DUMMYFUNCTION("""COMPUTED_VALUE"""),210.0)</f>
        <v>210</v>
      </c>
      <c r="N326" s="262" t="str">
        <f>IFERROR(__xludf.DUMMYFUNCTION("""COMPUTED_VALUE"""),"")</f>
        <v/>
      </c>
      <c r="O326" s="259" t="str">
        <f>IFERROR(__xludf.DUMMYFUNCTION("""COMPUTED_VALUE"""),"")</f>
        <v/>
      </c>
      <c r="P326" s="259">
        <f>IFERROR(__xludf.DUMMYFUNCTION("""COMPUTED_VALUE"""),43076.0)</f>
        <v>43076</v>
      </c>
      <c r="Q326" s="258">
        <f>IFERROR(__xludf.DUMMYFUNCTION("""COMPUTED_VALUE"""),66000.0)</f>
        <v>66000</v>
      </c>
      <c r="R326" s="261">
        <f>IFERROR(__xludf.DUMMYFUNCTION("""COMPUTED_VALUE"""),360.0)</f>
        <v>360</v>
      </c>
      <c r="S326" s="258">
        <v>360.0</v>
      </c>
      <c r="T326" s="263">
        <v>1.0</v>
      </c>
      <c r="U326" s="264">
        <v>41010.0</v>
      </c>
      <c r="V326" s="265">
        <v>66000.0</v>
      </c>
      <c r="W326" s="264">
        <v>41010.0</v>
      </c>
      <c r="X326" s="266" t="str">
        <f>IFERROR(__xludf.DUMMYFUNCTION("""COMPUTED_VALUE"""),"lemonterror")</f>
        <v>lemonterror</v>
      </c>
      <c r="Y326" s="267">
        <v>-0.01</v>
      </c>
      <c r="Z326" s="267">
        <v>0.9549928979427162</v>
      </c>
      <c r="AA326" s="269"/>
      <c r="AB326" s="270"/>
      <c r="AC326" s="270"/>
      <c r="AD326" s="270"/>
      <c r="AE326" s="270"/>
    </row>
    <row r="327">
      <c r="A327" s="256">
        <f>IFERROR(__xludf.DUMMYFUNCTION("""COMPUTED_VALUE"""),43112.67361111111)</f>
        <v>43112.67361</v>
      </c>
      <c r="B327" s="257" t="str">
        <f>IFERROR(__xludf.DUMMYFUNCTION("""COMPUTED_VALUE"""),"easygysi")</f>
        <v>easygysi</v>
      </c>
      <c r="C327" s="258" t="str">
        <f>IFERROR(__xludf.DUMMYFUNCTION("""COMPUTED_VALUE"""),"Europe (excluding UK) &amp; Asia Pacific")</f>
        <v>Europe (excluding UK) &amp; Asia Pacific</v>
      </c>
      <c r="D327" s="258" t="str">
        <f>IFERROR(__xludf.DUMMYFUNCTION("""COMPUTED_VALUE"""),"km. My car displays range in kilometres and I will enter all range numbers in kilometres.")</f>
        <v>km. My car displays range in kilometres and I will enter all range numbers in kilometres.</v>
      </c>
      <c r="E327" s="259">
        <f>IFERROR(__xludf.DUMMYFUNCTION("""COMPUTED_VALUE"""),42355.0)</f>
        <v>42355</v>
      </c>
      <c r="F327" s="258" t="str">
        <f>IFERROR(__xludf.DUMMYFUNCTION("""COMPUTED_VALUE"""),"Model S 85")</f>
        <v>Model S 85</v>
      </c>
      <c r="G327" s="258" t="str">
        <f>IFERROR(__xludf.DUMMYFUNCTION("""COMPUTED_VALUE"""),"")</f>
        <v/>
      </c>
      <c r="H327" s="258" t="str">
        <f>IFERROR(__xludf.DUMMYFUNCTION("""COMPUTED_VALUE"""),"")</f>
        <v/>
      </c>
      <c r="I327" s="258" t="str">
        <f>IFERROR(__xludf.DUMMYFUNCTION("""COMPUTED_VALUE"""),"")</f>
        <v/>
      </c>
      <c r="J327" s="260">
        <f>IFERROR(__xludf.DUMMYFUNCTION("""COMPUTED_VALUE"""),0.8)</f>
        <v>0.8</v>
      </c>
      <c r="K327" s="258" t="str">
        <f>IFERROR(__xludf.DUMMYFUNCTION("""COMPUTED_VALUE"""),"")</f>
        <v/>
      </c>
      <c r="L327" s="258" t="str">
        <f>IFERROR(__xludf.DUMMYFUNCTION("""COMPUTED_VALUE"""),"")</f>
        <v/>
      </c>
      <c r="M327" s="261">
        <f>IFERROR(__xludf.DUMMYFUNCTION("""COMPUTED_VALUE"""),218.0)</f>
        <v>218</v>
      </c>
      <c r="N327" s="262" t="str">
        <f>IFERROR(__xludf.DUMMYFUNCTION("""COMPUTED_VALUE"""),"")</f>
        <v/>
      </c>
      <c r="O327" s="259" t="str">
        <f>IFERROR(__xludf.DUMMYFUNCTION("""COMPUTED_VALUE"""),"")</f>
        <v/>
      </c>
      <c r="P327" s="259">
        <f>IFERROR(__xludf.DUMMYFUNCTION("""COMPUTED_VALUE"""),43112.0)</f>
        <v>43112</v>
      </c>
      <c r="Q327" s="258">
        <f>IFERROR(__xludf.DUMMYFUNCTION("""COMPUTED_VALUE"""),38500.0)</f>
        <v>38500</v>
      </c>
      <c r="R327" s="261">
        <f>IFERROR(__xludf.DUMMYFUNCTION("""COMPUTED_VALUE"""),385.0)</f>
        <v>385</v>
      </c>
      <c r="S327" s="258">
        <v>395.0</v>
      </c>
      <c r="T327" s="263">
        <v>0.9746835443037974</v>
      </c>
      <c r="U327" s="264">
        <v>23923.0</v>
      </c>
      <c r="V327" s="265">
        <v>38500.0</v>
      </c>
      <c r="W327" s="264">
        <v>23923.0</v>
      </c>
      <c r="X327" s="266" t="str">
        <f>IFERROR(__xludf.DUMMYFUNCTION("""COMPUTED_VALUE"""),"lewurm")</f>
        <v>lewurm</v>
      </c>
      <c r="Y327" s="267">
        <v>-0.01</v>
      </c>
      <c r="Z327" s="267">
        <v>0.9639255165607377</v>
      </c>
      <c r="AA327" s="269"/>
      <c r="AB327" s="270"/>
      <c r="AC327" s="270"/>
      <c r="AD327" s="270"/>
      <c r="AE327" s="270"/>
    </row>
    <row r="328">
      <c r="A328" s="256">
        <f>IFERROR(__xludf.DUMMYFUNCTION("""COMPUTED_VALUE"""),41909.02222222222)</f>
        <v>41909.02222</v>
      </c>
      <c r="B328" s="257" t="str">
        <f>IFERROR(__xludf.DUMMYFUNCTION("""COMPUTED_VALUE"""),"ebullio")</f>
        <v>ebullio</v>
      </c>
      <c r="C328" s="258" t="str">
        <f>IFERROR(__xludf.DUMMYFUNCTION("""COMPUTED_VALUE"""),"Europe (excluding UK) &amp; Asia Pacific")</f>
        <v>Europe (excluding UK) &amp; Asia Pacific</v>
      </c>
      <c r="D328" s="258" t="str">
        <f>IFERROR(__xludf.DUMMYFUNCTION("""COMPUTED_VALUE"""),"km. My car displays range in kilometres and I will enter all range numbers in kilometres.")</f>
        <v>km. My car displays range in kilometres and I will enter all range numbers in kilometres.</v>
      </c>
      <c r="E328" s="259">
        <f>IFERROR(__xludf.DUMMYFUNCTION("""COMPUTED_VALUE"""),41592.0)</f>
        <v>41592</v>
      </c>
      <c r="F328" s="258" t="str">
        <f>IFERROR(__xludf.DUMMYFUNCTION("""COMPUTED_VALUE"""),"Model S 85")</f>
        <v>Model S 85</v>
      </c>
      <c r="G328" s="258" t="str">
        <f>IFERROR(__xludf.DUMMYFUNCTION("""COMPUTED_VALUE"""),"Monthly")</f>
        <v>Monthly</v>
      </c>
      <c r="H328" s="258" t="str">
        <f>IFERROR(__xludf.DUMMYFUNCTION("""COMPUTED_VALUE"""),"A few times a year")</f>
        <v>A few times a year</v>
      </c>
      <c r="I328" s="258" t="str">
        <f>IFERROR(__xludf.DUMMYFUNCTION("""COMPUTED_VALUE"""),"Never")</f>
        <v>Never</v>
      </c>
      <c r="J328" s="260" t="str">
        <f>IFERROR(__xludf.DUMMYFUNCTION("""COMPUTED_VALUE"""),"")</f>
        <v/>
      </c>
      <c r="K328" s="258" t="str">
        <f>IFERROR(__xludf.DUMMYFUNCTION("""COMPUTED_VALUE"""),"")</f>
        <v/>
      </c>
      <c r="L328" s="258" t="str">
        <f>IFERROR(__xludf.DUMMYFUNCTION("""COMPUTED_VALUE"""),"")</f>
        <v/>
      </c>
      <c r="M328" s="261">
        <f>IFERROR(__xludf.DUMMYFUNCTION("""COMPUTED_VALUE"""),235.0)</f>
        <v>235</v>
      </c>
      <c r="N328" s="262">
        <f>IFERROR(__xludf.DUMMYFUNCTION("""COMPUTED_VALUE"""),12000.0)</f>
        <v>12000</v>
      </c>
      <c r="O328" s="259" t="str">
        <f>IFERROR(__xludf.DUMMYFUNCTION("""COMPUTED_VALUE"""),"I don't know")</f>
        <v>I don't know</v>
      </c>
      <c r="P328" s="259">
        <f>IFERROR(__xludf.DUMMYFUNCTION("""COMPUTED_VALUE"""),41909.0)</f>
        <v>41909</v>
      </c>
      <c r="Q328" s="258">
        <f>IFERROR(__xludf.DUMMYFUNCTION("""COMPUTED_VALUE"""),22526.0)</f>
        <v>22526</v>
      </c>
      <c r="R328" s="261">
        <f>IFERROR(__xludf.DUMMYFUNCTION("""COMPUTED_VALUE"""),391.0)</f>
        <v>391</v>
      </c>
      <c r="S328" s="258">
        <v>395.0</v>
      </c>
      <c r="T328" s="263">
        <v>0.9898734177215189</v>
      </c>
      <c r="U328" s="264">
        <v>13997.0</v>
      </c>
      <c r="V328" s="265">
        <v>22526.0</v>
      </c>
      <c r="W328" s="264">
        <v>13997.0</v>
      </c>
      <c r="X328" s="266" t="str">
        <f>IFERROR(__xludf.DUMMYFUNCTION("""COMPUTED_VALUE"""),"Liddus")</f>
        <v>Liddus</v>
      </c>
      <c r="Y328" s="267">
        <v>-0.01</v>
      </c>
      <c r="Z328" s="267">
        <v>0.9725802657536697</v>
      </c>
      <c r="AA328" s="269"/>
      <c r="AB328" s="270"/>
      <c r="AC328" s="270"/>
      <c r="AD328" s="270"/>
      <c r="AE328" s="270"/>
    </row>
    <row r="329">
      <c r="A329" s="256">
        <f>IFERROR(__xludf.DUMMYFUNCTION("""COMPUTED_VALUE"""),42033.06736111111)</f>
        <v>42033.06736</v>
      </c>
      <c r="B329" s="257" t="str">
        <f>IFERROR(__xludf.DUMMYFUNCTION("""COMPUTED_VALUE"""),"ebullio")</f>
        <v>ebullio</v>
      </c>
      <c r="C329" s="258" t="str">
        <f>IFERROR(__xludf.DUMMYFUNCTION("""COMPUTED_VALUE"""),"Europe (excluding UK) &amp; Asia Pacific")</f>
        <v>Europe (excluding UK) &amp; Asia Pacific</v>
      </c>
      <c r="D329" s="258" t="str">
        <f>IFERROR(__xludf.DUMMYFUNCTION("""COMPUTED_VALUE"""),"km. My car displays range in kilometres and I will enter all range numbers in kilometres.")</f>
        <v>km. My car displays range in kilometres and I will enter all range numbers in kilometres.</v>
      </c>
      <c r="E329" s="259">
        <f>IFERROR(__xludf.DUMMYFUNCTION("""COMPUTED_VALUE"""),41592.0)</f>
        <v>41592</v>
      </c>
      <c r="F329" s="258" t="str">
        <f>IFERROR(__xludf.DUMMYFUNCTION("""COMPUTED_VALUE"""),"Model S 85")</f>
        <v>Model S 85</v>
      </c>
      <c r="G329" s="258" t="str">
        <f>IFERROR(__xludf.DUMMYFUNCTION("""COMPUTED_VALUE"""),"Monthly")</f>
        <v>Monthly</v>
      </c>
      <c r="H329" s="258" t="str">
        <f>IFERROR(__xludf.DUMMYFUNCTION("""COMPUTED_VALUE"""),"A few times a year")</f>
        <v>A few times a year</v>
      </c>
      <c r="I329" s="258" t="str">
        <f>IFERROR(__xludf.DUMMYFUNCTION("""COMPUTED_VALUE"""),"Never")</f>
        <v>Never</v>
      </c>
      <c r="J329" s="260" t="str">
        <f>IFERROR(__xludf.DUMMYFUNCTION("""COMPUTED_VALUE"""),"")</f>
        <v/>
      </c>
      <c r="K329" s="258" t="str">
        <f>IFERROR(__xludf.DUMMYFUNCTION("""COMPUTED_VALUE"""),"")</f>
        <v/>
      </c>
      <c r="L329" s="258" t="str">
        <f>IFERROR(__xludf.DUMMYFUNCTION("""COMPUTED_VALUE"""),"")</f>
        <v/>
      </c>
      <c r="M329" s="261">
        <f>IFERROR(__xludf.DUMMYFUNCTION("""COMPUTED_VALUE"""),238.0)</f>
        <v>238</v>
      </c>
      <c r="N329" s="262">
        <f>IFERROR(__xludf.DUMMYFUNCTION("""COMPUTED_VALUE"""),12000.0)</f>
        <v>12000</v>
      </c>
      <c r="O329" s="259" t="str">
        <f>IFERROR(__xludf.DUMMYFUNCTION("""COMPUTED_VALUE"""),"I don't know")</f>
        <v>I don't know</v>
      </c>
      <c r="P329" s="259">
        <f>IFERROR(__xludf.DUMMYFUNCTION("""COMPUTED_VALUE"""),42033.0)</f>
        <v>42033</v>
      </c>
      <c r="Q329" s="258">
        <f>IFERROR(__xludf.DUMMYFUNCTION("""COMPUTED_VALUE"""),32302.0)</f>
        <v>32302</v>
      </c>
      <c r="R329" s="261">
        <f>IFERROR(__xludf.DUMMYFUNCTION("""COMPUTED_VALUE"""),388.0)</f>
        <v>388</v>
      </c>
      <c r="S329" s="258">
        <v>395.0</v>
      </c>
      <c r="T329" s="263">
        <v>0.9822784810126582</v>
      </c>
      <c r="U329" s="264">
        <v>20072.0</v>
      </c>
      <c r="V329" s="265">
        <v>32302.0</v>
      </c>
      <c r="W329" s="264">
        <v>20072.0</v>
      </c>
      <c r="X329" s="266" t="str">
        <f>IFERROR(__xludf.DUMMYFUNCTION("""COMPUTED_VALUE"""),"Liuping")</f>
        <v>Liuping</v>
      </c>
      <c r="Y329" s="267">
        <v>-0.01</v>
      </c>
      <c r="Z329" s="267">
        <v>0.9667632470513419</v>
      </c>
      <c r="AA329" s="269"/>
      <c r="AB329" s="270"/>
      <c r="AC329" s="270"/>
      <c r="AD329" s="270"/>
      <c r="AE329" s="270"/>
    </row>
    <row r="330">
      <c r="A330" s="256">
        <f>IFERROR(__xludf.DUMMYFUNCTION("""COMPUTED_VALUE"""),42103.09166666667)</f>
        <v>42103.09167</v>
      </c>
      <c r="B330" s="257" t="str">
        <f>IFERROR(__xludf.DUMMYFUNCTION("""COMPUTED_VALUE"""),"ebullio")</f>
        <v>ebullio</v>
      </c>
      <c r="C330" s="258" t="str">
        <f>IFERROR(__xludf.DUMMYFUNCTION("""COMPUTED_VALUE"""),"Europe (excluding UK) &amp; Asia Pacific")</f>
        <v>Europe (excluding UK) &amp; Asia Pacific</v>
      </c>
      <c r="D330" s="258" t="str">
        <f>IFERROR(__xludf.DUMMYFUNCTION("""COMPUTED_VALUE"""),"km. My car displays range in kilometres and I will enter all range numbers in kilometres.")</f>
        <v>km. My car displays range in kilometres and I will enter all range numbers in kilometres.</v>
      </c>
      <c r="E330" s="259">
        <f>IFERROR(__xludf.DUMMYFUNCTION("""COMPUTED_VALUE"""),41592.0)</f>
        <v>41592</v>
      </c>
      <c r="F330" s="258" t="str">
        <f>IFERROR(__xludf.DUMMYFUNCTION("""COMPUTED_VALUE"""),"Model S 85")</f>
        <v>Model S 85</v>
      </c>
      <c r="G330" s="258" t="str">
        <f>IFERROR(__xludf.DUMMYFUNCTION("""COMPUTED_VALUE"""),"Monthly")</f>
        <v>Monthly</v>
      </c>
      <c r="H330" s="258" t="str">
        <f>IFERROR(__xludf.DUMMYFUNCTION("""COMPUTED_VALUE"""),"A few times a year")</f>
        <v>A few times a year</v>
      </c>
      <c r="I330" s="258" t="str">
        <f>IFERROR(__xludf.DUMMYFUNCTION("""COMPUTED_VALUE"""),"Never")</f>
        <v>Never</v>
      </c>
      <c r="J330" s="260" t="str">
        <f>IFERROR(__xludf.DUMMYFUNCTION("""COMPUTED_VALUE"""),"")</f>
        <v/>
      </c>
      <c r="K330" s="258" t="str">
        <f>IFERROR(__xludf.DUMMYFUNCTION("""COMPUTED_VALUE"""),"")</f>
        <v/>
      </c>
      <c r="L330" s="258" t="str">
        <f>IFERROR(__xludf.DUMMYFUNCTION("""COMPUTED_VALUE"""),"")</f>
        <v/>
      </c>
      <c r="M330" s="261">
        <f>IFERROR(__xludf.DUMMYFUNCTION("""COMPUTED_VALUE"""),239.0)</f>
        <v>239</v>
      </c>
      <c r="N330" s="262">
        <f>IFERROR(__xludf.DUMMYFUNCTION("""COMPUTED_VALUE"""),12000.0)</f>
        <v>12000</v>
      </c>
      <c r="O330" s="259" t="str">
        <f>IFERROR(__xludf.DUMMYFUNCTION("""COMPUTED_VALUE"""),"I don't know")</f>
        <v>I don't know</v>
      </c>
      <c r="P330" s="259">
        <f>IFERROR(__xludf.DUMMYFUNCTION("""COMPUTED_VALUE"""),42103.0)</f>
        <v>42103</v>
      </c>
      <c r="Q330" s="258">
        <f>IFERROR(__xludf.DUMMYFUNCTION("""COMPUTED_VALUE"""),38867.0)</f>
        <v>38867</v>
      </c>
      <c r="R330" s="261">
        <f>IFERROR(__xludf.DUMMYFUNCTION("""COMPUTED_VALUE"""),385.0)</f>
        <v>385</v>
      </c>
      <c r="S330" s="258">
        <v>395.0</v>
      </c>
      <c r="T330" s="263">
        <v>0.9746835443037974</v>
      </c>
      <c r="U330" s="264">
        <v>24151.0</v>
      </c>
      <c r="V330" s="265">
        <v>38867.0</v>
      </c>
      <c r="W330" s="264">
        <v>24151.0</v>
      </c>
      <c r="X330" s="266" t="str">
        <f>IFERROR(__xludf.DUMMYFUNCTION("""COMPUTED_VALUE"""),"LM")</f>
        <v>LM</v>
      </c>
      <c r="Y330" s="267">
        <v>-0.01</v>
      </c>
      <c r="Z330" s="267">
        <v>0.9637723436841037</v>
      </c>
      <c r="AA330" s="269"/>
      <c r="AB330" s="270"/>
      <c r="AC330" s="270"/>
      <c r="AD330" s="270"/>
      <c r="AE330" s="270"/>
    </row>
    <row r="331">
      <c r="A331" s="256">
        <f>IFERROR(__xludf.DUMMYFUNCTION("""COMPUTED_VALUE"""),42231.169444444444)</f>
        <v>42231.16944</v>
      </c>
      <c r="B331" s="257" t="str">
        <f>IFERROR(__xludf.DUMMYFUNCTION("""COMPUTED_VALUE"""),"ebullio")</f>
        <v>ebullio</v>
      </c>
      <c r="C331" s="258" t="str">
        <f>IFERROR(__xludf.DUMMYFUNCTION("""COMPUTED_VALUE"""),"Europe (excluding UK) &amp; Asia Pacific")</f>
        <v>Europe (excluding UK) &amp; Asia Pacific</v>
      </c>
      <c r="D331" s="258" t="str">
        <f>IFERROR(__xludf.DUMMYFUNCTION("""COMPUTED_VALUE"""),"km. My car displays range in kilometres and I will enter all range numbers in kilometres.")</f>
        <v>km. My car displays range in kilometres and I will enter all range numbers in kilometres.</v>
      </c>
      <c r="E331" s="259">
        <f>IFERROR(__xludf.DUMMYFUNCTION("""COMPUTED_VALUE"""),41592.0)</f>
        <v>41592</v>
      </c>
      <c r="F331" s="258" t="str">
        <f>IFERROR(__xludf.DUMMYFUNCTION("""COMPUTED_VALUE"""),"Model S 85")</f>
        <v>Model S 85</v>
      </c>
      <c r="G331" s="258" t="str">
        <f>IFERROR(__xludf.DUMMYFUNCTION("""COMPUTED_VALUE"""),"Twice a month")</f>
        <v>Twice a month</v>
      </c>
      <c r="H331" s="258" t="str">
        <f>IFERROR(__xludf.DUMMYFUNCTION("""COMPUTED_VALUE"""),"A few times a year")</f>
        <v>A few times a year</v>
      </c>
      <c r="I331" s="258" t="str">
        <f>IFERROR(__xludf.DUMMYFUNCTION("""COMPUTED_VALUE"""),"Once or twice a year")</f>
        <v>Once or twice a year</v>
      </c>
      <c r="J331" s="260">
        <f>IFERROR(__xludf.DUMMYFUNCTION("""COMPUTED_VALUE"""),0.9)</f>
        <v>0.9</v>
      </c>
      <c r="K331" s="258">
        <f>IFERROR(__xludf.DUMMYFUNCTION("""COMPUTED_VALUE"""),399.0)</f>
        <v>399</v>
      </c>
      <c r="L331" s="258" t="str">
        <f>IFERROR(__xludf.DUMMYFUNCTION("""COMPUTED_VALUE"""),"")</f>
        <v/>
      </c>
      <c r="M331" s="261">
        <f>IFERROR(__xludf.DUMMYFUNCTION("""COMPUTED_VALUE"""),238.0)</f>
        <v>238</v>
      </c>
      <c r="N331" s="262">
        <f>IFERROR(__xludf.DUMMYFUNCTION("""COMPUTED_VALUE"""),12000.0)</f>
        <v>12000</v>
      </c>
      <c r="O331" s="259" t="str">
        <f>IFERROR(__xludf.DUMMYFUNCTION("""COMPUTED_VALUE"""),"I don't know")</f>
        <v>I don't know</v>
      </c>
      <c r="P331" s="259">
        <f>IFERROR(__xludf.DUMMYFUNCTION("""COMPUTED_VALUE"""),42231.0)</f>
        <v>42231</v>
      </c>
      <c r="Q331" s="258">
        <f>IFERROR(__xludf.DUMMYFUNCTION("""COMPUTED_VALUE"""),52619.0)</f>
        <v>52619</v>
      </c>
      <c r="R331" s="261">
        <f>IFERROR(__xludf.DUMMYFUNCTION("""COMPUTED_VALUE"""),381.0)</f>
        <v>381</v>
      </c>
      <c r="S331" s="258">
        <v>395.0</v>
      </c>
      <c r="T331" s="263">
        <v>0.9645569620253165</v>
      </c>
      <c r="U331" s="264">
        <v>32696.0</v>
      </c>
      <c r="V331" s="265">
        <v>52619.0</v>
      </c>
      <c r="W331" s="264">
        <v>32696.0</v>
      </c>
      <c r="X331" s="266" t="str">
        <f>IFERROR(__xludf.DUMMYFUNCTION("""COMPUTED_VALUE"""),"Louis")</f>
        <v>Louis</v>
      </c>
      <c r="Y331" s="267">
        <v>-0.01</v>
      </c>
      <c r="Z331" s="267">
        <v>0.9588514453537814</v>
      </c>
      <c r="AA331" s="269"/>
      <c r="AB331" s="270"/>
      <c r="AC331" s="270"/>
      <c r="AD331" s="270"/>
      <c r="AE331" s="270"/>
    </row>
    <row r="332">
      <c r="A332" s="256">
        <f>IFERROR(__xludf.DUMMYFUNCTION("""COMPUTED_VALUE"""),42300.20694444445)</f>
        <v>42300.20694</v>
      </c>
      <c r="B332" s="257" t="str">
        <f>IFERROR(__xludf.DUMMYFUNCTION("""COMPUTED_VALUE"""),"ebullio")</f>
        <v>ebullio</v>
      </c>
      <c r="C332" s="258" t="str">
        <f>IFERROR(__xludf.DUMMYFUNCTION("""COMPUTED_VALUE"""),"Europe (excluding UK) &amp; Asia Pacific")</f>
        <v>Europe (excluding UK) &amp; Asia Pacific</v>
      </c>
      <c r="D332" s="258" t="str">
        <f>IFERROR(__xludf.DUMMYFUNCTION("""COMPUTED_VALUE"""),"km. My car displays range in kilometres and I will enter all range numbers in kilometres.")</f>
        <v>km. My car displays range in kilometres and I will enter all range numbers in kilometres.</v>
      </c>
      <c r="E332" s="259">
        <f>IFERROR(__xludf.DUMMYFUNCTION("""COMPUTED_VALUE"""),41592.0)</f>
        <v>41592</v>
      </c>
      <c r="F332" s="258" t="str">
        <f>IFERROR(__xludf.DUMMYFUNCTION("""COMPUTED_VALUE"""),"Model S 85")</f>
        <v>Model S 85</v>
      </c>
      <c r="G332" s="258" t="str">
        <f>IFERROR(__xludf.DUMMYFUNCTION("""COMPUTED_VALUE"""),"Monthly")</f>
        <v>Monthly</v>
      </c>
      <c r="H332" s="258" t="str">
        <f>IFERROR(__xludf.DUMMYFUNCTION("""COMPUTED_VALUE"""),"A few times a year")</f>
        <v>A few times a year</v>
      </c>
      <c r="I332" s="258" t="str">
        <f>IFERROR(__xludf.DUMMYFUNCTION("""COMPUTED_VALUE"""),"Once or twice a year")</f>
        <v>Once or twice a year</v>
      </c>
      <c r="J332" s="260">
        <f>IFERROR(__xludf.DUMMYFUNCTION("""COMPUTED_VALUE"""),0.9)</f>
        <v>0.9</v>
      </c>
      <c r="K332" s="258">
        <f>IFERROR(__xludf.DUMMYFUNCTION("""COMPUTED_VALUE"""),393.0)</f>
        <v>393</v>
      </c>
      <c r="L332" s="258" t="str">
        <f>IFERROR(__xludf.DUMMYFUNCTION("""COMPUTED_VALUE"""),"")</f>
        <v/>
      </c>
      <c r="M332" s="261">
        <f>IFERROR(__xludf.DUMMYFUNCTION("""COMPUTED_VALUE"""),236.0)</f>
        <v>236</v>
      </c>
      <c r="N332" s="262">
        <f>IFERROR(__xludf.DUMMYFUNCTION("""COMPUTED_VALUE"""),12000.0)</f>
        <v>12000</v>
      </c>
      <c r="O332" s="259" t="str">
        <f>IFERROR(__xludf.DUMMYFUNCTION("""COMPUTED_VALUE"""),"I don't know")</f>
        <v>I don't know</v>
      </c>
      <c r="P332" s="259">
        <f>IFERROR(__xludf.DUMMYFUNCTION("""COMPUTED_VALUE"""),42300.0)</f>
        <v>42300</v>
      </c>
      <c r="Q332" s="258">
        <f>IFERROR(__xludf.DUMMYFUNCTION("""COMPUTED_VALUE"""),59060.0)</f>
        <v>59060</v>
      </c>
      <c r="R332" s="261">
        <f>IFERROR(__xludf.DUMMYFUNCTION("""COMPUTED_VALUE"""),380.0)</f>
        <v>380</v>
      </c>
      <c r="S332" s="258">
        <v>395.0</v>
      </c>
      <c r="T332" s="263">
        <v>0.9620253164556962</v>
      </c>
      <c r="U332" s="264">
        <v>36698.0</v>
      </c>
      <c r="V332" s="265">
        <v>59060.0</v>
      </c>
      <c r="W332" s="264">
        <v>36698.0</v>
      </c>
      <c r="X332" s="266" t="str">
        <f>IFERROR(__xludf.DUMMYFUNCTION("""COMPUTED_VALUE"""),"Lucas")</f>
        <v>Lucas</v>
      </c>
      <c r="Y332" s="267">
        <v>-0.01</v>
      </c>
      <c r="Z332" s="267">
        <v>0.956919696954384</v>
      </c>
      <c r="AA332" s="269"/>
      <c r="AB332" s="270"/>
      <c r="AC332" s="270"/>
      <c r="AD332" s="270"/>
      <c r="AE332" s="270"/>
    </row>
    <row r="333">
      <c r="A333" s="256">
        <f>IFERROR(__xludf.DUMMYFUNCTION("""COMPUTED_VALUE"""),42538.35277777778)</f>
        <v>42538.35278</v>
      </c>
      <c r="B333" s="257" t="str">
        <f>IFERROR(__xludf.DUMMYFUNCTION("""COMPUTED_VALUE"""),"ebullio")</f>
        <v>ebullio</v>
      </c>
      <c r="C333" s="258" t="str">
        <f>IFERROR(__xludf.DUMMYFUNCTION("""COMPUTED_VALUE"""),"Europe (excluding UK) &amp; Asia Pacific")</f>
        <v>Europe (excluding UK) &amp; Asia Pacific</v>
      </c>
      <c r="D333" s="258" t="str">
        <f>IFERROR(__xludf.DUMMYFUNCTION("""COMPUTED_VALUE"""),"km. My car displays range in kilometres and I will enter all range numbers in kilometres.")</f>
        <v>km. My car displays range in kilometres and I will enter all range numbers in kilometres.</v>
      </c>
      <c r="E333" s="259">
        <f>IFERROR(__xludf.DUMMYFUNCTION("""COMPUTED_VALUE"""),41591.0)</f>
        <v>41591</v>
      </c>
      <c r="F333" s="258" t="str">
        <f>IFERROR(__xludf.DUMMYFUNCTION("""COMPUTED_VALUE"""),"Model S 85")</f>
        <v>Model S 85</v>
      </c>
      <c r="G333" s="258" t="str">
        <f>IFERROR(__xludf.DUMMYFUNCTION("""COMPUTED_VALUE"""),"")</f>
        <v/>
      </c>
      <c r="H333" s="258" t="str">
        <f>IFERROR(__xludf.DUMMYFUNCTION("""COMPUTED_VALUE"""),"")</f>
        <v/>
      </c>
      <c r="I333" s="258" t="str">
        <f>IFERROR(__xludf.DUMMYFUNCTION("""COMPUTED_VALUE"""),"")</f>
        <v/>
      </c>
      <c r="J333" s="260" t="str">
        <f>IFERROR(__xludf.DUMMYFUNCTION("""COMPUTED_VALUE"""),"")</f>
        <v/>
      </c>
      <c r="K333" s="258" t="str">
        <f>IFERROR(__xludf.DUMMYFUNCTION("""COMPUTED_VALUE"""),"")</f>
        <v/>
      </c>
      <c r="L333" s="258" t="str">
        <f>IFERROR(__xludf.DUMMYFUNCTION("""COMPUTED_VALUE"""),"")</f>
        <v/>
      </c>
      <c r="M333" s="261">
        <f>IFERROR(__xludf.DUMMYFUNCTION("""COMPUTED_VALUE"""),235.0)</f>
        <v>235</v>
      </c>
      <c r="N333" s="262">
        <f>IFERROR(__xludf.DUMMYFUNCTION("""COMPUTED_VALUE"""),12000.0)</f>
        <v>12000</v>
      </c>
      <c r="O333" s="259" t="str">
        <f>IFERROR(__xludf.DUMMYFUNCTION("""COMPUTED_VALUE"""),"I don't know")</f>
        <v>I don't know</v>
      </c>
      <c r="P333" s="259">
        <f>IFERROR(__xludf.DUMMYFUNCTION("""COMPUTED_VALUE"""),42538.0)</f>
        <v>42538</v>
      </c>
      <c r="Q333" s="258">
        <f>IFERROR(__xludf.DUMMYFUNCTION("""COMPUTED_VALUE"""),78956.0)</f>
        <v>78956</v>
      </c>
      <c r="R333" s="261">
        <f>IFERROR(__xludf.DUMMYFUNCTION("""COMPUTED_VALUE"""),382.0)</f>
        <v>382</v>
      </c>
      <c r="S333" s="258">
        <v>395.0</v>
      </c>
      <c r="T333" s="263">
        <v>0.9670886075949368</v>
      </c>
      <c r="U333" s="264">
        <v>49061.0</v>
      </c>
      <c r="V333" s="265">
        <v>78956.0</v>
      </c>
      <c r="W333" s="264">
        <v>49061.0</v>
      </c>
      <c r="X333" s="266" t="str">
        <f>IFERROR(__xludf.DUMMYFUNCTION("""COMPUTED_VALUE"""),"luckyluke")</f>
        <v>luckyluke</v>
      </c>
      <c r="Y333" s="267">
        <v>-0.01</v>
      </c>
      <c r="Z333" s="267">
        <v>0.9516574451742997</v>
      </c>
      <c r="AA333" s="269"/>
      <c r="AB333" s="270"/>
      <c r="AC333" s="270"/>
      <c r="AD333" s="270"/>
      <c r="AE333" s="270"/>
    </row>
    <row r="334">
      <c r="A334" s="256">
        <f>IFERROR(__xludf.DUMMYFUNCTION("""COMPUTED_VALUE"""),42612.38680555555)</f>
        <v>42612.38681</v>
      </c>
      <c r="B334" s="257" t="str">
        <f>IFERROR(__xludf.DUMMYFUNCTION("""COMPUTED_VALUE"""),"ebullio")</f>
        <v>ebullio</v>
      </c>
      <c r="C334" s="258" t="str">
        <f>IFERROR(__xludf.DUMMYFUNCTION("""COMPUTED_VALUE"""),"Europe (excluding UK) &amp; Asia Pacific")</f>
        <v>Europe (excluding UK) &amp; Asia Pacific</v>
      </c>
      <c r="D334" s="258" t="str">
        <f>IFERROR(__xludf.DUMMYFUNCTION("""COMPUTED_VALUE"""),"km. My car displays range in kilometres and I will enter all range numbers in kilometres.")</f>
        <v>km. My car displays range in kilometres and I will enter all range numbers in kilometres.</v>
      </c>
      <c r="E334" s="259">
        <f>IFERROR(__xludf.DUMMYFUNCTION("""COMPUTED_VALUE"""),41591.0)</f>
        <v>41591</v>
      </c>
      <c r="F334" s="258" t="str">
        <f>IFERROR(__xludf.DUMMYFUNCTION("""COMPUTED_VALUE"""),"Model S 85")</f>
        <v>Model S 85</v>
      </c>
      <c r="G334" s="258" t="str">
        <f>IFERROR(__xludf.DUMMYFUNCTION("""COMPUTED_VALUE"""),"Twice a month")</f>
        <v>Twice a month</v>
      </c>
      <c r="H334" s="258" t="str">
        <f>IFERROR(__xludf.DUMMYFUNCTION("""COMPUTED_VALUE"""),"A few times a year")</f>
        <v>A few times a year</v>
      </c>
      <c r="I334" s="258" t="str">
        <f>IFERROR(__xludf.DUMMYFUNCTION("""COMPUTED_VALUE"""),"A few times a year")</f>
        <v>A few times a year</v>
      </c>
      <c r="J334" s="260">
        <f>IFERROR(__xludf.DUMMYFUNCTION("""COMPUTED_VALUE"""),0.9)</f>
        <v>0.9</v>
      </c>
      <c r="K334" s="258" t="str">
        <f>IFERROR(__xludf.DUMMYFUNCTION("""COMPUTED_VALUE"""),"")</f>
        <v/>
      </c>
      <c r="L334" s="258" t="str">
        <f>IFERROR(__xludf.DUMMYFUNCTION("""COMPUTED_VALUE"""),"")</f>
        <v/>
      </c>
      <c r="M334" s="261">
        <f>IFERROR(__xludf.DUMMYFUNCTION("""COMPUTED_VALUE"""),235.0)</f>
        <v>235</v>
      </c>
      <c r="N334" s="262">
        <f>IFERROR(__xludf.DUMMYFUNCTION("""COMPUTED_VALUE"""),12000.0)</f>
        <v>12000</v>
      </c>
      <c r="O334" s="259" t="str">
        <f>IFERROR(__xludf.DUMMYFUNCTION("""COMPUTED_VALUE"""),"I don't know")</f>
        <v>I don't know</v>
      </c>
      <c r="P334" s="259">
        <f>IFERROR(__xludf.DUMMYFUNCTION("""COMPUTED_VALUE"""),42612.0)</f>
        <v>42612</v>
      </c>
      <c r="Q334" s="258">
        <f>IFERROR(__xludf.DUMMYFUNCTION("""COMPUTED_VALUE"""),86532.0)</f>
        <v>86532</v>
      </c>
      <c r="R334" s="261">
        <f>IFERROR(__xludf.DUMMYFUNCTION("""COMPUTED_VALUE"""),383.0)</f>
        <v>383</v>
      </c>
      <c r="S334" s="258">
        <v>395.0</v>
      </c>
      <c r="T334" s="263">
        <v>0.9696202531645569</v>
      </c>
      <c r="U334" s="264">
        <v>53768.0</v>
      </c>
      <c r="V334" s="265">
        <v>86532.0</v>
      </c>
      <c r="W334" s="264">
        <v>53768.0</v>
      </c>
      <c r="X334" s="266" t="str">
        <f>IFERROR(__xludf.DUMMYFUNCTION("""COMPUTED_VALUE"""),"Luiping")</f>
        <v>Luiping</v>
      </c>
      <c r="Y334" s="267">
        <v>-0.01</v>
      </c>
      <c r="Z334" s="267">
        <v>0.94980000861809</v>
      </c>
      <c r="AA334" s="269"/>
      <c r="AB334" s="270"/>
      <c r="AC334" s="270"/>
      <c r="AD334" s="270"/>
      <c r="AE334" s="270"/>
    </row>
    <row r="335">
      <c r="A335" s="256">
        <f>IFERROR(__xludf.DUMMYFUNCTION("""COMPUTED_VALUE"""),42681.43402777778)</f>
        <v>42681.43403</v>
      </c>
      <c r="B335" s="257" t="str">
        <f>IFERROR(__xludf.DUMMYFUNCTION("""COMPUTED_VALUE"""),"ebullio")</f>
        <v>ebullio</v>
      </c>
      <c r="C335" s="258" t="str">
        <f>IFERROR(__xludf.DUMMYFUNCTION("""COMPUTED_VALUE"""),"Europe (excluding UK) &amp; Asia Pacific")</f>
        <v>Europe (excluding UK) &amp; Asia Pacific</v>
      </c>
      <c r="D335" s="258" t="str">
        <f>IFERROR(__xludf.DUMMYFUNCTION("""COMPUTED_VALUE"""),"km. My car displays range in kilometres and I will enter all range numbers in kilometres.")</f>
        <v>km. My car displays range in kilometres and I will enter all range numbers in kilometres.</v>
      </c>
      <c r="E335" s="259">
        <f>IFERROR(__xludf.DUMMYFUNCTION("""COMPUTED_VALUE"""),41591.0)</f>
        <v>41591</v>
      </c>
      <c r="F335" s="258" t="str">
        <f>IFERROR(__xludf.DUMMYFUNCTION("""COMPUTED_VALUE"""),"Model S 85")</f>
        <v>Model S 85</v>
      </c>
      <c r="G335" s="258" t="str">
        <f>IFERROR(__xludf.DUMMYFUNCTION("""COMPUTED_VALUE"""),"Monthly")</f>
        <v>Monthly</v>
      </c>
      <c r="H335" s="258" t="str">
        <f>IFERROR(__xludf.DUMMYFUNCTION("""COMPUTED_VALUE"""),"A few times a year")</f>
        <v>A few times a year</v>
      </c>
      <c r="I335" s="258" t="str">
        <f>IFERROR(__xludf.DUMMYFUNCTION("""COMPUTED_VALUE"""),"Once or twice a year")</f>
        <v>Once or twice a year</v>
      </c>
      <c r="J335" s="260">
        <f>IFERROR(__xludf.DUMMYFUNCTION("""COMPUTED_VALUE"""),0.9)</f>
        <v>0.9</v>
      </c>
      <c r="K335" s="258" t="str">
        <f>IFERROR(__xludf.DUMMYFUNCTION("""COMPUTED_VALUE"""),"")</f>
        <v/>
      </c>
      <c r="L335" s="258" t="str">
        <f>IFERROR(__xludf.DUMMYFUNCTION("""COMPUTED_VALUE"""),"")</f>
        <v/>
      </c>
      <c r="M335" s="261">
        <f>IFERROR(__xludf.DUMMYFUNCTION("""COMPUTED_VALUE"""),234.0)</f>
        <v>234</v>
      </c>
      <c r="N335" s="262">
        <f>IFERROR(__xludf.DUMMYFUNCTION("""COMPUTED_VALUE"""),12000.0)</f>
        <v>12000</v>
      </c>
      <c r="O335" s="259" t="str">
        <f>IFERROR(__xludf.DUMMYFUNCTION("""COMPUTED_VALUE"""),"I don't know")</f>
        <v>I don't know</v>
      </c>
      <c r="P335" s="259">
        <f>IFERROR(__xludf.DUMMYFUNCTION("""COMPUTED_VALUE"""),42681.0)</f>
        <v>42681</v>
      </c>
      <c r="Q335" s="258">
        <f>IFERROR(__xludf.DUMMYFUNCTION("""COMPUTED_VALUE"""),91921.0)</f>
        <v>91921</v>
      </c>
      <c r="R335" s="261">
        <f>IFERROR(__xludf.DUMMYFUNCTION("""COMPUTED_VALUE"""),379.0)</f>
        <v>379</v>
      </c>
      <c r="S335" s="258">
        <v>395.0</v>
      </c>
      <c r="T335" s="263">
        <v>0.959493670886076</v>
      </c>
      <c r="U335" s="264">
        <v>57117.0</v>
      </c>
      <c r="V335" s="265">
        <v>91921.0</v>
      </c>
      <c r="W335" s="264">
        <v>57117.0</v>
      </c>
      <c r="X335" s="266" t="str">
        <f>IFERROR(__xludf.DUMMYFUNCTION("""COMPUTED_VALUE"""),"Lukas")</f>
        <v>Lukas</v>
      </c>
      <c r="Y335" s="267">
        <v>-0.01</v>
      </c>
      <c r="Z335" s="267">
        <v>0.9485035626842591</v>
      </c>
      <c r="AA335" s="269"/>
      <c r="AB335" s="270"/>
      <c r="AC335" s="270"/>
      <c r="AD335" s="270"/>
      <c r="AE335" s="270"/>
    </row>
    <row r="336">
      <c r="A336" s="256">
        <f>IFERROR(__xludf.DUMMYFUNCTION("""COMPUTED_VALUE"""),42843.524305555555)</f>
        <v>42843.52431</v>
      </c>
      <c r="B336" s="257" t="str">
        <f>IFERROR(__xludf.DUMMYFUNCTION("""COMPUTED_VALUE"""),"ebullio")</f>
        <v>ebullio</v>
      </c>
      <c r="C336" s="258" t="str">
        <f>IFERROR(__xludf.DUMMYFUNCTION("""COMPUTED_VALUE"""),"Europe (excluding UK) &amp; Asia Pacific")</f>
        <v>Europe (excluding UK) &amp; Asia Pacific</v>
      </c>
      <c r="D336" s="258" t="str">
        <f>IFERROR(__xludf.DUMMYFUNCTION("""COMPUTED_VALUE"""),"km. My car displays range in kilometres and I will enter all range numbers in kilometres.")</f>
        <v>km. My car displays range in kilometres and I will enter all range numbers in kilometres.</v>
      </c>
      <c r="E336" s="259">
        <f>IFERROR(__xludf.DUMMYFUNCTION("""COMPUTED_VALUE"""),41591.0)</f>
        <v>41591</v>
      </c>
      <c r="F336" s="258" t="str">
        <f>IFERROR(__xludf.DUMMYFUNCTION("""COMPUTED_VALUE"""),"Model S 85")</f>
        <v>Model S 85</v>
      </c>
      <c r="G336" s="258" t="str">
        <f>IFERROR(__xludf.DUMMYFUNCTION("""COMPUTED_VALUE"""),"Monthly")</f>
        <v>Monthly</v>
      </c>
      <c r="H336" s="258" t="str">
        <f>IFERROR(__xludf.DUMMYFUNCTION("""COMPUTED_VALUE"""),"A few times a year")</f>
        <v>A few times a year</v>
      </c>
      <c r="I336" s="258" t="str">
        <f>IFERROR(__xludf.DUMMYFUNCTION("""COMPUTED_VALUE"""),"Once or twice a year")</f>
        <v>Once or twice a year</v>
      </c>
      <c r="J336" s="260">
        <f>IFERROR(__xludf.DUMMYFUNCTION("""COMPUTED_VALUE"""),0.9)</f>
        <v>0.9</v>
      </c>
      <c r="K336" s="258">
        <f>IFERROR(__xludf.DUMMYFUNCTION("""COMPUTED_VALUE"""),400.0)</f>
        <v>400</v>
      </c>
      <c r="L336" s="258" t="str">
        <f>IFERROR(__xludf.DUMMYFUNCTION("""COMPUTED_VALUE"""),"")</f>
        <v/>
      </c>
      <c r="M336" s="261">
        <f>IFERROR(__xludf.DUMMYFUNCTION("""COMPUTED_VALUE"""),234.0)</f>
        <v>234</v>
      </c>
      <c r="N336" s="262">
        <f>IFERROR(__xludf.DUMMYFUNCTION("""COMPUTED_VALUE"""),12000.0)</f>
        <v>12000</v>
      </c>
      <c r="O336" s="259" t="str">
        <f>IFERROR(__xludf.DUMMYFUNCTION("""COMPUTED_VALUE"""),"I don't know")</f>
        <v>I don't know</v>
      </c>
      <c r="P336" s="259">
        <f>IFERROR(__xludf.DUMMYFUNCTION("""COMPUTED_VALUE"""),42843.0)</f>
        <v>42843</v>
      </c>
      <c r="Q336" s="258">
        <f>IFERROR(__xludf.DUMMYFUNCTION("""COMPUTED_VALUE"""),106530.0)</f>
        <v>106530</v>
      </c>
      <c r="R336" s="261">
        <f>IFERROR(__xludf.DUMMYFUNCTION("""COMPUTED_VALUE"""),371.0)</f>
        <v>371</v>
      </c>
      <c r="S336" s="258">
        <v>395.0</v>
      </c>
      <c r="T336" s="263">
        <v>0.9392405063291139</v>
      </c>
      <c r="U336" s="264">
        <v>66195.0</v>
      </c>
      <c r="V336" s="265">
        <v>106530.0</v>
      </c>
      <c r="W336" s="264">
        <v>66195.0</v>
      </c>
      <c r="X336" s="266" t="str">
        <f>IFERROR(__xludf.DUMMYFUNCTION("""COMPUTED_VALUE"""),"Lupus Mercator")</f>
        <v>Lupus Mercator</v>
      </c>
      <c r="Y336" s="267">
        <v>-0.01</v>
      </c>
      <c r="Z336" s="267">
        <v>0.9450508432968716</v>
      </c>
      <c r="AA336" s="269"/>
      <c r="AB336" s="270"/>
      <c r="AC336" s="270"/>
      <c r="AD336" s="270"/>
      <c r="AE336" s="270"/>
    </row>
    <row r="337">
      <c r="A337" s="256">
        <f>IFERROR(__xludf.DUMMYFUNCTION("""COMPUTED_VALUE"""),42843.68194444444)</f>
        <v>42843.68194</v>
      </c>
      <c r="B337" s="257" t="str">
        <f>IFERROR(__xludf.DUMMYFUNCTION("""COMPUTED_VALUE"""),"eddyf0032")</f>
        <v>eddyf0032</v>
      </c>
      <c r="C337" s="258" t="str">
        <f>IFERROR(__xludf.DUMMYFUNCTION("""COMPUTED_VALUE"""),"Europe (excluding UK) &amp; Asia Pacific")</f>
        <v>Europe (excluding UK) &amp; Asia Pacific</v>
      </c>
      <c r="D337" s="258" t="str">
        <f>IFERROR(__xludf.DUMMYFUNCTION("""COMPUTED_VALUE"""),"km. My car displays range in kilometres and I will enter all range numbers in kilometres.")</f>
        <v>km. My car displays range in kilometres and I will enter all range numbers in kilometres.</v>
      </c>
      <c r="E337" s="259">
        <f>IFERROR(__xludf.DUMMYFUNCTION("""COMPUTED_VALUE"""),42843.0)</f>
        <v>42843</v>
      </c>
      <c r="F337" s="258" t="str">
        <f>IFERROR(__xludf.DUMMYFUNCTION("""COMPUTED_VALUE"""),"Model X 75D")</f>
        <v>Model X 75D</v>
      </c>
      <c r="G337" s="258" t="str">
        <f>IFERROR(__xludf.DUMMYFUNCTION("""COMPUTED_VALUE"""),"Weekly")</f>
        <v>Weekly</v>
      </c>
      <c r="H337" s="258" t="str">
        <f>IFERROR(__xludf.DUMMYFUNCTION("""COMPUTED_VALUE"""),"A few times a year")</f>
        <v>A few times a year</v>
      </c>
      <c r="I337" s="258" t="str">
        <f>IFERROR(__xludf.DUMMYFUNCTION("""COMPUTED_VALUE"""),"Twice a month")</f>
        <v>Twice a month</v>
      </c>
      <c r="J337" s="260">
        <f>IFERROR(__xludf.DUMMYFUNCTION("""COMPUTED_VALUE"""),0.8)</f>
        <v>0.8</v>
      </c>
      <c r="K337" s="258">
        <f>IFERROR(__xludf.DUMMYFUNCTION("""COMPUTED_VALUE"""),334.0)</f>
        <v>334</v>
      </c>
      <c r="L337" s="258" t="str">
        <f>IFERROR(__xludf.DUMMYFUNCTION("""COMPUTED_VALUE"""),"")</f>
        <v/>
      </c>
      <c r="M337" s="261">
        <f>IFERROR(__xludf.DUMMYFUNCTION("""COMPUTED_VALUE"""),260.0)</f>
        <v>260</v>
      </c>
      <c r="N337" s="262" t="str">
        <f>IFERROR(__xludf.DUMMYFUNCTION("""COMPUTED_VALUE"""),"")</f>
        <v/>
      </c>
      <c r="O337" s="259" t="str">
        <f>IFERROR(__xludf.DUMMYFUNCTION("""COMPUTED_VALUE"""),"")</f>
        <v/>
      </c>
      <c r="P337" s="259">
        <f>IFERROR(__xludf.DUMMYFUNCTION("""COMPUTED_VALUE"""),42843.0)</f>
        <v>42843</v>
      </c>
      <c r="Q337" s="258">
        <f>IFERROR(__xludf.DUMMYFUNCTION("""COMPUTED_VALUE"""),120.0)</f>
        <v>120</v>
      </c>
      <c r="R337" s="261">
        <f>IFERROR(__xludf.DUMMYFUNCTION("""COMPUTED_VALUE"""),336.0)</f>
        <v>336</v>
      </c>
      <c r="S337" s="258">
        <v>329.0</v>
      </c>
      <c r="T337" s="263">
        <v>1.0212765957446808</v>
      </c>
      <c r="U337" s="264">
        <v>75.0</v>
      </c>
      <c r="V337" s="265">
        <v>120.0</v>
      </c>
      <c r="W337" s="264">
        <v>75.0</v>
      </c>
      <c r="X337" s="266" t="str">
        <f>IFERROR(__xludf.DUMMYFUNCTION("""COMPUTED_VALUE"""),"Luske")</f>
        <v>Luske</v>
      </c>
      <c r="Y337" s="267">
        <v>-0.01</v>
      </c>
      <c r="Z337" s="267">
        <v>0.999760685876236</v>
      </c>
      <c r="AA337" s="269"/>
      <c r="AB337" s="270"/>
      <c r="AC337" s="270"/>
      <c r="AD337" s="270"/>
      <c r="AE337" s="270"/>
    </row>
    <row r="338">
      <c r="A338" s="256">
        <f>IFERROR(__xludf.DUMMYFUNCTION("""COMPUTED_VALUE"""),42904.68263888889)</f>
        <v>42904.68264</v>
      </c>
      <c r="B338" s="257" t="str">
        <f>IFERROR(__xludf.DUMMYFUNCTION("""COMPUTED_VALUE"""),"eddyf0032")</f>
        <v>eddyf0032</v>
      </c>
      <c r="C338" s="258" t="str">
        <f>IFERROR(__xludf.DUMMYFUNCTION("""COMPUTED_VALUE"""),"Europe (excluding UK) &amp; Asia Pacific")</f>
        <v>Europe (excluding UK) &amp; Asia Pacific</v>
      </c>
      <c r="D338" s="258" t="str">
        <f>IFERROR(__xludf.DUMMYFUNCTION("""COMPUTED_VALUE"""),"km. My car displays range in kilometres and I will enter all range numbers in kilometres.")</f>
        <v>km. My car displays range in kilometres and I will enter all range numbers in kilometres.</v>
      </c>
      <c r="E338" s="259">
        <f>IFERROR(__xludf.DUMMYFUNCTION("""COMPUTED_VALUE"""),42843.0)</f>
        <v>42843</v>
      </c>
      <c r="F338" s="258" t="str">
        <f>IFERROR(__xludf.DUMMYFUNCTION("""COMPUTED_VALUE"""),"Model X 75D")</f>
        <v>Model X 75D</v>
      </c>
      <c r="G338" s="258" t="str">
        <f>IFERROR(__xludf.DUMMYFUNCTION("""COMPUTED_VALUE"""),"")</f>
        <v/>
      </c>
      <c r="H338" s="258" t="str">
        <f>IFERROR(__xludf.DUMMYFUNCTION("""COMPUTED_VALUE"""),"")</f>
        <v/>
      </c>
      <c r="I338" s="258" t="str">
        <f>IFERROR(__xludf.DUMMYFUNCTION("""COMPUTED_VALUE"""),"")</f>
        <v/>
      </c>
      <c r="J338" s="260" t="str">
        <f>IFERROR(__xludf.DUMMYFUNCTION("""COMPUTED_VALUE"""),"")</f>
        <v/>
      </c>
      <c r="K338" s="258" t="str">
        <f>IFERROR(__xludf.DUMMYFUNCTION("""COMPUTED_VALUE"""),"")</f>
        <v/>
      </c>
      <c r="L338" s="258" t="str">
        <f>IFERROR(__xludf.DUMMYFUNCTION("""COMPUTED_VALUE"""),"")</f>
        <v/>
      </c>
      <c r="M338" s="261">
        <f>IFERROR(__xludf.DUMMYFUNCTION("""COMPUTED_VALUE"""),235.0)</f>
        <v>235</v>
      </c>
      <c r="N338" s="262" t="str">
        <f>IFERROR(__xludf.DUMMYFUNCTION("""COMPUTED_VALUE"""),"")</f>
        <v/>
      </c>
      <c r="O338" s="259" t="str">
        <f>IFERROR(__xludf.DUMMYFUNCTION("""COMPUTED_VALUE"""),"")</f>
        <v/>
      </c>
      <c r="P338" s="259">
        <f>IFERROR(__xludf.DUMMYFUNCTION("""COMPUTED_VALUE"""),42904.0)</f>
        <v>42904</v>
      </c>
      <c r="Q338" s="258">
        <f>IFERROR(__xludf.DUMMYFUNCTION("""COMPUTED_VALUE"""),7000.0)</f>
        <v>7000</v>
      </c>
      <c r="R338" s="261">
        <f>IFERROR(__xludf.DUMMYFUNCTION("""COMPUTED_VALUE"""),334.0)</f>
        <v>334</v>
      </c>
      <c r="S338" s="258">
        <v>329.0</v>
      </c>
      <c r="T338" s="263">
        <v>1.0151975683890577</v>
      </c>
      <c r="U338" s="264">
        <v>4350.0</v>
      </c>
      <c r="V338" s="265">
        <v>7000.0</v>
      </c>
      <c r="W338" s="264">
        <v>4350.0</v>
      </c>
      <c r="X338" s="266" t="str">
        <f>IFERROR(__xludf.DUMMYFUNCTION("""COMPUTED_VALUE"""),"Luske2")</f>
        <v>Luske2</v>
      </c>
      <c r="Y338" s="267">
        <v>-0.01</v>
      </c>
      <c r="Z338" s="267">
        <v>0.9882079828637637</v>
      </c>
      <c r="AA338" s="269"/>
      <c r="AB338" s="270"/>
      <c r="AC338" s="270"/>
      <c r="AD338" s="270"/>
      <c r="AE338" s="270"/>
    </row>
    <row r="339">
      <c r="A339" s="256">
        <f>IFERROR(__xludf.DUMMYFUNCTION("""COMPUTED_VALUE"""),43081.683333333334)</f>
        <v>43081.68333</v>
      </c>
      <c r="B339" s="257" t="str">
        <f>IFERROR(__xludf.DUMMYFUNCTION("""COMPUTED_VALUE"""),"eddyf0032")</f>
        <v>eddyf0032</v>
      </c>
      <c r="C339" s="258" t="str">
        <f>IFERROR(__xludf.DUMMYFUNCTION("""COMPUTED_VALUE"""),"Europe (excluding UK) &amp; Asia Pacific")</f>
        <v>Europe (excluding UK) &amp; Asia Pacific</v>
      </c>
      <c r="D339" s="258" t="str">
        <f>IFERROR(__xludf.DUMMYFUNCTION("""COMPUTED_VALUE"""),"km. My car displays range in kilometres and I will enter all range numbers in kilometres.")</f>
        <v>km. My car displays range in kilometres and I will enter all range numbers in kilometres.</v>
      </c>
      <c r="E339" s="259">
        <f>IFERROR(__xludf.DUMMYFUNCTION("""COMPUTED_VALUE"""),42843.0)</f>
        <v>42843</v>
      </c>
      <c r="F339" s="258" t="str">
        <f>IFERROR(__xludf.DUMMYFUNCTION("""COMPUTED_VALUE"""),"Model X 75D")</f>
        <v>Model X 75D</v>
      </c>
      <c r="G339" s="258" t="str">
        <f>IFERROR(__xludf.DUMMYFUNCTION("""COMPUTED_VALUE"""),"")</f>
        <v/>
      </c>
      <c r="H339" s="258" t="str">
        <f>IFERROR(__xludf.DUMMYFUNCTION("""COMPUTED_VALUE"""),"")</f>
        <v/>
      </c>
      <c r="I339" s="258" t="str">
        <f>IFERROR(__xludf.DUMMYFUNCTION("""COMPUTED_VALUE"""),"")</f>
        <v/>
      </c>
      <c r="J339" s="260" t="str">
        <f>IFERROR(__xludf.DUMMYFUNCTION("""COMPUTED_VALUE"""),"")</f>
        <v/>
      </c>
      <c r="K339" s="258" t="str">
        <f>IFERROR(__xludf.DUMMYFUNCTION("""COMPUTED_VALUE"""),"")</f>
        <v/>
      </c>
      <c r="L339" s="258" t="str">
        <f>IFERROR(__xludf.DUMMYFUNCTION("""COMPUTED_VALUE"""),"")</f>
        <v/>
      </c>
      <c r="M339" s="261">
        <f>IFERROR(__xludf.DUMMYFUNCTION("""COMPUTED_VALUE"""),235.0)</f>
        <v>235</v>
      </c>
      <c r="N339" s="262" t="str">
        <f>IFERROR(__xludf.DUMMYFUNCTION("""COMPUTED_VALUE"""),"")</f>
        <v/>
      </c>
      <c r="O339" s="259" t="str">
        <f>IFERROR(__xludf.DUMMYFUNCTION("""COMPUTED_VALUE"""),"")</f>
        <v/>
      </c>
      <c r="P339" s="259">
        <f>IFERROR(__xludf.DUMMYFUNCTION("""COMPUTED_VALUE"""),43081.0)</f>
        <v>43081</v>
      </c>
      <c r="Q339" s="258">
        <f>IFERROR(__xludf.DUMMYFUNCTION("""COMPUTED_VALUE"""),29500.0)</f>
        <v>29500</v>
      </c>
      <c r="R339" s="261">
        <f>IFERROR(__xludf.DUMMYFUNCTION("""COMPUTED_VALUE"""),322.0)</f>
        <v>322</v>
      </c>
      <c r="S339" s="258">
        <v>329.0</v>
      </c>
      <c r="T339" s="263">
        <v>0.9787234042553191</v>
      </c>
      <c r="U339" s="264">
        <v>18330.0</v>
      </c>
      <c r="V339" s="265">
        <v>29500.0</v>
      </c>
      <c r="W339" s="264">
        <v>18330.0</v>
      </c>
      <c r="X339" s="266" t="str">
        <f>IFERROR(__xludf.DUMMYFUNCTION("""COMPUTED_VALUE"""),"m0rph")</f>
        <v>m0rph</v>
      </c>
      <c r="Y339" s="267">
        <v>-0.01</v>
      </c>
      <c r="Z339" s="267">
        <v>0.9682329587474676</v>
      </c>
      <c r="AA339" s="269"/>
      <c r="AB339" s="270"/>
      <c r="AC339" s="270"/>
      <c r="AD339" s="270"/>
      <c r="AE339" s="270"/>
    </row>
    <row r="340">
      <c r="A340" s="256">
        <f>IFERROR(__xludf.DUMMYFUNCTION("""COMPUTED_VALUE"""),43114.68402777778)</f>
        <v>43114.68403</v>
      </c>
      <c r="B340" s="257" t="str">
        <f>IFERROR(__xludf.DUMMYFUNCTION("""COMPUTED_VALUE"""),"eddyf0032")</f>
        <v>eddyf0032</v>
      </c>
      <c r="C340" s="258" t="str">
        <f>IFERROR(__xludf.DUMMYFUNCTION("""COMPUTED_VALUE"""),"Europe (excluding UK) &amp; Asia Pacific")</f>
        <v>Europe (excluding UK) &amp; Asia Pacific</v>
      </c>
      <c r="D340" s="258" t="str">
        <f>IFERROR(__xludf.DUMMYFUNCTION("""COMPUTED_VALUE"""),"km. My car displays range in kilometres and I will enter all range numbers in kilometres.")</f>
        <v>km. My car displays range in kilometres and I will enter all range numbers in kilometres.</v>
      </c>
      <c r="E340" s="259">
        <f>IFERROR(__xludf.DUMMYFUNCTION("""COMPUTED_VALUE"""),42843.0)</f>
        <v>42843</v>
      </c>
      <c r="F340" s="258" t="str">
        <f>IFERROR(__xludf.DUMMYFUNCTION("""COMPUTED_VALUE"""),"Model X 75D")</f>
        <v>Model X 75D</v>
      </c>
      <c r="G340" s="258" t="str">
        <f>IFERROR(__xludf.DUMMYFUNCTION("""COMPUTED_VALUE"""),"")</f>
        <v/>
      </c>
      <c r="H340" s="258" t="str">
        <f>IFERROR(__xludf.DUMMYFUNCTION("""COMPUTED_VALUE"""),"")</f>
        <v/>
      </c>
      <c r="I340" s="258" t="str">
        <f>IFERROR(__xludf.DUMMYFUNCTION("""COMPUTED_VALUE"""),"")</f>
        <v/>
      </c>
      <c r="J340" s="260" t="str">
        <f>IFERROR(__xludf.DUMMYFUNCTION("""COMPUTED_VALUE"""),"")</f>
        <v/>
      </c>
      <c r="K340" s="258" t="str">
        <f>IFERROR(__xludf.DUMMYFUNCTION("""COMPUTED_VALUE"""),"")</f>
        <v/>
      </c>
      <c r="L340" s="258" t="str">
        <f>IFERROR(__xludf.DUMMYFUNCTION("""COMPUTED_VALUE"""),"")</f>
        <v/>
      </c>
      <c r="M340" s="261">
        <f>IFERROR(__xludf.DUMMYFUNCTION("""COMPUTED_VALUE"""),238.0)</f>
        <v>238</v>
      </c>
      <c r="N340" s="262" t="str">
        <f>IFERROR(__xludf.DUMMYFUNCTION("""COMPUTED_VALUE"""),"")</f>
        <v/>
      </c>
      <c r="O340" s="259" t="str">
        <f>IFERROR(__xludf.DUMMYFUNCTION("""COMPUTED_VALUE"""),"")</f>
        <v/>
      </c>
      <c r="P340" s="259">
        <f>IFERROR(__xludf.DUMMYFUNCTION("""COMPUTED_VALUE"""),43114.0)</f>
        <v>43114</v>
      </c>
      <c r="Q340" s="258">
        <f>IFERROR(__xludf.DUMMYFUNCTION("""COMPUTED_VALUE"""),33400.0)</f>
        <v>33400</v>
      </c>
      <c r="R340" s="261">
        <f>IFERROR(__xludf.DUMMYFUNCTION("""COMPUTED_VALUE"""),324.0)</f>
        <v>324</v>
      </c>
      <c r="S340" s="258">
        <v>329.0</v>
      </c>
      <c r="T340" s="263">
        <v>0.9848024316109423</v>
      </c>
      <c r="U340" s="264">
        <v>20754.0</v>
      </c>
      <c r="V340" s="265">
        <v>33400.0</v>
      </c>
      <c r="W340" s="264">
        <v>20754.0</v>
      </c>
      <c r="X340" s="266" t="str">
        <f>IFERROR(__xludf.DUMMYFUNCTION("""COMPUTED_VALUE"""),"ma47")</f>
        <v>ma47</v>
      </c>
      <c r="Y340" s="267">
        <v>-0.01</v>
      </c>
      <c r="Z340" s="267">
        <v>0.966222175777666</v>
      </c>
      <c r="AA340" s="269"/>
      <c r="AB340" s="270"/>
      <c r="AC340" s="270"/>
      <c r="AD340" s="270"/>
      <c r="AE340" s="270"/>
    </row>
    <row r="341">
      <c r="A341" s="256">
        <f>IFERROR(__xludf.DUMMYFUNCTION("""COMPUTED_VALUE"""),42142.12013888889)</f>
        <v>42142.12014</v>
      </c>
      <c r="B341" s="257" t="str">
        <f>IFERROR(__xludf.DUMMYFUNCTION("""COMPUTED_VALUE"""),"eddyf0032 - s85")</f>
        <v>eddyf0032 - s85</v>
      </c>
      <c r="C341" s="258" t="str">
        <f>IFERROR(__xludf.DUMMYFUNCTION("""COMPUTED_VALUE"""),"Europe (excluding UK) &amp; Asia Pacific")</f>
        <v>Europe (excluding UK) &amp; Asia Pacific</v>
      </c>
      <c r="D341" s="258" t="str">
        <f>IFERROR(__xludf.DUMMYFUNCTION("""COMPUTED_VALUE"""),"km. My car displays range in kilometres and I will enter all range numbers in kilometres.")</f>
        <v>km. My car displays range in kilometres and I will enter all range numbers in kilometres.</v>
      </c>
      <c r="E341" s="259">
        <f>IFERROR(__xludf.DUMMYFUNCTION("""COMPUTED_VALUE"""),41999.0)</f>
        <v>41999</v>
      </c>
      <c r="F341" s="258" t="str">
        <f>IFERROR(__xludf.DUMMYFUNCTION("""COMPUTED_VALUE"""),"Model S P85")</f>
        <v>Model S P85</v>
      </c>
      <c r="G341" s="258" t="str">
        <f>IFERROR(__xludf.DUMMYFUNCTION("""COMPUTED_VALUE"""),"Twice a week")</f>
        <v>Twice a week</v>
      </c>
      <c r="H341" s="258" t="str">
        <f>IFERROR(__xludf.DUMMYFUNCTION("""COMPUTED_VALUE"""),"A few times a year")</f>
        <v>A few times a year</v>
      </c>
      <c r="I341" s="258" t="str">
        <f>IFERROR(__xludf.DUMMYFUNCTION("""COMPUTED_VALUE"""),"Twice a month")</f>
        <v>Twice a month</v>
      </c>
      <c r="J341" s="260">
        <f>IFERROR(__xludf.DUMMYFUNCTION("""COMPUTED_VALUE"""),0.7)</f>
        <v>0.7</v>
      </c>
      <c r="K341" s="258" t="str">
        <f>IFERROR(__xludf.DUMMYFUNCTION("""COMPUTED_VALUE"""),"")</f>
        <v/>
      </c>
      <c r="L341" s="258" t="str">
        <f>IFERROR(__xludf.DUMMYFUNCTION("""COMPUTED_VALUE"""),"")</f>
        <v/>
      </c>
      <c r="M341" s="261">
        <f>IFERROR(__xludf.DUMMYFUNCTION("""COMPUTED_VALUE"""),242.0)</f>
        <v>242</v>
      </c>
      <c r="N341" s="262" t="str">
        <f>IFERROR(__xludf.DUMMYFUNCTION("""COMPUTED_VALUE"""),"")</f>
        <v/>
      </c>
      <c r="O341" s="259" t="str">
        <f>IFERROR(__xludf.DUMMYFUNCTION("""COMPUTED_VALUE"""),"")</f>
        <v/>
      </c>
      <c r="P341" s="259">
        <f>IFERROR(__xludf.DUMMYFUNCTION("""COMPUTED_VALUE"""),42142.0)</f>
        <v>42142</v>
      </c>
      <c r="Q341" s="258">
        <f>IFERROR(__xludf.DUMMYFUNCTION("""COMPUTED_VALUE"""),18450.0)</f>
        <v>18450</v>
      </c>
      <c r="R341" s="261">
        <f>IFERROR(__xludf.DUMMYFUNCTION("""COMPUTED_VALUE"""),394.0)</f>
        <v>394</v>
      </c>
      <c r="S341" s="258">
        <v>395.0</v>
      </c>
      <c r="T341" s="263">
        <v>0.9974683544303797</v>
      </c>
      <c r="U341" s="264">
        <v>11464.0</v>
      </c>
      <c r="V341" s="265">
        <v>18450.0</v>
      </c>
      <c r="W341" s="264">
        <v>11464.0</v>
      </c>
      <c r="X341" s="266" t="str">
        <f>IFERROR(__xludf.DUMMYFUNCTION("""COMPUTED_VALUE"""),"Maarten")</f>
        <v>Maarten</v>
      </c>
      <c r="Y341" s="267">
        <v>-0.01</v>
      </c>
      <c r="Z341" s="267">
        <v>0.9757175236992016</v>
      </c>
      <c r="AA341" s="269"/>
      <c r="AB341" s="270"/>
      <c r="AC341" s="270"/>
      <c r="AD341" s="270"/>
      <c r="AE341" s="270"/>
    </row>
    <row r="342">
      <c r="A342" s="256">
        <f>IFERROR(__xludf.DUMMYFUNCTION("""COMPUTED_VALUE"""),41950.03472222222)</f>
        <v>41950.03472</v>
      </c>
      <c r="B342" s="257" t="str">
        <f>IFERROR(__xludf.DUMMYFUNCTION("""COMPUTED_VALUE"""),"Edi99")</f>
        <v>Edi99</v>
      </c>
      <c r="C342" s="258" t="str">
        <f>IFERROR(__xludf.DUMMYFUNCTION("""COMPUTED_VALUE"""),"Europe (excluding UK) &amp; Asia Pacific")</f>
        <v>Europe (excluding UK) &amp; Asia Pacific</v>
      </c>
      <c r="D342" s="258" t="str">
        <f>IFERROR(__xludf.DUMMYFUNCTION("""COMPUTED_VALUE"""),"km. My car displays range in kilometres and I will enter all range numbers in kilometres.")</f>
        <v>km. My car displays range in kilometres and I will enter all range numbers in kilometres.</v>
      </c>
      <c r="E342" s="259">
        <f>IFERROR(__xludf.DUMMYFUNCTION("""COMPUTED_VALUE"""),41540.0)</f>
        <v>41540</v>
      </c>
      <c r="F342" s="258" t="str">
        <f>IFERROR(__xludf.DUMMYFUNCTION("""COMPUTED_VALUE"""),"Model S P85")</f>
        <v>Model S P85</v>
      </c>
      <c r="G342" s="258" t="str">
        <f>IFERROR(__xludf.DUMMYFUNCTION("""COMPUTED_VALUE"""),"Twice a month")</f>
        <v>Twice a month</v>
      </c>
      <c r="H342" s="258" t="str">
        <f>IFERROR(__xludf.DUMMYFUNCTION("""COMPUTED_VALUE"""),"A few times a year")</f>
        <v>A few times a year</v>
      </c>
      <c r="I342" s="258" t="str">
        <f>IFERROR(__xludf.DUMMYFUNCTION("""COMPUTED_VALUE"""),"Never")</f>
        <v>Never</v>
      </c>
      <c r="J342" s="260" t="str">
        <f>IFERROR(__xludf.DUMMYFUNCTION("""COMPUTED_VALUE"""),"")</f>
        <v/>
      </c>
      <c r="K342" s="258" t="str">
        <f>IFERROR(__xludf.DUMMYFUNCTION("""COMPUTED_VALUE"""),"")</f>
        <v/>
      </c>
      <c r="L342" s="258" t="str">
        <f>IFERROR(__xludf.DUMMYFUNCTION("""COMPUTED_VALUE"""),"")</f>
        <v/>
      </c>
      <c r="M342" s="261">
        <f>IFERROR(__xludf.DUMMYFUNCTION("""COMPUTED_VALUE"""),220.0)</f>
        <v>220</v>
      </c>
      <c r="N342" s="262">
        <f>IFERROR(__xludf.DUMMYFUNCTION("""COMPUTED_VALUE"""),18000.0)</f>
        <v>18000</v>
      </c>
      <c r="O342" s="259" t="str">
        <f>IFERROR(__xludf.DUMMYFUNCTION("""COMPUTED_VALUE"""),"I don't know")</f>
        <v>I don't know</v>
      </c>
      <c r="P342" s="259">
        <f>IFERROR(__xludf.DUMMYFUNCTION("""COMPUTED_VALUE"""),41950.0)</f>
        <v>41950</v>
      </c>
      <c r="Q342" s="258">
        <f>IFERROR(__xludf.DUMMYFUNCTION("""COMPUTED_VALUE"""),52000.0)</f>
        <v>52000</v>
      </c>
      <c r="R342" s="261">
        <f>IFERROR(__xludf.DUMMYFUNCTION("""COMPUTED_VALUE"""),381.0)</f>
        <v>381</v>
      </c>
      <c r="S342" s="258">
        <v>395.0</v>
      </c>
      <c r="T342" s="263">
        <v>0.9645569620253165</v>
      </c>
      <c r="U342" s="264">
        <v>32311.0</v>
      </c>
      <c r="V342" s="265">
        <v>52000.0</v>
      </c>
      <c r="W342" s="264">
        <v>32311.0</v>
      </c>
      <c r="X342" s="266" t="str">
        <f>IFERROR(__xludf.DUMMYFUNCTION("""COMPUTED_VALUE"""),"Maarten ST")</f>
        <v>Maarten ST</v>
      </c>
      <c r="Y342" s="267">
        <v>-0.01</v>
      </c>
      <c r="Z342" s="267">
        <v>0.9590465565366617</v>
      </c>
      <c r="AA342" s="269"/>
      <c r="AB342" s="270"/>
      <c r="AC342" s="270"/>
      <c r="AD342" s="270"/>
      <c r="AE342" s="270"/>
    </row>
    <row r="343">
      <c r="A343" s="256">
        <f>IFERROR(__xludf.DUMMYFUNCTION("""COMPUTED_VALUE"""),42021.05694444444)</f>
        <v>42021.05694</v>
      </c>
      <c r="B343" s="257" t="str">
        <f>IFERROR(__xludf.DUMMYFUNCTION("""COMPUTED_VALUE"""),"Edi99")</f>
        <v>Edi99</v>
      </c>
      <c r="C343" s="258" t="str">
        <f>IFERROR(__xludf.DUMMYFUNCTION("""COMPUTED_VALUE"""),"Europe (excluding UK) &amp; Asia Pacific")</f>
        <v>Europe (excluding UK) &amp; Asia Pacific</v>
      </c>
      <c r="D343" s="258" t="str">
        <f>IFERROR(__xludf.DUMMYFUNCTION("""COMPUTED_VALUE"""),"km. My car displays range in kilometres and I will enter all range numbers in kilometres.")</f>
        <v>km. My car displays range in kilometres and I will enter all range numbers in kilometres.</v>
      </c>
      <c r="E343" s="259">
        <f>IFERROR(__xludf.DUMMYFUNCTION("""COMPUTED_VALUE"""),41540.0)</f>
        <v>41540</v>
      </c>
      <c r="F343" s="258" t="str">
        <f>IFERROR(__xludf.DUMMYFUNCTION("""COMPUTED_VALUE"""),"Model S P85")</f>
        <v>Model S P85</v>
      </c>
      <c r="G343" s="258" t="str">
        <f>IFERROR(__xludf.DUMMYFUNCTION("""COMPUTED_VALUE"""),"Monthly")</f>
        <v>Monthly</v>
      </c>
      <c r="H343" s="258" t="str">
        <f>IFERROR(__xludf.DUMMYFUNCTION("""COMPUTED_VALUE"""),"A few times a year")</f>
        <v>A few times a year</v>
      </c>
      <c r="I343" s="258" t="str">
        <f>IFERROR(__xludf.DUMMYFUNCTION("""COMPUTED_VALUE"""),"Never")</f>
        <v>Never</v>
      </c>
      <c r="J343" s="260" t="str">
        <f>IFERROR(__xludf.DUMMYFUNCTION("""COMPUTED_VALUE"""),"")</f>
        <v/>
      </c>
      <c r="K343" s="258" t="str">
        <f>IFERROR(__xludf.DUMMYFUNCTION("""COMPUTED_VALUE"""),"")</f>
        <v/>
      </c>
      <c r="L343" s="258" t="str">
        <f>IFERROR(__xludf.DUMMYFUNCTION("""COMPUTED_VALUE"""),"")</f>
        <v/>
      </c>
      <c r="M343" s="261">
        <f>IFERROR(__xludf.DUMMYFUNCTION("""COMPUTED_VALUE"""),220.0)</f>
        <v>220</v>
      </c>
      <c r="N343" s="262">
        <f>IFERROR(__xludf.DUMMYFUNCTION("""COMPUTED_VALUE"""),18000.0)</f>
        <v>18000</v>
      </c>
      <c r="O343" s="259" t="str">
        <f>IFERROR(__xludf.DUMMYFUNCTION("""COMPUTED_VALUE"""),"I don't know")</f>
        <v>I don't know</v>
      </c>
      <c r="P343" s="259">
        <f>IFERROR(__xludf.DUMMYFUNCTION("""COMPUTED_VALUE"""),42021.0)</f>
        <v>42021</v>
      </c>
      <c r="Q343" s="258">
        <f>IFERROR(__xludf.DUMMYFUNCTION("""COMPUTED_VALUE"""),68000.0)</f>
        <v>68000</v>
      </c>
      <c r="R343" s="261">
        <f>IFERROR(__xludf.DUMMYFUNCTION("""COMPUTED_VALUE"""),378.0)</f>
        <v>378</v>
      </c>
      <c r="S343" s="258">
        <v>395.0</v>
      </c>
      <c r="T343" s="263">
        <v>0.9569620253164557</v>
      </c>
      <c r="U343" s="264">
        <v>42253.0</v>
      </c>
      <c r="V343" s="265">
        <v>68000.0</v>
      </c>
      <c r="W343" s="264">
        <v>42253.0</v>
      </c>
      <c r="X343" s="266" t="str">
        <f>IFERROR(__xludf.DUMMYFUNCTION("""COMPUTED_VALUE"""),"maarteneekels")</f>
        <v>maarteneekels</v>
      </c>
      <c r="Y343" s="267">
        <v>-0.01</v>
      </c>
      <c r="Z343" s="267">
        <v>0.9544595811986378</v>
      </c>
      <c r="AA343" s="269"/>
      <c r="AB343" s="270"/>
      <c r="AC343" s="270"/>
      <c r="AD343" s="270"/>
      <c r="AE343" s="270"/>
    </row>
    <row r="344">
      <c r="A344" s="256">
        <f>IFERROR(__xludf.DUMMYFUNCTION("""COMPUTED_VALUE"""),42125.111805555556)</f>
        <v>42125.11181</v>
      </c>
      <c r="B344" s="257" t="str">
        <f>IFERROR(__xludf.DUMMYFUNCTION("""COMPUTED_VALUE"""),"Edi99")</f>
        <v>Edi99</v>
      </c>
      <c r="C344" s="258" t="str">
        <f>IFERROR(__xludf.DUMMYFUNCTION("""COMPUTED_VALUE"""),"Europe (excluding UK) &amp; Asia Pacific")</f>
        <v>Europe (excluding UK) &amp; Asia Pacific</v>
      </c>
      <c r="D344" s="258" t="str">
        <f>IFERROR(__xludf.DUMMYFUNCTION("""COMPUTED_VALUE"""),"km. My car displays range in kilometres and I will enter all range numbers in kilometres.")</f>
        <v>km. My car displays range in kilometres and I will enter all range numbers in kilometres.</v>
      </c>
      <c r="E344" s="259">
        <f>IFERROR(__xludf.DUMMYFUNCTION("""COMPUTED_VALUE"""),41540.0)</f>
        <v>41540</v>
      </c>
      <c r="F344" s="258" t="str">
        <f>IFERROR(__xludf.DUMMYFUNCTION("""COMPUTED_VALUE"""),"Model S P85")</f>
        <v>Model S P85</v>
      </c>
      <c r="G344" s="258" t="str">
        <f>IFERROR(__xludf.DUMMYFUNCTION("""COMPUTED_VALUE"""),"Monthly")</f>
        <v>Monthly</v>
      </c>
      <c r="H344" s="258" t="str">
        <f>IFERROR(__xludf.DUMMYFUNCTION("""COMPUTED_VALUE"""),"A few times a year")</f>
        <v>A few times a year</v>
      </c>
      <c r="I344" s="258" t="str">
        <f>IFERROR(__xludf.DUMMYFUNCTION("""COMPUTED_VALUE"""),"Once or twice a year")</f>
        <v>Once or twice a year</v>
      </c>
      <c r="J344" s="260">
        <f>IFERROR(__xludf.DUMMYFUNCTION("""COMPUTED_VALUE"""),0.8)</f>
        <v>0.8</v>
      </c>
      <c r="K344" s="258" t="str">
        <f>IFERROR(__xludf.DUMMYFUNCTION("""COMPUTED_VALUE"""),"")</f>
        <v/>
      </c>
      <c r="L344" s="258" t="str">
        <f>IFERROR(__xludf.DUMMYFUNCTION("""COMPUTED_VALUE"""),"")</f>
        <v/>
      </c>
      <c r="M344" s="261">
        <f>IFERROR(__xludf.DUMMYFUNCTION("""COMPUTED_VALUE"""),224.0)</f>
        <v>224</v>
      </c>
      <c r="N344" s="262">
        <f>IFERROR(__xludf.DUMMYFUNCTION("""COMPUTED_VALUE"""),18000.0)</f>
        <v>18000</v>
      </c>
      <c r="O344" s="259" t="str">
        <f>IFERROR(__xludf.DUMMYFUNCTION("""COMPUTED_VALUE"""),"I don't know")</f>
        <v>I don't know</v>
      </c>
      <c r="P344" s="259">
        <f>IFERROR(__xludf.DUMMYFUNCTION("""COMPUTED_VALUE"""),42125.0)</f>
        <v>42125</v>
      </c>
      <c r="Q344" s="258">
        <f>IFERROR(__xludf.DUMMYFUNCTION("""COMPUTED_VALUE"""),80101.0)</f>
        <v>80101</v>
      </c>
      <c r="R344" s="261">
        <f>IFERROR(__xludf.DUMMYFUNCTION("""COMPUTED_VALUE"""),378.0)</f>
        <v>378</v>
      </c>
      <c r="S344" s="258">
        <v>395.0</v>
      </c>
      <c r="T344" s="263">
        <v>0.9569620253164557</v>
      </c>
      <c r="U344" s="264">
        <v>49772.0</v>
      </c>
      <c r="V344" s="265">
        <v>80101.0</v>
      </c>
      <c r="W344" s="264">
        <v>49772.0</v>
      </c>
      <c r="X344" s="266" t="str">
        <f>IFERROR(__xludf.DUMMYFUNCTION("""COMPUTED_VALUE"""),"Manu37")</f>
        <v>Manu37</v>
      </c>
      <c r="Y344" s="267">
        <v>-0.01</v>
      </c>
      <c r="Z344" s="267">
        <v>0.9513734595283249</v>
      </c>
      <c r="AA344" s="269"/>
      <c r="AB344" s="270"/>
      <c r="AC344" s="270"/>
      <c r="AD344" s="270"/>
      <c r="AE344" s="270"/>
    </row>
    <row r="345">
      <c r="A345" s="256">
        <f>IFERROR(__xludf.DUMMYFUNCTION("""COMPUTED_VALUE"""),43192.71388888889)</f>
        <v>43192.71389</v>
      </c>
      <c r="B345" s="257" t="str">
        <f>IFERROR(__xludf.DUMMYFUNCTION("""COMPUTED_VALUE"""),"EdvanS")</f>
        <v>EdvanS</v>
      </c>
      <c r="C345" s="258" t="str">
        <f>IFERROR(__xludf.DUMMYFUNCTION("""COMPUTED_VALUE"""),"Europe (excluding UK) &amp; Asia Pacific")</f>
        <v>Europe (excluding UK) &amp; Asia Pacific</v>
      </c>
      <c r="D345" s="258" t="str">
        <f>IFERROR(__xludf.DUMMYFUNCTION("""COMPUTED_VALUE"""),"km. My car displays range in kilometres and I will enter all range numbers in kilometres.")</f>
        <v>km. My car displays range in kilometres and I will enter all range numbers in kilometres.</v>
      </c>
      <c r="E345" s="259">
        <f>IFERROR(__xludf.DUMMYFUNCTION("""COMPUTED_VALUE"""),43190.0)</f>
        <v>43190</v>
      </c>
      <c r="F345" s="258" t="str">
        <f>IFERROR(__xludf.DUMMYFUNCTION("""COMPUTED_VALUE"""),"Model S P100D")</f>
        <v>Model S P100D</v>
      </c>
      <c r="G345" s="258" t="str">
        <f>IFERROR(__xludf.DUMMYFUNCTION("""COMPUTED_VALUE"""),"Twice a week")</f>
        <v>Twice a week</v>
      </c>
      <c r="H345" s="258" t="str">
        <f>IFERROR(__xludf.DUMMYFUNCTION("""COMPUTED_VALUE"""),"A few times a year")</f>
        <v>A few times a year</v>
      </c>
      <c r="I345" s="258" t="str">
        <f>IFERROR(__xludf.DUMMYFUNCTION("""COMPUTED_VALUE"""),"A few times a year")</f>
        <v>A few times a year</v>
      </c>
      <c r="J345" s="260">
        <f>IFERROR(__xludf.DUMMYFUNCTION("""COMPUTED_VALUE"""),0.9)</f>
        <v>0.9</v>
      </c>
      <c r="K345" s="258">
        <f>IFERROR(__xludf.DUMMYFUNCTION("""COMPUTED_VALUE"""),488.0)</f>
        <v>488</v>
      </c>
      <c r="L345" s="258" t="str">
        <f>IFERROR(__xludf.DUMMYFUNCTION("""COMPUTED_VALUE"""),"")</f>
        <v/>
      </c>
      <c r="M345" s="261">
        <f>IFERROR(__xludf.DUMMYFUNCTION("""COMPUTED_VALUE"""),320.0)</f>
        <v>320</v>
      </c>
      <c r="N345" s="262" t="str">
        <f>IFERROR(__xludf.DUMMYFUNCTION("""COMPUTED_VALUE"""),"")</f>
        <v/>
      </c>
      <c r="O345" s="259" t="str">
        <f>IFERROR(__xludf.DUMMYFUNCTION("""COMPUTED_VALUE"""),"")</f>
        <v/>
      </c>
      <c r="P345" s="259">
        <f>IFERROR(__xludf.DUMMYFUNCTION("""COMPUTED_VALUE"""),43192.0)</f>
        <v>43192</v>
      </c>
      <c r="Q345" s="258">
        <f>IFERROR(__xludf.DUMMYFUNCTION("""COMPUTED_VALUE"""),180.0)</f>
        <v>180</v>
      </c>
      <c r="R345" s="261">
        <f>IFERROR(__xludf.DUMMYFUNCTION("""COMPUTED_VALUE"""),481.0)</f>
        <v>481</v>
      </c>
      <c r="S345" s="258">
        <v>483.0</v>
      </c>
      <c r="T345" s="263">
        <v>0.9958592132505176</v>
      </c>
      <c r="U345" s="264">
        <v>112.0</v>
      </c>
      <c r="V345" s="265">
        <v>180.0</v>
      </c>
      <c r="W345" s="264">
        <v>112.0</v>
      </c>
      <c r="X345" s="266" t="str">
        <f>IFERROR(__xludf.DUMMYFUNCTION("""COMPUTED_VALUE"""),"MarcG")</f>
        <v>MarcG</v>
      </c>
      <c r="Y345" s="267">
        <v>-0.01</v>
      </c>
      <c r="Z345" s="267">
        <v>0.9996415812284617</v>
      </c>
      <c r="AA345" s="269"/>
      <c r="AB345" s="270"/>
      <c r="AC345" s="270"/>
      <c r="AD345" s="270"/>
      <c r="AE345" s="270"/>
    </row>
    <row r="346">
      <c r="A346" s="256">
        <f>IFERROR(__xludf.DUMMYFUNCTION("""COMPUTED_VALUE"""),43203.72152777778)</f>
        <v>43203.72153</v>
      </c>
      <c r="B346" s="257" t="str">
        <f>IFERROR(__xludf.DUMMYFUNCTION("""COMPUTED_VALUE"""),"EdvanS")</f>
        <v>EdvanS</v>
      </c>
      <c r="C346" s="258" t="str">
        <f>IFERROR(__xludf.DUMMYFUNCTION("""COMPUTED_VALUE"""),"Europe (excluding UK) &amp; Asia Pacific")</f>
        <v>Europe (excluding UK) &amp; Asia Pacific</v>
      </c>
      <c r="D346" s="258" t="str">
        <f>IFERROR(__xludf.DUMMYFUNCTION("""COMPUTED_VALUE"""),"km. My car displays range in kilometres and I will enter all range numbers in kilometres.")</f>
        <v>km. My car displays range in kilometres and I will enter all range numbers in kilometres.</v>
      </c>
      <c r="E346" s="259">
        <f>IFERROR(__xludf.DUMMYFUNCTION("""COMPUTED_VALUE"""),43090.0)</f>
        <v>43090</v>
      </c>
      <c r="F346" s="258" t="str">
        <f>IFERROR(__xludf.DUMMYFUNCTION("""COMPUTED_VALUE"""),"Model S 100D")</f>
        <v>Model S 100D</v>
      </c>
      <c r="G346" s="258" t="str">
        <f>IFERROR(__xludf.DUMMYFUNCTION("""COMPUTED_VALUE"""),"Twice a week")</f>
        <v>Twice a week</v>
      </c>
      <c r="H346" s="258" t="str">
        <f>IFERROR(__xludf.DUMMYFUNCTION("""COMPUTED_VALUE"""),"A few times a year")</f>
        <v>A few times a year</v>
      </c>
      <c r="I346" s="258" t="str">
        <f>IFERROR(__xludf.DUMMYFUNCTION("""COMPUTED_VALUE"""),"Never")</f>
        <v>Never</v>
      </c>
      <c r="J346" s="260">
        <f>IFERROR(__xludf.DUMMYFUNCTION("""COMPUTED_VALUE"""),0.8)</f>
        <v>0.8</v>
      </c>
      <c r="K346" s="258">
        <f>IFERROR(__xludf.DUMMYFUNCTION("""COMPUTED_VALUE"""),506.0)</f>
        <v>506</v>
      </c>
      <c r="L346" s="258" t="str">
        <f>IFERROR(__xludf.DUMMYFUNCTION("""COMPUTED_VALUE"""),"")</f>
        <v/>
      </c>
      <c r="M346" s="261">
        <f>IFERROR(__xludf.DUMMYFUNCTION("""COMPUTED_VALUE"""),243.0)</f>
        <v>243</v>
      </c>
      <c r="N346" s="262" t="str">
        <f>IFERROR(__xludf.DUMMYFUNCTION("""COMPUTED_VALUE"""),"")</f>
        <v/>
      </c>
      <c r="O346" s="259" t="str">
        <f>IFERROR(__xludf.DUMMYFUNCTION("""COMPUTED_VALUE"""),"")</f>
        <v/>
      </c>
      <c r="P346" s="259">
        <f>IFERROR(__xludf.DUMMYFUNCTION("""COMPUTED_VALUE"""),43203.0)</f>
        <v>43203</v>
      </c>
      <c r="Q346" s="258">
        <f>IFERROR(__xludf.DUMMYFUNCTION("""COMPUTED_VALUE"""),8560.0)</f>
        <v>8560</v>
      </c>
      <c r="R346" s="261">
        <f>IFERROR(__xludf.DUMMYFUNCTION("""COMPUTED_VALUE"""),505.0)</f>
        <v>505</v>
      </c>
      <c r="S346" s="258">
        <v>510.0</v>
      </c>
      <c r="T346" s="263">
        <v>0.9901960784313726</v>
      </c>
      <c r="U346" s="264">
        <v>5319.0</v>
      </c>
      <c r="V346" s="265">
        <v>8560.0</v>
      </c>
      <c r="W346" s="264">
        <v>5319.0</v>
      </c>
      <c r="X346" s="266" t="str">
        <f>IFERROR(__xludf.DUMMYFUNCTION("""COMPUTED_VALUE"""),"MarcK")</f>
        <v>MarcK</v>
      </c>
      <c r="Y346" s="267">
        <v>-0.01</v>
      </c>
      <c r="Z346" s="267">
        <v>0.9860912440529914</v>
      </c>
      <c r="AA346" s="269"/>
      <c r="AB346" s="270"/>
      <c r="AC346" s="270"/>
      <c r="AD346" s="270"/>
      <c r="AE346" s="270"/>
    </row>
    <row r="347">
      <c r="A347" s="256">
        <f>IFERROR(__xludf.DUMMYFUNCTION("""COMPUTED_VALUE"""),43599.69597596065)</f>
        <v>43599.69598</v>
      </c>
      <c r="B347" s="257" t="str">
        <f>IFERROR(__xludf.DUMMYFUNCTION("""COMPUTED_VALUE"""),"EdvanS")</f>
        <v>EdvanS</v>
      </c>
      <c r="C347" s="258" t="str">
        <f>IFERROR(__xludf.DUMMYFUNCTION("""COMPUTED_VALUE"""),"Europe (excluding UK) &amp; Asia Pacific")</f>
        <v>Europe (excluding UK) &amp; Asia Pacific</v>
      </c>
      <c r="D347" s="258" t="str">
        <f>IFERROR(__xludf.DUMMYFUNCTION("""COMPUTED_VALUE"""),"km. My car displays range in kilometres and I will enter all range numbers in kilometres.")</f>
        <v>km. My car displays range in kilometres and I will enter all range numbers in kilometres.</v>
      </c>
      <c r="E347" s="259">
        <f>IFERROR(__xludf.DUMMYFUNCTION("""COMPUTED_VALUE"""),43115.0)</f>
        <v>43115</v>
      </c>
      <c r="F347" s="258" t="str">
        <f>IFERROR(__xludf.DUMMYFUNCTION("""COMPUTED_VALUE"""),"Model S P100D")</f>
        <v>Model S P100D</v>
      </c>
      <c r="G347" s="258" t="str">
        <f>IFERROR(__xludf.DUMMYFUNCTION("""COMPUTED_VALUE"""),"Twice a week")</f>
        <v>Twice a week</v>
      </c>
      <c r="H347" s="258" t="str">
        <f>IFERROR(__xludf.DUMMYFUNCTION("""COMPUTED_VALUE"""),"A few times a year")</f>
        <v>A few times a year</v>
      </c>
      <c r="I347" s="258" t="str">
        <f>IFERROR(__xludf.DUMMYFUNCTION("""COMPUTED_VALUE"""),"Monthly")</f>
        <v>Monthly</v>
      </c>
      <c r="J347" s="260">
        <f>IFERROR(__xludf.DUMMYFUNCTION("""COMPUTED_VALUE"""),0.9)</f>
        <v>0.9</v>
      </c>
      <c r="K347" s="258">
        <f>IFERROR(__xludf.DUMMYFUNCTION("""COMPUTED_VALUE"""),488.0)</f>
        <v>488</v>
      </c>
      <c r="L347" s="258">
        <f>IFERROR(__xludf.DUMMYFUNCTION("""COMPUTED_VALUE"""),180.0)</f>
        <v>180</v>
      </c>
      <c r="M347" s="261">
        <f>IFERROR(__xludf.DUMMYFUNCTION("""COMPUTED_VALUE"""),270.0)</f>
        <v>270</v>
      </c>
      <c r="N347" s="262" t="str">
        <f>IFERROR(__xludf.DUMMYFUNCTION("""COMPUTED_VALUE"""),"")</f>
        <v/>
      </c>
      <c r="O347" s="259" t="str">
        <f>IFERROR(__xludf.DUMMYFUNCTION("""COMPUTED_VALUE"""),"")</f>
        <v/>
      </c>
      <c r="P347" s="259">
        <f>IFERROR(__xludf.DUMMYFUNCTION("""COMPUTED_VALUE"""),43190.0)</f>
        <v>43190</v>
      </c>
      <c r="Q347" s="258">
        <f>IFERROR(__xludf.DUMMYFUNCTION("""COMPUTED_VALUE"""),320.0)</f>
        <v>320</v>
      </c>
      <c r="R347" s="261">
        <f>IFERROR(__xludf.DUMMYFUNCTION("""COMPUTED_VALUE"""),488.0)</f>
        <v>488</v>
      </c>
      <c r="S347" s="258">
        <v>483.0</v>
      </c>
      <c r="T347" s="263">
        <v>1.010351966873706</v>
      </c>
      <c r="U347" s="264">
        <v>199.0</v>
      </c>
      <c r="V347" s="265">
        <v>320.0</v>
      </c>
      <c r="W347" s="264">
        <v>199.0</v>
      </c>
      <c r="X347" s="266" t="str">
        <f>IFERROR(__xludf.DUMMYFUNCTION("""COMPUTED_VALUE"""),"MarcusS")</f>
        <v>MarcusS</v>
      </c>
      <c r="Y347" s="267">
        <v>-0.01</v>
      </c>
      <c r="Z347" s="267">
        <v>0.9993650937149493</v>
      </c>
      <c r="AA347" s="269"/>
      <c r="AB347" s="270"/>
      <c r="AC347" s="270"/>
      <c r="AD347" s="270"/>
      <c r="AE347" s="270"/>
    </row>
    <row r="348">
      <c r="A348" s="256">
        <f>IFERROR(__xludf.DUMMYFUNCTION("""COMPUTED_VALUE"""),43599.69597596065)</f>
        <v>43599.69598</v>
      </c>
      <c r="B348" s="257" t="str">
        <f>IFERROR(__xludf.DUMMYFUNCTION("""COMPUTED_VALUE"""),"EdvanS")</f>
        <v>EdvanS</v>
      </c>
      <c r="C348" s="258" t="str">
        <f>IFERROR(__xludf.DUMMYFUNCTION("""COMPUTED_VALUE"""),"Europe (excluding UK) &amp; Asia Pacific")</f>
        <v>Europe (excluding UK) &amp; Asia Pacific</v>
      </c>
      <c r="D348" s="258" t="str">
        <f>IFERROR(__xludf.DUMMYFUNCTION("""COMPUTED_VALUE"""),"km. My car displays range in kilometres and I will enter all range numbers in kilometres.")</f>
        <v>km. My car displays range in kilometres and I will enter all range numbers in kilometres.</v>
      </c>
      <c r="E348" s="259">
        <f>IFERROR(__xludf.DUMMYFUNCTION("""COMPUTED_VALUE"""),43115.0)</f>
        <v>43115</v>
      </c>
      <c r="F348" s="258" t="str">
        <f>IFERROR(__xludf.DUMMYFUNCTION("""COMPUTED_VALUE"""),"Model S P100D")</f>
        <v>Model S P100D</v>
      </c>
      <c r="G348" s="258" t="str">
        <f>IFERROR(__xludf.DUMMYFUNCTION("""COMPUTED_VALUE"""),"Twice a week")</f>
        <v>Twice a week</v>
      </c>
      <c r="H348" s="258" t="str">
        <f>IFERROR(__xludf.DUMMYFUNCTION("""COMPUTED_VALUE"""),"A few times a year")</f>
        <v>A few times a year</v>
      </c>
      <c r="I348" s="258" t="str">
        <f>IFERROR(__xludf.DUMMYFUNCTION("""COMPUTED_VALUE"""),"Monthly")</f>
        <v>Monthly</v>
      </c>
      <c r="J348" s="260">
        <f>IFERROR(__xludf.DUMMYFUNCTION("""COMPUTED_VALUE"""),0.9)</f>
        <v>0.9</v>
      </c>
      <c r="K348" s="258">
        <f>IFERROR(__xludf.DUMMYFUNCTION("""COMPUTED_VALUE"""),488.0)</f>
        <v>488</v>
      </c>
      <c r="L348" s="258">
        <f>IFERROR(__xludf.DUMMYFUNCTION("""COMPUTED_VALUE"""),180.0)</f>
        <v>180</v>
      </c>
      <c r="M348" s="261">
        <f>IFERROR(__xludf.DUMMYFUNCTION("""COMPUTED_VALUE"""),270.0)</f>
        <v>270</v>
      </c>
      <c r="N348" s="262" t="str">
        <f>IFERROR(__xludf.DUMMYFUNCTION("""COMPUTED_VALUE"""),"")</f>
        <v/>
      </c>
      <c r="O348" s="259" t="str">
        <f>IFERROR(__xludf.DUMMYFUNCTION("""COMPUTED_VALUE"""),"")</f>
        <v/>
      </c>
      <c r="P348" s="259">
        <f>IFERROR(__xludf.DUMMYFUNCTION("""COMPUTED_VALUE"""),43557.0)</f>
        <v>43557</v>
      </c>
      <c r="Q348" s="258">
        <f>IFERROR(__xludf.DUMMYFUNCTION("""COMPUTED_VALUE"""),25308.0)</f>
        <v>25308</v>
      </c>
      <c r="R348" s="261">
        <f>IFERROR(__xludf.DUMMYFUNCTION("""COMPUTED_VALUE"""),467.0)</f>
        <v>467</v>
      </c>
      <c r="S348" s="258">
        <v>483.0</v>
      </c>
      <c r="T348" s="263">
        <v>0.9668737060041408</v>
      </c>
      <c r="U348" s="264">
        <v>15726.0</v>
      </c>
      <c r="V348" s="265">
        <v>25308.0</v>
      </c>
      <c r="W348" s="264">
        <v>15726.0</v>
      </c>
      <c r="X348" s="266" t="str">
        <f>IFERROR(__xludf.DUMMYFUNCTION("""COMPUTED_VALUE"""),"MarkVL")</f>
        <v>MarkVL</v>
      </c>
      <c r="Y348" s="267">
        <v>-0.01</v>
      </c>
      <c r="Z348" s="267">
        <v>0.9707115699597063</v>
      </c>
      <c r="AA348" s="269"/>
      <c r="AB348" s="270"/>
      <c r="AC348" s="270"/>
      <c r="AD348" s="270"/>
      <c r="AE348" s="270"/>
    </row>
    <row r="349">
      <c r="A349" s="256">
        <f>IFERROR(__xludf.DUMMYFUNCTION("""COMPUTED_VALUE"""),42216.15277777778)</f>
        <v>42216.15278</v>
      </c>
      <c r="B349" s="257" t="str">
        <f>IFERROR(__xludf.DUMMYFUNCTION("""COMPUTED_VALUE"""),"Eelcodb")</f>
        <v>Eelcodb</v>
      </c>
      <c r="C349" s="258" t="str">
        <f>IFERROR(__xludf.DUMMYFUNCTION("""COMPUTED_VALUE"""),"Europe (excluding UK) &amp; Asia Pacific")</f>
        <v>Europe (excluding UK) &amp; Asia Pacific</v>
      </c>
      <c r="D349" s="258" t="str">
        <f>IFERROR(__xludf.DUMMYFUNCTION("""COMPUTED_VALUE"""),"km. My car displays range in kilometres and I will enter all range numbers in kilometres.")</f>
        <v>km. My car displays range in kilometres and I will enter all range numbers in kilometres.</v>
      </c>
      <c r="E349" s="259">
        <f>IFERROR(__xludf.DUMMYFUNCTION("""COMPUTED_VALUE"""),41950.0)</f>
        <v>41950</v>
      </c>
      <c r="F349" s="258" t="str">
        <f>IFERROR(__xludf.DUMMYFUNCTION("""COMPUTED_VALUE"""),"Model S 85")</f>
        <v>Model S 85</v>
      </c>
      <c r="G349" s="258" t="str">
        <f>IFERROR(__xludf.DUMMYFUNCTION("""COMPUTED_VALUE"""),"")</f>
        <v/>
      </c>
      <c r="H349" s="258" t="str">
        <f>IFERROR(__xludf.DUMMYFUNCTION("""COMPUTED_VALUE"""),"")</f>
        <v/>
      </c>
      <c r="I349" s="258" t="str">
        <f>IFERROR(__xludf.DUMMYFUNCTION("""COMPUTED_VALUE"""),"")</f>
        <v/>
      </c>
      <c r="J349" s="260" t="str">
        <f>IFERROR(__xludf.DUMMYFUNCTION("""COMPUTED_VALUE"""),"")</f>
        <v/>
      </c>
      <c r="K349" s="258" t="str">
        <f>IFERROR(__xludf.DUMMYFUNCTION("""COMPUTED_VALUE"""),"")</f>
        <v/>
      </c>
      <c r="L349" s="258" t="str">
        <f>IFERROR(__xludf.DUMMYFUNCTION("""COMPUTED_VALUE"""),"")</f>
        <v/>
      </c>
      <c r="M349" s="261">
        <f>IFERROR(__xludf.DUMMYFUNCTION("""COMPUTED_VALUE"""),197.0)</f>
        <v>197</v>
      </c>
      <c r="N349" s="262" t="str">
        <f>IFERROR(__xludf.DUMMYFUNCTION("""COMPUTED_VALUE"""),"")</f>
        <v/>
      </c>
      <c r="O349" s="259" t="str">
        <f>IFERROR(__xludf.DUMMYFUNCTION("""COMPUTED_VALUE"""),"")</f>
        <v/>
      </c>
      <c r="P349" s="259">
        <f>IFERROR(__xludf.DUMMYFUNCTION("""COMPUTED_VALUE"""),42216.0)</f>
        <v>42216</v>
      </c>
      <c r="Q349" s="258">
        <f>IFERROR(__xludf.DUMMYFUNCTION("""COMPUTED_VALUE"""),13200.0)</f>
        <v>13200</v>
      </c>
      <c r="R349" s="261">
        <f>IFERROR(__xludf.DUMMYFUNCTION("""COMPUTED_VALUE"""),384.0)</f>
        <v>384</v>
      </c>
      <c r="S349" s="258">
        <v>395.0</v>
      </c>
      <c r="T349" s="263">
        <v>0.9721518987341772</v>
      </c>
      <c r="U349" s="264">
        <v>8202.0</v>
      </c>
      <c r="V349" s="265">
        <v>13200.0</v>
      </c>
      <c r="W349" s="264">
        <v>8202.0</v>
      </c>
      <c r="X349" s="266" t="str">
        <f>IFERROR(__xludf.DUMMYFUNCTION("""COMPUTED_VALUE"""),"marlan99")</f>
        <v>marlan99</v>
      </c>
      <c r="Y349" s="267">
        <v>-0.01</v>
      </c>
      <c r="Z349" s="267">
        <v>0.9806454082058089</v>
      </c>
      <c r="AA349" s="269"/>
      <c r="AB349" s="270"/>
      <c r="AC349" s="270"/>
      <c r="AD349" s="270"/>
      <c r="AE349" s="270"/>
    </row>
    <row r="350">
      <c r="A350" s="256">
        <f>IFERROR(__xludf.DUMMYFUNCTION("""COMPUTED_VALUE"""),42599.38402777778)</f>
        <v>42599.38403</v>
      </c>
      <c r="B350" s="257" t="str">
        <f>IFERROR(__xludf.DUMMYFUNCTION("""COMPUTED_VALUE"""),"Eelcodb")</f>
        <v>Eelcodb</v>
      </c>
      <c r="C350" s="258" t="str">
        <f>IFERROR(__xludf.DUMMYFUNCTION("""COMPUTED_VALUE"""),"Europe (excluding UK) &amp; Asia Pacific")</f>
        <v>Europe (excluding UK) &amp; Asia Pacific</v>
      </c>
      <c r="D350" s="258" t="str">
        <f>IFERROR(__xludf.DUMMYFUNCTION("""COMPUTED_VALUE"""),"km. My car displays range in kilometres and I will enter all range numbers in kilometres.")</f>
        <v>km. My car displays range in kilometres and I will enter all range numbers in kilometres.</v>
      </c>
      <c r="E350" s="259">
        <f>IFERROR(__xludf.DUMMYFUNCTION("""COMPUTED_VALUE"""),41950.0)</f>
        <v>41950</v>
      </c>
      <c r="F350" s="258" t="str">
        <f>IFERROR(__xludf.DUMMYFUNCTION("""COMPUTED_VALUE"""),"Model S 85")</f>
        <v>Model S 85</v>
      </c>
      <c r="G350" s="258" t="str">
        <f>IFERROR(__xludf.DUMMYFUNCTION("""COMPUTED_VALUE"""),"A few times a year")</f>
        <v>A few times a year</v>
      </c>
      <c r="H350" s="258" t="str">
        <f>IFERROR(__xludf.DUMMYFUNCTION("""COMPUTED_VALUE"""),"Once or twice a year")</f>
        <v>Once or twice a year</v>
      </c>
      <c r="I350" s="258" t="str">
        <f>IFERROR(__xludf.DUMMYFUNCTION("""COMPUTED_VALUE"""),"Never")</f>
        <v>Never</v>
      </c>
      <c r="J350" s="260">
        <f>IFERROR(__xludf.DUMMYFUNCTION("""COMPUTED_VALUE"""),0.7)</f>
        <v>0.7</v>
      </c>
      <c r="K350" s="258">
        <f>IFERROR(__xludf.DUMMYFUNCTION("""COMPUTED_VALUE"""),384.0)</f>
        <v>384</v>
      </c>
      <c r="L350" s="258" t="str">
        <f>IFERROR(__xludf.DUMMYFUNCTION("""COMPUTED_VALUE"""),"")</f>
        <v/>
      </c>
      <c r="M350" s="261">
        <f>IFERROR(__xludf.DUMMYFUNCTION("""COMPUTED_VALUE"""),193.0)</f>
        <v>193</v>
      </c>
      <c r="N350" s="262" t="str">
        <f>IFERROR(__xludf.DUMMYFUNCTION("""COMPUTED_VALUE"""),"")</f>
        <v/>
      </c>
      <c r="O350" s="259" t="str">
        <f>IFERROR(__xludf.DUMMYFUNCTION("""COMPUTED_VALUE"""),"")</f>
        <v/>
      </c>
      <c r="P350" s="259">
        <f>IFERROR(__xludf.DUMMYFUNCTION("""COMPUTED_VALUE"""),42599.0)</f>
        <v>42599</v>
      </c>
      <c r="Q350" s="258">
        <f>IFERROR(__xludf.DUMMYFUNCTION("""COMPUTED_VALUE"""),40200.0)</f>
        <v>40200</v>
      </c>
      <c r="R350" s="261">
        <f>IFERROR(__xludf.DUMMYFUNCTION("""COMPUTED_VALUE"""),389.0)</f>
        <v>389</v>
      </c>
      <c r="S350" s="258">
        <v>395.0</v>
      </c>
      <c r="T350" s="263">
        <v>0.9848101265822785</v>
      </c>
      <c r="U350" s="264">
        <v>24979.0</v>
      </c>
      <c r="V350" s="265">
        <v>40200.0</v>
      </c>
      <c r="W350" s="264">
        <v>24979.0</v>
      </c>
      <c r="X350" s="266" t="str">
        <f>IFERROR(__xludf.DUMMYFUNCTION("""COMPUTED_VALUE"""),"Martin")</f>
        <v>Martin</v>
      </c>
      <c r="Y350" s="267">
        <v>-0.01</v>
      </c>
      <c r="Z350" s="267">
        <v>0.9632279426824878</v>
      </c>
      <c r="AA350" s="269"/>
      <c r="AB350" s="270"/>
      <c r="AC350" s="270"/>
      <c r="AD350" s="270"/>
      <c r="AE350" s="270"/>
    </row>
    <row r="351">
      <c r="A351" s="256">
        <f>IFERROR(__xludf.DUMMYFUNCTION("""COMPUTED_VALUE"""),42347.77638888889)</f>
        <v>42347.77639</v>
      </c>
      <c r="B351" s="257" t="str">
        <f>IFERROR(__xludf.DUMMYFUNCTION("""COMPUTED_VALUE"""),"efusco")</f>
        <v>efusco</v>
      </c>
      <c r="C351" s="258" t="str">
        <f>IFERROR(__xludf.DUMMYFUNCTION("""COMPUTED_VALUE"""),"USA")</f>
        <v>USA</v>
      </c>
      <c r="D351" s="258" t="str">
        <f>IFERROR(__xludf.DUMMYFUNCTION("""COMPUTED_VALUE"""),"mi. My car displays range in miles and I will enter all range numbers in miles.")</f>
        <v>mi. My car displays range in miles and I will enter all range numbers in miles.</v>
      </c>
      <c r="E351" s="259">
        <f>IFERROR(__xludf.DUMMYFUNCTION("""COMPUTED_VALUE"""),41239.0)</f>
        <v>41239</v>
      </c>
      <c r="F351" s="258" t="str">
        <f>IFERROR(__xludf.DUMMYFUNCTION("""COMPUTED_VALUE"""),"Model S 85")</f>
        <v>Model S 85</v>
      </c>
      <c r="G351" s="258" t="str">
        <f>IFERROR(__xludf.DUMMYFUNCTION("""COMPUTED_VALUE"""),"A few times a year")</f>
        <v>A few times a year</v>
      </c>
      <c r="H351" s="258" t="str">
        <f>IFERROR(__xludf.DUMMYFUNCTION("""COMPUTED_VALUE"""),"Twice a month")</f>
        <v>Twice a month</v>
      </c>
      <c r="I351" s="258" t="str">
        <f>IFERROR(__xludf.DUMMYFUNCTION("""COMPUTED_VALUE"""),"Once or twice a year")</f>
        <v>Once or twice a year</v>
      </c>
      <c r="J351" s="260">
        <f>IFERROR(__xludf.DUMMYFUNCTION("""COMPUTED_VALUE"""),0.9)</f>
        <v>0.9</v>
      </c>
      <c r="K351" s="258">
        <f>IFERROR(__xludf.DUMMYFUNCTION("""COMPUTED_VALUE"""),272.0)</f>
        <v>272</v>
      </c>
      <c r="L351" s="258" t="str">
        <f>IFERROR(__xludf.DUMMYFUNCTION("""COMPUTED_VALUE"""),"")</f>
        <v/>
      </c>
      <c r="M351" s="261">
        <f>IFERROR(__xludf.DUMMYFUNCTION("""COMPUTED_VALUE"""),305.0)</f>
        <v>305</v>
      </c>
      <c r="N351" s="262" t="str">
        <f>IFERROR(__xludf.DUMMYFUNCTION("""COMPUTED_VALUE"""),"")</f>
        <v/>
      </c>
      <c r="O351" s="259" t="str">
        <f>IFERROR(__xludf.DUMMYFUNCTION("""COMPUTED_VALUE"""),"")</f>
        <v/>
      </c>
      <c r="P351" s="259">
        <f>IFERROR(__xludf.DUMMYFUNCTION("""COMPUTED_VALUE"""),42347.0)</f>
        <v>42347</v>
      </c>
      <c r="Q351" s="258">
        <f>IFERROR(__xludf.DUMMYFUNCTION("""COMPUTED_VALUE"""),61600.0)</f>
        <v>61600</v>
      </c>
      <c r="R351" s="261">
        <f>IFERROR(__xludf.DUMMYFUNCTION("""COMPUTED_VALUE"""),251.0)</f>
        <v>251</v>
      </c>
      <c r="S351" s="258">
        <v>266.0</v>
      </c>
      <c r="T351" s="263">
        <v>0.943609022556391</v>
      </c>
      <c r="U351" s="264">
        <v>61600.0</v>
      </c>
      <c r="V351" s="265">
        <v>99136.0</v>
      </c>
      <c r="W351" s="264">
        <v>61600.0</v>
      </c>
      <c r="X351" s="266" t="str">
        <f>IFERROR(__xludf.DUMMYFUNCTION("""COMPUTED_VALUE"""),"MartinPF")</f>
        <v>MartinPF</v>
      </c>
      <c r="Y351" s="267">
        <v>-0.01</v>
      </c>
      <c r="Z351" s="267">
        <v>0.9467896392329727</v>
      </c>
      <c r="AA351" s="269"/>
      <c r="AB351" s="270"/>
      <c r="AC351" s="270"/>
      <c r="AD351" s="270"/>
      <c r="AE351" s="270"/>
    </row>
    <row r="352">
      <c r="A352" s="256">
        <f>IFERROR(__xludf.DUMMYFUNCTION("""COMPUTED_VALUE"""),42812.58819444444)</f>
        <v>42812.58819</v>
      </c>
      <c r="B352" s="257" t="str">
        <f>IFERROR(__xludf.DUMMYFUNCTION("""COMPUTED_VALUE"""),"EggyP85")</f>
        <v>EggyP85</v>
      </c>
      <c r="C352" s="258" t="str">
        <f>IFERROR(__xludf.DUMMYFUNCTION("""COMPUTED_VALUE"""),"Europe (excluding UK) &amp; Asia Pacific")</f>
        <v>Europe (excluding UK) &amp; Asia Pacific</v>
      </c>
      <c r="D352" s="258" t="str">
        <f>IFERROR(__xludf.DUMMYFUNCTION("""COMPUTED_VALUE"""),"km. My car displays range in kilometres and I will enter all range numbers in kilometres.")</f>
        <v>km. My car displays range in kilometres and I will enter all range numbers in kilometres.</v>
      </c>
      <c r="E352" s="259">
        <f>IFERROR(__xludf.DUMMYFUNCTION("""COMPUTED_VALUE"""),41724.0)</f>
        <v>41724</v>
      </c>
      <c r="F352" s="258" t="str">
        <f>IFERROR(__xludf.DUMMYFUNCTION("""COMPUTED_VALUE"""),"Model S P85")</f>
        <v>Model S P85</v>
      </c>
      <c r="G352" s="258" t="str">
        <f>IFERROR(__xludf.DUMMYFUNCTION("""COMPUTED_VALUE"""),"Weekly")</f>
        <v>Weekly</v>
      </c>
      <c r="H352" s="258" t="str">
        <f>IFERROR(__xludf.DUMMYFUNCTION("""COMPUTED_VALUE"""),"A few times a year")</f>
        <v>A few times a year</v>
      </c>
      <c r="I352" s="258" t="str">
        <f>IFERROR(__xludf.DUMMYFUNCTION("""COMPUTED_VALUE"""),"A few times a year")</f>
        <v>A few times a year</v>
      </c>
      <c r="J352" s="260" t="str">
        <f>IFERROR(__xludf.DUMMYFUNCTION("""COMPUTED_VALUE"""),"")</f>
        <v/>
      </c>
      <c r="K352" s="258" t="str">
        <f>IFERROR(__xludf.DUMMYFUNCTION("""COMPUTED_VALUE"""),"")</f>
        <v/>
      </c>
      <c r="L352" s="258" t="str">
        <f>IFERROR(__xludf.DUMMYFUNCTION("""COMPUTED_VALUE"""),"")</f>
        <v/>
      </c>
      <c r="M352" s="261">
        <f>IFERROR(__xludf.DUMMYFUNCTION("""COMPUTED_VALUE"""),218.0)</f>
        <v>218</v>
      </c>
      <c r="N352" s="262" t="str">
        <f>IFERROR(__xludf.DUMMYFUNCTION("""COMPUTED_VALUE"""),"")</f>
        <v/>
      </c>
      <c r="O352" s="259" t="str">
        <f>IFERROR(__xludf.DUMMYFUNCTION("""COMPUTED_VALUE"""),"")</f>
        <v/>
      </c>
      <c r="P352" s="259">
        <f>IFERROR(__xludf.DUMMYFUNCTION("""COMPUTED_VALUE"""),42812.0)</f>
        <v>42812</v>
      </c>
      <c r="Q352" s="258">
        <f>IFERROR(__xludf.DUMMYFUNCTION("""COMPUTED_VALUE"""),52159.0)</f>
        <v>52159</v>
      </c>
      <c r="R352" s="261">
        <f>IFERROR(__xludf.DUMMYFUNCTION("""COMPUTED_VALUE"""),381.0)</f>
        <v>381</v>
      </c>
      <c r="S352" s="258">
        <v>395.0</v>
      </c>
      <c r="T352" s="263">
        <v>0.9645569620253165</v>
      </c>
      <c r="U352" s="264">
        <v>32410.0</v>
      </c>
      <c r="V352" s="265">
        <v>52159.0</v>
      </c>
      <c r="W352" s="264">
        <v>32410.0</v>
      </c>
      <c r="X352" s="266" t="str">
        <f>IFERROR(__xludf.DUMMYFUNCTION("""COMPUTED_VALUE"""),"Matthias Wagner")</f>
        <v>Matthias Wagner</v>
      </c>
      <c r="Y352" s="267">
        <v>-0.01</v>
      </c>
      <c r="Z352" s="267">
        <v>0.9589962588223381</v>
      </c>
      <c r="AA352" s="269"/>
      <c r="AB352" s="270"/>
      <c r="AC352" s="270"/>
      <c r="AD352" s="270"/>
      <c r="AE352" s="270"/>
    </row>
    <row r="353">
      <c r="A353" s="256">
        <f>IFERROR(__xludf.DUMMYFUNCTION("""COMPUTED_VALUE"""),42847.58888888889)</f>
        <v>42847.58889</v>
      </c>
      <c r="B353" s="257" t="str">
        <f>IFERROR(__xludf.DUMMYFUNCTION("""COMPUTED_VALUE"""),"EggyP85")</f>
        <v>EggyP85</v>
      </c>
      <c r="C353" s="258" t="str">
        <f>IFERROR(__xludf.DUMMYFUNCTION("""COMPUTED_VALUE"""),"Europe (excluding UK) &amp; Asia Pacific")</f>
        <v>Europe (excluding UK) &amp; Asia Pacific</v>
      </c>
      <c r="D353" s="258" t="str">
        <f>IFERROR(__xludf.DUMMYFUNCTION("""COMPUTED_VALUE"""),"km. My car displays range in kilometres and I will enter all range numbers in kilometres.")</f>
        <v>km. My car displays range in kilometres and I will enter all range numbers in kilometres.</v>
      </c>
      <c r="E353" s="259">
        <f>IFERROR(__xludf.DUMMYFUNCTION("""COMPUTED_VALUE"""),41724.0)</f>
        <v>41724</v>
      </c>
      <c r="F353" s="258" t="str">
        <f>IFERROR(__xludf.DUMMYFUNCTION("""COMPUTED_VALUE"""),"Model S P85")</f>
        <v>Model S P85</v>
      </c>
      <c r="G353" s="258" t="str">
        <f>IFERROR(__xludf.DUMMYFUNCTION("""COMPUTED_VALUE"""),"Weekly")</f>
        <v>Weekly</v>
      </c>
      <c r="H353" s="258" t="str">
        <f>IFERROR(__xludf.DUMMYFUNCTION("""COMPUTED_VALUE"""),"A few times a year")</f>
        <v>A few times a year</v>
      </c>
      <c r="I353" s="258" t="str">
        <f>IFERROR(__xludf.DUMMYFUNCTION("""COMPUTED_VALUE"""),"A few times a year")</f>
        <v>A few times a year</v>
      </c>
      <c r="J353" s="260" t="str">
        <f>IFERROR(__xludf.DUMMYFUNCTION("""COMPUTED_VALUE"""),"")</f>
        <v/>
      </c>
      <c r="K353" s="258" t="str">
        <f>IFERROR(__xludf.DUMMYFUNCTION("""COMPUTED_VALUE"""),"")</f>
        <v/>
      </c>
      <c r="L353" s="258" t="str">
        <f>IFERROR(__xludf.DUMMYFUNCTION("""COMPUTED_VALUE"""),"")</f>
        <v/>
      </c>
      <c r="M353" s="261">
        <f>IFERROR(__xludf.DUMMYFUNCTION("""COMPUTED_VALUE"""),218.0)</f>
        <v>218</v>
      </c>
      <c r="N353" s="262" t="str">
        <f>IFERROR(__xludf.DUMMYFUNCTION("""COMPUTED_VALUE"""),"")</f>
        <v/>
      </c>
      <c r="O353" s="259" t="str">
        <f>IFERROR(__xludf.DUMMYFUNCTION("""COMPUTED_VALUE"""),"")</f>
        <v/>
      </c>
      <c r="P353" s="259">
        <f>IFERROR(__xludf.DUMMYFUNCTION("""COMPUTED_VALUE"""),42847.0)</f>
        <v>42847</v>
      </c>
      <c r="Q353" s="258">
        <f>IFERROR(__xludf.DUMMYFUNCTION("""COMPUTED_VALUE"""),55071.0)</f>
        <v>55071</v>
      </c>
      <c r="R353" s="261">
        <f>IFERROR(__xludf.DUMMYFUNCTION("""COMPUTED_VALUE"""),381.0)</f>
        <v>381</v>
      </c>
      <c r="S353" s="258">
        <v>395.0</v>
      </c>
      <c r="T353" s="263">
        <v>0.9645569620253165</v>
      </c>
      <c r="U353" s="264">
        <v>34220.0</v>
      </c>
      <c r="V353" s="265">
        <v>55071.0</v>
      </c>
      <c r="W353" s="264">
        <v>34220.0</v>
      </c>
      <c r="X353" s="266" t="str">
        <f>IFERROR(__xludf.DUMMYFUNCTION("""COMPUTED_VALUE"""),"Max 35111")</f>
        <v>Max 35111</v>
      </c>
      <c r="Y353" s="267">
        <v>-0.01</v>
      </c>
      <c r="Z353" s="267">
        <v>0.9580961223202202</v>
      </c>
      <c r="AA353" s="269"/>
      <c r="AB353" s="270"/>
      <c r="AC353" s="270"/>
      <c r="AD353" s="270"/>
      <c r="AE353" s="270"/>
    </row>
    <row r="354">
      <c r="A354" s="256">
        <f>IFERROR(__xludf.DUMMYFUNCTION("""COMPUTED_VALUE"""),42848.589583333334)</f>
        <v>42848.58958</v>
      </c>
      <c r="B354" s="257" t="str">
        <f>IFERROR(__xludf.DUMMYFUNCTION("""COMPUTED_VALUE"""),"EggyP85")</f>
        <v>EggyP85</v>
      </c>
      <c r="C354" s="258" t="str">
        <f>IFERROR(__xludf.DUMMYFUNCTION("""COMPUTED_VALUE"""),"Europe (excluding UK) &amp; Asia Pacific")</f>
        <v>Europe (excluding UK) &amp; Asia Pacific</v>
      </c>
      <c r="D354" s="258" t="str">
        <f>IFERROR(__xludf.DUMMYFUNCTION("""COMPUTED_VALUE"""),"km. My car displays range in kilometres and I will enter all range numbers in kilometres.")</f>
        <v>km. My car displays range in kilometres and I will enter all range numbers in kilometres.</v>
      </c>
      <c r="E354" s="259">
        <f>IFERROR(__xludf.DUMMYFUNCTION("""COMPUTED_VALUE"""),41724.0)</f>
        <v>41724</v>
      </c>
      <c r="F354" s="258" t="str">
        <f>IFERROR(__xludf.DUMMYFUNCTION("""COMPUTED_VALUE"""),"Model S P85")</f>
        <v>Model S P85</v>
      </c>
      <c r="G354" s="258" t="str">
        <f>IFERROR(__xludf.DUMMYFUNCTION("""COMPUTED_VALUE"""),"Weekly")</f>
        <v>Weekly</v>
      </c>
      <c r="H354" s="258" t="str">
        <f>IFERROR(__xludf.DUMMYFUNCTION("""COMPUTED_VALUE"""),"A few times a year")</f>
        <v>A few times a year</v>
      </c>
      <c r="I354" s="258" t="str">
        <f>IFERROR(__xludf.DUMMYFUNCTION("""COMPUTED_VALUE"""),"A few times a year")</f>
        <v>A few times a year</v>
      </c>
      <c r="J354" s="260" t="str">
        <f>IFERROR(__xludf.DUMMYFUNCTION("""COMPUTED_VALUE"""),"")</f>
        <v/>
      </c>
      <c r="K354" s="258" t="str">
        <f>IFERROR(__xludf.DUMMYFUNCTION("""COMPUTED_VALUE"""),"")</f>
        <v/>
      </c>
      <c r="L354" s="258" t="str">
        <f>IFERROR(__xludf.DUMMYFUNCTION("""COMPUTED_VALUE"""),"")</f>
        <v/>
      </c>
      <c r="M354" s="261">
        <f>IFERROR(__xludf.DUMMYFUNCTION("""COMPUTED_VALUE"""),218.0)</f>
        <v>218</v>
      </c>
      <c r="N354" s="262" t="str">
        <f>IFERROR(__xludf.DUMMYFUNCTION("""COMPUTED_VALUE"""),"")</f>
        <v/>
      </c>
      <c r="O354" s="259" t="str">
        <f>IFERROR(__xludf.DUMMYFUNCTION("""COMPUTED_VALUE"""),"")</f>
        <v/>
      </c>
      <c r="P354" s="259">
        <f>IFERROR(__xludf.DUMMYFUNCTION("""COMPUTED_VALUE"""),42848.0)</f>
        <v>42848</v>
      </c>
      <c r="Q354" s="258">
        <f>IFERROR(__xludf.DUMMYFUNCTION("""COMPUTED_VALUE"""),55300.0)</f>
        <v>55300</v>
      </c>
      <c r="R354" s="261">
        <f>IFERROR(__xludf.DUMMYFUNCTION("""COMPUTED_VALUE"""),381.0)</f>
        <v>381</v>
      </c>
      <c r="S354" s="258">
        <v>395.0</v>
      </c>
      <c r="T354" s="263">
        <v>0.9645569620253165</v>
      </c>
      <c r="U354" s="264">
        <v>34362.0</v>
      </c>
      <c r="V354" s="265">
        <v>55300.0</v>
      </c>
      <c r="W354" s="264">
        <v>34362.0</v>
      </c>
      <c r="X354" s="266" t="str">
        <f>IFERROR(__xludf.DUMMYFUNCTION("""COMPUTED_VALUE"""),"Mayhemm")</f>
        <v>Mayhemm</v>
      </c>
      <c r="Y354" s="267">
        <v>-0.01</v>
      </c>
      <c r="Z354" s="267">
        <v>0.9580269229471003</v>
      </c>
      <c r="AA354" s="269"/>
      <c r="AB354" s="270"/>
      <c r="AC354" s="270"/>
      <c r="AD354" s="270"/>
      <c r="AE354" s="270"/>
    </row>
    <row r="355">
      <c r="A355" s="256">
        <f>IFERROR(__xludf.DUMMYFUNCTION("""COMPUTED_VALUE"""),42975.59652777778)</f>
        <v>42975.59653</v>
      </c>
      <c r="B355" s="257" t="str">
        <f>IFERROR(__xludf.DUMMYFUNCTION("""COMPUTED_VALUE"""),"EggyP85")</f>
        <v>EggyP85</v>
      </c>
      <c r="C355" s="258" t="str">
        <f>IFERROR(__xludf.DUMMYFUNCTION("""COMPUTED_VALUE"""),"Europe (excluding UK) &amp; Asia Pacific")</f>
        <v>Europe (excluding UK) &amp; Asia Pacific</v>
      </c>
      <c r="D355" s="258" t="str">
        <f>IFERROR(__xludf.DUMMYFUNCTION("""COMPUTED_VALUE"""),"km. My car displays range in kilometres and I will enter all range numbers in kilometres.")</f>
        <v>km. My car displays range in kilometres and I will enter all range numbers in kilometres.</v>
      </c>
      <c r="E355" s="259">
        <f>IFERROR(__xludf.DUMMYFUNCTION("""COMPUTED_VALUE"""),41724.0)</f>
        <v>41724</v>
      </c>
      <c r="F355" s="258" t="str">
        <f>IFERROR(__xludf.DUMMYFUNCTION("""COMPUTED_VALUE"""),"Model S P85")</f>
        <v>Model S P85</v>
      </c>
      <c r="G355" s="258" t="str">
        <f>IFERROR(__xludf.DUMMYFUNCTION("""COMPUTED_VALUE"""),"Weekly")</f>
        <v>Weekly</v>
      </c>
      <c r="H355" s="258" t="str">
        <f>IFERROR(__xludf.DUMMYFUNCTION("""COMPUTED_VALUE"""),"A few times a year")</f>
        <v>A few times a year</v>
      </c>
      <c r="I355" s="258" t="str">
        <f>IFERROR(__xludf.DUMMYFUNCTION("""COMPUTED_VALUE"""),"A few times a year")</f>
        <v>A few times a year</v>
      </c>
      <c r="J355" s="260" t="str">
        <f>IFERROR(__xludf.DUMMYFUNCTION("""COMPUTED_VALUE"""),"")</f>
        <v/>
      </c>
      <c r="K355" s="258" t="str">
        <f>IFERROR(__xludf.DUMMYFUNCTION("""COMPUTED_VALUE"""),"")</f>
        <v/>
      </c>
      <c r="L355" s="258" t="str">
        <f>IFERROR(__xludf.DUMMYFUNCTION("""COMPUTED_VALUE"""),"")</f>
        <v/>
      </c>
      <c r="M355" s="261">
        <f>IFERROR(__xludf.DUMMYFUNCTION("""COMPUTED_VALUE"""),218.0)</f>
        <v>218</v>
      </c>
      <c r="N355" s="262" t="str">
        <f>IFERROR(__xludf.DUMMYFUNCTION("""COMPUTED_VALUE"""),"")</f>
        <v/>
      </c>
      <c r="O355" s="259" t="str">
        <f>IFERROR(__xludf.DUMMYFUNCTION("""COMPUTED_VALUE"""),"")</f>
        <v/>
      </c>
      <c r="P355" s="259">
        <f>IFERROR(__xludf.DUMMYFUNCTION("""COMPUTED_VALUE"""),42975.0)</f>
        <v>42975</v>
      </c>
      <c r="Q355" s="258">
        <f>IFERROR(__xludf.DUMMYFUNCTION("""COMPUTED_VALUE"""),64584.0)</f>
        <v>64584</v>
      </c>
      <c r="R355" s="261">
        <f>IFERROR(__xludf.DUMMYFUNCTION("""COMPUTED_VALUE"""),380.0)</f>
        <v>380</v>
      </c>
      <c r="S355" s="258">
        <v>395.0</v>
      </c>
      <c r="T355" s="263">
        <v>0.9620253164556962</v>
      </c>
      <c r="U355" s="264">
        <v>40131.0</v>
      </c>
      <c r="V355" s="265">
        <v>64584.0</v>
      </c>
      <c r="W355" s="264">
        <v>40131.0</v>
      </c>
      <c r="X355" s="266" t="str">
        <f>IFERROR(__xludf.DUMMYFUNCTION("""COMPUTED_VALUE"""),"mcalahan")</f>
        <v>mcalahan</v>
      </c>
      <c r="Y355" s="267">
        <v>-0.01</v>
      </c>
      <c r="Z355" s="267">
        <v>0.9553757939600765</v>
      </c>
      <c r="AA355" s="269"/>
      <c r="AB355" s="270"/>
      <c r="AC355" s="270"/>
      <c r="AD355" s="270"/>
      <c r="AE355" s="270"/>
    </row>
    <row r="356">
      <c r="A356" s="256">
        <f>IFERROR(__xludf.DUMMYFUNCTION("""COMPUTED_VALUE"""),43105.66111111111)</f>
        <v>43105.66111</v>
      </c>
      <c r="B356" s="257" t="str">
        <f>IFERROR(__xludf.DUMMYFUNCTION("""COMPUTED_VALUE"""),"EggyP85")</f>
        <v>EggyP85</v>
      </c>
      <c r="C356" s="258" t="str">
        <f>IFERROR(__xludf.DUMMYFUNCTION("""COMPUTED_VALUE"""),"Europe (excluding UK) &amp; Asia Pacific")</f>
        <v>Europe (excluding UK) &amp; Asia Pacific</v>
      </c>
      <c r="D356" s="258" t="str">
        <f>IFERROR(__xludf.DUMMYFUNCTION("""COMPUTED_VALUE"""),"km. My car displays range in kilometres and I will enter all range numbers in kilometres.")</f>
        <v>km. My car displays range in kilometres and I will enter all range numbers in kilometres.</v>
      </c>
      <c r="E356" s="259">
        <f>IFERROR(__xludf.DUMMYFUNCTION("""COMPUTED_VALUE"""),41724.0)</f>
        <v>41724</v>
      </c>
      <c r="F356" s="258" t="str">
        <f>IFERROR(__xludf.DUMMYFUNCTION("""COMPUTED_VALUE"""),"Model S P85")</f>
        <v>Model S P85</v>
      </c>
      <c r="G356" s="258" t="str">
        <f>IFERROR(__xludf.DUMMYFUNCTION("""COMPUTED_VALUE"""),"Twice a month")</f>
        <v>Twice a month</v>
      </c>
      <c r="H356" s="258" t="str">
        <f>IFERROR(__xludf.DUMMYFUNCTION("""COMPUTED_VALUE"""),"A few times a year")</f>
        <v>A few times a year</v>
      </c>
      <c r="I356" s="258" t="str">
        <f>IFERROR(__xludf.DUMMYFUNCTION("""COMPUTED_VALUE"""),"A few times a year")</f>
        <v>A few times a year</v>
      </c>
      <c r="J356" s="260">
        <f>IFERROR(__xludf.DUMMYFUNCTION("""COMPUTED_VALUE"""),0.9)</f>
        <v>0.9</v>
      </c>
      <c r="K356" s="258" t="str">
        <f>IFERROR(__xludf.DUMMYFUNCTION("""COMPUTED_VALUE"""),"")</f>
        <v/>
      </c>
      <c r="L356" s="258" t="str">
        <f>IFERROR(__xludf.DUMMYFUNCTION("""COMPUTED_VALUE"""),"")</f>
        <v/>
      </c>
      <c r="M356" s="261">
        <f>IFERROR(__xludf.DUMMYFUNCTION("""COMPUTED_VALUE"""),218.0)</f>
        <v>218</v>
      </c>
      <c r="N356" s="262" t="str">
        <f>IFERROR(__xludf.DUMMYFUNCTION("""COMPUTED_VALUE"""),"")</f>
        <v/>
      </c>
      <c r="O356" s="259" t="str">
        <f>IFERROR(__xludf.DUMMYFUNCTION("""COMPUTED_VALUE"""),"")</f>
        <v/>
      </c>
      <c r="P356" s="259">
        <f>IFERROR(__xludf.DUMMYFUNCTION("""COMPUTED_VALUE"""),43105.0)</f>
        <v>43105</v>
      </c>
      <c r="Q356" s="258">
        <f>IFERROR(__xludf.DUMMYFUNCTION("""COMPUTED_VALUE"""),72849.0)</f>
        <v>72849</v>
      </c>
      <c r="R356" s="261">
        <f>IFERROR(__xludf.DUMMYFUNCTION("""COMPUTED_VALUE"""),377.0)</f>
        <v>377</v>
      </c>
      <c r="S356" s="258">
        <v>395.0</v>
      </c>
      <c r="T356" s="263">
        <v>0.9544303797468354</v>
      </c>
      <c r="U356" s="264">
        <v>45266.0</v>
      </c>
      <c r="V356" s="265">
        <v>72849.0</v>
      </c>
      <c r="W356" s="264">
        <v>45266.0</v>
      </c>
      <c r="X356" s="266" t="str">
        <f>IFERROR(__xludf.DUMMYFUNCTION("""COMPUTED_VALUE"""),"Me")</f>
        <v>Me</v>
      </c>
      <c r="Y356" s="267">
        <v>-0.01</v>
      </c>
      <c r="Z356" s="267">
        <v>0.9531976854369263</v>
      </c>
      <c r="AA356" s="269"/>
      <c r="AB356" s="270"/>
      <c r="AC356" s="270"/>
      <c r="AD356" s="270"/>
      <c r="AE356" s="270"/>
    </row>
    <row r="357">
      <c r="A357" s="256">
        <f>IFERROR(__xludf.DUMMYFUNCTION("""COMPUTED_VALUE"""),43156.70208333334)</f>
        <v>43156.70208</v>
      </c>
      <c r="B357" s="257" t="str">
        <f>IFERROR(__xludf.DUMMYFUNCTION("""COMPUTED_VALUE"""),"EggyP85")</f>
        <v>EggyP85</v>
      </c>
      <c r="C357" s="258" t="str">
        <f>IFERROR(__xludf.DUMMYFUNCTION("""COMPUTED_VALUE"""),"Europe (excluding UK) &amp; Asia Pacific")</f>
        <v>Europe (excluding UK) &amp; Asia Pacific</v>
      </c>
      <c r="D357" s="258" t="str">
        <f>IFERROR(__xludf.DUMMYFUNCTION("""COMPUTED_VALUE"""),"km. My car displays range in kilometres and I will enter all range numbers in kilometres.")</f>
        <v>km. My car displays range in kilometres and I will enter all range numbers in kilometres.</v>
      </c>
      <c r="E357" s="259">
        <f>IFERROR(__xludf.DUMMYFUNCTION("""COMPUTED_VALUE"""),41724.0)</f>
        <v>41724</v>
      </c>
      <c r="F357" s="258" t="str">
        <f>IFERROR(__xludf.DUMMYFUNCTION("""COMPUTED_VALUE"""),"Model S P85")</f>
        <v>Model S P85</v>
      </c>
      <c r="G357" s="258" t="str">
        <f>IFERROR(__xludf.DUMMYFUNCTION("""COMPUTED_VALUE"""),"")</f>
        <v/>
      </c>
      <c r="H357" s="258" t="str">
        <f>IFERROR(__xludf.DUMMYFUNCTION("""COMPUTED_VALUE"""),"")</f>
        <v/>
      </c>
      <c r="I357" s="258" t="str">
        <f>IFERROR(__xludf.DUMMYFUNCTION("""COMPUTED_VALUE"""),"")</f>
        <v/>
      </c>
      <c r="J357" s="260" t="str">
        <f>IFERROR(__xludf.DUMMYFUNCTION("""COMPUTED_VALUE"""),"")</f>
        <v/>
      </c>
      <c r="K357" s="258" t="str">
        <f>IFERROR(__xludf.DUMMYFUNCTION("""COMPUTED_VALUE"""),"")</f>
        <v/>
      </c>
      <c r="L357" s="258" t="str">
        <f>IFERROR(__xludf.DUMMYFUNCTION("""COMPUTED_VALUE"""),"")</f>
        <v/>
      </c>
      <c r="M357" s="261">
        <f>IFERROR(__xludf.DUMMYFUNCTION("""COMPUTED_VALUE"""),218.0)</f>
        <v>218</v>
      </c>
      <c r="N357" s="262" t="str">
        <f>IFERROR(__xludf.DUMMYFUNCTION("""COMPUTED_VALUE"""),"")</f>
        <v/>
      </c>
      <c r="O357" s="259" t="str">
        <f>IFERROR(__xludf.DUMMYFUNCTION("""COMPUTED_VALUE"""),"")</f>
        <v/>
      </c>
      <c r="P357" s="259">
        <f>IFERROR(__xludf.DUMMYFUNCTION("""COMPUTED_VALUE"""),43156.0)</f>
        <v>43156</v>
      </c>
      <c r="Q357" s="258">
        <f>IFERROR(__xludf.DUMMYFUNCTION("""COMPUTED_VALUE"""),75554.0)</f>
        <v>75554</v>
      </c>
      <c r="R357" s="261">
        <f>IFERROR(__xludf.DUMMYFUNCTION("""COMPUTED_VALUE"""),375.0)</f>
        <v>375</v>
      </c>
      <c r="S357" s="258">
        <v>395.0</v>
      </c>
      <c r="T357" s="263">
        <v>0.9493670886075949</v>
      </c>
      <c r="U357" s="264">
        <v>46947.0</v>
      </c>
      <c r="V357" s="265">
        <v>75554.0</v>
      </c>
      <c r="W357" s="264">
        <v>46947.0</v>
      </c>
      <c r="X357" s="266" t="str">
        <f>IFERROR(__xludf.DUMMYFUNCTION("""COMPUTED_VALUE"""),"memesweeper")</f>
        <v>memesweeper</v>
      </c>
      <c r="Y357" s="267">
        <v>-0.01</v>
      </c>
      <c r="Z357" s="267">
        <v>0.952509668142146</v>
      </c>
      <c r="AA357" s="269"/>
      <c r="AB357" s="270"/>
      <c r="AC357" s="270"/>
      <c r="AD357" s="270"/>
      <c r="AE357" s="270"/>
    </row>
    <row r="358">
      <c r="A358" s="256">
        <f>IFERROR(__xludf.DUMMYFUNCTION("""COMPUTED_VALUE"""),42933.5875)</f>
        <v>42933.5875</v>
      </c>
      <c r="B358" s="257" t="str">
        <f>IFERROR(__xludf.DUMMYFUNCTION("""COMPUTED_VALUE"""),"EggyP85+")</f>
        <v>EggyP85+</v>
      </c>
      <c r="C358" s="258" t="str">
        <f>IFERROR(__xludf.DUMMYFUNCTION("""COMPUTED_VALUE"""),"Europe (excluding UK) &amp; Asia Pacific")</f>
        <v>Europe (excluding UK) &amp; Asia Pacific</v>
      </c>
      <c r="D358" s="258" t="str">
        <f>IFERROR(__xludf.DUMMYFUNCTION("""COMPUTED_VALUE"""),"km. My car displays range in kilometres and I will enter all range numbers in kilometres.")</f>
        <v>km. My car displays range in kilometres and I will enter all range numbers in kilometres.</v>
      </c>
      <c r="E358" s="259">
        <f>IFERROR(__xludf.DUMMYFUNCTION("""COMPUTED_VALUE"""),41803.0)</f>
        <v>41803</v>
      </c>
      <c r="F358" s="258" t="str">
        <f>IFERROR(__xludf.DUMMYFUNCTION("""COMPUTED_VALUE"""),"Model S P85+")</f>
        <v>Model S P85+</v>
      </c>
      <c r="G358" s="258" t="str">
        <f>IFERROR(__xludf.DUMMYFUNCTION("""COMPUTED_VALUE"""),"Weekly")</f>
        <v>Weekly</v>
      </c>
      <c r="H358" s="258" t="str">
        <f>IFERROR(__xludf.DUMMYFUNCTION("""COMPUTED_VALUE"""),"A few times a year")</f>
        <v>A few times a year</v>
      </c>
      <c r="I358" s="258" t="str">
        <f>IFERROR(__xludf.DUMMYFUNCTION("""COMPUTED_VALUE"""),"A few times a year")</f>
        <v>A few times a year</v>
      </c>
      <c r="J358" s="260" t="str">
        <f>IFERROR(__xludf.DUMMYFUNCTION("""COMPUTED_VALUE"""),"")</f>
        <v/>
      </c>
      <c r="K358" s="258" t="str">
        <f>IFERROR(__xludf.DUMMYFUNCTION("""COMPUTED_VALUE"""),"")</f>
        <v/>
      </c>
      <c r="L358" s="258" t="str">
        <f>IFERROR(__xludf.DUMMYFUNCTION("""COMPUTED_VALUE"""),"")</f>
        <v/>
      </c>
      <c r="M358" s="261">
        <f>IFERROR(__xludf.DUMMYFUNCTION("""COMPUTED_VALUE"""),218.0)</f>
        <v>218</v>
      </c>
      <c r="N358" s="262" t="str">
        <f>IFERROR(__xludf.DUMMYFUNCTION("""COMPUTED_VALUE"""),"")</f>
        <v/>
      </c>
      <c r="O358" s="259" t="str">
        <f>IFERROR(__xludf.DUMMYFUNCTION("""COMPUTED_VALUE"""),"")</f>
        <v/>
      </c>
      <c r="P358" s="259">
        <f>IFERROR(__xludf.DUMMYFUNCTION("""COMPUTED_VALUE"""),42933.0)</f>
        <v>42933</v>
      </c>
      <c r="Q358" s="258">
        <f>IFERROR(__xludf.DUMMYFUNCTION("""COMPUTED_VALUE"""),54475.0)</f>
        <v>54475</v>
      </c>
      <c r="R358" s="261">
        <f>IFERROR(__xludf.DUMMYFUNCTION("""COMPUTED_VALUE"""),378.0)</f>
        <v>378</v>
      </c>
      <c r="S358" s="258">
        <v>395.0</v>
      </c>
      <c r="T358" s="263">
        <v>0.9569620253164557</v>
      </c>
      <c r="U358" s="264">
        <v>33849.0</v>
      </c>
      <c r="V358" s="265">
        <v>54475.0</v>
      </c>
      <c r="W358" s="264">
        <v>33849.0</v>
      </c>
      <c r="X358" s="266" t="str">
        <f>IFERROR(__xludf.DUMMYFUNCTION("""COMPUTED_VALUE"""),"Merijn")</f>
        <v>Merijn</v>
      </c>
      <c r="Y358" s="267">
        <v>-0.01</v>
      </c>
      <c r="Z358" s="267">
        <v>0.9582772586941225</v>
      </c>
      <c r="AA358" s="269"/>
      <c r="AB358" s="270"/>
      <c r="AC358" s="270"/>
      <c r="AD358" s="270"/>
      <c r="AE358" s="270"/>
    </row>
    <row r="359">
      <c r="A359" s="256">
        <f>IFERROR(__xludf.DUMMYFUNCTION("""COMPUTED_VALUE"""),42937.59027777778)</f>
        <v>42937.59028</v>
      </c>
      <c r="B359" s="257" t="str">
        <f>IFERROR(__xludf.DUMMYFUNCTION("""COMPUTED_VALUE"""),"EggyP85+")</f>
        <v>EggyP85+</v>
      </c>
      <c r="C359" s="258" t="str">
        <f>IFERROR(__xludf.DUMMYFUNCTION("""COMPUTED_VALUE"""),"Europe (excluding UK) &amp; Asia Pacific")</f>
        <v>Europe (excluding UK) &amp; Asia Pacific</v>
      </c>
      <c r="D359" s="258" t="str">
        <f>IFERROR(__xludf.DUMMYFUNCTION("""COMPUTED_VALUE"""),"km. My car displays range in kilometres and I will enter all range numbers in kilometres.")</f>
        <v>km. My car displays range in kilometres and I will enter all range numbers in kilometres.</v>
      </c>
      <c r="E359" s="259">
        <f>IFERROR(__xludf.DUMMYFUNCTION("""COMPUTED_VALUE"""),41803.0)</f>
        <v>41803</v>
      </c>
      <c r="F359" s="258" t="str">
        <f>IFERROR(__xludf.DUMMYFUNCTION("""COMPUTED_VALUE"""),"Model S P85+")</f>
        <v>Model S P85+</v>
      </c>
      <c r="G359" s="258" t="str">
        <f>IFERROR(__xludf.DUMMYFUNCTION("""COMPUTED_VALUE"""),"Weekly")</f>
        <v>Weekly</v>
      </c>
      <c r="H359" s="258" t="str">
        <f>IFERROR(__xludf.DUMMYFUNCTION("""COMPUTED_VALUE"""),"A few times a year")</f>
        <v>A few times a year</v>
      </c>
      <c r="I359" s="258" t="str">
        <f>IFERROR(__xludf.DUMMYFUNCTION("""COMPUTED_VALUE"""),"A few times a year")</f>
        <v>A few times a year</v>
      </c>
      <c r="J359" s="260" t="str">
        <f>IFERROR(__xludf.DUMMYFUNCTION("""COMPUTED_VALUE"""),"")</f>
        <v/>
      </c>
      <c r="K359" s="258" t="str">
        <f>IFERROR(__xludf.DUMMYFUNCTION("""COMPUTED_VALUE"""),"")</f>
        <v/>
      </c>
      <c r="L359" s="258" t="str">
        <f>IFERROR(__xludf.DUMMYFUNCTION("""COMPUTED_VALUE"""),"")</f>
        <v/>
      </c>
      <c r="M359" s="261">
        <f>IFERROR(__xludf.DUMMYFUNCTION("""COMPUTED_VALUE"""),218.0)</f>
        <v>218</v>
      </c>
      <c r="N359" s="262" t="str">
        <f>IFERROR(__xludf.DUMMYFUNCTION("""COMPUTED_VALUE"""),"")</f>
        <v/>
      </c>
      <c r="O359" s="259" t="str">
        <f>IFERROR(__xludf.DUMMYFUNCTION("""COMPUTED_VALUE"""),"")</f>
        <v/>
      </c>
      <c r="P359" s="259">
        <f>IFERROR(__xludf.DUMMYFUNCTION("""COMPUTED_VALUE"""),42937.0)</f>
        <v>42937</v>
      </c>
      <c r="Q359" s="258">
        <f>IFERROR(__xludf.DUMMYFUNCTION("""COMPUTED_VALUE"""),54757.0)</f>
        <v>54757</v>
      </c>
      <c r="R359" s="261">
        <f>IFERROR(__xludf.DUMMYFUNCTION("""COMPUTED_VALUE"""),377.0)</f>
        <v>377</v>
      </c>
      <c r="S359" s="258">
        <v>395.0</v>
      </c>
      <c r="T359" s="263">
        <v>0.9544303797468354</v>
      </c>
      <c r="U359" s="264">
        <v>34024.0</v>
      </c>
      <c r="V359" s="265">
        <v>54757.0</v>
      </c>
      <c r="W359" s="264">
        <v>34024.0</v>
      </c>
      <c r="X359" s="266" t="str">
        <f>IFERROR(__xludf.DUMMYFUNCTION("""COMPUTED_VALUE"""),"merlinfive")</f>
        <v>merlinfive</v>
      </c>
      <c r="Y359" s="267">
        <v>-0.01</v>
      </c>
      <c r="Z359" s="267">
        <v>0.9581913645648252</v>
      </c>
      <c r="AA359" s="269"/>
      <c r="AB359" s="270"/>
      <c r="AC359" s="270"/>
      <c r="AD359" s="270"/>
      <c r="AE359" s="270"/>
    </row>
    <row r="360">
      <c r="A360" s="256">
        <f>IFERROR(__xludf.DUMMYFUNCTION("""COMPUTED_VALUE"""),42958.59097222222)</f>
        <v>42958.59097</v>
      </c>
      <c r="B360" s="257" t="str">
        <f>IFERROR(__xludf.DUMMYFUNCTION("""COMPUTED_VALUE"""),"EggyP85+")</f>
        <v>EggyP85+</v>
      </c>
      <c r="C360" s="258" t="str">
        <f>IFERROR(__xludf.DUMMYFUNCTION("""COMPUTED_VALUE"""),"Europe (excluding UK) &amp; Asia Pacific")</f>
        <v>Europe (excluding UK) &amp; Asia Pacific</v>
      </c>
      <c r="D360" s="258" t="str">
        <f>IFERROR(__xludf.DUMMYFUNCTION("""COMPUTED_VALUE"""),"km. My car displays range in kilometres and I will enter all range numbers in kilometres.")</f>
        <v>km. My car displays range in kilometres and I will enter all range numbers in kilometres.</v>
      </c>
      <c r="E360" s="259">
        <f>IFERROR(__xludf.DUMMYFUNCTION("""COMPUTED_VALUE"""),41803.0)</f>
        <v>41803</v>
      </c>
      <c r="F360" s="258" t="str">
        <f>IFERROR(__xludf.DUMMYFUNCTION("""COMPUTED_VALUE"""),"Model S P85+")</f>
        <v>Model S P85+</v>
      </c>
      <c r="G360" s="258" t="str">
        <f>IFERROR(__xludf.DUMMYFUNCTION("""COMPUTED_VALUE"""),"Weekly")</f>
        <v>Weekly</v>
      </c>
      <c r="H360" s="258" t="str">
        <f>IFERROR(__xludf.DUMMYFUNCTION("""COMPUTED_VALUE"""),"A few times a year")</f>
        <v>A few times a year</v>
      </c>
      <c r="I360" s="258" t="str">
        <f>IFERROR(__xludf.DUMMYFUNCTION("""COMPUTED_VALUE"""),"A few times a year")</f>
        <v>A few times a year</v>
      </c>
      <c r="J360" s="260" t="str">
        <f>IFERROR(__xludf.DUMMYFUNCTION("""COMPUTED_VALUE"""),"")</f>
        <v/>
      </c>
      <c r="K360" s="258" t="str">
        <f>IFERROR(__xludf.DUMMYFUNCTION("""COMPUTED_VALUE"""),"")</f>
        <v/>
      </c>
      <c r="L360" s="258" t="str">
        <f>IFERROR(__xludf.DUMMYFUNCTION("""COMPUTED_VALUE"""),"")</f>
        <v/>
      </c>
      <c r="M360" s="261">
        <f>IFERROR(__xludf.DUMMYFUNCTION("""COMPUTED_VALUE"""),218.0)</f>
        <v>218</v>
      </c>
      <c r="N360" s="262" t="str">
        <f>IFERROR(__xludf.DUMMYFUNCTION("""COMPUTED_VALUE"""),"")</f>
        <v/>
      </c>
      <c r="O360" s="259" t="str">
        <f>IFERROR(__xludf.DUMMYFUNCTION("""COMPUTED_VALUE"""),"")</f>
        <v/>
      </c>
      <c r="P360" s="259">
        <f>IFERROR(__xludf.DUMMYFUNCTION("""COMPUTED_VALUE"""),42958.0)</f>
        <v>42958</v>
      </c>
      <c r="Q360" s="258">
        <f>IFERROR(__xludf.DUMMYFUNCTION("""COMPUTED_VALUE"""),57228.0)</f>
        <v>57228</v>
      </c>
      <c r="R360" s="261">
        <f>IFERROR(__xludf.DUMMYFUNCTION("""COMPUTED_VALUE"""),379.0)</f>
        <v>379</v>
      </c>
      <c r="S360" s="258">
        <v>395.0</v>
      </c>
      <c r="T360" s="263">
        <v>0.959493670886076</v>
      </c>
      <c r="U360" s="264">
        <v>35560.0</v>
      </c>
      <c r="V360" s="265">
        <v>57228.0</v>
      </c>
      <c r="W360" s="264">
        <v>35560.0</v>
      </c>
      <c r="X360" s="266" t="str">
        <f>IFERROR(__xludf.DUMMYFUNCTION("""COMPUTED_VALUE"""),"merzhase")</f>
        <v>merzhase</v>
      </c>
      <c r="Y360" s="267">
        <v>-0.01</v>
      </c>
      <c r="Z360" s="267">
        <v>0.9574526340720186</v>
      </c>
      <c r="AA360" s="269"/>
      <c r="AB360" s="270"/>
      <c r="AC360" s="270"/>
      <c r="AD360" s="270"/>
      <c r="AE360" s="270"/>
    </row>
    <row r="361">
      <c r="A361" s="256">
        <f>IFERROR(__xludf.DUMMYFUNCTION("""COMPUTED_VALUE"""),42974.59236111111)</f>
        <v>42974.59236</v>
      </c>
      <c r="B361" s="257" t="str">
        <f>IFERROR(__xludf.DUMMYFUNCTION("""COMPUTED_VALUE"""),"EggyP85+")</f>
        <v>EggyP85+</v>
      </c>
      <c r="C361" s="258" t="str">
        <f>IFERROR(__xludf.DUMMYFUNCTION("""COMPUTED_VALUE"""),"Europe (excluding UK) &amp; Asia Pacific")</f>
        <v>Europe (excluding UK) &amp; Asia Pacific</v>
      </c>
      <c r="D361" s="258" t="str">
        <f>IFERROR(__xludf.DUMMYFUNCTION("""COMPUTED_VALUE"""),"km. My car displays range in kilometres and I will enter all range numbers in kilometres.")</f>
        <v>km. My car displays range in kilometres and I will enter all range numbers in kilometres.</v>
      </c>
      <c r="E361" s="259">
        <f>IFERROR(__xludf.DUMMYFUNCTION("""COMPUTED_VALUE"""),41803.0)</f>
        <v>41803</v>
      </c>
      <c r="F361" s="258" t="str">
        <f>IFERROR(__xludf.DUMMYFUNCTION("""COMPUTED_VALUE"""),"Model S P85+")</f>
        <v>Model S P85+</v>
      </c>
      <c r="G361" s="258" t="str">
        <f>IFERROR(__xludf.DUMMYFUNCTION("""COMPUTED_VALUE"""),"Weekly")</f>
        <v>Weekly</v>
      </c>
      <c r="H361" s="258" t="str">
        <f>IFERROR(__xludf.DUMMYFUNCTION("""COMPUTED_VALUE"""),"A few times a year")</f>
        <v>A few times a year</v>
      </c>
      <c r="I361" s="258" t="str">
        <f>IFERROR(__xludf.DUMMYFUNCTION("""COMPUTED_VALUE"""),"A few times a year")</f>
        <v>A few times a year</v>
      </c>
      <c r="J361" s="260" t="str">
        <f>IFERROR(__xludf.DUMMYFUNCTION("""COMPUTED_VALUE"""),"")</f>
        <v/>
      </c>
      <c r="K361" s="258" t="str">
        <f>IFERROR(__xludf.DUMMYFUNCTION("""COMPUTED_VALUE"""),"")</f>
        <v/>
      </c>
      <c r="L361" s="258" t="str">
        <f>IFERROR(__xludf.DUMMYFUNCTION("""COMPUTED_VALUE"""),"")</f>
        <v/>
      </c>
      <c r="M361" s="261">
        <f>IFERROR(__xludf.DUMMYFUNCTION("""COMPUTED_VALUE"""),218.0)</f>
        <v>218</v>
      </c>
      <c r="N361" s="262" t="str">
        <f>IFERROR(__xludf.DUMMYFUNCTION("""COMPUTED_VALUE"""),"")</f>
        <v/>
      </c>
      <c r="O361" s="259" t="str">
        <f>IFERROR(__xludf.DUMMYFUNCTION("""COMPUTED_VALUE"""),"")</f>
        <v/>
      </c>
      <c r="P361" s="259">
        <f>IFERROR(__xludf.DUMMYFUNCTION("""COMPUTED_VALUE"""),42974.0)</f>
        <v>42974</v>
      </c>
      <c r="Q361" s="258">
        <f>IFERROR(__xludf.DUMMYFUNCTION("""COMPUTED_VALUE"""),58191.0)</f>
        <v>58191</v>
      </c>
      <c r="R361" s="261">
        <f>IFERROR(__xludf.DUMMYFUNCTION("""COMPUTED_VALUE"""),380.0)</f>
        <v>380</v>
      </c>
      <c r="S361" s="258">
        <v>395.0</v>
      </c>
      <c r="T361" s="263">
        <v>0.9620253164556962</v>
      </c>
      <c r="U361" s="264">
        <v>36158.0</v>
      </c>
      <c r="V361" s="265">
        <v>58191.0</v>
      </c>
      <c r="W361" s="264">
        <v>36158.0</v>
      </c>
      <c r="X361" s="266" t="str">
        <f>IFERROR(__xludf.DUMMYFUNCTION("""COMPUTED_VALUE"""),"mguw")</f>
        <v>mguw</v>
      </c>
      <c r="Y361" s="267">
        <v>-0.01</v>
      </c>
      <c r="Z361" s="267">
        <v>0.9571710287982882</v>
      </c>
      <c r="AA361" s="269"/>
      <c r="AB361" s="270"/>
      <c r="AC361" s="270"/>
      <c r="AD361" s="270"/>
      <c r="AE361" s="270"/>
    </row>
    <row r="362">
      <c r="A362" s="256">
        <f>IFERROR(__xludf.DUMMYFUNCTION("""COMPUTED_VALUE"""),42955.570138888885)</f>
        <v>42955.57014</v>
      </c>
      <c r="B362" s="257" t="str">
        <f>IFERROR(__xludf.DUMMYFUNCTION("""COMPUTED_VALUE"""),"egn")</f>
        <v>egn</v>
      </c>
      <c r="C362" s="258" t="str">
        <f>IFERROR(__xludf.DUMMYFUNCTION("""COMPUTED_VALUE"""),"Europe (excluding UK) &amp; Asia Pacific")</f>
        <v>Europe (excluding UK) &amp; Asia Pacific</v>
      </c>
      <c r="D362" s="258" t="str">
        <f>IFERROR(__xludf.DUMMYFUNCTION("""COMPUTED_VALUE"""),"km. My car displays range in kilometres and I will enter all range numbers in kilometres.")</f>
        <v>km. My car displays range in kilometres and I will enter all range numbers in kilometres.</v>
      </c>
      <c r="E362" s="259">
        <f>IFERROR(__xludf.DUMMYFUNCTION("""COMPUTED_VALUE"""),41675.0)</f>
        <v>41675</v>
      </c>
      <c r="F362" s="258" t="str">
        <f>IFERROR(__xludf.DUMMYFUNCTION("""COMPUTED_VALUE"""),"Model S 85")</f>
        <v>Model S 85</v>
      </c>
      <c r="G362" s="258" t="str">
        <f>IFERROR(__xludf.DUMMYFUNCTION("""COMPUTED_VALUE"""),"Twice a month")</f>
        <v>Twice a month</v>
      </c>
      <c r="H362" s="258" t="str">
        <f>IFERROR(__xludf.DUMMYFUNCTION("""COMPUTED_VALUE"""),"Monthly")</f>
        <v>Monthly</v>
      </c>
      <c r="I362" s="258" t="str">
        <f>IFERROR(__xludf.DUMMYFUNCTION("""COMPUTED_VALUE"""),"Never")</f>
        <v>Never</v>
      </c>
      <c r="J362" s="260">
        <f>IFERROR(__xludf.DUMMYFUNCTION("""COMPUTED_VALUE"""),0.7)</f>
        <v>0.7</v>
      </c>
      <c r="K362" s="258" t="str">
        <f>IFERROR(__xludf.DUMMYFUNCTION("""COMPUTED_VALUE"""),"")</f>
        <v/>
      </c>
      <c r="L362" s="258" t="str">
        <f>IFERROR(__xludf.DUMMYFUNCTION("""COMPUTED_VALUE"""),"")</f>
        <v/>
      </c>
      <c r="M362" s="261">
        <f>IFERROR(__xludf.DUMMYFUNCTION("""COMPUTED_VALUE"""),233.0)</f>
        <v>233</v>
      </c>
      <c r="N362" s="262" t="str">
        <f>IFERROR(__xludf.DUMMYFUNCTION("""COMPUTED_VALUE"""),"")</f>
        <v/>
      </c>
      <c r="O362" s="259" t="str">
        <f>IFERROR(__xludf.DUMMYFUNCTION("""COMPUTED_VALUE"""),"")</f>
        <v/>
      </c>
      <c r="P362" s="259">
        <f>IFERROR(__xludf.DUMMYFUNCTION("""COMPUTED_VALUE"""),42955.0)</f>
        <v>42955</v>
      </c>
      <c r="Q362" s="258">
        <f>IFERROR(__xludf.DUMMYFUNCTION("""COMPUTED_VALUE"""),74181.0)</f>
        <v>74181</v>
      </c>
      <c r="R362" s="261">
        <f>IFERROR(__xludf.DUMMYFUNCTION("""COMPUTED_VALUE"""),380.0)</f>
        <v>380</v>
      </c>
      <c r="S362" s="258">
        <v>395.0</v>
      </c>
      <c r="T362" s="263">
        <v>0.9620253164556962</v>
      </c>
      <c r="U362" s="264">
        <v>46094.0</v>
      </c>
      <c r="V362" s="265">
        <v>74181.0</v>
      </c>
      <c r="W362" s="264">
        <v>46094.0</v>
      </c>
      <c r="X362" s="266" t="str">
        <f>IFERROR(__xludf.DUMMYFUNCTION("""COMPUTED_VALUE"""),"Michael")</f>
        <v>Michael</v>
      </c>
      <c r="Y362" s="267">
        <v>-0.01</v>
      </c>
      <c r="Z362" s="267">
        <v>0.9528576309646547</v>
      </c>
      <c r="AA362" s="269"/>
      <c r="AB362" s="270"/>
      <c r="AC362" s="270"/>
      <c r="AD362" s="270"/>
      <c r="AE362" s="270"/>
    </row>
    <row r="363">
      <c r="A363" s="256">
        <f>IFERROR(__xludf.DUMMYFUNCTION("""COMPUTED_VALUE"""),43005.615277777775)</f>
        <v>43005.61528</v>
      </c>
      <c r="B363" s="257" t="str">
        <f>IFERROR(__xludf.DUMMYFUNCTION("""COMPUTED_VALUE"""),"egn")</f>
        <v>egn</v>
      </c>
      <c r="C363" s="258" t="str">
        <f>IFERROR(__xludf.DUMMYFUNCTION("""COMPUTED_VALUE"""),"Europe (excluding UK) &amp; Asia Pacific")</f>
        <v>Europe (excluding UK) &amp; Asia Pacific</v>
      </c>
      <c r="D363" s="258" t="str">
        <f>IFERROR(__xludf.DUMMYFUNCTION("""COMPUTED_VALUE"""),"km. My car displays range in kilometres and I will enter all range numbers in kilometres.")</f>
        <v>km. My car displays range in kilometres and I will enter all range numbers in kilometres.</v>
      </c>
      <c r="E363" s="259">
        <f>IFERROR(__xludf.DUMMYFUNCTION("""COMPUTED_VALUE"""),41675.0)</f>
        <v>41675</v>
      </c>
      <c r="F363" s="258" t="str">
        <f>IFERROR(__xludf.DUMMYFUNCTION("""COMPUTED_VALUE"""),"Model S 85")</f>
        <v>Model S 85</v>
      </c>
      <c r="G363" s="258" t="str">
        <f>IFERROR(__xludf.DUMMYFUNCTION("""COMPUTED_VALUE"""),"Twice a month")</f>
        <v>Twice a month</v>
      </c>
      <c r="H363" s="258" t="str">
        <f>IFERROR(__xludf.DUMMYFUNCTION("""COMPUTED_VALUE"""),"Twice a month")</f>
        <v>Twice a month</v>
      </c>
      <c r="I363" s="258" t="str">
        <f>IFERROR(__xludf.DUMMYFUNCTION("""COMPUTED_VALUE"""),"Never")</f>
        <v>Never</v>
      </c>
      <c r="J363" s="260">
        <f>IFERROR(__xludf.DUMMYFUNCTION("""COMPUTED_VALUE"""),0.7)</f>
        <v>0.7</v>
      </c>
      <c r="K363" s="258" t="str">
        <f>IFERROR(__xludf.DUMMYFUNCTION("""COMPUTED_VALUE"""),"")</f>
        <v/>
      </c>
      <c r="L363" s="258" t="str">
        <f>IFERROR(__xludf.DUMMYFUNCTION("""COMPUTED_VALUE"""),"")</f>
        <v/>
      </c>
      <c r="M363" s="261">
        <f>IFERROR(__xludf.DUMMYFUNCTION("""COMPUTED_VALUE"""),223.0)</f>
        <v>223</v>
      </c>
      <c r="N363" s="262" t="str">
        <f>IFERROR(__xludf.DUMMYFUNCTION("""COMPUTED_VALUE"""),"")</f>
        <v/>
      </c>
      <c r="O363" s="259" t="str">
        <f>IFERROR(__xludf.DUMMYFUNCTION("""COMPUTED_VALUE"""),"")</f>
        <v/>
      </c>
      <c r="P363" s="259">
        <f>IFERROR(__xludf.DUMMYFUNCTION("""COMPUTED_VALUE"""),43005.0)</f>
        <v>43005</v>
      </c>
      <c r="Q363" s="258">
        <f>IFERROR(__xludf.DUMMYFUNCTION("""COMPUTED_VALUE"""),80240.0)</f>
        <v>80240</v>
      </c>
      <c r="R363" s="261">
        <f>IFERROR(__xludf.DUMMYFUNCTION("""COMPUTED_VALUE"""),381.0)</f>
        <v>381</v>
      </c>
      <c r="S363" s="258">
        <v>395.0</v>
      </c>
      <c r="T363" s="263">
        <v>0.9645569620253165</v>
      </c>
      <c r="U363" s="264">
        <v>49859.0</v>
      </c>
      <c r="V363" s="265">
        <v>80240.0</v>
      </c>
      <c r="W363" s="264">
        <v>49859.0</v>
      </c>
      <c r="X363" s="266" t="str">
        <f>IFERROR(__xludf.DUMMYFUNCTION("""COMPUTED_VALUE"""),"Miiln Patel")</f>
        <v>Miiln Patel</v>
      </c>
      <c r="Y363" s="267">
        <v>-0.01</v>
      </c>
      <c r="Z363" s="267">
        <v>0.9513390733244769</v>
      </c>
      <c r="AA363" s="269"/>
      <c r="AB363" s="270"/>
      <c r="AC363" s="270"/>
      <c r="AD363" s="270"/>
      <c r="AE363" s="270"/>
    </row>
    <row r="364">
      <c r="A364" s="256">
        <f>IFERROR(__xludf.DUMMYFUNCTION("""COMPUTED_VALUE"""),43127.68611111111)</f>
        <v>43127.68611</v>
      </c>
      <c r="B364" s="257" t="str">
        <f>IFERROR(__xludf.DUMMYFUNCTION("""COMPUTED_VALUE"""),"egn")</f>
        <v>egn</v>
      </c>
      <c r="C364" s="258" t="str">
        <f>IFERROR(__xludf.DUMMYFUNCTION("""COMPUTED_VALUE"""),"Europe (excluding UK) &amp; Asia Pacific")</f>
        <v>Europe (excluding UK) &amp; Asia Pacific</v>
      </c>
      <c r="D364" s="258" t="str">
        <f>IFERROR(__xludf.DUMMYFUNCTION("""COMPUTED_VALUE"""),"km. My car displays range in kilometres and I will enter all range numbers in kilometres.")</f>
        <v>km. My car displays range in kilometres and I will enter all range numbers in kilometres.</v>
      </c>
      <c r="E364" s="259">
        <f>IFERROR(__xludf.DUMMYFUNCTION("""COMPUTED_VALUE"""),41675.0)</f>
        <v>41675</v>
      </c>
      <c r="F364" s="258" t="str">
        <f>IFERROR(__xludf.DUMMYFUNCTION("""COMPUTED_VALUE"""),"Model S 85")</f>
        <v>Model S 85</v>
      </c>
      <c r="G364" s="258" t="str">
        <f>IFERROR(__xludf.DUMMYFUNCTION("""COMPUTED_VALUE"""),"Monthly")</f>
        <v>Monthly</v>
      </c>
      <c r="H364" s="258" t="str">
        <f>IFERROR(__xludf.DUMMYFUNCTION("""COMPUTED_VALUE"""),"A few times a year")</f>
        <v>A few times a year</v>
      </c>
      <c r="I364" s="258" t="str">
        <f>IFERROR(__xludf.DUMMYFUNCTION("""COMPUTED_VALUE"""),"Never")</f>
        <v>Never</v>
      </c>
      <c r="J364" s="260">
        <f>IFERROR(__xludf.DUMMYFUNCTION("""COMPUTED_VALUE"""),0.6)</f>
        <v>0.6</v>
      </c>
      <c r="K364" s="258" t="str">
        <f>IFERROR(__xludf.DUMMYFUNCTION("""COMPUTED_VALUE"""),"")</f>
        <v/>
      </c>
      <c r="L364" s="258" t="str">
        <f>IFERROR(__xludf.DUMMYFUNCTION("""COMPUTED_VALUE"""),"")</f>
        <v/>
      </c>
      <c r="M364" s="261">
        <f>IFERROR(__xludf.DUMMYFUNCTION("""COMPUTED_VALUE"""),224.0)</f>
        <v>224</v>
      </c>
      <c r="N364" s="262" t="str">
        <f>IFERROR(__xludf.DUMMYFUNCTION("""COMPUTED_VALUE"""),"")</f>
        <v/>
      </c>
      <c r="O364" s="259" t="str">
        <f>IFERROR(__xludf.DUMMYFUNCTION("""COMPUTED_VALUE"""),"")</f>
        <v/>
      </c>
      <c r="P364" s="259">
        <f>IFERROR(__xludf.DUMMYFUNCTION("""COMPUTED_VALUE"""),43127.0)</f>
        <v>43127</v>
      </c>
      <c r="Q364" s="258">
        <f>IFERROR(__xludf.DUMMYFUNCTION("""COMPUTED_VALUE"""),90048.0)</f>
        <v>90048</v>
      </c>
      <c r="R364" s="261">
        <f>IFERROR(__xludf.DUMMYFUNCTION("""COMPUTED_VALUE"""),379.0)</f>
        <v>379</v>
      </c>
      <c r="S364" s="258">
        <v>395.0</v>
      </c>
      <c r="T364" s="263">
        <v>0.959493670886076</v>
      </c>
      <c r="U364" s="264">
        <v>55953.0</v>
      </c>
      <c r="V364" s="265">
        <v>90048.0</v>
      </c>
      <c r="W364" s="264">
        <v>55953.0</v>
      </c>
      <c r="X364" s="266" t="str">
        <f>IFERROR(__xludf.DUMMYFUNCTION("""COMPUTED_VALUE"""),"mikelger")</f>
        <v>mikelger</v>
      </c>
      <c r="Y364" s="267">
        <v>-0.01</v>
      </c>
      <c r="Z364" s="267">
        <v>0.948952288773942</v>
      </c>
      <c r="AA364" s="269"/>
      <c r="AB364" s="270"/>
      <c r="AC364" s="270"/>
      <c r="AD364" s="270"/>
      <c r="AE364" s="270"/>
    </row>
    <row r="365">
      <c r="A365" s="256">
        <f>IFERROR(__xludf.DUMMYFUNCTION("""COMPUTED_VALUE"""),43201.71944444445)</f>
        <v>43201.71944</v>
      </c>
      <c r="B365" s="257" t="str">
        <f>IFERROR(__xludf.DUMMYFUNCTION("""COMPUTED_VALUE"""),"egn")</f>
        <v>egn</v>
      </c>
      <c r="C365" s="258" t="str">
        <f>IFERROR(__xludf.DUMMYFUNCTION("""COMPUTED_VALUE"""),"Europe (excluding UK) &amp; Asia Pacific")</f>
        <v>Europe (excluding UK) &amp; Asia Pacific</v>
      </c>
      <c r="D365" s="258" t="str">
        <f>IFERROR(__xludf.DUMMYFUNCTION("""COMPUTED_VALUE"""),"km. My car displays range in kilometres and I will enter all range numbers in kilometres.")</f>
        <v>km. My car displays range in kilometres and I will enter all range numbers in kilometres.</v>
      </c>
      <c r="E365" s="259">
        <f>IFERROR(__xludf.DUMMYFUNCTION("""COMPUTED_VALUE"""),41675.0)</f>
        <v>41675</v>
      </c>
      <c r="F365" s="258" t="str">
        <f>IFERROR(__xludf.DUMMYFUNCTION("""COMPUTED_VALUE"""),"Model S 85")</f>
        <v>Model S 85</v>
      </c>
      <c r="G365" s="258" t="str">
        <f>IFERROR(__xludf.DUMMYFUNCTION("""COMPUTED_VALUE"""),"A few times a year")</f>
        <v>A few times a year</v>
      </c>
      <c r="H365" s="258" t="str">
        <f>IFERROR(__xludf.DUMMYFUNCTION("""COMPUTED_VALUE"""),"A few times a year")</f>
        <v>A few times a year</v>
      </c>
      <c r="I365" s="258" t="str">
        <f>IFERROR(__xludf.DUMMYFUNCTION("""COMPUTED_VALUE"""),"Never")</f>
        <v>Never</v>
      </c>
      <c r="J365" s="260">
        <f>IFERROR(__xludf.DUMMYFUNCTION("""COMPUTED_VALUE"""),0.6)</f>
        <v>0.6</v>
      </c>
      <c r="K365" s="258" t="str">
        <f>IFERROR(__xludf.DUMMYFUNCTION("""COMPUTED_VALUE"""),"")</f>
        <v/>
      </c>
      <c r="L365" s="258" t="str">
        <f>IFERROR(__xludf.DUMMYFUNCTION("""COMPUTED_VALUE"""),"")</f>
        <v/>
      </c>
      <c r="M365" s="261">
        <f>IFERROR(__xludf.DUMMYFUNCTION("""COMPUTED_VALUE"""),223.0)</f>
        <v>223</v>
      </c>
      <c r="N365" s="262" t="str">
        <f>IFERROR(__xludf.DUMMYFUNCTION("""COMPUTED_VALUE"""),"")</f>
        <v/>
      </c>
      <c r="O365" s="259" t="str">
        <f>IFERROR(__xludf.DUMMYFUNCTION("""COMPUTED_VALUE"""),"")</f>
        <v/>
      </c>
      <c r="P365" s="259">
        <f>IFERROR(__xludf.DUMMYFUNCTION("""COMPUTED_VALUE"""),43201.0)</f>
        <v>43201</v>
      </c>
      <c r="Q365" s="258">
        <f>IFERROR(__xludf.DUMMYFUNCTION("""COMPUTED_VALUE"""),94980.0)</f>
        <v>94980</v>
      </c>
      <c r="R365" s="261">
        <f>IFERROR(__xludf.DUMMYFUNCTION("""COMPUTED_VALUE"""),382.0)</f>
        <v>382</v>
      </c>
      <c r="S365" s="258">
        <v>395.0</v>
      </c>
      <c r="T365" s="263">
        <v>0.9670886075949368</v>
      </c>
      <c r="U365" s="264">
        <v>59018.0</v>
      </c>
      <c r="V365" s="265">
        <v>94980.0</v>
      </c>
      <c r="W365" s="264">
        <v>59018.0</v>
      </c>
      <c r="X365" s="266" t="str">
        <f>IFERROR(__xludf.DUMMYFUNCTION("""COMPUTED_VALUE"""),"mikeyc")</f>
        <v>mikeyc</v>
      </c>
      <c r="Y365" s="267">
        <v>-0.01</v>
      </c>
      <c r="Z365" s="267">
        <v>0.9477743281172402</v>
      </c>
      <c r="AA365" s="269"/>
      <c r="AB365" s="270"/>
      <c r="AC365" s="270"/>
      <c r="AD365" s="270"/>
      <c r="AE365" s="270"/>
    </row>
    <row r="366">
      <c r="A366" s="256">
        <f>IFERROR(__xludf.DUMMYFUNCTION("""COMPUTED_VALUE"""),43797.531197847224)</f>
        <v>43797.5312</v>
      </c>
      <c r="B366" s="257" t="str">
        <f>IFERROR(__xludf.DUMMYFUNCTION("""COMPUTED_VALUE"""),"egnX")</f>
        <v>egnX</v>
      </c>
      <c r="C366" s="258" t="str">
        <f>IFERROR(__xludf.DUMMYFUNCTION("""COMPUTED_VALUE"""),"Europe (excluding UK) &amp; Asia Pacific")</f>
        <v>Europe (excluding UK) &amp; Asia Pacific</v>
      </c>
      <c r="D366" s="258" t="str">
        <f>IFERROR(__xludf.DUMMYFUNCTION("""COMPUTED_VALUE"""),"km. My car displays range in kilometres and I will enter all range numbers in kilometres.")</f>
        <v>km. My car displays range in kilometres and I will enter all range numbers in kilometres.</v>
      </c>
      <c r="E366" s="259">
        <f>IFERROR(__xludf.DUMMYFUNCTION("""COMPUTED_VALUE"""),43525.0)</f>
        <v>43525</v>
      </c>
      <c r="F366" s="258" t="str">
        <f>IFERROR(__xludf.DUMMYFUNCTION("""COMPUTED_VALUE"""),"Model X 100D")</f>
        <v>Model X 100D</v>
      </c>
      <c r="G366" s="258" t="str">
        <f>IFERROR(__xludf.DUMMYFUNCTION("""COMPUTED_VALUE"""),"A few times a year")</f>
        <v>A few times a year</v>
      </c>
      <c r="H366" s="258" t="str">
        <f>IFERROR(__xludf.DUMMYFUNCTION("""COMPUTED_VALUE"""),"A few times a year")</f>
        <v>A few times a year</v>
      </c>
      <c r="I366" s="258" t="str">
        <f>IFERROR(__xludf.DUMMYFUNCTION("""COMPUTED_VALUE"""),"Never")</f>
        <v>Never</v>
      </c>
      <c r="J366" s="260">
        <f>IFERROR(__xludf.DUMMYFUNCTION("""COMPUTED_VALUE"""),0.5)</f>
        <v>0.5</v>
      </c>
      <c r="K366" s="258">
        <f>IFERROR(__xludf.DUMMYFUNCTION("""COMPUTED_VALUE"""),450.0)</f>
        <v>450</v>
      </c>
      <c r="L366" s="258">
        <f>IFERROR(__xludf.DUMMYFUNCTION("""COMPUTED_VALUE"""),190.0)</f>
        <v>190</v>
      </c>
      <c r="M366" s="261">
        <f>IFERROR(__xludf.DUMMYFUNCTION("""COMPUTED_VALUE"""),202.0)</f>
        <v>202</v>
      </c>
      <c r="N366" s="262" t="str">
        <f>IFERROR(__xludf.DUMMYFUNCTION("""COMPUTED_VALUE"""),"")</f>
        <v/>
      </c>
      <c r="O366" s="259" t="str">
        <f>IFERROR(__xludf.DUMMYFUNCTION("""COMPUTED_VALUE"""),"")</f>
        <v/>
      </c>
      <c r="P366" s="259">
        <f>IFERROR(__xludf.DUMMYFUNCTION("""COMPUTED_VALUE"""),43648.0)</f>
        <v>43648</v>
      </c>
      <c r="Q366" s="258">
        <f>IFERROR(__xludf.DUMMYFUNCTION("""COMPUTED_VALUE"""),4744.0)</f>
        <v>4744</v>
      </c>
      <c r="R366" s="261">
        <f>IFERROR(__xludf.DUMMYFUNCTION("""COMPUTED_VALUE"""),450.0)</f>
        <v>450</v>
      </c>
      <c r="S366" s="258">
        <v>448.0</v>
      </c>
      <c r="T366" s="263">
        <v>1.0044642857142858</v>
      </c>
      <c r="U366" s="264">
        <v>2948.0</v>
      </c>
      <c r="V366" s="265">
        <v>4744.0</v>
      </c>
      <c r="W366" s="264">
        <v>2948.0</v>
      </c>
      <c r="X366" s="266" t="str">
        <f>IFERROR(__xludf.DUMMYFUNCTION("""COMPUTED_VALUE"""),"MIKLES")</f>
        <v>MIKLES</v>
      </c>
      <c r="Y366" s="267">
        <v>-0.01</v>
      </c>
      <c r="Z366" s="267">
        <v>0.9915682525115983</v>
      </c>
      <c r="AA366" s="269"/>
      <c r="AB366" s="270"/>
      <c r="AC366" s="270"/>
      <c r="AD366" s="270"/>
      <c r="AE366" s="270"/>
    </row>
    <row r="367">
      <c r="A367" s="256">
        <f>IFERROR(__xludf.DUMMYFUNCTION("""COMPUTED_VALUE"""),43797.531197847224)</f>
        <v>43797.5312</v>
      </c>
      <c r="B367" s="257" t="str">
        <f>IFERROR(__xludf.DUMMYFUNCTION("""COMPUTED_VALUE"""),"egnX")</f>
        <v>egnX</v>
      </c>
      <c r="C367" s="258" t="str">
        <f>IFERROR(__xludf.DUMMYFUNCTION("""COMPUTED_VALUE"""),"Europe (excluding UK) &amp; Asia Pacific")</f>
        <v>Europe (excluding UK) &amp; Asia Pacific</v>
      </c>
      <c r="D367" s="258" t="str">
        <f>IFERROR(__xludf.DUMMYFUNCTION("""COMPUTED_VALUE"""),"km. My car displays range in kilometres and I will enter all range numbers in kilometres.")</f>
        <v>km. My car displays range in kilometres and I will enter all range numbers in kilometres.</v>
      </c>
      <c r="E367" s="259">
        <f>IFERROR(__xludf.DUMMYFUNCTION("""COMPUTED_VALUE"""),43525.0)</f>
        <v>43525</v>
      </c>
      <c r="F367" s="258" t="str">
        <f>IFERROR(__xludf.DUMMYFUNCTION("""COMPUTED_VALUE"""),"Model X 100D")</f>
        <v>Model X 100D</v>
      </c>
      <c r="G367" s="258" t="str">
        <f>IFERROR(__xludf.DUMMYFUNCTION("""COMPUTED_VALUE"""),"A few times a year")</f>
        <v>A few times a year</v>
      </c>
      <c r="H367" s="258" t="str">
        <f>IFERROR(__xludf.DUMMYFUNCTION("""COMPUTED_VALUE"""),"A few times a year")</f>
        <v>A few times a year</v>
      </c>
      <c r="I367" s="258" t="str">
        <f>IFERROR(__xludf.DUMMYFUNCTION("""COMPUTED_VALUE"""),"Never")</f>
        <v>Never</v>
      </c>
      <c r="J367" s="260">
        <f>IFERROR(__xludf.DUMMYFUNCTION("""COMPUTED_VALUE"""),0.5)</f>
        <v>0.5</v>
      </c>
      <c r="K367" s="258">
        <f>IFERROR(__xludf.DUMMYFUNCTION("""COMPUTED_VALUE"""),450.0)</f>
        <v>450</v>
      </c>
      <c r="L367" s="258">
        <f>IFERROR(__xludf.DUMMYFUNCTION("""COMPUTED_VALUE"""),190.0)</f>
        <v>190</v>
      </c>
      <c r="M367" s="261">
        <f>IFERROR(__xludf.DUMMYFUNCTION("""COMPUTED_VALUE"""),202.0)</f>
        <v>202</v>
      </c>
      <c r="N367" s="262" t="str">
        <f>IFERROR(__xludf.DUMMYFUNCTION("""COMPUTED_VALUE"""),"")</f>
        <v/>
      </c>
      <c r="O367" s="259" t="str">
        <f>IFERROR(__xludf.DUMMYFUNCTION("""COMPUTED_VALUE"""),"")</f>
        <v/>
      </c>
      <c r="P367" s="259">
        <f>IFERROR(__xludf.DUMMYFUNCTION("""COMPUTED_VALUE"""),43797.0)</f>
        <v>43797</v>
      </c>
      <c r="Q367" s="258">
        <f>IFERROR(__xludf.DUMMYFUNCTION("""COMPUTED_VALUE"""),16577.0)</f>
        <v>16577</v>
      </c>
      <c r="R367" s="261">
        <f>IFERROR(__xludf.DUMMYFUNCTION("""COMPUTED_VALUE"""),426.0)</f>
        <v>426</v>
      </c>
      <c r="S367" s="258">
        <v>448.0</v>
      </c>
      <c r="T367" s="263">
        <v>0.9508928571428571</v>
      </c>
      <c r="U367" s="264">
        <v>10300.0</v>
      </c>
      <c r="V367" s="265">
        <v>16577.0</v>
      </c>
      <c r="W367" s="264">
        <v>10300.0</v>
      </c>
      <c r="X367" s="266" t="str">
        <f>IFERROR(__xludf.DUMMYFUNCTION("""COMPUTED_VALUE"""),"MisterGreen")</f>
        <v>MisterGreen</v>
      </c>
      <c r="Y367" s="267">
        <v>-0.01</v>
      </c>
      <c r="Z367" s="267">
        <v>0.9773475494175654</v>
      </c>
      <c r="AA367" s="269"/>
      <c r="AB367" s="270"/>
      <c r="AC367" s="270"/>
      <c r="AD367" s="270"/>
      <c r="AE367" s="270"/>
    </row>
    <row r="368">
      <c r="A368" s="256">
        <f>IFERROR(__xludf.DUMMYFUNCTION("""COMPUTED_VALUE"""),43089.65833333333)</f>
        <v>43089.65833</v>
      </c>
      <c r="B368" s="257" t="str">
        <f>IFERROR(__xludf.DUMMYFUNCTION("""COMPUTED_VALUE"""),"ELDIAC")</f>
        <v>ELDIAC</v>
      </c>
      <c r="C368" s="258" t="str">
        <f>IFERROR(__xludf.DUMMYFUNCTION("""COMPUTED_VALUE"""),"Europe (excluding UK) &amp; Asia Pacific")</f>
        <v>Europe (excluding UK) &amp; Asia Pacific</v>
      </c>
      <c r="D368" s="258" t="str">
        <f>IFERROR(__xludf.DUMMYFUNCTION("""COMPUTED_VALUE"""),"km. My car displays range in kilometres and I will enter all range numbers in kilometres.")</f>
        <v>km. My car displays range in kilometres and I will enter all range numbers in kilometres.</v>
      </c>
      <c r="E368" s="259">
        <f>IFERROR(__xludf.DUMMYFUNCTION("""COMPUTED_VALUE"""),42817.0)</f>
        <v>42817</v>
      </c>
      <c r="F368" s="258" t="str">
        <f>IFERROR(__xludf.DUMMYFUNCTION("""COMPUTED_VALUE"""),"Model S 75")</f>
        <v>Model S 75</v>
      </c>
      <c r="G368" s="258" t="str">
        <f>IFERROR(__xludf.DUMMYFUNCTION("""COMPUTED_VALUE"""),"A few times a year")</f>
        <v>A few times a year</v>
      </c>
      <c r="H368" s="258" t="str">
        <f>IFERROR(__xludf.DUMMYFUNCTION("""COMPUTED_VALUE"""),"A few times a year")</f>
        <v>A few times a year</v>
      </c>
      <c r="I368" s="258" t="str">
        <f>IFERROR(__xludf.DUMMYFUNCTION("""COMPUTED_VALUE"""),"Never")</f>
        <v>Never</v>
      </c>
      <c r="J368" s="260">
        <f>IFERROR(__xludf.DUMMYFUNCTION("""COMPUTED_VALUE"""),0.7)</f>
        <v>0.7</v>
      </c>
      <c r="K368" s="258">
        <f>IFERROR(__xludf.DUMMYFUNCTION("""COMPUTED_VALUE"""),380.0)</f>
        <v>380</v>
      </c>
      <c r="L368" s="258" t="str">
        <f>IFERROR(__xludf.DUMMYFUNCTION("""COMPUTED_VALUE"""),"")</f>
        <v/>
      </c>
      <c r="M368" s="261">
        <f>IFERROR(__xludf.DUMMYFUNCTION("""COMPUTED_VALUE"""),168.0)</f>
        <v>168</v>
      </c>
      <c r="N368" s="262" t="str">
        <f>IFERROR(__xludf.DUMMYFUNCTION("""COMPUTED_VALUE"""),"")</f>
        <v/>
      </c>
      <c r="O368" s="259" t="str">
        <f>IFERROR(__xludf.DUMMYFUNCTION("""COMPUTED_VALUE"""),"")</f>
        <v/>
      </c>
      <c r="P368" s="259">
        <f>IFERROR(__xludf.DUMMYFUNCTION("""COMPUTED_VALUE"""),43089.0)</f>
        <v>43089</v>
      </c>
      <c r="Q368" s="258">
        <f>IFERROR(__xludf.DUMMYFUNCTION("""COMPUTED_VALUE"""),18800.0)</f>
        <v>18800</v>
      </c>
      <c r="R368" s="261">
        <f>IFERROR(__xludf.DUMMYFUNCTION("""COMPUTED_VALUE"""),372.0)</f>
        <v>372</v>
      </c>
      <c r="S368" s="258">
        <v>375.0</v>
      </c>
      <c r="T368" s="263">
        <v>0.992</v>
      </c>
      <c r="U368" s="264">
        <v>11682.0</v>
      </c>
      <c r="V368" s="265">
        <v>18800.0</v>
      </c>
      <c r="W368" s="264">
        <v>11682.0</v>
      </c>
      <c r="X368" s="266" t="str">
        <f>IFERROR(__xludf.DUMMYFUNCTION("""COMPUTED_VALUE"""),"misterp")</f>
        <v>misterp</v>
      </c>
      <c r="Y368" s="267">
        <v>-0.01</v>
      </c>
      <c r="Z368" s="267">
        <v>0.975427036773369</v>
      </c>
      <c r="AA368" s="269"/>
      <c r="AB368" s="270"/>
      <c r="AC368" s="270"/>
      <c r="AD368" s="270"/>
      <c r="AE368" s="270"/>
    </row>
    <row r="369">
      <c r="A369" s="256">
        <f>IFERROR(__xludf.DUMMYFUNCTION("""COMPUTED_VALUE"""),42229.89027777778)</f>
        <v>42229.89028</v>
      </c>
      <c r="B369" s="257" t="str">
        <f>IFERROR(__xludf.DUMMYFUNCTION("""COMPUTED_VALUE"""),"ElectricSingh")</f>
        <v>ElectricSingh</v>
      </c>
      <c r="C369" s="258" t="str">
        <f>IFERROR(__xludf.DUMMYFUNCTION("""COMPUTED_VALUE"""),"UK")</f>
        <v>UK</v>
      </c>
      <c r="D369" s="258" t="str">
        <f>IFERROR(__xludf.DUMMYFUNCTION("""COMPUTED_VALUE"""),"mi. My car displays range in miles and I will enter all range numbers in miles.")</f>
        <v>mi. My car displays range in miles and I will enter all range numbers in miles.</v>
      </c>
      <c r="E369" s="259">
        <f>IFERROR(__xludf.DUMMYFUNCTION("""COMPUTED_VALUE"""),42184.0)</f>
        <v>42184</v>
      </c>
      <c r="F369" s="258" t="str">
        <f>IFERROR(__xludf.DUMMYFUNCTION("""COMPUTED_VALUE"""),"Model S 85")</f>
        <v>Model S 85</v>
      </c>
      <c r="G369" s="258" t="str">
        <f>IFERROR(__xludf.DUMMYFUNCTION("""COMPUTED_VALUE"""),"Twice a month")</f>
        <v>Twice a month</v>
      </c>
      <c r="H369" s="258" t="str">
        <f>IFERROR(__xludf.DUMMYFUNCTION("""COMPUTED_VALUE"""),"Monthly")</f>
        <v>Monthly</v>
      </c>
      <c r="I369" s="258" t="str">
        <f>IFERROR(__xludf.DUMMYFUNCTION("""COMPUTED_VALUE"""),"Once or twice a year")</f>
        <v>Once or twice a year</v>
      </c>
      <c r="J369" s="260">
        <f>IFERROR(__xludf.DUMMYFUNCTION("""COMPUTED_VALUE"""),0.8)</f>
        <v>0.8</v>
      </c>
      <c r="K369" s="258">
        <f>IFERROR(__xludf.DUMMYFUNCTION("""COMPUTED_VALUE"""),246.0)</f>
        <v>246</v>
      </c>
      <c r="L369" s="258" t="str">
        <f>IFERROR(__xludf.DUMMYFUNCTION("""COMPUTED_VALUE"""),"")</f>
        <v/>
      </c>
      <c r="M369" s="261">
        <f>IFERROR(__xludf.DUMMYFUNCTION("""COMPUTED_VALUE"""),323.0)</f>
        <v>323</v>
      </c>
      <c r="N369" s="262" t="str">
        <f>IFERROR(__xludf.DUMMYFUNCTION("""COMPUTED_VALUE"""),"")</f>
        <v/>
      </c>
      <c r="O369" s="259" t="str">
        <f>IFERROR(__xludf.DUMMYFUNCTION("""COMPUTED_VALUE"""),"")</f>
        <v/>
      </c>
      <c r="P369" s="259">
        <f>IFERROR(__xludf.DUMMYFUNCTION("""COMPUTED_VALUE"""),42229.0)</f>
        <v>42229</v>
      </c>
      <c r="Q369" s="258">
        <f>IFERROR(__xludf.DUMMYFUNCTION("""COMPUTED_VALUE"""),2800.0)</f>
        <v>2800</v>
      </c>
      <c r="R369" s="261">
        <f>IFERROR(__xludf.DUMMYFUNCTION("""COMPUTED_VALUE"""),246.0)</f>
        <v>246</v>
      </c>
      <c r="S369" s="258">
        <v>245.0</v>
      </c>
      <c r="T369" s="263">
        <v>1.0040816326530613</v>
      </c>
      <c r="U369" s="264">
        <v>2800.0</v>
      </c>
      <c r="V369" s="265">
        <v>4506.0</v>
      </c>
      <c r="W369" s="264">
        <v>2800.0</v>
      </c>
      <c r="X369" s="266" t="str">
        <f>IFERROR(__xludf.DUMMYFUNCTION("""COMPUTED_VALUE"""),"MJ")</f>
        <v>MJ</v>
      </c>
      <c r="Y369" s="267">
        <v>-0.01</v>
      </c>
      <c r="Z369" s="267">
        <v>0.9919450487738567</v>
      </c>
      <c r="AA369" s="269"/>
      <c r="AB369" s="270"/>
      <c r="AC369" s="270"/>
      <c r="AD369" s="270"/>
      <c r="AE369" s="270"/>
    </row>
    <row r="370">
      <c r="A370" s="256">
        <f>IFERROR(__xludf.DUMMYFUNCTION("""COMPUTED_VALUE"""),42663.43194444444)</f>
        <v>42663.43194</v>
      </c>
      <c r="B370" s="257" t="str">
        <f>IFERROR(__xludf.DUMMYFUNCTION("""COMPUTED_VALUE"""),"eMarkus")</f>
        <v>eMarkus</v>
      </c>
      <c r="C370" s="258" t="str">
        <f>IFERROR(__xludf.DUMMYFUNCTION("""COMPUTED_VALUE"""),"Europe (excluding UK) &amp; Asia Pacific")</f>
        <v>Europe (excluding UK) &amp; Asia Pacific</v>
      </c>
      <c r="D370" s="258" t="str">
        <f>IFERROR(__xludf.DUMMYFUNCTION("""COMPUTED_VALUE"""),"km. My car displays range in kilometres and I will enter all range numbers in kilometres.")</f>
        <v>km. My car displays range in kilometres and I will enter all range numbers in kilometres.</v>
      </c>
      <c r="E370" s="259">
        <f>IFERROR(__xludf.DUMMYFUNCTION("""COMPUTED_VALUE"""),42002.0)</f>
        <v>42002</v>
      </c>
      <c r="F370" s="258" t="str">
        <f>IFERROR(__xludf.DUMMYFUNCTION("""COMPUTED_VALUE"""),"Model S 85")</f>
        <v>Model S 85</v>
      </c>
      <c r="G370" s="258" t="str">
        <f>IFERROR(__xludf.DUMMYFUNCTION("""COMPUTED_VALUE"""),"Twice a month")</f>
        <v>Twice a month</v>
      </c>
      <c r="H370" s="258" t="str">
        <f>IFERROR(__xludf.DUMMYFUNCTION("""COMPUTED_VALUE"""),"A few times a year")</f>
        <v>A few times a year</v>
      </c>
      <c r="I370" s="258" t="str">
        <f>IFERROR(__xludf.DUMMYFUNCTION("""COMPUTED_VALUE"""),"Once or twice a year")</f>
        <v>Once or twice a year</v>
      </c>
      <c r="J370" s="260">
        <f>IFERROR(__xludf.DUMMYFUNCTION("""COMPUTED_VALUE"""),0.9)</f>
        <v>0.9</v>
      </c>
      <c r="K370" s="258" t="str">
        <f>IFERROR(__xludf.DUMMYFUNCTION("""COMPUTED_VALUE"""),"")</f>
        <v/>
      </c>
      <c r="L370" s="258" t="str">
        <f>IFERROR(__xludf.DUMMYFUNCTION("""COMPUTED_VALUE"""),"")</f>
        <v/>
      </c>
      <c r="M370" s="261">
        <f>IFERROR(__xludf.DUMMYFUNCTION("""COMPUTED_VALUE"""),215.0)</f>
        <v>215</v>
      </c>
      <c r="N370" s="262" t="str">
        <f>IFERROR(__xludf.DUMMYFUNCTION("""COMPUTED_VALUE"""),"")</f>
        <v/>
      </c>
      <c r="O370" s="259" t="str">
        <f>IFERROR(__xludf.DUMMYFUNCTION("""COMPUTED_VALUE"""),"")</f>
        <v/>
      </c>
      <c r="P370" s="259">
        <f>IFERROR(__xludf.DUMMYFUNCTION("""COMPUTED_VALUE"""),42663.0)</f>
        <v>42663</v>
      </c>
      <c r="Q370" s="258">
        <f>IFERROR(__xludf.DUMMYFUNCTION("""COMPUTED_VALUE"""),24950.0)</f>
        <v>24950</v>
      </c>
      <c r="R370" s="261">
        <f>IFERROR(__xludf.DUMMYFUNCTION("""COMPUTED_VALUE"""),396.0)</f>
        <v>396</v>
      </c>
      <c r="S370" s="258">
        <v>395.0</v>
      </c>
      <c r="T370" s="263">
        <v>1.0025316455696203</v>
      </c>
      <c r="U370" s="264">
        <v>15503.0</v>
      </c>
      <c r="V370" s="265">
        <v>24950.0</v>
      </c>
      <c r="W370" s="264">
        <v>15503.0</v>
      </c>
      <c r="X370" s="266" t="str">
        <f>IFERROR(__xludf.DUMMYFUNCTION("""COMPUTED_VALUE"""),"mj")</f>
        <v>mj</v>
      </c>
      <c r="Y370" s="267">
        <v>-0.01</v>
      </c>
      <c r="Z370" s="267">
        <v>0.9709411408221453</v>
      </c>
      <c r="AA370" s="269"/>
      <c r="AB370" s="270"/>
      <c r="AC370" s="270"/>
      <c r="AD370" s="270"/>
      <c r="AE370" s="270"/>
    </row>
    <row r="371">
      <c r="A371" s="256">
        <f>IFERROR(__xludf.DUMMYFUNCTION("""COMPUTED_VALUE"""),43883.48743479167)</f>
        <v>43883.48743</v>
      </c>
      <c r="B371" s="257" t="str">
        <f>IFERROR(__xludf.DUMMYFUNCTION("""COMPUTED_VALUE"""),"enahpets71")</f>
        <v>enahpets71</v>
      </c>
      <c r="C371" s="258" t="str">
        <f>IFERROR(__xludf.DUMMYFUNCTION("""COMPUTED_VALUE"""),"Europe (excluding UK) &amp; Asia Pacific")</f>
        <v>Europe (excluding UK) &amp; Asia Pacific</v>
      </c>
      <c r="D371" s="258" t="str">
        <f>IFERROR(__xludf.DUMMYFUNCTION("""COMPUTED_VALUE"""),"km. My car displays range in kilometres and I will enter all range numbers in kilometres.")</f>
        <v>km. My car displays range in kilometres and I will enter all range numbers in kilometres.</v>
      </c>
      <c r="E371" s="259">
        <f>IFERROR(__xludf.DUMMYFUNCTION("""COMPUTED_VALUE"""),43296.0)</f>
        <v>43296</v>
      </c>
      <c r="F371" s="258" t="str">
        <f>IFERROR(__xludf.DUMMYFUNCTION("""COMPUTED_VALUE"""),"Model X 100D")</f>
        <v>Model X 100D</v>
      </c>
      <c r="G371" s="258" t="str">
        <f>IFERROR(__xludf.DUMMYFUNCTION("""COMPUTED_VALUE"""),"Monthly")</f>
        <v>Monthly</v>
      </c>
      <c r="H371" s="258" t="str">
        <f>IFERROR(__xludf.DUMMYFUNCTION("""COMPUTED_VALUE"""),"Once or twice a year")</f>
        <v>Once or twice a year</v>
      </c>
      <c r="I371" s="258" t="str">
        <f>IFERROR(__xludf.DUMMYFUNCTION("""COMPUTED_VALUE"""),"Once or twice a year")</f>
        <v>Once or twice a year</v>
      </c>
      <c r="J371" s="260">
        <f>IFERROR(__xludf.DUMMYFUNCTION("""COMPUTED_VALUE"""),0.8)</f>
        <v>0.8</v>
      </c>
      <c r="K371" s="258">
        <f>IFERROR(__xludf.DUMMYFUNCTION("""COMPUTED_VALUE"""),450.0)</f>
        <v>450</v>
      </c>
      <c r="L371" s="258" t="str">
        <f>IFERROR(__xludf.DUMMYFUNCTION("""COMPUTED_VALUE"""),"")</f>
        <v/>
      </c>
      <c r="M371" s="261">
        <f>IFERROR(__xludf.DUMMYFUNCTION("""COMPUTED_VALUE"""),225.0)</f>
        <v>225</v>
      </c>
      <c r="N371" s="262" t="str">
        <f>IFERROR(__xludf.DUMMYFUNCTION("""COMPUTED_VALUE"""),"")</f>
        <v/>
      </c>
      <c r="O371" s="259" t="str">
        <f>IFERROR(__xludf.DUMMYFUNCTION("""COMPUTED_VALUE"""),"")</f>
        <v/>
      </c>
      <c r="P371" s="259">
        <f>IFERROR(__xludf.DUMMYFUNCTION("""COMPUTED_VALUE"""),43804.0)</f>
        <v>43804</v>
      </c>
      <c r="Q371" s="258">
        <f>IFERROR(__xludf.DUMMYFUNCTION("""COMPUTED_VALUE"""),20353.0)</f>
        <v>20353</v>
      </c>
      <c r="R371" s="261">
        <f>IFERROR(__xludf.DUMMYFUNCTION("""COMPUTED_VALUE"""),435.0)</f>
        <v>435</v>
      </c>
      <c r="S371" s="258">
        <v>448.0</v>
      </c>
      <c r="T371" s="263">
        <v>0.9709821428571429</v>
      </c>
      <c r="U371" s="264">
        <v>12647.0</v>
      </c>
      <c r="V371" s="265">
        <v>20353.0</v>
      </c>
      <c r="W371" s="264">
        <v>12647.0</v>
      </c>
      <c r="X371" s="266" t="str">
        <f>IFERROR(__xludf.DUMMYFUNCTION("""COMPUTED_VALUE"""),"MjjVonk")</f>
        <v>MjjVonk</v>
      </c>
      <c r="Y371" s="267">
        <v>-0.01</v>
      </c>
      <c r="Z371" s="267">
        <v>0.9741879107219085</v>
      </c>
      <c r="AA371" s="269"/>
      <c r="AB371" s="270"/>
      <c r="AC371" s="270"/>
      <c r="AD371" s="270"/>
      <c r="AE371" s="270"/>
    </row>
    <row r="372">
      <c r="A372" s="256">
        <f>IFERROR(__xludf.DUMMYFUNCTION("""COMPUTED_VALUE"""),41906.01180555556)</f>
        <v>41906.01181</v>
      </c>
      <c r="B372" s="257" t="str">
        <f>IFERROR(__xludf.DUMMYFUNCTION("""COMPUTED_VALUE"""),"Energie Gratiz")</f>
        <v>Energie Gratiz</v>
      </c>
      <c r="C372" s="258" t="str">
        <f>IFERROR(__xludf.DUMMYFUNCTION("""COMPUTED_VALUE"""),"Europe (excluding UK) &amp; Asia Pacific")</f>
        <v>Europe (excluding UK) &amp; Asia Pacific</v>
      </c>
      <c r="D372" s="258" t="str">
        <f>IFERROR(__xludf.DUMMYFUNCTION("""COMPUTED_VALUE"""),"km. My car displays range in kilometres and I will enter all range numbers in kilometres.")</f>
        <v>km. My car displays range in kilometres and I will enter all range numbers in kilometres.</v>
      </c>
      <c r="E372" s="259">
        <f>IFERROR(__xludf.DUMMYFUNCTION("""COMPUTED_VALUE"""),41618.0)</f>
        <v>41618</v>
      </c>
      <c r="F372" s="258" t="str">
        <f>IFERROR(__xludf.DUMMYFUNCTION("""COMPUTED_VALUE"""),"Model S P85")</f>
        <v>Model S P85</v>
      </c>
      <c r="G372" s="258" t="str">
        <f>IFERROR(__xludf.DUMMYFUNCTION("""COMPUTED_VALUE"""),"Weekly")</f>
        <v>Weekly</v>
      </c>
      <c r="H372" s="258" t="str">
        <f>IFERROR(__xludf.DUMMYFUNCTION("""COMPUTED_VALUE"""),"Never")</f>
        <v>Never</v>
      </c>
      <c r="I372" s="258" t="str">
        <f>IFERROR(__xludf.DUMMYFUNCTION("""COMPUTED_VALUE"""),"Once or twice a year")</f>
        <v>Once or twice a year</v>
      </c>
      <c r="J372" s="260" t="str">
        <f>IFERROR(__xludf.DUMMYFUNCTION("""COMPUTED_VALUE"""),"")</f>
        <v/>
      </c>
      <c r="K372" s="258" t="str">
        <f>IFERROR(__xludf.DUMMYFUNCTION("""COMPUTED_VALUE"""),"")</f>
        <v/>
      </c>
      <c r="L372" s="258" t="str">
        <f>IFERROR(__xludf.DUMMYFUNCTION("""COMPUTED_VALUE"""),"")</f>
        <v/>
      </c>
      <c r="M372" s="261">
        <f>IFERROR(__xludf.DUMMYFUNCTION("""COMPUTED_VALUE"""),218.0)</f>
        <v>218</v>
      </c>
      <c r="N372" s="262" t="str">
        <f>IFERROR(__xludf.DUMMYFUNCTION("""COMPUTED_VALUE"""),"")</f>
        <v/>
      </c>
      <c r="O372" s="259" t="str">
        <f>IFERROR(__xludf.DUMMYFUNCTION("""COMPUTED_VALUE"""),"")</f>
        <v/>
      </c>
      <c r="P372" s="259">
        <f>IFERROR(__xludf.DUMMYFUNCTION("""COMPUTED_VALUE"""),41906.0)</f>
        <v>41906</v>
      </c>
      <c r="Q372" s="258">
        <f>IFERROR(__xludf.DUMMYFUNCTION("""COMPUTED_VALUE"""),73353.0)</f>
        <v>73353</v>
      </c>
      <c r="R372" s="261">
        <f>IFERROR(__xludf.DUMMYFUNCTION("""COMPUTED_VALUE"""),380.0)</f>
        <v>380</v>
      </c>
      <c r="S372" s="258">
        <v>395.0</v>
      </c>
      <c r="T372" s="263">
        <v>0.9620253164556962</v>
      </c>
      <c r="U372" s="264">
        <v>45579.0</v>
      </c>
      <c r="V372" s="265">
        <v>73353.0</v>
      </c>
      <c r="W372" s="264">
        <v>45579.0</v>
      </c>
      <c r="X372" s="266" t="str">
        <f>IFERROR(__xludf.DUMMYFUNCTION("""COMPUTED_VALUE"""),"Mjølner")</f>
        <v>Mjølner</v>
      </c>
      <c r="Y372" s="267">
        <v>-0.01</v>
      </c>
      <c r="Z372" s="267">
        <v>0.9530687162509511</v>
      </c>
      <c r="AA372" s="269"/>
      <c r="AB372" s="270"/>
      <c r="AC372" s="270"/>
      <c r="AD372" s="270"/>
      <c r="AE372" s="270"/>
    </row>
    <row r="373">
      <c r="A373" s="256">
        <f>IFERROR(__xludf.DUMMYFUNCTION("""COMPUTED_VALUE"""),42347.240277777775)</f>
        <v>42347.24028</v>
      </c>
      <c r="B373" s="257" t="str">
        <f>IFERROR(__xludf.DUMMYFUNCTION("""COMPUTED_VALUE"""),"Energie Gratiz")</f>
        <v>Energie Gratiz</v>
      </c>
      <c r="C373" s="258" t="str">
        <f>IFERROR(__xludf.DUMMYFUNCTION("""COMPUTED_VALUE"""),"Europe (excluding UK) &amp; Asia Pacific")</f>
        <v>Europe (excluding UK) &amp; Asia Pacific</v>
      </c>
      <c r="D373" s="258" t="str">
        <f>IFERROR(__xludf.DUMMYFUNCTION("""COMPUTED_VALUE"""),"km. My car displays range in kilometres and I will enter all range numbers in kilometres.")</f>
        <v>km. My car displays range in kilometres and I will enter all range numbers in kilometres.</v>
      </c>
      <c r="E373" s="259">
        <f>IFERROR(__xludf.DUMMYFUNCTION("""COMPUTED_VALUE"""),41618.0)</f>
        <v>41618</v>
      </c>
      <c r="F373" s="258" t="str">
        <f>IFERROR(__xludf.DUMMYFUNCTION("""COMPUTED_VALUE"""),"Model S P85")</f>
        <v>Model S P85</v>
      </c>
      <c r="G373" s="258" t="str">
        <f>IFERROR(__xludf.DUMMYFUNCTION("""COMPUTED_VALUE"""),"Weekly")</f>
        <v>Weekly</v>
      </c>
      <c r="H373" s="258" t="str">
        <f>IFERROR(__xludf.DUMMYFUNCTION("""COMPUTED_VALUE"""),"Twice a week")</f>
        <v>Twice a week</v>
      </c>
      <c r="I373" s="258" t="str">
        <f>IFERROR(__xludf.DUMMYFUNCTION("""COMPUTED_VALUE"""),"Monthly")</f>
        <v>Monthly</v>
      </c>
      <c r="J373" s="260">
        <f>IFERROR(__xludf.DUMMYFUNCTION("""COMPUTED_VALUE"""),0.9)</f>
        <v>0.9</v>
      </c>
      <c r="K373" s="258">
        <f>IFERROR(__xludf.DUMMYFUNCTION("""COMPUTED_VALUE"""),399.0)</f>
        <v>399</v>
      </c>
      <c r="L373" s="258" t="str">
        <f>IFERROR(__xludf.DUMMYFUNCTION("""COMPUTED_VALUE"""),"")</f>
        <v/>
      </c>
      <c r="M373" s="261">
        <f>IFERROR(__xludf.DUMMYFUNCTION("""COMPUTED_VALUE"""),232.0)</f>
        <v>232</v>
      </c>
      <c r="N373" s="262">
        <f>IFERROR(__xludf.DUMMYFUNCTION("""COMPUTED_VALUE"""),77000.0)</f>
        <v>77000</v>
      </c>
      <c r="O373" s="259" t="str">
        <f>IFERROR(__xludf.DUMMYFUNCTION("""COMPUTED_VALUE"""),"Increased by 20 km or mi")</f>
        <v>Increased by 20 km or mi</v>
      </c>
      <c r="P373" s="259">
        <f>IFERROR(__xludf.DUMMYFUNCTION("""COMPUTED_VALUE"""),42347.0)</f>
        <v>42347</v>
      </c>
      <c r="Q373" s="258">
        <f>IFERROR(__xludf.DUMMYFUNCTION("""COMPUTED_VALUE"""),173200.0)</f>
        <v>173200</v>
      </c>
      <c r="R373" s="261">
        <f>IFERROR(__xludf.DUMMYFUNCTION("""COMPUTED_VALUE"""),371.0)</f>
        <v>371</v>
      </c>
      <c r="S373" s="258">
        <v>395.0</v>
      </c>
      <c r="T373" s="263">
        <v>0.9392405063291139</v>
      </c>
      <c r="U373" s="264">
        <v>107621.0</v>
      </c>
      <c r="V373" s="265">
        <v>173200.0</v>
      </c>
      <c r="W373" s="264">
        <v>107621.0</v>
      </c>
      <c r="X373" s="266" t="str">
        <f>IFERROR(__xludf.DUMMYFUNCTION("""COMPUTED_VALUE"""),"mknox")</f>
        <v>mknox</v>
      </c>
      <c r="Y373" s="267">
        <v>-0.01</v>
      </c>
      <c r="Z373" s="267">
        <v>0.9296127226266575</v>
      </c>
      <c r="AA373" s="269"/>
      <c r="AB373" s="270"/>
      <c r="AC373" s="270"/>
      <c r="AD373" s="270"/>
      <c r="AE373" s="270"/>
    </row>
    <row r="374">
      <c r="A374" s="256">
        <f>IFERROR(__xludf.DUMMYFUNCTION("""COMPUTED_VALUE"""),42536.35416666667)</f>
        <v>42536.35417</v>
      </c>
      <c r="B374" s="257" t="str">
        <f>IFERROR(__xludf.DUMMYFUNCTION("""COMPUTED_VALUE"""),"Energie Gratiz")</f>
        <v>Energie Gratiz</v>
      </c>
      <c r="C374" s="258" t="str">
        <f>IFERROR(__xludf.DUMMYFUNCTION("""COMPUTED_VALUE"""),"Europe (excluding UK) &amp; Asia Pacific")</f>
        <v>Europe (excluding UK) &amp; Asia Pacific</v>
      </c>
      <c r="D374" s="258" t="str">
        <f>IFERROR(__xludf.DUMMYFUNCTION("""COMPUTED_VALUE"""),"km. My car displays range in kilometres and I will enter all range numbers in kilometres.")</f>
        <v>km. My car displays range in kilometres and I will enter all range numbers in kilometres.</v>
      </c>
      <c r="E374" s="259">
        <f>IFERROR(__xludf.DUMMYFUNCTION("""COMPUTED_VALUE"""),41618.0)</f>
        <v>41618</v>
      </c>
      <c r="F374" s="258" t="str">
        <f>IFERROR(__xludf.DUMMYFUNCTION("""COMPUTED_VALUE"""),"Model S P85")</f>
        <v>Model S P85</v>
      </c>
      <c r="G374" s="258" t="str">
        <f>IFERROR(__xludf.DUMMYFUNCTION("""COMPUTED_VALUE"""),"")</f>
        <v/>
      </c>
      <c r="H374" s="258" t="str">
        <f>IFERROR(__xludf.DUMMYFUNCTION("""COMPUTED_VALUE"""),"")</f>
        <v/>
      </c>
      <c r="I374" s="258" t="str">
        <f>IFERROR(__xludf.DUMMYFUNCTION("""COMPUTED_VALUE"""),"")</f>
        <v/>
      </c>
      <c r="J374" s="260" t="str">
        <f>IFERROR(__xludf.DUMMYFUNCTION("""COMPUTED_VALUE"""),"")</f>
        <v/>
      </c>
      <c r="K374" s="258" t="str">
        <f>IFERROR(__xludf.DUMMYFUNCTION("""COMPUTED_VALUE"""),"")</f>
        <v/>
      </c>
      <c r="L374" s="258" t="str">
        <f>IFERROR(__xludf.DUMMYFUNCTION("""COMPUTED_VALUE"""),"")</f>
        <v/>
      </c>
      <c r="M374" s="261">
        <f>IFERROR(__xludf.DUMMYFUNCTION("""COMPUTED_VALUE"""),228.0)</f>
        <v>228</v>
      </c>
      <c r="N374" s="262">
        <f>IFERROR(__xludf.DUMMYFUNCTION("""COMPUTED_VALUE"""),77000.0)</f>
        <v>77000</v>
      </c>
      <c r="O374" s="259" t="str">
        <f>IFERROR(__xludf.DUMMYFUNCTION("""COMPUTED_VALUE"""),"Increased by 20 km or mi")</f>
        <v>Increased by 20 km or mi</v>
      </c>
      <c r="P374" s="259">
        <f>IFERROR(__xludf.DUMMYFUNCTION("""COMPUTED_VALUE"""),42536.0)</f>
        <v>42536</v>
      </c>
      <c r="Q374" s="258">
        <f>IFERROR(__xludf.DUMMYFUNCTION("""COMPUTED_VALUE"""),231000.0)</f>
        <v>231000</v>
      </c>
      <c r="R374" s="261">
        <f>IFERROR(__xludf.DUMMYFUNCTION("""COMPUTED_VALUE"""),370.0)</f>
        <v>370</v>
      </c>
      <c r="S374" s="258">
        <v>395.0</v>
      </c>
      <c r="T374" s="263">
        <v>0.9367088607594937</v>
      </c>
      <c r="U374" s="264">
        <v>143537.0</v>
      </c>
      <c r="V374" s="265">
        <v>231000.0</v>
      </c>
      <c r="W374" s="264">
        <v>143537.0</v>
      </c>
      <c r="X374" s="266" t="str">
        <f>IFERROR(__xludf.DUMMYFUNCTION("""COMPUTED_VALUE"""),"mmccord")</f>
        <v>mmccord</v>
      </c>
      <c r="Y374" s="267">
        <v>-0.01</v>
      </c>
      <c r="Z374" s="267">
        <v>0.9162800812134579</v>
      </c>
      <c r="AA374" s="269"/>
      <c r="AB374" s="270"/>
      <c r="AC374" s="270"/>
      <c r="AD374" s="270"/>
      <c r="AE374" s="270"/>
    </row>
    <row r="375">
      <c r="A375" s="256">
        <f>IFERROR(__xludf.DUMMYFUNCTION("""COMPUTED_VALUE"""),43123.677777777775)</f>
        <v>43123.67778</v>
      </c>
      <c r="B375" s="257" t="str">
        <f>IFERROR(__xludf.DUMMYFUNCTION("""COMPUTED_VALUE"""),"Energie Gratiz")</f>
        <v>Energie Gratiz</v>
      </c>
      <c r="C375" s="258" t="str">
        <f>IFERROR(__xludf.DUMMYFUNCTION("""COMPUTED_VALUE"""),"Europe (excluding UK) &amp; Asia Pacific")</f>
        <v>Europe (excluding UK) &amp; Asia Pacific</v>
      </c>
      <c r="D375" s="258" t="str">
        <f>IFERROR(__xludf.DUMMYFUNCTION("""COMPUTED_VALUE"""),"km. My car displays range in kilometres and I will enter all range numbers in kilometres.")</f>
        <v>km. My car displays range in kilometres and I will enter all range numbers in kilometres.</v>
      </c>
      <c r="E375" s="259">
        <f>IFERROR(__xludf.DUMMYFUNCTION("""COMPUTED_VALUE"""),41618.0)</f>
        <v>41618</v>
      </c>
      <c r="F375" s="258" t="str">
        <f>IFERROR(__xludf.DUMMYFUNCTION("""COMPUTED_VALUE"""),"Model S P85")</f>
        <v>Model S P85</v>
      </c>
      <c r="G375" s="258" t="str">
        <f>IFERROR(__xludf.DUMMYFUNCTION("""COMPUTED_VALUE"""),"Twice a week")</f>
        <v>Twice a week</v>
      </c>
      <c r="H375" s="258" t="str">
        <f>IFERROR(__xludf.DUMMYFUNCTION("""COMPUTED_VALUE"""),"Twice a week")</f>
        <v>Twice a week</v>
      </c>
      <c r="I375" s="258" t="str">
        <f>IFERROR(__xludf.DUMMYFUNCTION("""COMPUTED_VALUE"""),"Weekly")</f>
        <v>Weekly</v>
      </c>
      <c r="J375" s="260">
        <f>IFERROR(__xludf.DUMMYFUNCTION("""COMPUTED_VALUE"""),0.9)</f>
        <v>0.9</v>
      </c>
      <c r="K375" s="258">
        <f>IFERROR(__xludf.DUMMYFUNCTION("""COMPUTED_VALUE"""),490.0)</f>
        <v>490</v>
      </c>
      <c r="L375" s="258" t="str">
        <f>IFERROR(__xludf.DUMMYFUNCTION("""COMPUTED_VALUE"""),"")</f>
        <v/>
      </c>
      <c r="M375" s="261">
        <f>IFERROR(__xludf.DUMMYFUNCTION("""COMPUTED_VALUE"""),233.0)</f>
        <v>233</v>
      </c>
      <c r="N375" s="262">
        <f>IFERROR(__xludf.DUMMYFUNCTION("""COMPUTED_VALUE"""),77000.0)</f>
        <v>77000</v>
      </c>
      <c r="O375" s="259" t="str">
        <f>IFERROR(__xludf.DUMMYFUNCTION("""COMPUTED_VALUE"""),"Increased by 20 km or mi")</f>
        <v>Increased by 20 km or mi</v>
      </c>
      <c r="P375" s="259">
        <f>IFERROR(__xludf.DUMMYFUNCTION("""COMPUTED_VALUE"""),43123.0)</f>
        <v>43123</v>
      </c>
      <c r="Q375" s="258">
        <f>IFERROR(__xludf.DUMMYFUNCTION("""COMPUTED_VALUE"""),361500.0)</f>
        <v>361500</v>
      </c>
      <c r="R375" s="261">
        <f>IFERROR(__xludf.DUMMYFUNCTION("""COMPUTED_VALUE"""),355.0)</f>
        <v>355</v>
      </c>
      <c r="S375" s="258">
        <v>395.0</v>
      </c>
      <c r="T375" s="263">
        <v>0.8987341772151899</v>
      </c>
      <c r="U375" s="264">
        <v>224626.0</v>
      </c>
      <c r="V375" s="265">
        <v>361500.0</v>
      </c>
      <c r="W375" s="264">
        <v>224626.0</v>
      </c>
      <c r="X375" s="266" t="str">
        <f>IFERROR(__xludf.DUMMYFUNCTION("""COMPUTED_VALUE"""),"MNGreene")</f>
        <v>MNGreene</v>
      </c>
      <c r="Y375" s="267">
        <v>-0.01</v>
      </c>
      <c r="Z375" s="267">
        <v>0.8861806014152989</v>
      </c>
      <c r="AA375" s="269"/>
      <c r="AB375" s="270"/>
      <c r="AC375" s="270"/>
      <c r="AD375" s="270"/>
      <c r="AE375" s="270"/>
    </row>
    <row r="376">
      <c r="A376" s="256">
        <f>IFERROR(__xludf.DUMMYFUNCTION("""COMPUTED_VALUE"""),42132.11319444445)</f>
        <v>42132.11319</v>
      </c>
      <c r="B376" s="257" t="str">
        <f>IFERROR(__xludf.DUMMYFUNCTION("""COMPUTED_VALUE"""),"Eric Vergeer")</f>
        <v>Eric Vergeer</v>
      </c>
      <c r="C376" s="258" t="str">
        <f>IFERROR(__xludf.DUMMYFUNCTION("""COMPUTED_VALUE"""),"Europe (excluding UK) &amp; Asia Pacific")</f>
        <v>Europe (excluding UK) &amp; Asia Pacific</v>
      </c>
      <c r="D376" s="258" t="str">
        <f>IFERROR(__xludf.DUMMYFUNCTION("""COMPUTED_VALUE"""),"km. My car displays range in kilometres and I will enter all range numbers in kilometres.")</f>
        <v>km. My car displays range in kilometres and I will enter all range numbers in kilometres.</v>
      </c>
      <c r="E376" s="259">
        <f>IFERROR(__xludf.DUMMYFUNCTION("""COMPUTED_VALUE"""),42090.0)</f>
        <v>42090</v>
      </c>
      <c r="F376" s="258" t="str">
        <f>IFERROR(__xludf.DUMMYFUNCTION("""COMPUTED_VALUE"""),"Model S P85D")</f>
        <v>Model S P85D</v>
      </c>
      <c r="G376" s="258" t="str">
        <f>IFERROR(__xludf.DUMMYFUNCTION("""COMPUTED_VALUE"""),"Twice a month")</f>
        <v>Twice a month</v>
      </c>
      <c r="H376" s="258" t="str">
        <f>IFERROR(__xludf.DUMMYFUNCTION("""COMPUTED_VALUE"""),"Twice a month")</f>
        <v>Twice a month</v>
      </c>
      <c r="I376" s="258" t="str">
        <f>IFERROR(__xludf.DUMMYFUNCTION("""COMPUTED_VALUE"""),"Monthly")</f>
        <v>Monthly</v>
      </c>
      <c r="J376" s="260">
        <f>IFERROR(__xludf.DUMMYFUNCTION("""COMPUTED_VALUE"""),0.9)</f>
        <v>0.9</v>
      </c>
      <c r="K376" s="258" t="str">
        <f>IFERROR(__xludf.DUMMYFUNCTION("""COMPUTED_VALUE"""),"")</f>
        <v/>
      </c>
      <c r="L376" s="258" t="str">
        <f>IFERROR(__xludf.DUMMYFUNCTION("""COMPUTED_VALUE"""),"")</f>
        <v/>
      </c>
      <c r="M376" s="261">
        <f>IFERROR(__xludf.DUMMYFUNCTION("""COMPUTED_VALUE"""),268.0)</f>
        <v>268</v>
      </c>
      <c r="N376" s="262" t="str">
        <f>IFERROR(__xludf.DUMMYFUNCTION("""COMPUTED_VALUE"""),"")</f>
        <v/>
      </c>
      <c r="O376" s="259" t="str">
        <f>IFERROR(__xludf.DUMMYFUNCTION("""COMPUTED_VALUE"""),"")</f>
        <v/>
      </c>
      <c r="P376" s="259">
        <f>IFERROR(__xludf.DUMMYFUNCTION("""COMPUTED_VALUE"""),42132.0)</f>
        <v>42132</v>
      </c>
      <c r="Q376" s="258">
        <f>IFERROR(__xludf.DUMMYFUNCTION("""COMPUTED_VALUE"""),3503.0)</f>
        <v>3503</v>
      </c>
      <c r="R376" s="261">
        <f>IFERROR(__xludf.DUMMYFUNCTION("""COMPUTED_VALUE"""),405.0)</f>
        <v>405</v>
      </c>
      <c r="S376" s="258">
        <v>403.0</v>
      </c>
      <c r="T376" s="263">
        <v>1.0049627791563276</v>
      </c>
      <c r="U376" s="264">
        <v>2177.0</v>
      </c>
      <c r="V376" s="265">
        <v>3503.0</v>
      </c>
      <c r="W376" s="264">
        <v>2177.0</v>
      </c>
      <c r="X376" s="266" t="str">
        <f>IFERROR(__xludf.DUMMYFUNCTION("""COMPUTED_VALUE"""),"mnpTesla")</f>
        <v>mnpTesla</v>
      </c>
      <c r="Y376" s="267">
        <v>-0.01</v>
      </c>
      <c r="Z376" s="267">
        <v>0.9935829971214712</v>
      </c>
      <c r="AA376" s="269"/>
      <c r="AB376" s="270"/>
      <c r="AC376" s="270"/>
      <c r="AD376" s="270"/>
      <c r="AE376" s="270"/>
    </row>
    <row r="377">
      <c r="A377" s="256">
        <f>IFERROR(__xludf.DUMMYFUNCTION("""COMPUTED_VALUE"""),42978.59583333333)</f>
        <v>42978.59583</v>
      </c>
      <c r="B377" s="257" t="str">
        <f>IFERROR(__xludf.DUMMYFUNCTION("""COMPUTED_VALUE"""),"eric verlaet")</f>
        <v>eric verlaet</v>
      </c>
      <c r="C377" s="258" t="str">
        <f>IFERROR(__xludf.DUMMYFUNCTION("""COMPUTED_VALUE"""),"Europe (excluding UK) &amp; Asia Pacific")</f>
        <v>Europe (excluding UK) &amp; Asia Pacific</v>
      </c>
      <c r="D377" s="258" t="str">
        <f>IFERROR(__xludf.DUMMYFUNCTION("""COMPUTED_VALUE"""),"km. My car displays range in kilometres and I will enter all range numbers in kilometres.")</f>
        <v>km. My car displays range in kilometres and I will enter all range numbers in kilometres.</v>
      </c>
      <c r="E377" s="259">
        <f>IFERROR(__xludf.DUMMYFUNCTION("""COMPUTED_VALUE"""),42262.0)</f>
        <v>42262</v>
      </c>
      <c r="F377" s="258" t="str">
        <f>IFERROR(__xludf.DUMMYFUNCTION("""COMPUTED_VALUE"""),"Model S 70D")</f>
        <v>Model S 70D</v>
      </c>
      <c r="G377" s="258" t="str">
        <f>IFERROR(__xludf.DUMMYFUNCTION("""COMPUTED_VALUE"""),"Monthly")</f>
        <v>Monthly</v>
      </c>
      <c r="H377" s="258" t="str">
        <f>IFERROR(__xludf.DUMMYFUNCTION("""COMPUTED_VALUE"""),"Monthly")</f>
        <v>Monthly</v>
      </c>
      <c r="I377" s="258" t="str">
        <f>IFERROR(__xludf.DUMMYFUNCTION("""COMPUTED_VALUE"""),"Never")</f>
        <v>Never</v>
      </c>
      <c r="J377" s="260">
        <f>IFERROR(__xludf.DUMMYFUNCTION("""COMPUTED_VALUE"""),0.8)</f>
        <v>0.8</v>
      </c>
      <c r="K377" s="258">
        <f>IFERROR(__xludf.DUMMYFUNCTION("""COMPUTED_VALUE"""),382.0)</f>
        <v>382</v>
      </c>
      <c r="L377" s="258" t="str">
        <f>IFERROR(__xludf.DUMMYFUNCTION("""COMPUTED_VALUE"""),"")</f>
        <v/>
      </c>
      <c r="M377" s="261">
        <f>IFERROR(__xludf.DUMMYFUNCTION("""COMPUTED_VALUE"""),178.0)</f>
        <v>178</v>
      </c>
      <c r="N377" s="262" t="str">
        <f>IFERROR(__xludf.DUMMYFUNCTION("""COMPUTED_VALUE"""),"")</f>
        <v/>
      </c>
      <c r="O377" s="259" t="str">
        <f>IFERROR(__xludf.DUMMYFUNCTION("""COMPUTED_VALUE"""),"")</f>
        <v/>
      </c>
      <c r="P377" s="259">
        <f>IFERROR(__xludf.DUMMYFUNCTION("""COMPUTED_VALUE"""),42978.0)</f>
        <v>42978</v>
      </c>
      <c r="Q377" s="258">
        <f>IFERROR(__xludf.DUMMYFUNCTION("""COMPUTED_VALUE"""),91770.0)</f>
        <v>91770</v>
      </c>
      <c r="R377" s="261">
        <f>IFERROR(__xludf.DUMMYFUNCTION("""COMPUTED_VALUE"""),356.0)</f>
        <v>356</v>
      </c>
      <c r="S377" s="258">
        <v>360.0</v>
      </c>
      <c r="T377" s="263">
        <v>0.9888888888888889</v>
      </c>
      <c r="U377" s="264">
        <v>57023.0</v>
      </c>
      <c r="V377" s="265">
        <v>91770.0</v>
      </c>
      <c r="W377" s="264">
        <v>57023.0</v>
      </c>
      <c r="X377" s="266" t="str">
        <f>IFERROR(__xludf.DUMMYFUNCTION("""COMPUTED_VALUE"""),"moho")</f>
        <v>moho</v>
      </c>
      <c r="Y377" s="267">
        <v>-0.01</v>
      </c>
      <c r="Z377" s="267">
        <v>0.9485396722186553</v>
      </c>
      <c r="AA377" s="269"/>
      <c r="AB377" s="270"/>
      <c r="AC377" s="270"/>
      <c r="AD377" s="270"/>
      <c r="AE377" s="270"/>
    </row>
    <row r="378">
      <c r="A378" s="256">
        <f>IFERROR(__xludf.DUMMYFUNCTION("""COMPUTED_VALUE"""),42986.60208333333)</f>
        <v>42986.60208</v>
      </c>
      <c r="B378" s="257" t="str">
        <f>IFERROR(__xludf.DUMMYFUNCTION("""COMPUTED_VALUE"""),"eric verlaet")</f>
        <v>eric verlaet</v>
      </c>
      <c r="C378" s="258" t="str">
        <f>IFERROR(__xludf.DUMMYFUNCTION("""COMPUTED_VALUE"""),"Europe (excluding UK) &amp; Asia Pacific")</f>
        <v>Europe (excluding UK) &amp; Asia Pacific</v>
      </c>
      <c r="D378" s="258" t="str">
        <f>IFERROR(__xludf.DUMMYFUNCTION("""COMPUTED_VALUE"""),"km. My car displays range in kilometres and I will enter all range numbers in kilometres.")</f>
        <v>km. My car displays range in kilometres and I will enter all range numbers in kilometres.</v>
      </c>
      <c r="E378" s="259">
        <f>IFERROR(__xludf.DUMMYFUNCTION("""COMPUTED_VALUE"""),42262.0)</f>
        <v>42262</v>
      </c>
      <c r="F378" s="258" t="str">
        <f>IFERROR(__xludf.DUMMYFUNCTION("""COMPUTED_VALUE"""),"Model S 70D")</f>
        <v>Model S 70D</v>
      </c>
      <c r="G378" s="258" t="str">
        <f>IFERROR(__xludf.DUMMYFUNCTION("""COMPUTED_VALUE"""),"Twice a month")</f>
        <v>Twice a month</v>
      </c>
      <c r="H378" s="258" t="str">
        <f>IFERROR(__xludf.DUMMYFUNCTION("""COMPUTED_VALUE"""),"Monthly")</f>
        <v>Monthly</v>
      </c>
      <c r="I378" s="258" t="str">
        <f>IFERROR(__xludf.DUMMYFUNCTION("""COMPUTED_VALUE"""),"Never")</f>
        <v>Never</v>
      </c>
      <c r="J378" s="260">
        <f>IFERROR(__xludf.DUMMYFUNCTION("""COMPUTED_VALUE"""),0.8)</f>
        <v>0.8</v>
      </c>
      <c r="K378" s="258">
        <f>IFERROR(__xludf.DUMMYFUNCTION("""COMPUTED_VALUE"""),382.0)</f>
        <v>382</v>
      </c>
      <c r="L378" s="258" t="str">
        <f>IFERROR(__xludf.DUMMYFUNCTION("""COMPUTED_VALUE"""),"")</f>
        <v/>
      </c>
      <c r="M378" s="261">
        <f>IFERROR(__xludf.DUMMYFUNCTION("""COMPUTED_VALUE"""),178.0)</f>
        <v>178</v>
      </c>
      <c r="N378" s="262" t="str">
        <f>IFERROR(__xludf.DUMMYFUNCTION("""COMPUTED_VALUE"""),"")</f>
        <v/>
      </c>
      <c r="O378" s="259" t="str">
        <f>IFERROR(__xludf.DUMMYFUNCTION("""COMPUTED_VALUE"""),"")</f>
        <v/>
      </c>
      <c r="P378" s="259">
        <f>IFERROR(__xludf.DUMMYFUNCTION("""COMPUTED_VALUE"""),42986.0)</f>
        <v>42986</v>
      </c>
      <c r="Q378" s="258">
        <f>IFERROR(__xludf.DUMMYFUNCTION("""COMPUTED_VALUE"""),93005.0)</f>
        <v>93005</v>
      </c>
      <c r="R378" s="261">
        <f>IFERROR(__xludf.DUMMYFUNCTION("""COMPUTED_VALUE"""),351.0)</f>
        <v>351</v>
      </c>
      <c r="S378" s="258">
        <v>360.0</v>
      </c>
      <c r="T378" s="263">
        <v>0.975</v>
      </c>
      <c r="U378" s="264">
        <v>57791.0</v>
      </c>
      <c r="V378" s="265">
        <v>93005.0</v>
      </c>
      <c r="W378" s="264">
        <v>57791.0</v>
      </c>
      <c r="X378" s="266" t="str">
        <f>IFERROR(__xludf.DUMMYFUNCTION("""COMPUTED_VALUE"""),"morth_S")</f>
        <v>morth_S</v>
      </c>
      <c r="Y378" s="267">
        <v>-0.01</v>
      </c>
      <c r="Z378" s="267">
        <v>0.9482446623354522</v>
      </c>
      <c r="AA378" s="269"/>
      <c r="AB378" s="270"/>
      <c r="AC378" s="270"/>
      <c r="AD378" s="270"/>
      <c r="AE378" s="270"/>
    </row>
    <row r="379">
      <c r="A379" s="256">
        <f>IFERROR(__xludf.DUMMYFUNCTION("""COMPUTED_VALUE"""),43058.63541666667)</f>
        <v>43058.63542</v>
      </c>
      <c r="B379" s="257" t="str">
        <f>IFERROR(__xludf.DUMMYFUNCTION("""COMPUTED_VALUE"""),"eric verlaet")</f>
        <v>eric verlaet</v>
      </c>
      <c r="C379" s="258" t="str">
        <f>IFERROR(__xludf.DUMMYFUNCTION("""COMPUTED_VALUE"""),"Europe (excluding UK) &amp; Asia Pacific")</f>
        <v>Europe (excluding UK) &amp; Asia Pacific</v>
      </c>
      <c r="D379" s="258" t="str">
        <f>IFERROR(__xludf.DUMMYFUNCTION("""COMPUTED_VALUE"""),"km. My car displays range in kilometres and I will enter all range numbers in kilometres.")</f>
        <v>km. My car displays range in kilometres and I will enter all range numbers in kilometres.</v>
      </c>
      <c r="E379" s="259">
        <f>IFERROR(__xludf.DUMMYFUNCTION("""COMPUTED_VALUE"""),42262.0)</f>
        <v>42262</v>
      </c>
      <c r="F379" s="258" t="str">
        <f>IFERROR(__xludf.DUMMYFUNCTION("""COMPUTED_VALUE"""),"Model S 70D")</f>
        <v>Model S 70D</v>
      </c>
      <c r="G379" s="258" t="str">
        <f>IFERROR(__xludf.DUMMYFUNCTION("""COMPUTED_VALUE"""),"Weekly")</f>
        <v>Weekly</v>
      </c>
      <c r="H379" s="258" t="str">
        <f>IFERROR(__xludf.DUMMYFUNCTION("""COMPUTED_VALUE"""),"Weekly")</f>
        <v>Weekly</v>
      </c>
      <c r="I379" s="258" t="str">
        <f>IFERROR(__xludf.DUMMYFUNCTION("""COMPUTED_VALUE"""),"A few times a year")</f>
        <v>A few times a year</v>
      </c>
      <c r="J379" s="260">
        <f>IFERROR(__xludf.DUMMYFUNCTION("""COMPUTED_VALUE"""),0.8)</f>
        <v>0.8</v>
      </c>
      <c r="K379" s="258" t="str">
        <f>IFERROR(__xludf.DUMMYFUNCTION("""COMPUTED_VALUE"""),"")</f>
        <v/>
      </c>
      <c r="L379" s="258" t="str">
        <f>IFERROR(__xludf.DUMMYFUNCTION("""COMPUTED_VALUE"""),"")</f>
        <v/>
      </c>
      <c r="M379" s="261" t="str">
        <f>IFERROR(__xludf.DUMMYFUNCTION("""COMPUTED_VALUE"""),"")</f>
        <v/>
      </c>
      <c r="N379" s="262" t="str">
        <f>IFERROR(__xludf.DUMMYFUNCTION("""COMPUTED_VALUE"""),"")</f>
        <v/>
      </c>
      <c r="O379" s="259" t="str">
        <f>IFERROR(__xludf.DUMMYFUNCTION("""COMPUTED_VALUE"""),"")</f>
        <v/>
      </c>
      <c r="P379" s="259">
        <f>IFERROR(__xludf.DUMMYFUNCTION("""COMPUTED_VALUE"""),43058.0)</f>
        <v>43058</v>
      </c>
      <c r="Q379" s="258">
        <f>IFERROR(__xludf.DUMMYFUNCTION("""COMPUTED_VALUE"""),102748.0)</f>
        <v>102748</v>
      </c>
      <c r="R379" s="261">
        <f>IFERROR(__xludf.DUMMYFUNCTION("""COMPUTED_VALUE"""),352.0)</f>
        <v>352</v>
      </c>
      <c r="S379" s="258">
        <v>360.0</v>
      </c>
      <c r="T379" s="263">
        <v>0.9777777777777777</v>
      </c>
      <c r="U379" s="264">
        <v>63845.0</v>
      </c>
      <c r="V379" s="265">
        <v>102748.0</v>
      </c>
      <c r="W379" s="264">
        <v>63845.0</v>
      </c>
      <c r="X379" s="266" t="str">
        <f>IFERROR(__xludf.DUMMYFUNCTION("""COMPUTED_VALUE"""),"morth_X")</f>
        <v>morth_X</v>
      </c>
      <c r="Y379" s="267">
        <v>-0.01</v>
      </c>
      <c r="Z379" s="267">
        <v>0.9459384406765763</v>
      </c>
      <c r="AA379" s="269"/>
      <c r="AB379" s="270"/>
      <c r="AC379" s="270"/>
      <c r="AD379" s="270"/>
      <c r="AE379" s="270"/>
    </row>
    <row r="380">
      <c r="A380" s="256">
        <f>IFERROR(__xludf.DUMMYFUNCTION("""COMPUTED_VALUE"""),43111.663888888885)</f>
        <v>43111.66389</v>
      </c>
      <c r="B380" s="257" t="str">
        <f>IFERROR(__xludf.DUMMYFUNCTION("""COMPUTED_VALUE"""),"eric verlaet")</f>
        <v>eric verlaet</v>
      </c>
      <c r="C380" s="258" t="str">
        <f>IFERROR(__xludf.DUMMYFUNCTION("""COMPUTED_VALUE"""),"Europe (excluding UK) &amp; Asia Pacific")</f>
        <v>Europe (excluding UK) &amp; Asia Pacific</v>
      </c>
      <c r="D380" s="258" t="str">
        <f>IFERROR(__xludf.DUMMYFUNCTION("""COMPUTED_VALUE"""),"km. My car displays range in kilometres and I will enter all range numbers in kilometres.")</f>
        <v>km. My car displays range in kilometres and I will enter all range numbers in kilometres.</v>
      </c>
      <c r="E380" s="259">
        <f>IFERROR(__xludf.DUMMYFUNCTION("""COMPUTED_VALUE"""),42262.0)</f>
        <v>42262</v>
      </c>
      <c r="F380" s="258" t="str">
        <f>IFERROR(__xludf.DUMMYFUNCTION("""COMPUTED_VALUE"""),"Model S 70D")</f>
        <v>Model S 70D</v>
      </c>
      <c r="G380" s="258" t="str">
        <f>IFERROR(__xludf.DUMMYFUNCTION("""COMPUTED_VALUE"""),"Weekly")</f>
        <v>Weekly</v>
      </c>
      <c r="H380" s="258" t="str">
        <f>IFERROR(__xludf.DUMMYFUNCTION("""COMPUTED_VALUE"""),"Twice a month")</f>
        <v>Twice a month</v>
      </c>
      <c r="I380" s="258" t="str">
        <f>IFERROR(__xludf.DUMMYFUNCTION("""COMPUTED_VALUE"""),"A few times a year")</f>
        <v>A few times a year</v>
      </c>
      <c r="J380" s="260">
        <f>IFERROR(__xludf.DUMMYFUNCTION("""COMPUTED_VALUE"""),0.8)</f>
        <v>0.8</v>
      </c>
      <c r="K380" s="258">
        <f>IFERROR(__xludf.DUMMYFUNCTION("""COMPUTED_VALUE"""),355.0)</f>
        <v>355</v>
      </c>
      <c r="L380" s="258" t="str">
        <f>IFERROR(__xludf.DUMMYFUNCTION("""COMPUTED_VALUE"""),"")</f>
        <v/>
      </c>
      <c r="M380" s="261">
        <f>IFERROR(__xludf.DUMMYFUNCTION("""COMPUTED_VALUE"""),205.0)</f>
        <v>205</v>
      </c>
      <c r="N380" s="262" t="str">
        <f>IFERROR(__xludf.DUMMYFUNCTION("""COMPUTED_VALUE"""),"")</f>
        <v/>
      </c>
      <c r="O380" s="259" t="str">
        <f>IFERROR(__xludf.DUMMYFUNCTION("""COMPUTED_VALUE"""),"")</f>
        <v/>
      </c>
      <c r="P380" s="259">
        <f>IFERROR(__xludf.DUMMYFUNCTION("""COMPUTED_VALUE"""),43111.0)</f>
        <v>43111</v>
      </c>
      <c r="Q380" s="258">
        <f>IFERROR(__xludf.DUMMYFUNCTION("""COMPUTED_VALUE"""),110000.0)</f>
        <v>110000</v>
      </c>
      <c r="R380" s="261">
        <f>IFERROR(__xludf.DUMMYFUNCTION("""COMPUTED_VALUE"""),348.0)</f>
        <v>348</v>
      </c>
      <c r="S380" s="258">
        <v>360.0</v>
      </c>
      <c r="T380" s="263">
        <v>0.9666666666666667</v>
      </c>
      <c r="U380" s="264">
        <v>68351.0</v>
      </c>
      <c r="V380" s="265">
        <v>110000.0</v>
      </c>
      <c r="W380" s="264">
        <v>68351.0</v>
      </c>
      <c r="X380" s="266" t="str">
        <f>IFERROR(__xludf.DUMMYFUNCTION("""COMPUTED_VALUE"""),"mr Lois")</f>
        <v>mr Lois</v>
      </c>
      <c r="Y380" s="267">
        <v>-0.01</v>
      </c>
      <c r="Z380" s="267">
        <v>0.94423913936118</v>
      </c>
      <c r="AA380" s="269"/>
      <c r="AB380" s="270"/>
      <c r="AC380" s="270"/>
      <c r="AD380" s="270"/>
      <c r="AE380" s="270"/>
    </row>
    <row r="381">
      <c r="A381" s="256">
        <f>IFERROR(__xludf.DUMMYFUNCTION("""COMPUTED_VALUE"""),43189.71319444444)</f>
        <v>43189.71319</v>
      </c>
      <c r="B381" s="257" t="str">
        <f>IFERROR(__xludf.DUMMYFUNCTION("""COMPUTED_VALUE"""),"eric verlaet")</f>
        <v>eric verlaet</v>
      </c>
      <c r="C381" s="258" t="str">
        <f>IFERROR(__xludf.DUMMYFUNCTION("""COMPUTED_VALUE"""),"Europe (excluding UK) &amp; Asia Pacific")</f>
        <v>Europe (excluding UK) &amp; Asia Pacific</v>
      </c>
      <c r="D381" s="258" t="str">
        <f>IFERROR(__xludf.DUMMYFUNCTION("""COMPUTED_VALUE"""),"km. My car displays range in kilometres and I will enter all range numbers in kilometres.")</f>
        <v>km. My car displays range in kilometres and I will enter all range numbers in kilometres.</v>
      </c>
      <c r="E381" s="259">
        <f>IFERROR(__xludf.DUMMYFUNCTION("""COMPUTED_VALUE"""),42262.0)</f>
        <v>42262</v>
      </c>
      <c r="F381" s="258" t="str">
        <f>IFERROR(__xludf.DUMMYFUNCTION("""COMPUTED_VALUE"""),"Model S 70D")</f>
        <v>Model S 70D</v>
      </c>
      <c r="G381" s="258" t="str">
        <f>IFERROR(__xludf.DUMMYFUNCTION("""COMPUTED_VALUE"""),"Weekly")</f>
        <v>Weekly</v>
      </c>
      <c r="H381" s="258" t="str">
        <f>IFERROR(__xludf.DUMMYFUNCTION("""COMPUTED_VALUE"""),"Monthly")</f>
        <v>Monthly</v>
      </c>
      <c r="I381" s="258" t="str">
        <f>IFERROR(__xludf.DUMMYFUNCTION("""COMPUTED_VALUE"""),"A few times a year")</f>
        <v>A few times a year</v>
      </c>
      <c r="J381" s="260">
        <f>IFERROR(__xludf.DUMMYFUNCTION("""COMPUTED_VALUE"""),0.8)</f>
        <v>0.8</v>
      </c>
      <c r="K381" s="258" t="str">
        <f>IFERROR(__xludf.DUMMYFUNCTION("""COMPUTED_VALUE"""),"")</f>
        <v/>
      </c>
      <c r="L381" s="258" t="str">
        <f>IFERROR(__xludf.DUMMYFUNCTION("""COMPUTED_VALUE"""),"")</f>
        <v/>
      </c>
      <c r="M381" s="261">
        <f>IFERROR(__xludf.DUMMYFUNCTION("""COMPUTED_VALUE"""),205.0)</f>
        <v>205</v>
      </c>
      <c r="N381" s="262" t="str">
        <f>IFERROR(__xludf.DUMMYFUNCTION("""COMPUTED_VALUE"""),"")</f>
        <v/>
      </c>
      <c r="O381" s="259" t="str">
        <f>IFERROR(__xludf.DUMMYFUNCTION("""COMPUTED_VALUE"""),"")</f>
        <v/>
      </c>
      <c r="P381" s="259">
        <f>IFERROR(__xludf.DUMMYFUNCTION("""COMPUTED_VALUE"""),43189.0)</f>
        <v>43189</v>
      </c>
      <c r="Q381" s="258">
        <f>IFERROR(__xludf.DUMMYFUNCTION("""COMPUTED_VALUE"""),118015.0)</f>
        <v>118015</v>
      </c>
      <c r="R381" s="261">
        <f>IFERROR(__xludf.DUMMYFUNCTION("""COMPUTED_VALUE"""),346.0)</f>
        <v>346</v>
      </c>
      <c r="S381" s="258">
        <v>360.0</v>
      </c>
      <c r="T381" s="263">
        <v>0.9611111111111111</v>
      </c>
      <c r="U381" s="264">
        <v>73331.0</v>
      </c>
      <c r="V381" s="265">
        <v>118015.0</v>
      </c>
      <c r="W381" s="264">
        <v>73331.0</v>
      </c>
      <c r="X381" s="266" t="str">
        <f>IFERROR(__xludf.DUMMYFUNCTION("""COMPUTED_VALUE"""),"Mrgoogle")</f>
        <v>Mrgoogle</v>
      </c>
      <c r="Y381" s="267">
        <v>-0.01</v>
      </c>
      <c r="Z381" s="267">
        <v>0.942371575922409</v>
      </c>
      <c r="AA381" s="269"/>
      <c r="AB381" s="270"/>
      <c r="AC381" s="270"/>
      <c r="AD381" s="270"/>
      <c r="AE381" s="270"/>
    </row>
    <row r="382">
      <c r="A382" s="256">
        <f>IFERROR(__xludf.DUMMYFUNCTION("""COMPUTED_VALUE"""),43731.38703829861)</f>
        <v>43731.38704</v>
      </c>
      <c r="B382" s="257" t="str">
        <f>IFERROR(__xludf.DUMMYFUNCTION("""COMPUTED_VALUE"""),"eric verlaet")</f>
        <v>eric verlaet</v>
      </c>
      <c r="C382" s="258" t="str">
        <f>IFERROR(__xludf.DUMMYFUNCTION("""COMPUTED_VALUE"""),"Europe (excluding UK) &amp; Asia Pacific")</f>
        <v>Europe (excluding UK) &amp; Asia Pacific</v>
      </c>
      <c r="D382" s="258" t="str">
        <f>IFERROR(__xludf.DUMMYFUNCTION("""COMPUTED_VALUE"""),"km. My car displays range in kilometres and I will enter all range numbers in kilometres.")</f>
        <v>km. My car displays range in kilometres and I will enter all range numbers in kilometres.</v>
      </c>
      <c r="E382" s="259">
        <f>IFERROR(__xludf.DUMMYFUNCTION("""COMPUTED_VALUE"""),42192.0)</f>
        <v>42192</v>
      </c>
      <c r="F382" s="258" t="str">
        <f>IFERROR(__xludf.DUMMYFUNCTION("""COMPUTED_VALUE"""),"Model S 70D")</f>
        <v>Model S 70D</v>
      </c>
      <c r="G382" s="258" t="str">
        <f>IFERROR(__xludf.DUMMYFUNCTION("""COMPUTED_VALUE"""),"Twice a month")</f>
        <v>Twice a month</v>
      </c>
      <c r="H382" s="258" t="str">
        <f>IFERROR(__xludf.DUMMYFUNCTION("""COMPUTED_VALUE"""),"Monthly")</f>
        <v>Monthly</v>
      </c>
      <c r="I382" s="258" t="str">
        <f>IFERROR(__xludf.DUMMYFUNCTION("""COMPUTED_VALUE"""),"Once or twice a year")</f>
        <v>Once or twice a year</v>
      </c>
      <c r="J382" s="260">
        <f>IFERROR(__xludf.DUMMYFUNCTION("""COMPUTED_VALUE"""),0.7)</f>
        <v>0.7</v>
      </c>
      <c r="K382" s="258" t="str">
        <f>IFERROR(__xludf.DUMMYFUNCTION("""COMPUTED_VALUE"""),"")</f>
        <v/>
      </c>
      <c r="L382" s="258" t="str">
        <f>IFERROR(__xludf.DUMMYFUNCTION("""COMPUTED_VALUE"""),"")</f>
        <v/>
      </c>
      <c r="M382" s="261">
        <f>IFERROR(__xludf.DUMMYFUNCTION("""COMPUTED_VALUE"""),190.0)</f>
        <v>190</v>
      </c>
      <c r="N382" s="262" t="str">
        <f>IFERROR(__xludf.DUMMYFUNCTION("""COMPUTED_VALUE"""),"")</f>
        <v/>
      </c>
      <c r="O382" s="259" t="str">
        <f>IFERROR(__xludf.DUMMYFUNCTION("""COMPUTED_VALUE"""),"")</f>
        <v/>
      </c>
      <c r="P382" s="259">
        <f>IFERROR(__xludf.DUMMYFUNCTION("""COMPUTED_VALUE"""),43625.0)</f>
        <v>43625</v>
      </c>
      <c r="Q382" s="258">
        <f>IFERROR(__xludf.DUMMYFUNCTION("""COMPUTED_VALUE"""),164300.0)</f>
        <v>164300</v>
      </c>
      <c r="R382" s="261">
        <f>IFERROR(__xludf.DUMMYFUNCTION("""COMPUTED_VALUE"""),342.0)</f>
        <v>342</v>
      </c>
      <c r="S382" s="258">
        <v>360.0</v>
      </c>
      <c r="T382" s="263">
        <v>0.95</v>
      </c>
      <c r="U382" s="264">
        <v>102091.0</v>
      </c>
      <c r="V382" s="265">
        <v>164300.0</v>
      </c>
      <c r="W382" s="264">
        <v>102091.0</v>
      </c>
      <c r="X382" s="266" t="str">
        <f>IFERROR(__xludf.DUMMYFUNCTION("""COMPUTED_VALUE"""),"mrjohnmoreno")</f>
        <v>mrjohnmoreno</v>
      </c>
      <c r="Y382" s="267">
        <v>-0.01</v>
      </c>
      <c r="Z382" s="267">
        <v>0.9316663545366958</v>
      </c>
      <c r="AA382" s="269"/>
      <c r="AB382" s="270"/>
      <c r="AC382" s="270"/>
      <c r="AD382" s="270"/>
      <c r="AE382" s="270"/>
    </row>
    <row r="383">
      <c r="A383" s="256">
        <f>IFERROR(__xludf.DUMMYFUNCTION("""COMPUTED_VALUE"""),43731.38703829861)</f>
        <v>43731.38704</v>
      </c>
      <c r="B383" s="257" t="str">
        <f>IFERROR(__xludf.DUMMYFUNCTION("""COMPUTED_VALUE"""),"eric verlaet")</f>
        <v>eric verlaet</v>
      </c>
      <c r="C383" s="258" t="str">
        <f>IFERROR(__xludf.DUMMYFUNCTION("""COMPUTED_VALUE"""),"Europe (excluding UK) &amp; Asia Pacific")</f>
        <v>Europe (excluding UK) &amp; Asia Pacific</v>
      </c>
      <c r="D383" s="258" t="str">
        <f>IFERROR(__xludf.DUMMYFUNCTION("""COMPUTED_VALUE"""),"km. My car displays range in kilometres and I will enter all range numbers in kilometres.")</f>
        <v>km. My car displays range in kilometres and I will enter all range numbers in kilometres.</v>
      </c>
      <c r="E383" s="259">
        <f>IFERROR(__xludf.DUMMYFUNCTION("""COMPUTED_VALUE"""),42192.0)</f>
        <v>42192</v>
      </c>
      <c r="F383" s="258" t="str">
        <f>IFERROR(__xludf.DUMMYFUNCTION("""COMPUTED_VALUE"""),"Model S 70D")</f>
        <v>Model S 70D</v>
      </c>
      <c r="G383" s="258" t="str">
        <f>IFERROR(__xludf.DUMMYFUNCTION("""COMPUTED_VALUE"""),"Twice a month")</f>
        <v>Twice a month</v>
      </c>
      <c r="H383" s="258" t="str">
        <f>IFERROR(__xludf.DUMMYFUNCTION("""COMPUTED_VALUE"""),"Monthly")</f>
        <v>Monthly</v>
      </c>
      <c r="I383" s="258" t="str">
        <f>IFERROR(__xludf.DUMMYFUNCTION("""COMPUTED_VALUE"""),"Once or twice a year")</f>
        <v>Once or twice a year</v>
      </c>
      <c r="J383" s="260">
        <f>IFERROR(__xludf.DUMMYFUNCTION("""COMPUTED_VALUE"""),0.7)</f>
        <v>0.7</v>
      </c>
      <c r="K383" s="258" t="str">
        <f>IFERROR(__xludf.DUMMYFUNCTION("""COMPUTED_VALUE"""),"")</f>
        <v/>
      </c>
      <c r="L383" s="258" t="str">
        <f>IFERROR(__xludf.DUMMYFUNCTION("""COMPUTED_VALUE"""),"")</f>
        <v/>
      </c>
      <c r="M383" s="261">
        <f>IFERROR(__xludf.DUMMYFUNCTION("""COMPUTED_VALUE"""),190.0)</f>
        <v>190</v>
      </c>
      <c r="N383" s="262" t="str">
        <f>IFERROR(__xludf.DUMMYFUNCTION("""COMPUTED_VALUE"""),"")</f>
        <v/>
      </c>
      <c r="O383" s="259" t="str">
        <f>IFERROR(__xludf.DUMMYFUNCTION("""COMPUTED_VALUE"""),"")</f>
        <v/>
      </c>
      <c r="P383" s="259">
        <f>IFERROR(__xludf.DUMMYFUNCTION("""COMPUTED_VALUE"""),43729.0)</f>
        <v>43729</v>
      </c>
      <c r="Q383" s="258">
        <f>IFERROR(__xludf.DUMMYFUNCTION("""COMPUTED_VALUE"""),176331.0)</f>
        <v>176331</v>
      </c>
      <c r="R383" s="261">
        <f>IFERROR(__xludf.DUMMYFUNCTION("""COMPUTED_VALUE"""),341.0)</f>
        <v>341</v>
      </c>
      <c r="S383" s="258">
        <v>360.0</v>
      </c>
      <c r="T383" s="263">
        <v>0.9472222222222222</v>
      </c>
      <c r="U383" s="264">
        <v>109567.0</v>
      </c>
      <c r="V383" s="265">
        <v>176331.0</v>
      </c>
      <c r="W383" s="264">
        <v>109567.0</v>
      </c>
      <c r="X383" s="266" t="str">
        <f>IFERROR(__xludf.DUMMYFUNCTION("""COMPUTED_VALUE"""),"MrvdG")</f>
        <v>MrvdG</v>
      </c>
      <c r="Y383" s="267">
        <v>-0.01</v>
      </c>
      <c r="Z383" s="267">
        <v>0.9288903523290547</v>
      </c>
      <c r="AA383" s="269"/>
      <c r="AB383" s="270"/>
      <c r="AC383" s="270"/>
      <c r="AD383" s="270"/>
      <c r="AE383" s="270"/>
    </row>
    <row r="384">
      <c r="A384" s="256">
        <f>IFERROR(__xludf.DUMMYFUNCTION("""COMPUTED_VALUE"""),42037.069444444445)</f>
        <v>42037.06944</v>
      </c>
      <c r="B384" s="257" t="str">
        <f>IFERROR(__xludf.DUMMYFUNCTION("""COMPUTED_VALUE"""),"Erik-S85")</f>
        <v>Erik-S85</v>
      </c>
      <c r="C384" s="258" t="str">
        <f>IFERROR(__xludf.DUMMYFUNCTION("""COMPUTED_VALUE"""),"Europe (excluding UK) &amp; Asia Pacific")</f>
        <v>Europe (excluding UK) &amp; Asia Pacific</v>
      </c>
      <c r="D384" s="258" t="str">
        <f>IFERROR(__xludf.DUMMYFUNCTION("""COMPUTED_VALUE"""),"km. My car displays range in kilometres and I will enter all range numbers in kilometres.")</f>
        <v>km. My car displays range in kilometres and I will enter all range numbers in kilometres.</v>
      </c>
      <c r="E384" s="259">
        <f>IFERROR(__xludf.DUMMYFUNCTION("""COMPUTED_VALUE"""),41968.0)</f>
        <v>41968</v>
      </c>
      <c r="F384" s="258" t="str">
        <f>IFERROR(__xludf.DUMMYFUNCTION("""COMPUTED_VALUE"""),"Model S 85")</f>
        <v>Model S 85</v>
      </c>
      <c r="G384" s="258" t="str">
        <f>IFERROR(__xludf.DUMMYFUNCTION("""COMPUTED_VALUE"""),"Weekly")</f>
        <v>Weekly</v>
      </c>
      <c r="H384" s="258" t="str">
        <f>IFERROR(__xludf.DUMMYFUNCTION("""COMPUTED_VALUE"""),"Monthly")</f>
        <v>Monthly</v>
      </c>
      <c r="I384" s="258" t="str">
        <f>IFERROR(__xludf.DUMMYFUNCTION("""COMPUTED_VALUE"""),"Never")</f>
        <v>Never</v>
      </c>
      <c r="J384" s="260" t="str">
        <f>IFERROR(__xludf.DUMMYFUNCTION("""COMPUTED_VALUE"""),"")</f>
        <v/>
      </c>
      <c r="K384" s="258" t="str">
        <f>IFERROR(__xludf.DUMMYFUNCTION("""COMPUTED_VALUE"""),"")</f>
        <v/>
      </c>
      <c r="L384" s="258" t="str">
        <f>IFERROR(__xludf.DUMMYFUNCTION("""COMPUTED_VALUE"""),"")</f>
        <v/>
      </c>
      <c r="M384" s="261">
        <f>IFERROR(__xludf.DUMMYFUNCTION("""COMPUTED_VALUE"""),245.0)</f>
        <v>245</v>
      </c>
      <c r="N384" s="262" t="str">
        <f>IFERROR(__xludf.DUMMYFUNCTION("""COMPUTED_VALUE"""),"")</f>
        <v/>
      </c>
      <c r="O384" s="259" t="str">
        <f>IFERROR(__xludf.DUMMYFUNCTION("""COMPUTED_VALUE"""),"")</f>
        <v/>
      </c>
      <c r="P384" s="259">
        <f>IFERROR(__xludf.DUMMYFUNCTION("""COMPUTED_VALUE"""),42037.0)</f>
        <v>42037</v>
      </c>
      <c r="Q384" s="258">
        <f>IFERROR(__xludf.DUMMYFUNCTION("""COMPUTED_VALUE"""),7330.0)</f>
        <v>7330</v>
      </c>
      <c r="R384" s="261">
        <f>IFERROR(__xludf.DUMMYFUNCTION("""COMPUTED_VALUE"""),391.0)</f>
        <v>391</v>
      </c>
      <c r="S384" s="258">
        <v>395.0</v>
      </c>
      <c r="T384" s="263">
        <v>0.9898734177215189</v>
      </c>
      <c r="U384" s="264">
        <v>4555.0</v>
      </c>
      <c r="V384" s="265">
        <v>7330.0</v>
      </c>
      <c r="W384" s="264">
        <v>4555.0</v>
      </c>
      <c r="X384" s="266" t="str">
        <f>IFERROR(__xludf.DUMMYFUNCTION("""COMPUTED_VALUE"""),"MS75 GA")</f>
        <v>MS75 GA</v>
      </c>
      <c r="Y384" s="267">
        <v>-0.01</v>
      </c>
      <c r="Z384" s="267">
        <v>0.9877468079033546</v>
      </c>
      <c r="AA384" s="269"/>
      <c r="AB384" s="270"/>
      <c r="AC384" s="270"/>
      <c r="AD384" s="270"/>
      <c r="AE384" s="270"/>
    </row>
    <row r="385">
      <c r="A385" s="256">
        <f>IFERROR(__xludf.DUMMYFUNCTION("""COMPUTED_VALUE"""),42420.29305555555)</f>
        <v>42420.29306</v>
      </c>
      <c r="B385" s="257" t="str">
        <f>IFERROR(__xludf.DUMMYFUNCTION("""COMPUTED_VALUE"""),"Erik-S85")</f>
        <v>Erik-S85</v>
      </c>
      <c r="C385" s="258" t="str">
        <f>IFERROR(__xludf.DUMMYFUNCTION("""COMPUTED_VALUE"""),"Europe (excluding UK) &amp; Asia Pacific")</f>
        <v>Europe (excluding UK) &amp; Asia Pacific</v>
      </c>
      <c r="D385" s="258" t="str">
        <f>IFERROR(__xludf.DUMMYFUNCTION("""COMPUTED_VALUE"""),"km. My car displays range in kilometres and I will enter all range numbers in kilometres.")</f>
        <v>km. My car displays range in kilometres and I will enter all range numbers in kilometres.</v>
      </c>
      <c r="E385" s="259">
        <f>IFERROR(__xludf.DUMMYFUNCTION("""COMPUTED_VALUE"""),41968.0)</f>
        <v>41968</v>
      </c>
      <c r="F385" s="258" t="str">
        <f>IFERROR(__xludf.DUMMYFUNCTION("""COMPUTED_VALUE"""),"Model S 85")</f>
        <v>Model S 85</v>
      </c>
      <c r="G385" s="258" t="str">
        <f>IFERROR(__xludf.DUMMYFUNCTION("""COMPUTED_VALUE"""),"")</f>
        <v/>
      </c>
      <c r="H385" s="258" t="str">
        <f>IFERROR(__xludf.DUMMYFUNCTION("""COMPUTED_VALUE"""),"")</f>
        <v/>
      </c>
      <c r="I385" s="258" t="str">
        <f>IFERROR(__xludf.DUMMYFUNCTION("""COMPUTED_VALUE"""),"")</f>
        <v/>
      </c>
      <c r="J385" s="260" t="str">
        <f>IFERROR(__xludf.DUMMYFUNCTION("""COMPUTED_VALUE"""),"")</f>
        <v/>
      </c>
      <c r="K385" s="258" t="str">
        <f>IFERROR(__xludf.DUMMYFUNCTION("""COMPUTED_VALUE"""),"")</f>
        <v/>
      </c>
      <c r="L385" s="258" t="str">
        <f>IFERROR(__xludf.DUMMYFUNCTION("""COMPUTED_VALUE"""),"")</f>
        <v/>
      </c>
      <c r="M385" s="261">
        <f>IFERROR(__xludf.DUMMYFUNCTION("""COMPUTED_VALUE"""),218.0)</f>
        <v>218</v>
      </c>
      <c r="N385" s="262" t="str">
        <f>IFERROR(__xludf.DUMMYFUNCTION("""COMPUTED_VALUE"""),"")</f>
        <v/>
      </c>
      <c r="O385" s="259" t="str">
        <f>IFERROR(__xludf.DUMMYFUNCTION("""COMPUTED_VALUE"""),"")</f>
        <v/>
      </c>
      <c r="P385" s="259">
        <f>IFERROR(__xludf.DUMMYFUNCTION("""COMPUTED_VALUE"""),42420.0)</f>
        <v>42420</v>
      </c>
      <c r="Q385" s="258">
        <f>IFERROR(__xludf.DUMMYFUNCTION("""COMPUTED_VALUE"""),40501.0)</f>
        <v>40501</v>
      </c>
      <c r="R385" s="261">
        <f>IFERROR(__xludf.DUMMYFUNCTION("""COMPUTED_VALUE"""),377.0)</f>
        <v>377</v>
      </c>
      <c r="S385" s="258">
        <v>395.0</v>
      </c>
      <c r="T385" s="263">
        <v>0.9544303797468354</v>
      </c>
      <c r="U385" s="264">
        <v>25166.0</v>
      </c>
      <c r="V385" s="265">
        <v>40501.0</v>
      </c>
      <c r="W385" s="264">
        <v>25166.0</v>
      </c>
      <c r="X385" s="266" t="str">
        <f>IFERROR(__xludf.DUMMYFUNCTION("""COMPUTED_VALUE"""),"msinz")</f>
        <v>msinz</v>
      </c>
      <c r="Y385" s="267">
        <v>-0.01</v>
      </c>
      <c r="Z385" s="267">
        <v>0.9631075075886185</v>
      </c>
      <c r="AA385" s="269"/>
      <c r="AB385" s="270"/>
      <c r="AC385" s="270"/>
      <c r="AD385" s="270"/>
      <c r="AE385" s="270"/>
    </row>
    <row r="386">
      <c r="A386" s="256">
        <f>IFERROR(__xludf.DUMMYFUNCTION("""COMPUTED_VALUE"""),42533.350694444445)</f>
        <v>42533.35069</v>
      </c>
      <c r="B386" s="257" t="str">
        <f>IFERROR(__xludf.DUMMYFUNCTION("""COMPUTED_VALUE"""),"Erik-S85")</f>
        <v>Erik-S85</v>
      </c>
      <c r="C386" s="258" t="str">
        <f>IFERROR(__xludf.DUMMYFUNCTION("""COMPUTED_VALUE"""),"Europe (excluding UK) &amp; Asia Pacific")</f>
        <v>Europe (excluding UK) &amp; Asia Pacific</v>
      </c>
      <c r="D386" s="258" t="str">
        <f>IFERROR(__xludf.DUMMYFUNCTION("""COMPUTED_VALUE"""),"km. My car displays range in kilometres and I will enter all range numbers in kilometres.")</f>
        <v>km. My car displays range in kilometres and I will enter all range numbers in kilometres.</v>
      </c>
      <c r="E386" s="259">
        <f>IFERROR(__xludf.DUMMYFUNCTION("""COMPUTED_VALUE"""),41968.0)</f>
        <v>41968</v>
      </c>
      <c r="F386" s="258" t="str">
        <f>IFERROR(__xludf.DUMMYFUNCTION("""COMPUTED_VALUE"""),"Model S 85")</f>
        <v>Model S 85</v>
      </c>
      <c r="G386" s="258" t="str">
        <f>IFERROR(__xludf.DUMMYFUNCTION("""COMPUTED_VALUE"""),"Monthly")</f>
        <v>Monthly</v>
      </c>
      <c r="H386" s="258" t="str">
        <f>IFERROR(__xludf.DUMMYFUNCTION("""COMPUTED_VALUE"""),"A few times a year")</f>
        <v>A few times a year</v>
      </c>
      <c r="I386" s="258" t="str">
        <f>IFERROR(__xludf.DUMMYFUNCTION("""COMPUTED_VALUE"""),"Once or twice a year")</f>
        <v>Once or twice a year</v>
      </c>
      <c r="J386" s="260">
        <f>IFERROR(__xludf.DUMMYFUNCTION("""COMPUTED_VALUE"""),0.9)</f>
        <v>0.9</v>
      </c>
      <c r="K386" s="258" t="str">
        <f>IFERROR(__xludf.DUMMYFUNCTION("""COMPUTED_VALUE"""),"")</f>
        <v/>
      </c>
      <c r="L386" s="258" t="str">
        <f>IFERROR(__xludf.DUMMYFUNCTION("""COMPUTED_VALUE"""),"")</f>
        <v/>
      </c>
      <c r="M386" s="261">
        <f>IFERROR(__xludf.DUMMYFUNCTION("""COMPUTED_VALUE"""),220.0)</f>
        <v>220</v>
      </c>
      <c r="N386" s="262" t="str">
        <f>IFERROR(__xludf.DUMMYFUNCTION("""COMPUTED_VALUE"""),"")</f>
        <v/>
      </c>
      <c r="O386" s="259" t="str">
        <f>IFERROR(__xludf.DUMMYFUNCTION("""COMPUTED_VALUE"""),"")</f>
        <v/>
      </c>
      <c r="P386" s="259">
        <f>IFERROR(__xludf.DUMMYFUNCTION("""COMPUTED_VALUE"""),42533.0)</f>
        <v>42533</v>
      </c>
      <c r="Q386" s="258">
        <f>IFERROR(__xludf.DUMMYFUNCTION("""COMPUTED_VALUE"""),54000.0)</f>
        <v>54000</v>
      </c>
      <c r="R386" s="261">
        <f>IFERROR(__xludf.DUMMYFUNCTION("""COMPUTED_VALUE"""),383.0)</f>
        <v>383</v>
      </c>
      <c r="S386" s="258">
        <v>395.0</v>
      </c>
      <c r="T386" s="263">
        <v>0.9696202531645569</v>
      </c>
      <c r="U386" s="264">
        <v>33554.0</v>
      </c>
      <c r="V386" s="265">
        <v>54000.0</v>
      </c>
      <c r="W386" s="264">
        <v>33554.0</v>
      </c>
      <c r="X386" s="266" t="str">
        <f>IFERROR(__xludf.DUMMYFUNCTION("""COMPUTED_VALUE"""),"Muffinman")</f>
        <v>Muffinman</v>
      </c>
      <c r="Y386" s="267">
        <v>-0.01</v>
      </c>
      <c r="Z386" s="267">
        <v>0.9584227207266385</v>
      </c>
      <c r="AA386" s="269"/>
      <c r="AB386" s="270"/>
      <c r="AC386" s="270"/>
      <c r="AD386" s="270"/>
      <c r="AE386" s="270"/>
    </row>
    <row r="387">
      <c r="A387" s="256">
        <f>IFERROR(__xludf.DUMMYFUNCTION("""COMPUTED_VALUE"""),41918.02847222222)</f>
        <v>41918.02847</v>
      </c>
      <c r="B387" s="257" t="str">
        <f>IFERROR(__xludf.DUMMYFUNCTION("""COMPUTED_VALUE"""),"ErikR")</f>
        <v>ErikR</v>
      </c>
      <c r="C387" s="258" t="str">
        <f>IFERROR(__xludf.DUMMYFUNCTION("""COMPUTED_VALUE"""),"Europe (excluding UK) &amp; Asia Pacific")</f>
        <v>Europe (excluding UK) &amp; Asia Pacific</v>
      </c>
      <c r="D387" s="258" t="str">
        <f>IFERROR(__xludf.DUMMYFUNCTION("""COMPUTED_VALUE"""),"km. My car displays range in kilometres and I will enter all range numbers in kilometres.")</f>
        <v>km. My car displays range in kilometres and I will enter all range numbers in kilometres.</v>
      </c>
      <c r="E387" s="259">
        <f>IFERROR(__xludf.DUMMYFUNCTION("""COMPUTED_VALUE"""),41912.0)</f>
        <v>41912</v>
      </c>
      <c r="F387" s="258" t="str">
        <f>IFERROR(__xludf.DUMMYFUNCTION("""COMPUTED_VALUE"""),"Model S 85")</f>
        <v>Model S 85</v>
      </c>
      <c r="G387" s="258" t="str">
        <f>IFERROR(__xludf.DUMMYFUNCTION("""COMPUTED_VALUE"""),"Weekly")</f>
        <v>Weekly</v>
      </c>
      <c r="H387" s="258" t="str">
        <f>IFERROR(__xludf.DUMMYFUNCTION("""COMPUTED_VALUE"""),"Twice a month")</f>
        <v>Twice a month</v>
      </c>
      <c r="I387" s="258" t="str">
        <f>IFERROR(__xludf.DUMMYFUNCTION("""COMPUTED_VALUE"""),"Never")</f>
        <v>Never</v>
      </c>
      <c r="J387" s="260">
        <f>IFERROR(__xludf.DUMMYFUNCTION("""COMPUTED_VALUE"""),0.9)</f>
        <v>0.9</v>
      </c>
      <c r="K387" s="258" t="str">
        <f>IFERROR(__xludf.DUMMYFUNCTION("""COMPUTED_VALUE"""),"")</f>
        <v/>
      </c>
      <c r="L387" s="258" t="str">
        <f>IFERROR(__xludf.DUMMYFUNCTION("""COMPUTED_VALUE"""),"")</f>
        <v/>
      </c>
      <c r="M387" s="261">
        <f>IFERROR(__xludf.DUMMYFUNCTION("""COMPUTED_VALUE"""),244.0)</f>
        <v>244</v>
      </c>
      <c r="N387" s="262" t="str">
        <f>IFERROR(__xludf.DUMMYFUNCTION("""COMPUTED_VALUE"""),"")</f>
        <v/>
      </c>
      <c r="O387" s="259" t="str">
        <f>IFERROR(__xludf.DUMMYFUNCTION("""COMPUTED_VALUE"""),"")</f>
        <v/>
      </c>
      <c r="P387" s="259">
        <f>IFERROR(__xludf.DUMMYFUNCTION("""COMPUTED_VALUE"""),41918.0)</f>
        <v>41918</v>
      </c>
      <c r="Q387" s="258">
        <f>IFERROR(__xludf.DUMMYFUNCTION("""COMPUTED_VALUE"""),1136.0)</f>
        <v>1136</v>
      </c>
      <c r="R387" s="261">
        <f>IFERROR(__xludf.DUMMYFUNCTION("""COMPUTED_VALUE"""),399.0)</f>
        <v>399</v>
      </c>
      <c r="S387" s="258">
        <v>395.0</v>
      </c>
      <c r="T387" s="263">
        <v>1.010126582278481</v>
      </c>
      <c r="U387" s="264">
        <v>706.0</v>
      </c>
      <c r="V387" s="265">
        <v>1136.0</v>
      </c>
      <c r="W387" s="264">
        <v>706.0</v>
      </c>
      <c r="X387" s="266" t="str">
        <f>IFERROR(__xludf.DUMMYFUNCTION("""COMPUTED_VALUE"""),"Muzzman1")</f>
        <v>Muzzman1</v>
      </c>
      <c r="Y387" s="267">
        <v>-0.01</v>
      </c>
      <c r="Z387" s="267">
        <v>0.9977924509509498</v>
      </c>
      <c r="AA387" s="269"/>
      <c r="AB387" s="270"/>
      <c r="AC387" s="270"/>
      <c r="AD387" s="270"/>
      <c r="AE387" s="270"/>
    </row>
    <row r="388">
      <c r="A388" s="256">
        <f>IFERROR(__xludf.DUMMYFUNCTION("""COMPUTED_VALUE"""),41942.03333333333)</f>
        <v>41942.03333</v>
      </c>
      <c r="B388" s="257" t="str">
        <f>IFERROR(__xludf.DUMMYFUNCTION("""COMPUTED_VALUE"""),"ErikR")</f>
        <v>ErikR</v>
      </c>
      <c r="C388" s="258" t="str">
        <f>IFERROR(__xludf.DUMMYFUNCTION("""COMPUTED_VALUE"""),"Europe (excluding UK) &amp; Asia Pacific")</f>
        <v>Europe (excluding UK) &amp; Asia Pacific</v>
      </c>
      <c r="D388" s="258" t="str">
        <f>IFERROR(__xludf.DUMMYFUNCTION("""COMPUTED_VALUE"""),"km. My car displays range in kilometres and I will enter all range numbers in kilometres.")</f>
        <v>km. My car displays range in kilometres and I will enter all range numbers in kilometres.</v>
      </c>
      <c r="E388" s="259">
        <f>IFERROR(__xludf.DUMMYFUNCTION("""COMPUTED_VALUE"""),41912.0)</f>
        <v>41912</v>
      </c>
      <c r="F388" s="258" t="str">
        <f>IFERROR(__xludf.DUMMYFUNCTION("""COMPUTED_VALUE"""),"Model S 85")</f>
        <v>Model S 85</v>
      </c>
      <c r="G388" s="258" t="str">
        <f>IFERROR(__xludf.DUMMYFUNCTION("""COMPUTED_VALUE"""),"Twice a week")</f>
        <v>Twice a week</v>
      </c>
      <c r="H388" s="258" t="str">
        <f>IFERROR(__xludf.DUMMYFUNCTION("""COMPUTED_VALUE"""),"Weekly")</f>
        <v>Weekly</v>
      </c>
      <c r="I388" s="258" t="str">
        <f>IFERROR(__xludf.DUMMYFUNCTION("""COMPUTED_VALUE"""),"Never")</f>
        <v>Never</v>
      </c>
      <c r="J388" s="260">
        <f>IFERROR(__xludf.DUMMYFUNCTION("""COMPUTED_VALUE"""),0.9)</f>
        <v>0.9</v>
      </c>
      <c r="K388" s="258" t="str">
        <f>IFERROR(__xludf.DUMMYFUNCTION("""COMPUTED_VALUE"""),"")</f>
        <v/>
      </c>
      <c r="L388" s="258" t="str">
        <f>IFERROR(__xludf.DUMMYFUNCTION("""COMPUTED_VALUE"""),"")</f>
        <v/>
      </c>
      <c r="M388" s="261">
        <f>IFERROR(__xludf.DUMMYFUNCTION("""COMPUTED_VALUE"""),244.0)</f>
        <v>244</v>
      </c>
      <c r="N388" s="262" t="str">
        <f>IFERROR(__xludf.DUMMYFUNCTION("""COMPUTED_VALUE"""),"")</f>
        <v/>
      </c>
      <c r="O388" s="259" t="str">
        <f>IFERROR(__xludf.DUMMYFUNCTION("""COMPUTED_VALUE"""),"")</f>
        <v/>
      </c>
      <c r="P388" s="259">
        <f>IFERROR(__xludf.DUMMYFUNCTION("""COMPUTED_VALUE"""),41942.0)</f>
        <v>41942</v>
      </c>
      <c r="Q388" s="258">
        <f>IFERROR(__xludf.DUMMYFUNCTION("""COMPUTED_VALUE"""),4517.0)</f>
        <v>4517</v>
      </c>
      <c r="R388" s="261">
        <f>IFERROR(__xludf.DUMMYFUNCTION("""COMPUTED_VALUE"""),394.0)</f>
        <v>394</v>
      </c>
      <c r="S388" s="258">
        <v>395.0</v>
      </c>
      <c r="T388" s="263">
        <v>0.9974683544303797</v>
      </c>
      <c r="U388" s="264">
        <v>2807.0</v>
      </c>
      <c r="V388" s="265">
        <v>4517.0</v>
      </c>
      <c r="W388" s="264">
        <v>2807.0</v>
      </c>
      <c r="X388" s="266" t="str">
        <f>IFERROR(__xludf.DUMMYFUNCTION("""COMPUTED_VALUE"""),"MVNJ")</f>
        <v>MVNJ</v>
      </c>
      <c r="Y388" s="267">
        <v>-0.01</v>
      </c>
      <c r="Z388" s="267">
        <v>0.9919275354387245</v>
      </c>
      <c r="AA388" s="269"/>
      <c r="AB388" s="270"/>
      <c r="AC388" s="270"/>
      <c r="AD388" s="270"/>
      <c r="AE388" s="270"/>
    </row>
    <row r="389">
      <c r="A389" s="256">
        <f>IFERROR(__xludf.DUMMYFUNCTION("""COMPUTED_VALUE"""),41965.03958333333)</f>
        <v>41965.03958</v>
      </c>
      <c r="B389" s="257" t="str">
        <f>IFERROR(__xludf.DUMMYFUNCTION("""COMPUTED_VALUE"""),"ErikR")</f>
        <v>ErikR</v>
      </c>
      <c r="C389" s="258" t="str">
        <f>IFERROR(__xludf.DUMMYFUNCTION("""COMPUTED_VALUE"""),"Europe (excluding UK) &amp; Asia Pacific")</f>
        <v>Europe (excluding UK) &amp; Asia Pacific</v>
      </c>
      <c r="D389" s="258" t="str">
        <f>IFERROR(__xludf.DUMMYFUNCTION("""COMPUTED_VALUE"""),"km. My car displays range in kilometres and I will enter all range numbers in kilometres.")</f>
        <v>km. My car displays range in kilometres and I will enter all range numbers in kilometres.</v>
      </c>
      <c r="E389" s="259">
        <f>IFERROR(__xludf.DUMMYFUNCTION("""COMPUTED_VALUE"""),41912.0)</f>
        <v>41912</v>
      </c>
      <c r="F389" s="258" t="str">
        <f>IFERROR(__xludf.DUMMYFUNCTION("""COMPUTED_VALUE"""),"Model S 85")</f>
        <v>Model S 85</v>
      </c>
      <c r="G389" s="258" t="str">
        <f>IFERROR(__xludf.DUMMYFUNCTION("""COMPUTED_VALUE"""),"Weekly")</f>
        <v>Weekly</v>
      </c>
      <c r="H389" s="258" t="str">
        <f>IFERROR(__xludf.DUMMYFUNCTION("""COMPUTED_VALUE"""),"Twice a month")</f>
        <v>Twice a month</v>
      </c>
      <c r="I389" s="258" t="str">
        <f>IFERROR(__xludf.DUMMYFUNCTION("""COMPUTED_VALUE"""),"Never")</f>
        <v>Never</v>
      </c>
      <c r="J389" s="260">
        <f>IFERROR(__xludf.DUMMYFUNCTION("""COMPUTED_VALUE"""),0.9)</f>
        <v>0.9</v>
      </c>
      <c r="K389" s="258" t="str">
        <f>IFERROR(__xludf.DUMMYFUNCTION("""COMPUTED_VALUE"""),"")</f>
        <v/>
      </c>
      <c r="L389" s="258" t="str">
        <f>IFERROR(__xludf.DUMMYFUNCTION("""COMPUTED_VALUE"""),"")</f>
        <v/>
      </c>
      <c r="M389" s="261">
        <f>IFERROR(__xludf.DUMMYFUNCTION("""COMPUTED_VALUE"""),251.0)</f>
        <v>251</v>
      </c>
      <c r="N389" s="262" t="str">
        <f>IFERROR(__xludf.DUMMYFUNCTION("""COMPUTED_VALUE"""),"")</f>
        <v/>
      </c>
      <c r="O389" s="259" t="str">
        <f>IFERROR(__xludf.DUMMYFUNCTION("""COMPUTED_VALUE"""),"")</f>
        <v/>
      </c>
      <c r="P389" s="259">
        <f>IFERROR(__xludf.DUMMYFUNCTION("""COMPUTED_VALUE"""),41965.0)</f>
        <v>41965</v>
      </c>
      <c r="Q389" s="258">
        <f>IFERROR(__xludf.DUMMYFUNCTION("""COMPUTED_VALUE"""),7024.0)</f>
        <v>7024</v>
      </c>
      <c r="R389" s="261">
        <f>IFERROR(__xludf.DUMMYFUNCTION("""COMPUTED_VALUE"""),393.0)</f>
        <v>393</v>
      </c>
      <c r="S389" s="258">
        <v>395.0</v>
      </c>
      <c r="T389" s="263">
        <v>0.9949367088607595</v>
      </c>
      <c r="U389" s="264">
        <v>4365.0</v>
      </c>
      <c r="V389" s="265">
        <v>7024.0</v>
      </c>
      <c r="W389" s="264">
        <v>4365.0</v>
      </c>
      <c r="X389" s="266" t="str">
        <f>IFERROR(__xludf.DUMMYFUNCTION("""COMPUTED_VALUE"""),"mw80")</f>
        <v>mw80</v>
      </c>
      <c r="Y389" s="267">
        <v>-0.01</v>
      </c>
      <c r="Z389" s="267">
        <v>0.9881741930769378</v>
      </c>
      <c r="AA389" s="269"/>
      <c r="AB389" s="270"/>
      <c r="AC389" s="270"/>
      <c r="AD389" s="270"/>
      <c r="AE389" s="270"/>
    </row>
    <row r="390">
      <c r="A390" s="256">
        <f>IFERROR(__xludf.DUMMYFUNCTION("""COMPUTED_VALUE"""),41984.044444444444)</f>
        <v>41984.04444</v>
      </c>
      <c r="B390" s="257" t="str">
        <f>IFERROR(__xludf.DUMMYFUNCTION("""COMPUTED_VALUE"""),"ErikR")</f>
        <v>ErikR</v>
      </c>
      <c r="C390" s="258" t="str">
        <f>IFERROR(__xludf.DUMMYFUNCTION("""COMPUTED_VALUE"""),"Europe (excluding UK) &amp; Asia Pacific")</f>
        <v>Europe (excluding UK) &amp; Asia Pacific</v>
      </c>
      <c r="D390" s="258" t="str">
        <f>IFERROR(__xludf.DUMMYFUNCTION("""COMPUTED_VALUE"""),"km. My car displays range in kilometres and I will enter all range numbers in kilometres.")</f>
        <v>km. My car displays range in kilometres and I will enter all range numbers in kilometres.</v>
      </c>
      <c r="E390" s="259">
        <f>IFERROR(__xludf.DUMMYFUNCTION("""COMPUTED_VALUE"""),41912.0)</f>
        <v>41912</v>
      </c>
      <c r="F390" s="258" t="str">
        <f>IFERROR(__xludf.DUMMYFUNCTION("""COMPUTED_VALUE"""),"Model S 85")</f>
        <v>Model S 85</v>
      </c>
      <c r="G390" s="258" t="str">
        <f>IFERROR(__xludf.DUMMYFUNCTION("""COMPUTED_VALUE"""),"Twice a month")</f>
        <v>Twice a month</v>
      </c>
      <c r="H390" s="258" t="str">
        <f>IFERROR(__xludf.DUMMYFUNCTION("""COMPUTED_VALUE"""),"Twice a month")</f>
        <v>Twice a month</v>
      </c>
      <c r="I390" s="258" t="str">
        <f>IFERROR(__xludf.DUMMYFUNCTION("""COMPUTED_VALUE"""),"Never")</f>
        <v>Never</v>
      </c>
      <c r="J390" s="260">
        <f>IFERROR(__xludf.DUMMYFUNCTION("""COMPUTED_VALUE"""),0.9)</f>
        <v>0.9</v>
      </c>
      <c r="K390" s="258" t="str">
        <f>IFERROR(__xludf.DUMMYFUNCTION("""COMPUTED_VALUE"""),"")</f>
        <v/>
      </c>
      <c r="L390" s="258" t="str">
        <f>IFERROR(__xludf.DUMMYFUNCTION("""COMPUTED_VALUE"""),"")</f>
        <v/>
      </c>
      <c r="M390" s="261">
        <f>IFERROR(__xludf.DUMMYFUNCTION("""COMPUTED_VALUE"""),258.0)</f>
        <v>258</v>
      </c>
      <c r="N390" s="262" t="str">
        <f>IFERROR(__xludf.DUMMYFUNCTION("""COMPUTED_VALUE"""),"")</f>
        <v/>
      </c>
      <c r="O390" s="259" t="str">
        <f>IFERROR(__xludf.DUMMYFUNCTION("""COMPUTED_VALUE"""),"")</f>
        <v/>
      </c>
      <c r="P390" s="259">
        <f>IFERROR(__xludf.DUMMYFUNCTION("""COMPUTED_VALUE"""),41984.0)</f>
        <v>41984</v>
      </c>
      <c r="Q390" s="258">
        <f>IFERROR(__xludf.DUMMYFUNCTION("""COMPUTED_VALUE"""),9732.0)</f>
        <v>9732</v>
      </c>
      <c r="R390" s="261">
        <f>IFERROR(__xludf.DUMMYFUNCTION("""COMPUTED_VALUE"""),393.0)</f>
        <v>393</v>
      </c>
      <c r="S390" s="258">
        <v>395.0</v>
      </c>
      <c r="T390" s="263">
        <v>0.9949367088607595</v>
      </c>
      <c r="U390" s="264">
        <v>6047.0</v>
      </c>
      <c r="V390" s="265">
        <v>9732.0</v>
      </c>
      <c r="W390" s="264">
        <v>6047.0</v>
      </c>
      <c r="X390" s="266" t="str">
        <f>IFERROR(__xludf.DUMMYFUNCTION("""COMPUTED_VALUE"""),"N54tt")</f>
        <v>N54tt</v>
      </c>
      <c r="Y390" s="267">
        <v>-0.01</v>
      </c>
      <c r="Z390" s="267">
        <v>0.9846019320896023</v>
      </c>
      <c r="AA390" s="269"/>
      <c r="AB390" s="270"/>
      <c r="AC390" s="270"/>
      <c r="AD390" s="270"/>
      <c r="AE390" s="270"/>
    </row>
    <row r="391">
      <c r="A391" s="256">
        <f>IFERROR(__xludf.DUMMYFUNCTION("""COMPUTED_VALUE"""),42021.05763888889)</f>
        <v>42021.05764</v>
      </c>
      <c r="B391" s="257" t="str">
        <f>IFERROR(__xludf.DUMMYFUNCTION("""COMPUTED_VALUE"""),"ErikR")</f>
        <v>ErikR</v>
      </c>
      <c r="C391" s="258" t="str">
        <f>IFERROR(__xludf.DUMMYFUNCTION("""COMPUTED_VALUE"""),"Europe (excluding UK) &amp; Asia Pacific")</f>
        <v>Europe (excluding UK) &amp; Asia Pacific</v>
      </c>
      <c r="D391" s="258" t="str">
        <f>IFERROR(__xludf.DUMMYFUNCTION("""COMPUTED_VALUE"""),"km. My car displays range in kilometres and I will enter all range numbers in kilometres.")</f>
        <v>km. My car displays range in kilometres and I will enter all range numbers in kilometres.</v>
      </c>
      <c r="E391" s="259">
        <f>IFERROR(__xludf.DUMMYFUNCTION("""COMPUTED_VALUE"""),41912.0)</f>
        <v>41912</v>
      </c>
      <c r="F391" s="258" t="str">
        <f>IFERROR(__xludf.DUMMYFUNCTION("""COMPUTED_VALUE"""),"Model S 85")</f>
        <v>Model S 85</v>
      </c>
      <c r="G391" s="258" t="str">
        <f>IFERROR(__xludf.DUMMYFUNCTION("""COMPUTED_VALUE"""),"Twice a month")</f>
        <v>Twice a month</v>
      </c>
      <c r="H391" s="258" t="str">
        <f>IFERROR(__xludf.DUMMYFUNCTION("""COMPUTED_VALUE"""),"Twice a month")</f>
        <v>Twice a month</v>
      </c>
      <c r="I391" s="258" t="str">
        <f>IFERROR(__xludf.DUMMYFUNCTION("""COMPUTED_VALUE"""),"Never")</f>
        <v>Never</v>
      </c>
      <c r="J391" s="260">
        <f>IFERROR(__xludf.DUMMYFUNCTION("""COMPUTED_VALUE"""),0.8)</f>
        <v>0.8</v>
      </c>
      <c r="K391" s="258" t="str">
        <f>IFERROR(__xludf.DUMMYFUNCTION("""COMPUTED_VALUE"""),"")</f>
        <v/>
      </c>
      <c r="L391" s="258" t="str">
        <f>IFERROR(__xludf.DUMMYFUNCTION("""COMPUTED_VALUE"""),"")</f>
        <v/>
      </c>
      <c r="M391" s="261">
        <f>IFERROR(__xludf.DUMMYFUNCTION("""COMPUTED_VALUE"""),265.0)</f>
        <v>265</v>
      </c>
      <c r="N391" s="262" t="str">
        <f>IFERROR(__xludf.DUMMYFUNCTION("""COMPUTED_VALUE"""),"")</f>
        <v/>
      </c>
      <c r="O391" s="259" t="str">
        <f>IFERROR(__xludf.DUMMYFUNCTION("""COMPUTED_VALUE"""),"")</f>
        <v/>
      </c>
      <c r="P391" s="259">
        <f>IFERROR(__xludf.DUMMYFUNCTION("""COMPUTED_VALUE"""),42021.0)</f>
        <v>42021</v>
      </c>
      <c r="Q391" s="258">
        <f>IFERROR(__xludf.DUMMYFUNCTION("""COMPUTED_VALUE"""),12199.0)</f>
        <v>12199</v>
      </c>
      <c r="R391" s="261">
        <f>IFERROR(__xludf.DUMMYFUNCTION("""COMPUTED_VALUE"""),392.0)</f>
        <v>392</v>
      </c>
      <c r="S391" s="258">
        <v>395.0</v>
      </c>
      <c r="T391" s="263">
        <v>0.9924050632911392</v>
      </c>
      <c r="U391" s="264">
        <v>7580.0</v>
      </c>
      <c r="V391" s="265">
        <v>12199.0</v>
      </c>
      <c r="W391" s="264">
        <v>7580.0</v>
      </c>
      <c r="X391" s="266" t="str">
        <f>IFERROR(__xludf.DUMMYFUNCTION("""COMPUTED_VALUE"""),"namu")</f>
        <v>namu</v>
      </c>
      <c r="Y391" s="267">
        <v>-0.01</v>
      </c>
      <c r="Z391" s="267">
        <v>0.9817230460954697</v>
      </c>
      <c r="AA391" s="269"/>
      <c r="AB391" s="270"/>
      <c r="AC391" s="270"/>
      <c r="AD391" s="270"/>
      <c r="AE391" s="270"/>
    </row>
    <row r="392">
      <c r="A392" s="256">
        <f>IFERROR(__xludf.DUMMYFUNCTION("""COMPUTED_VALUE"""),42026.06319444445)</f>
        <v>42026.06319</v>
      </c>
      <c r="B392" s="257" t="str">
        <f>IFERROR(__xludf.DUMMYFUNCTION("""COMPUTED_VALUE"""),"ErikR")</f>
        <v>ErikR</v>
      </c>
      <c r="C392" s="258" t="str">
        <f>IFERROR(__xludf.DUMMYFUNCTION("""COMPUTED_VALUE"""),"Europe (excluding UK) &amp; Asia Pacific")</f>
        <v>Europe (excluding UK) &amp; Asia Pacific</v>
      </c>
      <c r="D392" s="258" t="str">
        <f>IFERROR(__xludf.DUMMYFUNCTION("""COMPUTED_VALUE"""),"km. My car displays range in kilometres and I will enter all range numbers in kilometres.")</f>
        <v>km. My car displays range in kilometres and I will enter all range numbers in kilometres.</v>
      </c>
      <c r="E392" s="259">
        <f>IFERROR(__xludf.DUMMYFUNCTION("""COMPUTED_VALUE"""),41912.0)</f>
        <v>41912</v>
      </c>
      <c r="F392" s="258" t="str">
        <f>IFERROR(__xludf.DUMMYFUNCTION("""COMPUTED_VALUE"""),"Model S 85")</f>
        <v>Model S 85</v>
      </c>
      <c r="G392" s="258" t="str">
        <f>IFERROR(__xludf.DUMMYFUNCTION("""COMPUTED_VALUE"""),"Twice a month")</f>
        <v>Twice a month</v>
      </c>
      <c r="H392" s="258" t="str">
        <f>IFERROR(__xludf.DUMMYFUNCTION("""COMPUTED_VALUE"""),"Twice a month")</f>
        <v>Twice a month</v>
      </c>
      <c r="I392" s="258" t="str">
        <f>IFERROR(__xludf.DUMMYFUNCTION("""COMPUTED_VALUE"""),"Never")</f>
        <v>Never</v>
      </c>
      <c r="J392" s="260">
        <f>IFERROR(__xludf.DUMMYFUNCTION("""COMPUTED_VALUE"""),0.8)</f>
        <v>0.8</v>
      </c>
      <c r="K392" s="258" t="str">
        <f>IFERROR(__xludf.DUMMYFUNCTION("""COMPUTED_VALUE"""),"")</f>
        <v/>
      </c>
      <c r="L392" s="258" t="str">
        <f>IFERROR(__xludf.DUMMYFUNCTION("""COMPUTED_VALUE"""),"")</f>
        <v/>
      </c>
      <c r="M392" s="261">
        <f>IFERROR(__xludf.DUMMYFUNCTION("""COMPUTED_VALUE"""),265.0)</f>
        <v>265</v>
      </c>
      <c r="N392" s="262" t="str">
        <f>IFERROR(__xludf.DUMMYFUNCTION("""COMPUTED_VALUE"""),"")</f>
        <v/>
      </c>
      <c r="O392" s="259" t="str">
        <f>IFERROR(__xludf.DUMMYFUNCTION("""COMPUTED_VALUE"""),"")</f>
        <v/>
      </c>
      <c r="P392" s="259">
        <f>IFERROR(__xludf.DUMMYFUNCTION("""COMPUTED_VALUE"""),42026.0)</f>
        <v>42026</v>
      </c>
      <c r="Q392" s="258">
        <f>IFERROR(__xludf.DUMMYFUNCTION("""COMPUTED_VALUE"""),13425.0)</f>
        <v>13425</v>
      </c>
      <c r="R392" s="261">
        <f>IFERROR(__xludf.DUMMYFUNCTION("""COMPUTED_VALUE"""),391.0)</f>
        <v>391</v>
      </c>
      <c r="S392" s="258">
        <v>395.0</v>
      </c>
      <c r="T392" s="263">
        <v>0.9898734177215189</v>
      </c>
      <c r="U392" s="264">
        <v>8342.0</v>
      </c>
      <c r="V392" s="265">
        <v>13425.0</v>
      </c>
      <c r="W392" s="264">
        <v>8342.0</v>
      </c>
      <c r="X392" s="266" t="str">
        <f>IFERROR(__xludf.DUMMYFUNCTION("""COMPUTED_VALUE"""),"nanafadnavis")</f>
        <v>nanafadnavis</v>
      </c>
      <c r="Y392" s="267">
        <v>-0.01</v>
      </c>
      <c r="Z392" s="267">
        <v>0.9804098703596122</v>
      </c>
      <c r="AA392" s="269"/>
      <c r="AB392" s="270"/>
      <c r="AC392" s="270"/>
      <c r="AD392" s="270"/>
      <c r="AE392" s="270"/>
    </row>
    <row r="393">
      <c r="A393" s="256">
        <f>IFERROR(__xludf.DUMMYFUNCTION("""COMPUTED_VALUE"""),42058.07708333334)</f>
        <v>42058.07708</v>
      </c>
      <c r="B393" s="257" t="str">
        <f>IFERROR(__xludf.DUMMYFUNCTION("""COMPUTED_VALUE"""),"ErikR")</f>
        <v>ErikR</v>
      </c>
      <c r="C393" s="258" t="str">
        <f>IFERROR(__xludf.DUMMYFUNCTION("""COMPUTED_VALUE"""),"Europe (excluding UK) &amp; Asia Pacific")</f>
        <v>Europe (excluding UK) &amp; Asia Pacific</v>
      </c>
      <c r="D393" s="258" t="str">
        <f>IFERROR(__xludf.DUMMYFUNCTION("""COMPUTED_VALUE"""),"km. My car displays range in kilometres and I will enter all range numbers in kilometres.")</f>
        <v>km. My car displays range in kilometres and I will enter all range numbers in kilometres.</v>
      </c>
      <c r="E393" s="259">
        <f>IFERROR(__xludf.DUMMYFUNCTION("""COMPUTED_VALUE"""),41912.0)</f>
        <v>41912</v>
      </c>
      <c r="F393" s="258" t="str">
        <f>IFERROR(__xludf.DUMMYFUNCTION("""COMPUTED_VALUE"""),"Model S 85")</f>
        <v>Model S 85</v>
      </c>
      <c r="G393" s="258" t="str">
        <f>IFERROR(__xludf.DUMMYFUNCTION("""COMPUTED_VALUE"""),"Twice a month")</f>
        <v>Twice a month</v>
      </c>
      <c r="H393" s="258" t="str">
        <f>IFERROR(__xludf.DUMMYFUNCTION("""COMPUTED_VALUE"""),"Twice a month")</f>
        <v>Twice a month</v>
      </c>
      <c r="I393" s="258" t="str">
        <f>IFERROR(__xludf.DUMMYFUNCTION("""COMPUTED_VALUE"""),"Never")</f>
        <v>Never</v>
      </c>
      <c r="J393" s="260">
        <f>IFERROR(__xludf.DUMMYFUNCTION("""COMPUTED_VALUE"""),0.8)</f>
        <v>0.8</v>
      </c>
      <c r="K393" s="258" t="str">
        <f>IFERROR(__xludf.DUMMYFUNCTION("""COMPUTED_VALUE"""),"")</f>
        <v/>
      </c>
      <c r="L393" s="258" t="str">
        <f>IFERROR(__xludf.DUMMYFUNCTION("""COMPUTED_VALUE"""),"")</f>
        <v/>
      </c>
      <c r="M393" s="261">
        <f>IFERROR(__xludf.DUMMYFUNCTION("""COMPUTED_VALUE"""),269.0)</f>
        <v>269</v>
      </c>
      <c r="N393" s="262" t="str">
        <f>IFERROR(__xludf.DUMMYFUNCTION("""COMPUTED_VALUE"""),"")</f>
        <v/>
      </c>
      <c r="O393" s="259" t="str">
        <f>IFERROR(__xludf.DUMMYFUNCTION("""COMPUTED_VALUE"""),"")</f>
        <v/>
      </c>
      <c r="P393" s="259">
        <f>IFERROR(__xludf.DUMMYFUNCTION("""COMPUTED_VALUE"""),42058.0)</f>
        <v>42058</v>
      </c>
      <c r="Q393" s="258">
        <f>IFERROR(__xludf.DUMMYFUNCTION("""COMPUTED_VALUE"""),15930.0)</f>
        <v>15930</v>
      </c>
      <c r="R393" s="261">
        <f>IFERROR(__xludf.DUMMYFUNCTION("""COMPUTED_VALUE"""),387.0)</f>
        <v>387</v>
      </c>
      <c r="S393" s="258">
        <v>395.0</v>
      </c>
      <c r="T393" s="263">
        <v>0.979746835443038</v>
      </c>
      <c r="U393" s="264">
        <v>9898.0</v>
      </c>
      <c r="V393" s="265">
        <v>15930.0</v>
      </c>
      <c r="W393" s="264">
        <v>9898.0</v>
      </c>
      <c r="X393" s="266" t="str">
        <f>IFERROR(__xludf.DUMMYFUNCTION("""COMPUTED_VALUE"""),"NateL")</f>
        <v>NateL</v>
      </c>
      <c r="Y393" s="267">
        <v>-0.01</v>
      </c>
      <c r="Z393" s="267">
        <v>0.9779418780536165</v>
      </c>
      <c r="AA393" s="269"/>
      <c r="AB393" s="270"/>
      <c r="AC393" s="270"/>
      <c r="AD393" s="270"/>
      <c r="AE393" s="270"/>
    </row>
    <row r="394">
      <c r="A394" s="256">
        <f>IFERROR(__xludf.DUMMYFUNCTION("""COMPUTED_VALUE"""),42092.08888888889)</f>
        <v>42092.08889</v>
      </c>
      <c r="B394" s="257" t="str">
        <f>IFERROR(__xludf.DUMMYFUNCTION("""COMPUTED_VALUE"""),"ErikR")</f>
        <v>ErikR</v>
      </c>
      <c r="C394" s="258" t="str">
        <f>IFERROR(__xludf.DUMMYFUNCTION("""COMPUTED_VALUE"""),"Europe (excluding UK) &amp; Asia Pacific")</f>
        <v>Europe (excluding UK) &amp; Asia Pacific</v>
      </c>
      <c r="D394" s="258" t="str">
        <f>IFERROR(__xludf.DUMMYFUNCTION("""COMPUTED_VALUE"""),"km. My car displays range in kilometres and I will enter all range numbers in kilometres.")</f>
        <v>km. My car displays range in kilometres and I will enter all range numbers in kilometres.</v>
      </c>
      <c r="E394" s="259">
        <f>IFERROR(__xludf.DUMMYFUNCTION("""COMPUTED_VALUE"""),41912.0)</f>
        <v>41912</v>
      </c>
      <c r="F394" s="258" t="str">
        <f>IFERROR(__xludf.DUMMYFUNCTION("""COMPUTED_VALUE"""),"Model S 85")</f>
        <v>Model S 85</v>
      </c>
      <c r="G394" s="258" t="str">
        <f>IFERROR(__xludf.DUMMYFUNCTION("""COMPUTED_VALUE"""),"Twice a month")</f>
        <v>Twice a month</v>
      </c>
      <c r="H394" s="258" t="str">
        <f>IFERROR(__xludf.DUMMYFUNCTION("""COMPUTED_VALUE"""),"Twice a month")</f>
        <v>Twice a month</v>
      </c>
      <c r="I394" s="258" t="str">
        <f>IFERROR(__xludf.DUMMYFUNCTION("""COMPUTED_VALUE"""),"Never")</f>
        <v>Never</v>
      </c>
      <c r="J394" s="260">
        <f>IFERROR(__xludf.DUMMYFUNCTION("""COMPUTED_VALUE"""),0.7)</f>
        <v>0.7</v>
      </c>
      <c r="K394" s="258" t="str">
        <f>IFERROR(__xludf.DUMMYFUNCTION("""COMPUTED_VALUE"""),"")</f>
        <v/>
      </c>
      <c r="L394" s="258" t="str">
        <f>IFERROR(__xludf.DUMMYFUNCTION("""COMPUTED_VALUE"""),"")</f>
        <v/>
      </c>
      <c r="M394" s="261">
        <f>IFERROR(__xludf.DUMMYFUNCTION("""COMPUTED_VALUE"""),269.0)</f>
        <v>269</v>
      </c>
      <c r="N394" s="262" t="str">
        <f>IFERROR(__xludf.DUMMYFUNCTION("""COMPUTED_VALUE"""),"")</f>
        <v/>
      </c>
      <c r="O394" s="259" t="str">
        <f>IFERROR(__xludf.DUMMYFUNCTION("""COMPUTED_VALUE"""),"")</f>
        <v/>
      </c>
      <c r="P394" s="259">
        <f>IFERROR(__xludf.DUMMYFUNCTION("""COMPUTED_VALUE"""),42092.0)</f>
        <v>42092</v>
      </c>
      <c r="Q394" s="258">
        <f>IFERROR(__xludf.DUMMYFUNCTION("""COMPUTED_VALUE"""),20412.0)</f>
        <v>20412</v>
      </c>
      <c r="R394" s="261">
        <f>IFERROR(__xludf.DUMMYFUNCTION("""COMPUTED_VALUE"""),381.0)</f>
        <v>381</v>
      </c>
      <c r="S394" s="258">
        <v>395.0</v>
      </c>
      <c r="T394" s="263">
        <v>0.9645569620253165</v>
      </c>
      <c r="U394" s="264">
        <v>12683.0</v>
      </c>
      <c r="V394" s="265">
        <v>20412.0</v>
      </c>
      <c r="W394" s="264">
        <v>12683.0</v>
      </c>
      <c r="X394" s="266" t="str">
        <f>IFERROR(__xludf.DUMMYFUNCTION("""COMPUTED_VALUE"""),"Nexus")</f>
        <v>Nexus</v>
      </c>
      <c r="Y394" s="267">
        <v>-0.01</v>
      </c>
      <c r="Z394" s="267">
        <v>0.9741423780538692</v>
      </c>
      <c r="AA394" s="269"/>
      <c r="AB394" s="270"/>
      <c r="AC394" s="270"/>
      <c r="AD394" s="270"/>
      <c r="AE394" s="270"/>
    </row>
    <row r="395">
      <c r="A395" s="256">
        <f>IFERROR(__xludf.DUMMYFUNCTION("""COMPUTED_VALUE"""),42112.12708333333)</f>
        <v>42112.12708</v>
      </c>
      <c r="B395" s="257" t="str">
        <f>IFERROR(__xludf.DUMMYFUNCTION("""COMPUTED_VALUE"""),"ErikR")</f>
        <v>ErikR</v>
      </c>
      <c r="C395" s="258" t="str">
        <f>IFERROR(__xludf.DUMMYFUNCTION("""COMPUTED_VALUE"""),"Europe (excluding UK) &amp; Asia Pacific")</f>
        <v>Europe (excluding UK) &amp; Asia Pacific</v>
      </c>
      <c r="D395" s="258" t="str">
        <f>IFERROR(__xludf.DUMMYFUNCTION("""COMPUTED_VALUE"""),"km. My car displays range in kilometres and I will enter all range numbers in kilometres.")</f>
        <v>km. My car displays range in kilometres and I will enter all range numbers in kilometres.</v>
      </c>
      <c r="E395" s="259">
        <f>IFERROR(__xludf.DUMMYFUNCTION("""COMPUTED_VALUE"""),41912.0)</f>
        <v>41912</v>
      </c>
      <c r="F395" s="258" t="str">
        <f>IFERROR(__xludf.DUMMYFUNCTION("""COMPUTED_VALUE"""),"Model S 85")</f>
        <v>Model S 85</v>
      </c>
      <c r="G395" s="258" t="str">
        <f>IFERROR(__xludf.DUMMYFUNCTION("""COMPUTED_VALUE"""),"A few times a year")</f>
        <v>A few times a year</v>
      </c>
      <c r="H395" s="258" t="str">
        <f>IFERROR(__xludf.DUMMYFUNCTION("""COMPUTED_VALUE"""),"Twice a month")</f>
        <v>Twice a month</v>
      </c>
      <c r="I395" s="258" t="str">
        <f>IFERROR(__xludf.DUMMYFUNCTION("""COMPUTED_VALUE"""),"Never")</f>
        <v>Never</v>
      </c>
      <c r="J395" s="260">
        <f>IFERROR(__xludf.DUMMYFUNCTION("""COMPUTED_VALUE"""),0.7)</f>
        <v>0.7</v>
      </c>
      <c r="K395" s="258" t="str">
        <f>IFERROR(__xludf.DUMMYFUNCTION("""COMPUTED_VALUE"""),"")</f>
        <v/>
      </c>
      <c r="L395" s="258" t="str">
        <f>IFERROR(__xludf.DUMMYFUNCTION("""COMPUTED_VALUE"""),"")</f>
        <v/>
      </c>
      <c r="M395" s="261">
        <f>IFERROR(__xludf.DUMMYFUNCTION("""COMPUTED_VALUE"""),267.0)</f>
        <v>267</v>
      </c>
      <c r="N395" s="262" t="str">
        <f>IFERROR(__xludf.DUMMYFUNCTION("""COMPUTED_VALUE"""),"")</f>
        <v/>
      </c>
      <c r="O395" s="259" t="str">
        <f>IFERROR(__xludf.DUMMYFUNCTION("""COMPUTED_VALUE"""),"")</f>
        <v/>
      </c>
      <c r="P395" s="259">
        <f>IFERROR(__xludf.DUMMYFUNCTION("""COMPUTED_VALUE"""),42112.0)</f>
        <v>42112</v>
      </c>
      <c r="Q395" s="258">
        <f>IFERROR(__xludf.DUMMYFUNCTION("""COMPUTED_VALUE"""),21957.0)</f>
        <v>21957</v>
      </c>
      <c r="R395" s="261">
        <f>IFERROR(__xludf.DUMMYFUNCTION("""COMPUTED_VALUE"""),382.0)</f>
        <v>382</v>
      </c>
      <c r="S395" s="258">
        <v>395.0</v>
      </c>
      <c r="T395" s="263">
        <v>0.9670886075949368</v>
      </c>
      <c r="U395" s="264">
        <v>13643.0</v>
      </c>
      <c r="V395" s="265">
        <v>21957.0</v>
      </c>
      <c r="W395" s="264">
        <v>13643.0</v>
      </c>
      <c r="X395" s="266" t="str">
        <f>IFERROR(__xludf.DUMMYFUNCTION("""COMPUTED_VALUE"""),"nickjhowe")</f>
        <v>nickjhowe</v>
      </c>
      <c r="Y395" s="267">
        <v>-0.01</v>
      </c>
      <c r="Z395" s="267">
        <v>0.9729878572439135</v>
      </c>
      <c r="AA395" s="269"/>
      <c r="AB395" s="270"/>
      <c r="AC395" s="270"/>
      <c r="AD395" s="270"/>
      <c r="AE395" s="270"/>
    </row>
    <row r="396">
      <c r="A396" s="256">
        <f>IFERROR(__xludf.DUMMYFUNCTION("""COMPUTED_VALUE"""),42149.12777777778)</f>
        <v>42149.12778</v>
      </c>
      <c r="B396" s="257" t="str">
        <f>IFERROR(__xludf.DUMMYFUNCTION("""COMPUTED_VALUE"""),"ErikR")</f>
        <v>ErikR</v>
      </c>
      <c r="C396" s="258" t="str">
        <f>IFERROR(__xludf.DUMMYFUNCTION("""COMPUTED_VALUE"""),"Europe (excluding UK) &amp; Asia Pacific")</f>
        <v>Europe (excluding UK) &amp; Asia Pacific</v>
      </c>
      <c r="D396" s="258" t="str">
        <f>IFERROR(__xludf.DUMMYFUNCTION("""COMPUTED_VALUE"""),"km. My car displays range in kilometres and I will enter all range numbers in kilometres.")</f>
        <v>km. My car displays range in kilometres and I will enter all range numbers in kilometres.</v>
      </c>
      <c r="E396" s="259">
        <f>IFERROR(__xludf.DUMMYFUNCTION("""COMPUTED_VALUE"""),41912.0)</f>
        <v>41912</v>
      </c>
      <c r="F396" s="258" t="str">
        <f>IFERROR(__xludf.DUMMYFUNCTION("""COMPUTED_VALUE"""),"Model S 85")</f>
        <v>Model S 85</v>
      </c>
      <c r="G396" s="258" t="str">
        <f>IFERROR(__xludf.DUMMYFUNCTION("""COMPUTED_VALUE"""),"A few times a year")</f>
        <v>A few times a year</v>
      </c>
      <c r="H396" s="258" t="str">
        <f>IFERROR(__xludf.DUMMYFUNCTION("""COMPUTED_VALUE"""),"Twice a month")</f>
        <v>Twice a month</v>
      </c>
      <c r="I396" s="258" t="str">
        <f>IFERROR(__xludf.DUMMYFUNCTION("""COMPUTED_VALUE"""),"Never")</f>
        <v>Never</v>
      </c>
      <c r="J396" s="260">
        <f>IFERROR(__xludf.DUMMYFUNCTION("""COMPUTED_VALUE"""),0.7)</f>
        <v>0.7</v>
      </c>
      <c r="K396" s="258" t="str">
        <f>IFERROR(__xludf.DUMMYFUNCTION("""COMPUTED_VALUE"""),"")</f>
        <v/>
      </c>
      <c r="L396" s="258" t="str">
        <f>IFERROR(__xludf.DUMMYFUNCTION("""COMPUTED_VALUE"""),"")</f>
        <v/>
      </c>
      <c r="M396" s="261">
        <f>IFERROR(__xludf.DUMMYFUNCTION("""COMPUTED_VALUE"""),265.0)</f>
        <v>265</v>
      </c>
      <c r="N396" s="262" t="str">
        <f>IFERROR(__xludf.DUMMYFUNCTION("""COMPUTED_VALUE"""),"")</f>
        <v/>
      </c>
      <c r="O396" s="259" t="str">
        <f>IFERROR(__xludf.DUMMYFUNCTION("""COMPUTED_VALUE"""),"")</f>
        <v/>
      </c>
      <c r="P396" s="259">
        <f>IFERROR(__xludf.DUMMYFUNCTION("""COMPUTED_VALUE"""),42149.0)</f>
        <v>42149</v>
      </c>
      <c r="Q396" s="258">
        <f>IFERROR(__xludf.DUMMYFUNCTION("""COMPUTED_VALUE"""),25069.0)</f>
        <v>25069</v>
      </c>
      <c r="R396" s="261">
        <f>IFERROR(__xludf.DUMMYFUNCTION("""COMPUTED_VALUE"""),381.0)</f>
        <v>381</v>
      </c>
      <c r="S396" s="258">
        <v>395.0</v>
      </c>
      <c r="T396" s="263">
        <v>0.9645569620253165</v>
      </c>
      <c r="U396" s="264">
        <v>15577.0</v>
      </c>
      <c r="V396" s="265">
        <v>25069.0</v>
      </c>
      <c r="W396" s="264">
        <v>15577.0</v>
      </c>
      <c r="X396" s="266" t="str">
        <f>IFERROR(__xludf.DUMMYFUNCTION("""COMPUTED_VALUE"""),"Nico")</f>
        <v>Nico</v>
      </c>
      <c r="Y396" s="267">
        <v>-0.01</v>
      </c>
      <c r="Z396" s="267">
        <v>0.970864491079105</v>
      </c>
      <c r="AA396" s="269"/>
      <c r="AB396" s="270"/>
      <c r="AC396" s="270"/>
      <c r="AD396" s="270"/>
      <c r="AE396" s="270"/>
    </row>
    <row r="397">
      <c r="A397" s="256">
        <f>IFERROR(__xludf.DUMMYFUNCTION("""COMPUTED_VALUE"""),42227.15833333333)</f>
        <v>42227.15833</v>
      </c>
      <c r="B397" s="257" t="str">
        <f>IFERROR(__xludf.DUMMYFUNCTION("""COMPUTED_VALUE"""),"ErikR")</f>
        <v>ErikR</v>
      </c>
      <c r="C397" s="258" t="str">
        <f>IFERROR(__xludf.DUMMYFUNCTION("""COMPUTED_VALUE"""),"Europe (excluding UK) &amp; Asia Pacific")</f>
        <v>Europe (excluding UK) &amp; Asia Pacific</v>
      </c>
      <c r="D397" s="258" t="str">
        <f>IFERROR(__xludf.DUMMYFUNCTION("""COMPUTED_VALUE"""),"km. My car displays range in kilometres and I will enter all range numbers in kilometres.")</f>
        <v>km. My car displays range in kilometres and I will enter all range numbers in kilometres.</v>
      </c>
      <c r="E397" s="259">
        <f>IFERROR(__xludf.DUMMYFUNCTION("""COMPUTED_VALUE"""),41912.0)</f>
        <v>41912</v>
      </c>
      <c r="F397" s="258" t="str">
        <f>IFERROR(__xludf.DUMMYFUNCTION("""COMPUTED_VALUE"""),"Model S 85")</f>
        <v>Model S 85</v>
      </c>
      <c r="G397" s="258" t="str">
        <f>IFERROR(__xludf.DUMMYFUNCTION("""COMPUTED_VALUE"""),"Monthly")</f>
        <v>Monthly</v>
      </c>
      <c r="H397" s="258" t="str">
        <f>IFERROR(__xludf.DUMMYFUNCTION("""COMPUTED_VALUE"""),"Twice a month")</f>
        <v>Twice a month</v>
      </c>
      <c r="I397" s="258" t="str">
        <f>IFERROR(__xludf.DUMMYFUNCTION("""COMPUTED_VALUE"""),"Once or twice a year")</f>
        <v>Once or twice a year</v>
      </c>
      <c r="J397" s="260">
        <f>IFERROR(__xludf.DUMMYFUNCTION("""COMPUTED_VALUE"""),0.8)</f>
        <v>0.8</v>
      </c>
      <c r="K397" s="258">
        <f>IFERROR(__xludf.DUMMYFUNCTION("""COMPUTED_VALUE"""),399.0)</f>
        <v>399</v>
      </c>
      <c r="L397" s="258" t="str">
        <f>IFERROR(__xludf.DUMMYFUNCTION("""COMPUTED_VALUE"""),"")</f>
        <v/>
      </c>
      <c r="M397" s="261">
        <f>IFERROR(__xludf.DUMMYFUNCTION("""COMPUTED_VALUE"""),262.0)</f>
        <v>262</v>
      </c>
      <c r="N397" s="262" t="str">
        <f>IFERROR(__xludf.DUMMYFUNCTION("""COMPUTED_VALUE"""),"")</f>
        <v/>
      </c>
      <c r="O397" s="259" t="str">
        <f>IFERROR(__xludf.DUMMYFUNCTION("""COMPUTED_VALUE"""),"")</f>
        <v/>
      </c>
      <c r="P397" s="259">
        <f>IFERROR(__xludf.DUMMYFUNCTION("""COMPUTED_VALUE"""),42227.0)</f>
        <v>42227</v>
      </c>
      <c r="Q397" s="258">
        <f>IFERROR(__xludf.DUMMYFUNCTION("""COMPUTED_VALUE"""),31500.0)</f>
        <v>31500</v>
      </c>
      <c r="R397" s="261">
        <f>IFERROR(__xludf.DUMMYFUNCTION("""COMPUTED_VALUE"""),376.0)</f>
        <v>376</v>
      </c>
      <c r="S397" s="258">
        <v>395.0</v>
      </c>
      <c r="T397" s="263">
        <v>0.9518987341772152</v>
      </c>
      <c r="U397" s="264">
        <v>19573.0</v>
      </c>
      <c r="V397" s="265">
        <v>31500.0</v>
      </c>
      <c r="W397" s="264">
        <v>19573.0</v>
      </c>
      <c r="X397" s="266" t="str">
        <f>IFERROR(__xludf.DUMMYFUNCTION("""COMPUTED_VALUE"""),"nico180")</f>
        <v>nico180</v>
      </c>
      <c r="Y397" s="267">
        <v>-0.01</v>
      </c>
      <c r="Z397" s="267">
        <v>0.9671703763465709</v>
      </c>
      <c r="AA397" s="269"/>
      <c r="AB397" s="270"/>
      <c r="AC397" s="270"/>
      <c r="AD397" s="270"/>
      <c r="AE397" s="270"/>
    </row>
    <row r="398">
      <c r="A398" s="256">
        <f>IFERROR(__xludf.DUMMYFUNCTION("""COMPUTED_VALUE"""),42280.19097222222)</f>
        <v>42280.19097</v>
      </c>
      <c r="B398" s="257" t="str">
        <f>IFERROR(__xludf.DUMMYFUNCTION("""COMPUTED_VALUE"""),"ErikR")</f>
        <v>ErikR</v>
      </c>
      <c r="C398" s="258" t="str">
        <f>IFERROR(__xludf.DUMMYFUNCTION("""COMPUTED_VALUE"""),"Europe (excluding UK) &amp; Asia Pacific")</f>
        <v>Europe (excluding UK) &amp; Asia Pacific</v>
      </c>
      <c r="D398" s="258" t="str">
        <f>IFERROR(__xludf.DUMMYFUNCTION("""COMPUTED_VALUE"""),"km. My car displays range in kilometres and I will enter all range numbers in kilometres.")</f>
        <v>km. My car displays range in kilometres and I will enter all range numbers in kilometres.</v>
      </c>
      <c r="E398" s="259">
        <f>IFERROR(__xludf.DUMMYFUNCTION("""COMPUTED_VALUE"""),41912.0)</f>
        <v>41912</v>
      </c>
      <c r="F398" s="258" t="str">
        <f>IFERROR(__xludf.DUMMYFUNCTION("""COMPUTED_VALUE"""),"Model S 85")</f>
        <v>Model S 85</v>
      </c>
      <c r="G398" s="258" t="str">
        <f>IFERROR(__xludf.DUMMYFUNCTION("""COMPUTED_VALUE"""),"A few times a year")</f>
        <v>A few times a year</v>
      </c>
      <c r="H398" s="258" t="str">
        <f>IFERROR(__xludf.DUMMYFUNCTION("""COMPUTED_VALUE"""),"Monthly")</f>
        <v>Monthly</v>
      </c>
      <c r="I398" s="258" t="str">
        <f>IFERROR(__xludf.DUMMYFUNCTION("""COMPUTED_VALUE"""),"Never")</f>
        <v>Never</v>
      </c>
      <c r="J398" s="260">
        <f>IFERROR(__xludf.DUMMYFUNCTION("""COMPUTED_VALUE"""),0.8)</f>
        <v>0.8</v>
      </c>
      <c r="K398" s="258">
        <f>IFERROR(__xludf.DUMMYFUNCTION("""COMPUTED_VALUE"""),399.0)</f>
        <v>399</v>
      </c>
      <c r="L398" s="258" t="str">
        <f>IFERROR(__xludf.DUMMYFUNCTION("""COMPUTED_VALUE"""),"")</f>
        <v/>
      </c>
      <c r="M398" s="261">
        <f>IFERROR(__xludf.DUMMYFUNCTION("""COMPUTED_VALUE"""),259.0)</f>
        <v>259</v>
      </c>
      <c r="N398" s="262" t="str">
        <f>IFERROR(__xludf.DUMMYFUNCTION("""COMPUTED_VALUE"""),"")</f>
        <v/>
      </c>
      <c r="O398" s="259" t="str">
        <f>IFERROR(__xludf.DUMMYFUNCTION("""COMPUTED_VALUE"""),"")</f>
        <v/>
      </c>
      <c r="P398" s="259">
        <f>IFERROR(__xludf.DUMMYFUNCTION("""COMPUTED_VALUE"""),42280.0)</f>
        <v>42280</v>
      </c>
      <c r="Q398" s="258">
        <f>IFERROR(__xludf.DUMMYFUNCTION("""COMPUTED_VALUE"""),35580.0)</f>
        <v>35580</v>
      </c>
      <c r="R398" s="261">
        <f>IFERROR(__xludf.DUMMYFUNCTION("""COMPUTED_VALUE"""),371.0)</f>
        <v>371</v>
      </c>
      <c r="S398" s="258">
        <v>395.0</v>
      </c>
      <c r="T398" s="263">
        <v>0.9392405063291139</v>
      </c>
      <c r="U398" s="264">
        <v>22108.0</v>
      </c>
      <c r="V398" s="265">
        <v>35580.0</v>
      </c>
      <c r="W398" s="264">
        <v>22108.0</v>
      </c>
      <c r="X398" s="266" t="str">
        <f>IFERROR(__xludf.DUMMYFUNCTION("""COMPUTED_VALUE"""),"Niels1275")</f>
        <v>Niels1275</v>
      </c>
      <c r="Y398" s="267">
        <v>-0.01</v>
      </c>
      <c r="Z398" s="267">
        <v>0.9651995978189901</v>
      </c>
      <c r="AA398" s="269"/>
      <c r="AB398" s="270"/>
      <c r="AC398" s="270"/>
      <c r="AD398" s="270"/>
      <c r="AE398" s="270"/>
    </row>
    <row r="399">
      <c r="A399" s="256">
        <f>IFERROR(__xludf.DUMMYFUNCTION("""COMPUTED_VALUE"""),42338.256944444445)</f>
        <v>42338.25694</v>
      </c>
      <c r="B399" s="257" t="str">
        <f>IFERROR(__xludf.DUMMYFUNCTION("""COMPUTED_VALUE"""),"ErikR")</f>
        <v>ErikR</v>
      </c>
      <c r="C399" s="258" t="str">
        <f>IFERROR(__xludf.DUMMYFUNCTION("""COMPUTED_VALUE"""),"Europe (excluding UK) &amp; Asia Pacific")</f>
        <v>Europe (excluding UK) &amp; Asia Pacific</v>
      </c>
      <c r="D399" s="258" t="str">
        <f>IFERROR(__xludf.DUMMYFUNCTION("""COMPUTED_VALUE"""),"km. My car displays range in kilometres and I will enter all range numbers in kilometres.")</f>
        <v>km. My car displays range in kilometres and I will enter all range numbers in kilometres.</v>
      </c>
      <c r="E399" s="259">
        <f>IFERROR(__xludf.DUMMYFUNCTION("""COMPUTED_VALUE"""),41912.0)</f>
        <v>41912</v>
      </c>
      <c r="F399" s="258" t="str">
        <f>IFERROR(__xludf.DUMMYFUNCTION("""COMPUTED_VALUE"""),"Model S 85")</f>
        <v>Model S 85</v>
      </c>
      <c r="G399" s="258" t="str">
        <f>IFERROR(__xludf.DUMMYFUNCTION("""COMPUTED_VALUE"""),"A few times a year")</f>
        <v>A few times a year</v>
      </c>
      <c r="H399" s="258" t="str">
        <f>IFERROR(__xludf.DUMMYFUNCTION("""COMPUTED_VALUE"""),"Monthly")</f>
        <v>Monthly</v>
      </c>
      <c r="I399" s="258" t="str">
        <f>IFERROR(__xludf.DUMMYFUNCTION("""COMPUTED_VALUE"""),"Never")</f>
        <v>Never</v>
      </c>
      <c r="J399" s="260">
        <f>IFERROR(__xludf.DUMMYFUNCTION("""COMPUTED_VALUE"""),0.8)</f>
        <v>0.8</v>
      </c>
      <c r="K399" s="258" t="str">
        <f>IFERROR(__xludf.DUMMYFUNCTION("""COMPUTED_VALUE"""),"")</f>
        <v/>
      </c>
      <c r="L399" s="258" t="str">
        <f>IFERROR(__xludf.DUMMYFUNCTION("""COMPUTED_VALUE"""),"")</f>
        <v/>
      </c>
      <c r="M399" s="261">
        <f>IFERROR(__xludf.DUMMYFUNCTION("""COMPUTED_VALUE"""),258.0)</f>
        <v>258</v>
      </c>
      <c r="N399" s="262" t="str">
        <f>IFERROR(__xludf.DUMMYFUNCTION("""COMPUTED_VALUE"""),"")</f>
        <v/>
      </c>
      <c r="O399" s="259" t="str">
        <f>IFERROR(__xludf.DUMMYFUNCTION("""COMPUTED_VALUE"""),"")</f>
        <v/>
      </c>
      <c r="P399" s="259">
        <f>IFERROR(__xludf.DUMMYFUNCTION("""COMPUTED_VALUE"""),42338.0)</f>
        <v>42338</v>
      </c>
      <c r="Q399" s="258">
        <f>IFERROR(__xludf.DUMMYFUNCTION("""COMPUTED_VALUE"""),40592.0)</f>
        <v>40592</v>
      </c>
      <c r="R399" s="261">
        <f>IFERROR(__xludf.DUMMYFUNCTION("""COMPUTED_VALUE"""),372.0)</f>
        <v>372</v>
      </c>
      <c r="S399" s="258">
        <v>395.0</v>
      </c>
      <c r="T399" s="263">
        <v>0.9417721518987342</v>
      </c>
      <c r="U399" s="264">
        <v>25223.0</v>
      </c>
      <c r="V399" s="265">
        <v>40592.0</v>
      </c>
      <c r="W399" s="264">
        <v>25223.0</v>
      </c>
      <c r="X399" s="266" t="str">
        <f>IFERROR(__xludf.DUMMYFUNCTION("""COMPUTED_VALUE"""),"Nobbi 67")</f>
        <v>Nobbi 67</v>
      </c>
      <c r="Y399" s="267">
        <v>-0.01</v>
      </c>
      <c r="Z399" s="267">
        <v>0.9630712718941359</v>
      </c>
      <c r="AA399" s="269"/>
      <c r="AB399" s="270"/>
      <c r="AC399" s="270"/>
      <c r="AD399" s="270"/>
      <c r="AE399" s="270"/>
    </row>
    <row r="400">
      <c r="A400" s="256">
        <f>IFERROR(__xludf.DUMMYFUNCTION("""COMPUTED_VALUE"""),42357.257638888885)</f>
        <v>42357.25764</v>
      </c>
      <c r="B400" s="257" t="str">
        <f>IFERROR(__xludf.DUMMYFUNCTION("""COMPUTED_VALUE"""),"ErikR")</f>
        <v>ErikR</v>
      </c>
      <c r="C400" s="258" t="str">
        <f>IFERROR(__xludf.DUMMYFUNCTION("""COMPUTED_VALUE"""),"Europe (excluding UK) &amp; Asia Pacific")</f>
        <v>Europe (excluding UK) &amp; Asia Pacific</v>
      </c>
      <c r="D400" s="258" t="str">
        <f>IFERROR(__xludf.DUMMYFUNCTION("""COMPUTED_VALUE"""),"km. My car displays range in kilometres and I will enter all range numbers in kilometres.")</f>
        <v>km. My car displays range in kilometres and I will enter all range numbers in kilometres.</v>
      </c>
      <c r="E400" s="259">
        <f>IFERROR(__xludf.DUMMYFUNCTION("""COMPUTED_VALUE"""),41912.0)</f>
        <v>41912</v>
      </c>
      <c r="F400" s="258" t="str">
        <f>IFERROR(__xludf.DUMMYFUNCTION("""COMPUTED_VALUE"""),"Model S 85")</f>
        <v>Model S 85</v>
      </c>
      <c r="G400" s="258" t="str">
        <f>IFERROR(__xludf.DUMMYFUNCTION("""COMPUTED_VALUE"""),"A few times a year")</f>
        <v>A few times a year</v>
      </c>
      <c r="H400" s="258" t="str">
        <f>IFERROR(__xludf.DUMMYFUNCTION("""COMPUTED_VALUE"""),"Monthly")</f>
        <v>Monthly</v>
      </c>
      <c r="I400" s="258" t="str">
        <f>IFERROR(__xludf.DUMMYFUNCTION("""COMPUTED_VALUE"""),"Never")</f>
        <v>Never</v>
      </c>
      <c r="J400" s="260">
        <f>IFERROR(__xludf.DUMMYFUNCTION("""COMPUTED_VALUE"""),0.8)</f>
        <v>0.8</v>
      </c>
      <c r="K400" s="258" t="str">
        <f>IFERROR(__xludf.DUMMYFUNCTION("""COMPUTED_VALUE"""),"")</f>
        <v/>
      </c>
      <c r="L400" s="258" t="str">
        <f>IFERROR(__xludf.DUMMYFUNCTION("""COMPUTED_VALUE"""),"")</f>
        <v/>
      </c>
      <c r="M400" s="261">
        <f>IFERROR(__xludf.DUMMYFUNCTION("""COMPUTED_VALUE"""),258.0)</f>
        <v>258</v>
      </c>
      <c r="N400" s="262" t="str">
        <f>IFERROR(__xludf.DUMMYFUNCTION("""COMPUTED_VALUE"""),"")</f>
        <v/>
      </c>
      <c r="O400" s="259" t="str">
        <f>IFERROR(__xludf.DUMMYFUNCTION("""COMPUTED_VALUE"""),"")</f>
        <v/>
      </c>
      <c r="P400" s="259">
        <f>IFERROR(__xludf.DUMMYFUNCTION("""COMPUTED_VALUE"""),42357.0)</f>
        <v>42357</v>
      </c>
      <c r="Q400" s="258">
        <f>IFERROR(__xludf.DUMMYFUNCTION("""COMPUTED_VALUE"""),42700.0)</f>
        <v>42700</v>
      </c>
      <c r="R400" s="261">
        <f>IFERROR(__xludf.DUMMYFUNCTION("""COMPUTED_VALUE"""),376.0)</f>
        <v>376</v>
      </c>
      <c r="S400" s="258">
        <v>395.0</v>
      </c>
      <c r="T400" s="263">
        <v>0.9518987341772152</v>
      </c>
      <c r="U400" s="264">
        <v>26533.0</v>
      </c>
      <c r="V400" s="265">
        <v>42700.0</v>
      </c>
      <c r="W400" s="264">
        <v>26533.0</v>
      </c>
      <c r="X400" s="266" t="str">
        <f>IFERROR(__xludf.DUMMYFUNCTION("""COMPUTED_VALUE"""),"notacarguy")</f>
        <v>notacarguy</v>
      </c>
      <c r="Y400" s="267">
        <v>-0.01</v>
      </c>
      <c r="Z400" s="267">
        <v>0.9622535419676241</v>
      </c>
      <c r="AA400" s="269"/>
      <c r="AB400" s="270"/>
      <c r="AC400" s="270"/>
      <c r="AD400" s="270"/>
      <c r="AE400" s="270"/>
    </row>
    <row r="401">
      <c r="A401" s="256">
        <f>IFERROR(__xludf.DUMMYFUNCTION("""COMPUTED_VALUE"""),42427.29722222222)</f>
        <v>42427.29722</v>
      </c>
      <c r="B401" s="257" t="str">
        <f>IFERROR(__xludf.DUMMYFUNCTION("""COMPUTED_VALUE"""),"ErikR")</f>
        <v>ErikR</v>
      </c>
      <c r="C401" s="258" t="str">
        <f>IFERROR(__xludf.DUMMYFUNCTION("""COMPUTED_VALUE"""),"Europe (excluding UK) &amp; Asia Pacific")</f>
        <v>Europe (excluding UK) &amp; Asia Pacific</v>
      </c>
      <c r="D401" s="258" t="str">
        <f>IFERROR(__xludf.DUMMYFUNCTION("""COMPUTED_VALUE"""),"km. My car displays range in kilometres and I will enter all range numbers in kilometres.")</f>
        <v>km. My car displays range in kilometres and I will enter all range numbers in kilometres.</v>
      </c>
      <c r="E401" s="259">
        <f>IFERROR(__xludf.DUMMYFUNCTION("""COMPUTED_VALUE"""),41912.0)</f>
        <v>41912</v>
      </c>
      <c r="F401" s="258" t="str">
        <f>IFERROR(__xludf.DUMMYFUNCTION("""COMPUTED_VALUE"""),"Model S 85")</f>
        <v>Model S 85</v>
      </c>
      <c r="G401" s="258" t="str">
        <f>IFERROR(__xludf.DUMMYFUNCTION("""COMPUTED_VALUE"""),"A few times a year")</f>
        <v>A few times a year</v>
      </c>
      <c r="H401" s="258" t="str">
        <f>IFERROR(__xludf.DUMMYFUNCTION("""COMPUTED_VALUE"""),"Monthly")</f>
        <v>Monthly</v>
      </c>
      <c r="I401" s="258" t="str">
        <f>IFERROR(__xludf.DUMMYFUNCTION("""COMPUTED_VALUE"""),"Never")</f>
        <v>Never</v>
      </c>
      <c r="J401" s="260">
        <f>IFERROR(__xludf.DUMMYFUNCTION("""COMPUTED_VALUE"""),0.8)</f>
        <v>0.8</v>
      </c>
      <c r="K401" s="258" t="str">
        <f>IFERROR(__xludf.DUMMYFUNCTION("""COMPUTED_VALUE"""),"")</f>
        <v/>
      </c>
      <c r="L401" s="258" t="str">
        <f>IFERROR(__xludf.DUMMYFUNCTION("""COMPUTED_VALUE"""),"")</f>
        <v/>
      </c>
      <c r="M401" s="261">
        <f>IFERROR(__xludf.DUMMYFUNCTION("""COMPUTED_VALUE"""),258.0)</f>
        <v>258</v>
      </c>
      <c r="N401" s="262" t="str">
        <f>IFERROR(__xludf.DUMMYFUNCTION("""COMPUTED_VALUE"""),"")</f>
        <v/>
      </c>
      <c r="O401" s="259" t="str">
        <f>IFERROR(__xludf.DUMMYFUNCTION("""COMPUTED_VALUE"""),"")</f>
        <v/>
      </c>
      <c r="P401" s="259">
        <f>IFERROR(__xludf.DUMMYFUNCTION("""COMPUTED_VALUE"""),42427.0)</f>
        <v>42427</v>
      </c>
      <c r="Q401" s="258">
        <f>IFERROR(__xludf.DUMMYFUNCTION("""COMPUTED_VALUE"""),48277.0)</f>
        <v>48277</v>
      </c>
      <c r="R401" s="261">
        <f>IFERROR(__xludf.DUMMYFUNCTION("""COMPUTED_VALUE"""),366.0)</f>
        <v>366</v>
      </c>
      <c r="S401" s="258">
        <v>395.0</v>
      </c>
      <c r="T401" s="263">
        <v>0.9265822784810127</v>
      </c>
      <c r="U401" s="264">
        <v>29998.0</v>
      </c>
      <c r="V401" s="265">
        <v>48277.0</v>
      </c>
      <c r="W401" s="264">
        <v>29998.0</v>
      </c>
      <c r="X401" s="266" t="str">
        <f>IFERROR(__xludf.DUMMYFUNCTION("""COMPUTED_VALUE"""),"Nulwoning")</f>
        <v>Nulwoning</v>
      </c>
      <c r="Y401" s="267">
        <v>-0.01</v>
      </c>
      <c r="Z401" s="267">
        <v>0.9602630904074546</v>
      </c>
      <c r="AA401" s="269"/>
      <c r="AB401" s="270"/>
      <c r="AC401" s="270"/>
      <c r="AD401" s="270"/>
      <c r="AE401" s="270"/>
    </row>
    <row r="402">
      <c r="A402" s="256">
        <f>IFERROR(__xludf.DUMMYFUNCTION("""COMPUTED_VALUE"""),42428.29791666666)</f>
        <v>42428.29792</v>
      </c>
      <c r="B402" s="257" t="str">
        <f>IFERROR(__xludf.DUMMYFUNCTION("""COMPUTED_VALUE"""),"ErikR")</f>
        <v>ErikR</v>
      </c>
      <c r="C402" s="258" t="str">
        <f>IFERROR(__xludf.DUMMYFUNCTION("""COMPUTED_VALUE"""),"Europe (excluding UK) &amp; Asia Pacific")</f>
        <v>Europe (excluding UK) &amp; Asia Pacific</v>
      </c>
      <c r="D402" s="258" t="str">
        <f>IFERROR(__xludf.DUMMYFUNCTION("""COMPUTED_VALUE"""),"km. My car displays range in kilometres and I will enter all range numbers in kilometres.")</f>
        <v>km. My car displays range in kilometres and I will enter all range numbers in kilometres.</v>
      </c>
      <c r="E402" s="259">
        <f>IFERROR(__xludf.DUMMYFUNCTION("""COMPUTED_VALUE"""),41912.0)</f>
        <v>41912</v>
      </c>
      <c r="F402" s="258" t="str">
        <f>IFERROR(__xludf.DUMMYFUNCTION("""COMPUTED_VALUE"""),"Model S 85")</f>
        <v>Model S 85</v>
      </c>
      <c r="G402" s="258" t="str">
        <f>IFERROR(__xludf.DUMMYFUNCTION("""COMPUTED_VALUE"""),"A few times a year")</f>
        <v>A few times a year</v>
      </c>
      <c r="H402" s="258" t="str">
        <f>IFERROR(__xludf.DUMMYFUNCTION("""COMPUTED_VALUE"""),"Monthly")</f>
        <v>Monthly</v>
      </c>
      <c r="I402" s="258" t="str">
        <f>IFERROR(__xludf.DUMMYFUNCTION("""COMPUTED_VALUE"""),"Never")</f>
        <v>Never</v>
      </c>
      <c r="J402" s="260">
        <f>IFERROR(__xludf.DUMMYFUNCTION("""COMPUTED_VALUE"""),0.8)</f>
        <v>0.8</v>
      </c>
      <c r="K402" s="258" t="str">
        <f>IFERROR(__xludf.DUMMYFUNCTION("""COMPUTED_VALUE"""),"")</f>
        <v/>
      </c>
      <c r="L402" s="258" t="str">
        <f>IFERROR(__xludf.DUMMYFUNCTION("""COMPUTED_VALUE"""),"")</f>
        <v/>
      </c>
      <c r="M402" s="261">
        <f>IFERROR(__xludf.DUMMYFUNCTION("""COMPUTED_VALUE"""),258.0)</f>
        <v>258</v>
      </c>
      <c r="N402" s="262" t="str">
        <f>IFERROR(__xludf.DUMMYFUNCTION("""COMPUTED_VALUE"""),"")</f>
        <v/>
      </c>
      <c r="O402" s="259" t="str">
        <f>IFERROR(__xludf.DUMMYFUNCTION("""COMPUTED_VALUE"""),"")</f>
        <v/>
      </c>
      <c r="P402" s="259">
        <f>IFERROR(__xludf.DUMMYFUNCTION("""COMPUTED_VALUE"""),42428.0)</f>
        <v>42428</v>
      </c>
      <c r="Q402" s="258">
        <f>IFERROR(__xludf.DUMMYFUNCTION("""COMPUTED_VALUE"""),48521.0)</f>
        <v>48521</v>
      </c>
      <c r="R402" s="261">
        <f>IFERROR(__xludf.DUMMYFUNCTION("""COMPUTED_VALUE"""),367.0)</f>
        <v>367</v>
      </c>
      <c r="S402" s="258">
        <v>395.0</v>
      </c>
      <c r="T402" s="263">
        <v>0.9291139240506329</v>
      </c>
      <c r="U402" s="264">
        <v>30150.0</v>
      </c>
      <c r="V402" s="265">
        <v>48521.0</v>
      </c>
      <c r="W402" s="264">
        <v>30150.0</v>
      </c>
      <c r="X402" s="266" t="str">
        <f>IFERROR(__xludf.DUMMYFUNCTION("""COMPUTED_VALUE"""),"nvjx")</f>
        <v>nvjx</v>
      </c>
      <c r="Y402" s="267">
        <v>-0.01</v>
      </c>
      <c r="Z402" s="267">
        <v>0.9601809150489276</v>
      </c>
      <c r="AA402" s="269"/>
      <c r="AB402" s="270"/>
      <c r="AC402" s="270"/>
      <c r="AD402" s="270"/>
      <c r="AE402" s="270"/>
    </row>
    <row r="403">
      <c r="A403" s="256">
        <f>IFERROR(__xludf.DUMMYFUNCTION("""COMPUTED_VALUE"""),42500.3875)</f>
        <v>42500.3875</v>
      </c>
      <c r="B403" s="257" t="str">
        <f>IFERROR(__xludf.DUMMYFUNCTION("""COMPUTED_VALUE"""),"ErikR")</f>
        <v>ErikR</v>
      </c>
      <c r="C403" s="258" t="str">
        <f>IFERROR(__xludf.DUMMYFUNCTION("""COMPUTED_VALUE"""),"Europe (excluding UK) &amp; Asia Pacific")</f>
        <v>Europe (excluding UK) &amp; Asia Pacific</v>
      </c>
      <c r="D403" s="258" t="str">
        <f>IFERROR(__xludf.DUMMYFUNCTION("""COMPUTED_VALUE"""),"km. My car displays range in kilometres and I will enter all range numbers in kilometres.")</f>
        <v>km. My car displays range in kilometres and I will enter all range numbers in kilometres.</v>
      </c>
      <c r="E403" s="259">
        <f>IFERROR(__xludf.DUMMYFUNCTION("""COMPUTED_VALUE"""),41912.0)</f>
        <v>41912</v>
      </c>
      <c r="F403" s="258" t="str">
        <f>IFERROR(__xludf.DUMMYFUNCTION("""COMPUTED_VALUE"""),"Model S 85")</f>
        <v>Model S 85</v>
      </c>
      <c r="G403" s="258" t="str">
        <f>IFERROR(__xludf.DUMMYFUNCTION("""COMPUTED_VALUE"""),"")</f>
        <v/>
      </c>
      <c r="H403" s="258" t="str">
        <f>IFERROR(__xludf.DUMMYFUNCTION("""COMPUTED_VALUE"""),"")</f>
        <v/>
      </c>
      <c r="I403" s="258" t="str">
        <f>IFERROR(__xludf.DUMMYFUNCTION("""COMPUTED_VALUE"""),"")</f>
        <v/>
      </c>
      <c r="J403" s="260" t="str">
        <f>IFERROR(__xludf.DUMMYFUNCTION("""COMPUTED_VALUE"""),"")</f>
        <v/>
      </c>
      <c r="K403" s="258" t="str">
        <f>IFERROR(__xludf.DUMMYFUNCTION("""COMPUTED_VALUE"""),"")</f>
        <v/>
      </c>
      <c r="L403" s="258" t="str">
        <f>IFERROR(__xludf.DUMMYFUNCTION("""COMPUTED_VALUE"""),"")</f>
        <v/>
      </c>
      <c r="M403" s="261">
        <f>IFERROR(__xludf.DUMMYFUNCTION("""COMPUTED_VALUE"""),258.0)</f>
        <v>258</v>
      </c>
      <c r="N403" s="262" t="str">
        <f>IFERROR(__xludf.DUMMYFUNCTION("""COMPUTED_VALUE"""),"")</f>
        <v/>
      </c>
      <c r="O403" s="259" t="str">
        <f>IFERROR(__xludf.DUMMYFUNCTION("""COMPUTED_VALUE"""),"")</f>
        <v/>
      </c>
      <c r="P403" s="259">
        <f>IFERROR(__xludf.DUMMYFUNCTION("""COMPUTED_VALUE"""),42500.0)</f>
        <v>42500</v>
      </c>
      <c r="Q403" s="258">
        <f>IFERROR(__xludf.DUMMYFUNCTION("""COMPUTED_VALUE"""),55421.0)</f>
        <v>55421</v>
      </c>
      <c r="R403" s="261">
        <f>IFERROR(__xludf.DUMMYFUNCTION("""COMPUTED_VALUE"""),367.0)</f>
        <v>367</v>
      </c>
      <c r="S403" s="258">
        <v>395.0</v>
      </c>
      <c r="T403" s="263">
        <v>0.9291139240506329</v>
      </c>
      <c r="U403" s="264">
        <v>34437.0</v>
      </c>
      <c r="V403" s="265">
        <v>55421.0</v>
      </c>
      <c r="W403" s="264">
        <v>34437.0</v>
      </c>
      <c r="X403" s="266" t="str">
        <f>IFERROR(__xludf.DUMMYFUNCTION("""COMPUTED_VALUE"""),"ODE90D")</f>
        <v>ODE90D</v>
      </c>
      <c r="Y403" s="267">
        <v>-0.01</v>
      </c>
      <c r="Z403" s="267">
        <v>0.957990446750734</v>
      </c>
      <c r="AA403" s="269"/>
      <c r="AB403" s="270"/>
      <c r="AC403" s="270"/>
      <c r="AD403" s="270"/>
      <c r="AE403" s="270"/>
    </row>
    <row r="404">
      <c r="A404" s="256">
        <f>IFERROR(__xludf.DUMMYFUNCTION("""COMPUTED_VALUE"""),42607.388194444444)</f>
        <v>42607.38819</v>
      </c>
      <c r="B404" s="257" t="str">
        <f>IFERROR(__xludf.DUMMYFUNCTION("""COMPUTED_VALUE"""),"ErikR")</f>
        <v>ErikR</v>
      </c>
      <c r="C404" s="258" t="str">
        <f>IFERROR(__xludf.DUMMYFUNCTION("""COMPUTED_VALUE"""),"Europe (excluding UK) &amp; Asia Pacific")</f>
        <v>Europe (excluding UK) &amp; Asia Pacific</v>
      </c>
      <c r="D404" s="258" t="str">
        <f>IFERROR(__xludf.DUMMYFUNCTION("""COMPUTED_VALUE"""),"km. My car displays range in kilometres and I will enter all range numbers in kilometres.")</f>
        <v>km. My car displays range in kilometres and I will enter all range numbers in kilometres.</v>
      </c>
      <c r="E404" s="259">
        <f>IFERROR(__xludf.DUMMYFUNCTION("""COMPUTED_VALUE"""),41912.0)</f>
        <v>41912</v>
      </c>
      <c r="F404" s="258" t="str">
        <f>IFERROR(__xludf.DUMMYFUNCTION("""COMPUTED_VALUE"""),"Model S 85")</f>
        <v>Model S 85</v>
      </c>
      <c r="G404" s="258" t="str">
        <f>IFERROR(__xludf.DUMMYFUNCTION("""COMPUTED_VALUE"""),"")</f>
        <v/>
      </c>
      <c r="H404" s="258" t="str">
        <f>IFERROR(__xludf.DUMMYFUNCTION("""COMPUTED_VALUE"""),"")</f>
        <v/>
      </c>
      <c r="I404" s="258" t="str">
        <f>IFERROR(__xludf.DUMMYFUNCTION("""COMPUTED_VALUE"""),"")</f>
        <v/>
      </c>
      <c r="J404" s="260" t="str">
        <f>IFERROR(__xludf.DUMMYFUNCTION("""COMPUTED_VALUE"""),"")</f>
        <v/>
      </c>
      <c r="K404" s="258" t="str">
        <f>IFERROR(__xludf.DUMMYFUNCTION("""COMPUTED_VALUE"""),"")</f>
        <v/>
      </c>
      <c r="L404" s="258" t="str">
        <f>IFERROR(__xludf.DUMMYFUNCTION("""COMPUTED_VALUE"""),"")</f>
        <v/>
      </c>
      <c r="M404" s="261">
        <f>IFERROR(__xludf.DUMMYFUNCTION("""COMPUTED_VALUE"""),253.0)</f>
        <v>253</v>
      </c>
      <c r="N404" s="262" t="str">
        <f>IFERROR(__xludf.DUMMYFUNCTION("""COMPUTED_VALUE"""),"")</f>
        <v/>
      </c>
      <c r="O404" s="259" t="str">
        <f>IFERROR(__xludf.DUMMYFUNCTION("""COMPUTED_VALUE"""),"")</f>
        <v/>
      </c>
      <c r="P404" s="259">
        <f>IFERROR(__xludf.DUMMYFUNCTION("""COMPUTED_VALUE"""),42607.0)</f>
        <v>42607</v>
      </c>
      <c r="Q404" s="258">
        <f>IFERROR(__xludf.DUMMYFUNCTION("""COMPUTED_VALUE"""),65833.0)</f>
        <v>65833</v>
      </c>
      <c r="R404" s="261">
        <f>IFERROR(__xludf.DUMMYFUNCTION("""COMPUTED_VALUE"""),373.0)</f>
        <v>373</v>
      </c>
      <c r="S404" s="258">
        <v>395.0</v>
      </c>
      <c r="T404" s="263">
        <v>0.9443037974683545</v>
      </c>
      <c r="U404" s="264">
        <v>40907.0</v>
      </c>
      <c r="V404" s="265">
        <v>65833.0</v>
      </c>
      <c r="W404" s="264">
        <v>40907.0</v>
      </c>
      <c r="X404" s="266" t="str">
        <f>IFERROR(__xludf.DUMMYFUNCTION("""COMPUTED_VALUE"""),"One2sojournb")</f>
        <v>One2sojournb</v>
      </c>
      <c r="Y404" s="267">
        <v>-0.01</v>
      </c>
      <c r="Z404" s="267">
        <v>0.9550378173365692</v>
      </c>
      <c r="AA404" s="269"/>
      <c r="AB404" s="270"/>
      <c r="AC404" s="270"/>
      <c r="AD404" s="270"/>
      <c r="AE404" s="270"/>
    </row>
    <row r="405">
      <c r="A405" s="256">
        <f>IFERROR(__xludf.DUMMYFUNCTION("""COMPUTED_VALUE"""),42332.23263888889)</f>
        <v>42332.23264</v>
      </c>
      <c r="B405" s="257" t="str">
        <f>IFERROR(__xludf.DUMMYFUNCTION("""COMPUTED_VALUE"""),"Ervee")</f>
        <v>Ervee</v>
      </c>
      <c r="C405" s="258" t="str">
        <f>IFERROR(__xludf.DUMMYFUNCTION("""COMPUTED_VALUE"""),"Europe (excluding UK) &amp; Asia Pacific")</f>
        <v>Europe (excluding UK) &amp; Asia Pacific</v>
      </c>
      <c r="D405" s="258" t="str">
        <f>IFERROR(__xludf.DUMMYFUNCTION("""COMPUTED_VALUE"""),"km. My car displays range in kilometres and I will enter all range numbers in kilometres.")</f>
        <v>km. My car displays range in kilometres and I will enter all range numbers in kilometres.</v>
      </c>
      <c r="E405" s="259">
        <f>IFERROR(__xludf.DUMMYFUNCTION("""COMPUTED_VALUE"""),41902.0)</f>
        <v>41902</v>
      </c>
      <c r="F405" s="258" t="str">
        <f>IFERROR(__xludf.DUMMYFUNCTION("""COMPUTED_VALUE"""),"Model S 85")</f>
        <v>Model S 85</v>
      </c>
      <c r="G405" s="258" t="str">
        <f>IFERROR(__xludf.DUMMYFUNCTION("""COMPUTED_VALUE"""),"A few times a year")</f>
        <v>A few times a year</v>
      </c>
      <c r="H405" s="258" t="str">
        <f>IFERROR(__xludf.DUMMYFUNCTION("""COMPUTED_VALUE"""),"A few times a year")</f>
        <v>A few times a year</v>
      </c>
      <c r="I405" s="258" t="str">
        <f>IFERROR(__xludf.DUMMYFUNCTION("""COMPUTED_VALUE"""),"A few times a year")</f>
        <v>A few times a year</v>
      </c>
      <c r="J405" s="260">
        <f>IFERROR(__xludf.DUMMYFUNCTION("""COMPUTED_VALUE"""),0.8)</f>
        <v>0.8</v>
      </c>
      <c r="K405" s="258" t="str">
        <f>IFERROR(__xludf.DUMMYFUNCTION("""COMPUTED_VALUE"""),"")</f>
        <v/>
      </c>
      <c r="L405" s="258" t="str">
        <f>IFERROR(__xludf.DUMMYFUNCTION("""COMPUTED_VALUE"""),"")</f>
        <v/>
      </c>
      <c r="M405" s="261">
        <f>IFERROR(__xludf.DUMMYFUNCTION("""COMPUTED_VALUE"""),246.0)</f>
        <v>246</v>
      </c>
      <c r="N405" s="262" t="str">
        <f>IFERROR(__xludf.DUMMYFUNCTION("""COMPUTED_VALUE"""),"")</f>
        <v/>
      </c>
      <c r="O405" s="259" t="str">
        <f>IFERROR(__xludf.DUMMYFUNCTION("""COMPUTED_VALUE"""),"")</f>
        <v/>
      </c>
      <c r="P405" s="259">
        <f>IFERROR(__xludf.DUMMYFUNCTION("""COMPUTED_VALUE"""),42332.0)</f>
        <v>42332</v>
      </c>
      <c r="Q405" s="258">
        <f>IFERROR(__xludf.DUMMYFUNCTION("""COMPUTED_VALUE"""),26550.0)</f>
        <v>26550</v>
      </c>
      <c r="R405" s="261">
        <f>IFERROR(__xludf.DUMMYFUNCTION("""COMPUTED_VALUE"""),375.0)</f>
        <v>375</v>
      </c>
      <c r="S405" s="258">
        <v>395.0</v>
      </c>
      <c r="T405" s="263">
        <v>0.9493670886075949</v>
      </c>
      <c r="U405" s="264">
        <v>16497.0</v>
      </c>
      <c r="V405" s="265">
        <v>26550.0</v>
      </c>
      <c r="W405" s="264">
        <v>16497.0</v>
      </c>
      <c r="X405" s="266" t="str">
        <f>IFERROR(__xludf.DUMMYFUNCTION("""COMPUTED_VALUE"""),"p666d")</f>
        <v>p666d</v>
      </c>
      <c r="Y405" s="267">
        <v>-0.01</v>
      </c>
      <c r="Z405" s="267">
        <v>0.9699382056669121</v>
      </c>
      <c r="AA405" s="269"/>
      <c r="AB405" s="270"/>
      <c r="AC405" s="270"/>
      <c r="AD405" s="270"/>
      <c r="AE405" s="270"/>
    </row>
    <row r="406">
      <c r="A406" s="256">
        <f>IFERROR(__xludf.DUMMYFUNCTION("""COMPUTED_VALUE"""),42382.275)</f>
        <v>42382.275</v>
      </c>
      <c r="B406" s="257" t="str">
        <f>IFERROR(__xludf.DUMMYFUNCTION("""COMPUTED_VALUE"""),"Ervee")</f>
        <v>Ervee</v>
      </c>
      <c r="C406" s="258" t="str">
        <f>IFERROR(__xludf.DUMMYFUNCTION("""COMPUTED_VALUE"""),"Europe (excluding UK) &amp; Asia Pacific")</f>
        <v>Europe (excluding UK) &amp; Asia Pacific</v>
      </c>
      <c r="D406" s="258" t="str">
        <f>IFERROR(__xludf.DUMMYFUNCTION("""COMPUTED_VALUE"""),"km. My car displays range in kilometres and I will enter all range numbers in kilometres.")</f>
        <v>km. My car displays range in kilometres and I will enter all range numbers in kilometres.</v>
      </c>
      <c r="E406" s="259">
        <f>IFERROR(__xludf.DUMMYFUNCTION("""COMPUTED_VALUE"""),41902.0)</f>
        <v>41902</v>
      </c>
      <c r="F406" s="258" t="str">
        <f>IFERROR(__xludf.DUMMYFUNCTION("""COMPUTED_VALUE"""),"Model S 85")</f>
        <v>Model S 85</v>
      </c>
      <c r="G406" s="258" t="str">
        <f>IFERROR(__xludf.DUMMYFUNCTION("""COMPUTED_VALUE"""),"Monthly")</f>
        <v>Monthly</v>
      </c>
      <c r="H406" s="258" t="str">
        <f>IFERROR(__xludf.DUMMYFUNCTION("""COMPUTED_VALUE"""),"A few times a year")</f>
        <v>A few times a year</v>
      </c>
      <c r="I406" s="258" t="str">
        <f>IFERROR(__xludf.DUMMYFUNCTION("""COMPUTED_VALUE"""),"A few times a year")</f>
        <v>A few times a year</v>
      </c>
      <c r="J406" s="260">
        <f>IFERROR(__xludf.DUMMYFUNCTION("""COMPUTED_VALUE"""),0.8)</f>
        <v>0.8</v>
      </c>
      <c r="K406" s="258" t="str">
        <f>IFERROR(__xludf.DUMMYFUNCTION("""COMPUTED_VALUE"""),"")</f>
        <v/>
      </c>
      <c r="L406" s="258" t="str">
        <f>IFERROR(__xludf.DUMMYFUNCTION("""COMPUTED_VALUE"""),"")</f>
        <v/>
      </c>
      <c r="M406" s="261">
        <f>IFERROR(__xludf.DUMMYFUNCTION("""COMPUTED_VALUE"""),247.0)</f>
        <v>247</v>
      </c>
      <c r="N406" s="262" t="str">
        <f>IFERROR(__xludf.DUMMYFUNCTION("""COMPUTED_VALUE"""),"")</f>
        <v/>
      </c>
      <c r="O406" s="259" t="str">
        <f>IFERROR(__xludf.DUMMYFUNCTION("""COMPUTED_VALUE"""),"")</f>
        <v/>
      </c>
      <c r="P406" s="259">
        <f>IFERROR(__xludf.DUMMYFUNCTION("""COMPUTED_VALUE"""),42382.0)</f>
        <v>42382</v>
      </c>
      <c r="Q406" s="258">
        <f>IFERROR(__xludf.DUMMYFUNCTION("""COMPUTED_VALUE"""),31300.0)</f>
        <v>31300</v>
      </c>
      <c r="R406" s="261">
        <f>IFERROR(__xludf.DUMMYFUNCTION("""COMPUTED_VALUE"""),372.0)</f>
        <v>372</v>
      </c>
      <c r="S406" s="258">
        <v>395.0</v>
      </c>
      <c r="T406" s="263">
        <v>0.9417721518987342</v>
      </c>
      <c r="U406" s="264">
        <v>19449.0</v>
      </c>
      <c r="V406" s="265">
        <v>31300.0</v>
      </c>
      <c r="W406" s="264">
        <v>19449.0</v>
      </c>
      <c r="X406" s="266" t="str">
        <f>IFERROR(__xludf.DUMMYFUNCTION("""COMPUTED_VALUE"""),"P85-wit")</f>
        <v>P85-wit</v>
      </c>
      <c r="Y406" s="267">
        <v>-0.01</v>
      </c>
      <c r="Z406" s="267">
        <v>0.9672735373947606</v>
      </c>
      <c r="AA406" s="269"/>
      <c r="AB406" s="270"/>
      <c r="AC406" s="270"/>
      <c r="AD406" s="270"/>
      <c r="AE406" s="270"/>
    </row>
    <row r="407">
      <c r="A407" s="256">
        <f>IFERROR(__xludf.DUMMYFUNCTION("""COMPUTED_VALUE"""),43751.47695844908)</f>
        <v>43751.47696</v>
      </c>
      <c r="B407" s="257" t="str">
        <f>IFERROR(__xludf.DUMMYFUNCTION("""COMPUTED_VALUE"""),"eSpochtback")</f>
        <v>eSpochtback</v>
      </c>
      <c r="C407" s="258" t="str">
        <f>IFERROR(__xludf.DUMMYFUNCTION("""COMPUTED_VALUE"""),"Europe (excluding UK) &amp; Asia Pacific")</f>
        <v>Europe (excluding UK) &amp; Asia Pacific</v>
      </c>
      <c r="D407" s="258" t="str">
        <f>IFERROR(__xludf.DUMMYFUNCTION("""COMPUTED_VALUE"""),"km. My car displays range in kilometres and I will enter all range numbers in kilometres.")</f>
        <v>km. My car displays range in kilometres and I will enter all range numbers in kilometres.</v>
      </c>
      <c r="E407" s="259">
        <f>IFERROR(__xludf.DUMMYFUNCTION("""COMPUTED_VALUE"""),43023.0)</f>
        <v>43023</v>
      </c>
      <c r="F407" s="258" t="str">
        <f>IFERROR(__xludf.DUMMYFUNCTION("""COMPUTED_VALUE"""),"Model S P100D")</f>
        <v>Model S P100D</v>
      </c>
      <c r="G407" s="258" t="str">
        <f>IFERROR(__xludf.DUMMYFUNCTION("""COMPUTED_VALUE"""),"Twice a week")</f>
        <v>Twice a week</v>
      </c>
      <c r="H407" s="258" t="str">
        <f>IFERROR(__xludf.DUMMYFUNCTION("""COMPUTED_VALUE"""),"A few times a year")</f>
        <v>A few times a year</v>
      </c>
      <c r="I407" s="258" t="str">
        <f>IFERROR(__xludf.DUMMYFUNCTION("""COMPUTED_VALUE"""),"Once or twice a year")</f>
        <v>Once or twice a year</v>
      </c>
      <c r="J407" s="260">
        <f>IFERROR(__xludf.DUMMYFUNCTION("""COMPUTED_VALUE"""),0.6)</f>
        <v>0.6</v>
      </c>
      <c r="K407" s="258" t="str">
        <f>IFERROR(__xludf.DUMMYFUNCTION("""COMPUTED_VALUE"""),"")</f>
        <v/>
      </c>
      <c r="L407" s="258" t="str">
        <f>IFERROR(__xludf.DUMMYFUNCTION("""COMPUTED_VALUE"""),"")</f>
        <v/>
      </c>
      <c r="M407" s="261" t="str">
        <f>IFERROR(__xludf.DUMMYFUNCTION("""COMPUTED_VALUE"""),"")</f>
        <v/>
      </c>
      <c r="N407" s="262" t="str">
        <f>IFERROR(__xludf.DUMMYFUNCTION("""COMPUTED_VALUE"""),"")</f>
        <v/>
      </c>
      <c r="O407" s="259" t="str">
        <f>IFERROR(__xludf.DUMMYFUNCTION("""COMPUTED_VALUE"""),"")</f>
        <v/>
      </c>
      <c r="P407" s="259">
        <f>IFERROR(__xludf.DUMMYFUNCTION("""COMPUTED_VALUE"""),43751.0)</f>
        <v>43751</v>
      </c>
      <c r="Q407" s="258">
        <f>IFERROR(__xludf.DUMMYFUNCTION("""COMPUTED_VALUE"""),50382.0)</f>
        <v>50382</v>
      </c>
      <c r="R407" s="261">
        <f>IFERROR(__xludf.DUMMYFUNCTION("""COMPUTED_VALUE"""),457.0)</f>
        <v>457</v>
      </c>
      <c r="S407" s="258">
        <v>483.0</v>
      </c>
      <c r="T407" s="263">
        <v>0.9461697722567288</v>
      </c>
      <c r="U407" s="264">
        <v>31306.0</v>
      </c>
      <c r="V407" s="265">
        <v>50382.0</v>
      </c>
      <c r="W407" s="264">
        <v>31306.0</v>
      </c>
      <c r="X407" s="266" t="str">
        <f>IFERROR(__xludf.DUMMYFUNCTION("""COMPUTED_VALUE"""),"Paosaep")</f>
        <v>Paosaep</v>
      </c>
      <c r="Y407" s="267">
        <v>-0.01</v>
      </c>
      <c r="Z407" s="267">
        <v>0.9595657947929666</v>
      </c>
      <c r="AA407" s="269"/>
      <c r="AB407" s="270"/>
      <c r="AC407" s="270"/>
      <c r="AD407" s="270"/>
      <c r="AE407" s="270"/>
    </row>
    <row r="408">
      <c r="A408" s="256">
        <f>IFERROR(__xludf.DUMMYFUNCTION("""COMPUTED_VALUE"""),43844.24652532407)</f>
        <v>43844.24653</v>
      </c>
      <c r="B408" s="257" t="str">
        <f>IFERROR(__xludf.DUMMYFUNCTION("""COMPUTED_VALUE"""),"fadiawesome")</f>
        <v>fadiawesome</v>
      </c>
      <c r="C408" s="258" t="str">
        <f>IFERROR(__xludf.DUMMYFUNCTION("""COMPUTED_VALUE"""),"USA")</f>
        <v>USA</v>
      </c>
      <c r="D408" s="258" t="str">
        <f>IFERROR(__xludf.DUMMYFUNCTION("""COMPUTED_VALUE"""),"mi. My car displays range in miles and I will enter all range numbers in miles.")</f>
        <v>mi. My car displays range in miles and I will enter all range numbers in miles.</v>
      </c>
      <c r="E408" s="259">
        <f>IFERROR(__xludf.DUMMYFUNCTION("""COMPUTED_VALUE"""),43620.0)</f>
        <v>43620</v>
      </c>
      <c r="F408" s="258" t="str">
        <f>IFERROR(__xludf.DUMMYFUNCTION("""COMPUTED_VALUE"""),"Model 3 SR+")</f>
        <v>Model 3 SR+</v>
      </c>
      <c r="G408" s="258" t="str">
        <f>IFERROR(__xludf.DUMMYFUNCTION("""COMPUTED_VALUE"""),"Monthly")</f>
        <v>Monthly</v>
      </c>
      <c r="H408" s="258" t="str">
        <f>IFERROR(__xludf.DUMMYFUNCTION("""COMPUTED_VALUE"""),"Twice a month")</f>
        <v>Twice a month</v>
      </c>
      <c r="I408" s="258" t="str">
        <f>IFERROR(__xludf.DUMMYFUNCTION("""COMPUTED_VALUE"""),"Never")</f>
        <v>Never</v>
      </c>
      <c r="J408" s="260">
        <f>IFERROR(__xludf.DUMMYFUNCTION("""COMPUTED_VALUE"""),0.7)</f>
        <v>0.7</v>
      </c>
      <c r="K408" s="258">
        <f>IFERROR(__xludf.DUMMYFUNCTION("""COMPUTED_VALUE"""),240.0)</f>
        <v>240</v>
      </c>
      <c r="L408" s="258" t="str">
        <f>IFERROR(__xludf.DUMMYFUNCTION("""COMPUTED_VALUE"""),"")</f>
        <v/>
      </c>
      <c r="M408" s="261">
        <f>IFERROR(__xludf.DUMMYFUNCTION("""COMPUTED_VALUE"""),234.0)</f>
        <v>234</v>
      </c>
      <c r="N408" s="262" t="str">
        <f>IFERROR(__xludf.DUMMYFUNCTION("""COMPUTED_VALUE"""),"")</f>
        <v/>
      </c>
      <c r="O408" s="259" t="str">
        <f>IFERROR(__xludf.DUMMYFUNCTION("""COMPUTED_VALUE"""),"")</f>
        <v/>
      </c>
      <c r="P408" s="259">
        <f>IFERROR(__xludf.DUMMYFUNCTION("""COMPUTED_VALUE"""),43648.0)</f>
        <v>43648</v>
      </c>
      <c r="Q408" s="258">
        <f>IFERROR(__xludf.DUMMYFUNCTION("""COMPUTED_VALUE"""),200.0)</f>
        <v>200</v>
      </c>
      <c r="R408" s="261">
        <f>IFERROR(__xludf.DUMMYFUNCTION("""COMPUTED_VALUE"""),240.0)</f>
        <v>240</v>
      </c>
      <c r="S408" s="258">
        <v>240.0</v>
      </c>
      <c r="T408" s="263">
        <v>1.0</v>
      </c>
      <c r="U408" s="264">
        <v>200.0</v>
      </c>
      <c r="V408" s="265">
        <v>322.0</v>
      </c>
      <c r="W408" s="264">
        <v>200.0</v>
      </c>
      <c r="X408" s="266" t="str">
        <f>IFERROR(__xludf.DUMMYFUNCTION("""COMPUTED_VALUE"""),"Patrick")</f>
        <v>Patrick</v>
      </c>
      <c r="Y408" s="267">
        <v>-0.01</v>
      </c>
      <c r="Z408" s="267">
        <v>0.9993611582735528</v>
      </c>
      <c r="AA408" s="269"/>
      <c r="AB408" s="270"/>
      <c r="AC408" s="270"/>
      <c r="AD408" s="270"/>
      <c r="AE408" s="270"/>
    </row>
    <row r="409">
      <c r="A409" s="256">
        <f>IFERROR(__xludf.DUMMYFUNCTION("""COMPUTED_VALUE"""),43844.24652532407)</f>
        <v>43844.24653</v>
      </c>
      <c r="B409" s="257" t="str">
        <f>IFERROR(__xludf.DUMMYFUNCTION("""COMPUTED_VALUE"""),"fadiawesome")</f>
        <v>fadiawesome</v>
      </c>
      <c r="C409" s="258" t="str">
        <f>IFERROR(__xludf.DUMMYFUNCTION("""COMPUTED_VALUE"""),"USA")</f>
        <v>USA</v>
      </c>
      <c r="D409" s="258" t="str">
        <f>IFERROR(__xludf.DUMMYFUNCTION("""COMPUTED_VALUE"""),"mi. My car displays range in miles and I will enter all range numbers in miles.")</f>
        <v>mi. My car displays range in miles and I will enter all range numbers in miles.</v>
      </c>
      <c r="E409" s="259">
        <f>IFERROR(__xludf.DUMMYFUNCTION("""COMPUTED_VALUE"""),43620.0)</f>
        <v>43620</v>
      </c>
      <c r="F409" s="258" t="str">
        <f>IFERROR(__xludf.DUMMYFUNCTION("""COMPUTED_VALUE"""),"Model 3 SR+")</f>
        <v>Model 3 SR+</v>
      </c>
      <c r="G409" s="258" t="str">
        <f>IFERROR(__xludf.DUMMYFUNCTION("""COMPUTED_VALUE"""),"Monthly")</f>
        <v>Monthly</v>
      </c>
      <c r="H409" s="258" t="str">
        <f>IFERROR(__xludf.DUMMYFUNCTION("""COMPUTED_VALUE"""),"Twice a month")</f>
        <v>Twice a month</v>
      </c>
      <c r="I409" s="258" t="str">
        <f>IFERROR(__xludf.DUMMYFUNCTION("""COMPUTED_VALUE"""),"Never")</f>
        <v>Never</v>
      </c>
      <c r="J409" s="260">
        <f>IFERROR(__xludf.DUMMYFUNCTION("""COMPUTED_VALUE"""),0.7)</f>
        <v>0.7</v>
      </c>
      <c r="K409" s="258">
        <f>IFERROR(__xludf.DUMMYFUNCTION("""COMPUTED_VALUE"""),240.0)</f>
        <v>240</v>
      </c>
      <c r="L409" s="258" t="str">
        <f>IFERROR(__xludf.DUMMYFUNCTION("""COMPUTED_VALUE"""),"")</f>
        <v/>
      </c>
      <c r="M409" s="261">
        <f>IFERROR(__xludf.DUMMYFUNCTION("""COMPUTED_VALUE"""),234.0)</f>
        <v>234</v>
      </c>
      <c r="N409" s="262" t="str">
        <f>IFERROR(__xludf.DUMMYFUNCTION("""COMPUTED_VALUE"""),"")</f>
        <v/>
      </c>
      <c r="O409" s="259" t="str">
        <f>IFERROR(__xludf.DUMMYFUNCTION("""COMPUTED_VALUE"""),"")</f>
        <v/>
      </c>
      <c r="P409" s="259">
        <f>IFERROR(__xludf.DUMMYFUNCTION("""COMPUTED_VALUE"""),43841.0)</f>
        <v>43841</v>
      </c>
      <c r="Q409" s="258">
        <f>IFERROR(__xludf.DUMMYFUNCTION("""COMPUTED_VALUE"""),11000.0)</f>
        <v>11000</v>
      </c>
      <c r="R409" s="261">
        <f>IFERROR(__xludf.DUMMYFUNCTION("""COMPUTED_VALUE"""),227.0)</f>
        <v>227</v>
      </c>
      <c r="S409" s="258">
        <v>240.0</v>
      </c>
      <c r="T409" s="263">
        <v>0.9458333333333333</v>
      </c>
      <c r="U409" s="264">
        <v>11000.0</v>
      </c>
      <c r="V409" s="265">
        <v>17703.0</v>
      </c>
      <c r="W409" s="264">
        <v>11000.0</v>
      </c>
      <c r="X409" s="266" t="str">
        <f>IFERROR(__xludf.DUMMYFUNCTION("""COMPUTED_VALUE"""),"Patrick Claerhout")</f>
        <v>Patrick Claerhout</v>
      </c>
      <c r="Y409" s="267">
        <v>-0.01</v>
      </c>
      <c r="Z409" s="267">
        <v>0.9763520408085437</v>
      </c>
      <c r="AA409" s="269"/>
      <c r="AB409" s="270"/>
      <c r="AC409" s="270"/>
      <c r="AD409" s="270"/>
      <c r="AE409" s="270"/>
    </row>
    <row r="410">
      <c r="A410" s="256">
        <f>IFERROR(__xludf.DUMMYFUNCTION("""COMPUTED_VALUE"""),42948.57986111111)</f>
        <v>42948.57986</v>
      </c>
      <c r="B410" s="257" t="str">
        <f>IFERROR(__xludf.DUMMYFUNCTION("""COMPUTED_VALUE"""),"fc12")</f>
        <v>fc12</v>
      </c>
      <c r="C410" s="258" t="str">
        <f>IFERROR(__xludf.DUMMYFUNCTION("""COMPUTED_VALUE"""),"Europe (excluding UK) &amp; Asia Pacific")</f>
        <v>Europe (excluding UK) &amp; Asia Pacific</v>
      </c>
      <c r="D410" s="258" t="str">
        <f>IFERROR(__xludf.DUMMYFUNCTION("""COMPUTED_VALUE"""),"km. My car displays range in kilometres and I will enter all range numbers in kilometres.")</f>
        <v>km. My car displays range in kilometres and I will enter all range numbers in kilometres.</v>
      </c>
      <c r="E410" s="259">
        <f>IFERROR(__xludf.DUMMYFUNCTION("""COMPUTED_VALUE"""),42853.0)</f>
        <v>42853</v>
      </c>
      <c r="F410" s="258" t="str">
        <f>IFERROR(__xludf.DUMMYFUNCTION("""COMPUTED_VALUE"""),"Model S 90D")</f>
        <v>Model S 90D</v>
      </c>
      <c r="G410" s="258" t="str">
        <f>IFERROR(__xludf.DUMMYFUNCTION("""COMPUTED_VALUE"""),"Twice a month")</f>
        <v>Twice a month</v>
      </c>
      <c r="H410" s="258" t="str">
        <f>IFERROR(__xludf.DUMMYFUNCTION("""COMPUTED_VALUE"""),"A few times a year")</f>
        <v>A few times a year</v>
      </c>
      <c r="I410" s="258" t="str">
        <f>IFERROR(__xludf.DUMMYFUNCTION("""COMPUTED_VALUE"""),"Never")</f>
        <v>Never</v>
      </c>
      <c r="J410" s="260">
        <f>IFERROR(__xludf.DUMMYFUNCTION("""COMPUTED_VALUE"""),0.8)</f>
        <v>0.8</v>
      </c>
      <c r="K410" s="258">
        <f>IFERROR(__xludf.DUMMYFUNCTION("""COMPUTED_VALUE"""),452.0)</f>
        <v>452</v>
      </c>
      <c r="L410" s="258" t="str">
        <f>IFERROR(__xludf.DUMMYFUNCTION("""COMPUTED_VALUE"""),"")</f>
        <v/>
      </c>
      <c r="M410" s="261">
        <f>IFERROR(__xludf.DUMMYFUNCTION("""COMPUTED_VALUE"""),190.0)</f>
        <v>190</v>
      </c>
      <c r="N410" s="262" t="str">
        <f>IFERROR(__xludf.DUMMYFUNCTION("""COMPUTED_VALUE"""),"")</f>
        <v/>
      </c>
      <c r="O410" s="259" t="str">
        <f>IFERROR(__xludf.DUMMYFUNCTION("""COMPUTED_VALUE"""),"")</f>
        <v/>
      </c>
      <c r="P410" s="259">
        <f>IFERROR(__xludf.DUMMYFUNCTION("""COMPUTED_VALUE"""),42948.0)</f>
        <v>42948</v>
      </c>
      <c r="Q410" s="258">
        <f>IFERROR(__xludf.DUMMYFUNCTION("""COMPUTED_VALUE"""),4501.0)</f>
        <v>4501</v>
      </c>
      <c r="R410" s="261">
        <f>IFERROR(__xludf.DUMMYFUNCTION("""COMPUTED_VALUE"""),452.0)</f>
        <v>452</v>
      </c>
      <c r="S410" s="258">
        <v>447.0</v>
      </c>
      <c r="T410" s="263">
        <v>1.0111856823266219</v>
      </c>
      <c r="U410" s="264">
        <v>2797.0</v>
      </c>
      <c r="V410" s="265">
        <v>4501.0</v>
      </c>
      <c r="W410" s="264">
        <v>2797.0</v>
      </c>
      <c r="X410" s="266" t="str">
        <f>IFERROR(__xludf.DUMMYFUNCTION("""COMPUTED_VALUE"""),"patrick0101")</f>
        <v>patrick0101</v>
      </c>
      <c r="Y410" s="267">
        <v>-0.01</v>
      </c>
      <c r="Z410" s="267">
        <v>0.9919530125475988</v>
      </c>
      <c r="AA410" s="269"/>
      <c r="AB410" s="270"/>
      <c r="AC410" s="270"/>
      <c r="AD410" s="270"/>
      <c r="AE410" s="270"/>
    </row>
    <row r="411">
      <c r="A411" s="256">
        <f>IFERROR(__xludf.DUMMYFUNCTION("""COMPUTED_VALUE"""),43083.66875)</f>
        <v>43083.66875</v>
      </c>
      <c r="B411" s="257" t="str">
        <f>IFERROR(__xludf.DUMMYFUNCTION("""COMPUTED_VALUE"""),"Fjack")</f>
        <v>Fjack</v>
      </c>
      <c r="C411" s="258" t="str">
        <f>IFERROR(__xludf.DUMMYFUNCTION("""COMPUTED_VALUE"""),"Europe (excluding UK) &amp; Asia Pacific")</f>
        <v>Europe (excluding UK) &amp; Asia Pacific</v>
      </c>
      <c r="D411" s="258" t="str">
        <f>IFERROR(__xludf.DUMMYFUNCTION("""COMPUTED_VALUE"""),"km. My car displays range in kilometres and I will enter all range numbers in kilometres.")</f>
        <v>km. My car displays range in kilometres and I will enter all range numbers in kilometres.</v>
      </c>
      <c r="E411" s="259">
        <f>IFERROR(__xludf.DUMMYFUNCTION("""COMPUTED_VALUE"""),42145.0)</f>
        <v>42145</v>
      </c>
      <c r="F411" s="258" t="str">
        <f>IFERROR(__xludf.DUMMYFUNCTION("""COMPUTED_VALUE"""),"Model S 85D")</f>
        <v>Model S 85D</v>
      </c>
      <c r="G411" s="258" t="str">
        <f>IFERROR(__xludf.DUMMYFUNCTION("""COMPUTED_VALUE"""),"Twice a month")</f>
        <v>Twice a month</v>
      </c>
      <c r="H411" s="258" t="str">
        <f>IFERROR(__xludf.DUMMYFUNCTION("""COMPUTED_VALUE"""),"A few times a year")</f>
        <v>A few times a year</v>
      </c>
      <c r="I411" s="258" t="str">
        <f>IFERROR(__xludf.DUMMYFUNCTION("""COMPUTED_VALUE"""),"A few times a year")</f>
        <v>A few times a year</v>
      </c>
      <c r="J411" s="260" t="str">
        <f>IFERROR(__xludf.DUMMYFUNCTION("""COMPUTED_VALUE"""),"")</f>
        <v/>
      </c>
      <c r="K411" s="258" t="str">
        <f>IFERROR(__xludf.DUMMYFUNCTION("""COMPUTED_VALUE"""),"")</f>
        <v/>
      </c>
      <c r="L411" s="258" t="str">
        <f>IFERROR(__xludf.DUMMYFUNCTION("""COMPUTED_VALUE"""),"")</f>
        <v/>
      </c>
      <c r="M411" s="261">
        <f>IFERROR(__xludf.DUMMYFUNCTION("""COMPUTED_VALUE"""),235.0)</f>
        <v>235</v>
      </c>
      <c r="N411" s="262" t="str">
        <f>IFERROR(__xludf.DUMMYFUNCTION("""COMPUTED_VALUE"""),"")</f>
        <v/>
      </c>
      <c r="O411" s="259" t="str">
        <f>IFERROR(__xludf.DUMMYFUNCTION("""COMPUTED_VALUE"""),"")</f>
        <v/>
      </c>
      <c r="P411" s="259">
        <f>IFERROR(__xludf.DUMMYFUNCTION("""COMPUTED_VALUE"""),43083.0)</f>
        <v>43083</v>
      </c>
      <c r="Q411" s="258">
        <f>IFERROR(__xludf.DUMMYFUNCTION("""COMPUTED_VALUE"""),73450.0)</f>
        <v>73450</v>
      </c>
      <c r="R411" s="261">
        <f>IFERROR(__xludf.DUMMYFUNCTION("""COMPUTED_VALUE"""),409.0)</f>
        <v>409</v>
      </c>
      <c r="S411" s="258">
        <v>425.0</v>
      </c>
      <c r="T411" s="263">
        <v>0.9623529411764706</v>
      </c>
      <c r="U411" s="264">
        <v>45640.0</v>
      </c>
      <c r="V411" s="265">
        <v>73450.0</v>
      </c>
      <c r="W411" s="264">
        <v>45640.0</v>
      </c>
      <c r="X411" s="266" t="str">
        <f>IFERROR(__xludf.DUMMYFUNCTION("""COMPUTED_VALUE"""),"patrickCH")</f>
        <v>patrickCH</v>
      </c>
      <c r="Y411" s="267">
        <v>-0.01</v>
      </c>
      <c r="Z411" s="267">
        <v>0.9530439372927257</v>
      </c>
      <c r="AA411" s="269"/>
      <c r="AB411" s="270"/>
      <c r="AC411" s="270"/>
      <c r="AD411" s="270"/>
      <c r="AE411" s="270"/>
    </row>
    <row r="412">
      <c r="A412" s="256">
        <f>IFERROR(__xludf.DUMMYFUNCTION("""COMPUTED_VALUE"""),42384.669444444444)</f>
        <v>42384.66944</v>
      </c>
      <c r="B412" s="257" t="str">
        <f>IFERROR(__xludf.DUMMYFUNCTION("""COMPUTED_VALUE"""),"Fjack")</f>
        <v>Fjack</v>
      </c>
      <c r="C412" s="258" t="str">
        <f>IFERROR(__xludf.DUMMYFUNCTION("""COMPUTED_VALUE"""),"Europe (excluding UK) &amp; Asia Pacific")</f>
        <v>Europe (excluding UK) &amp; Asia Pacific</v>
      </c>
      <c r="D412" s="258" t="str">
        <f>IFERROR(__xludf.DUMMYFUNCTION("""COMPUTED_VALUE"""),"km. My car displays range in kilometres and I will enter all range numbers in kilometres.")</f>
        <v>km. My car displays range in kilometres and I will enter all range numbers in kilometres.</v>
      </c>
      <c r="E412" s="259">
        <f>IFERROR(__xludf.DUMMYFUNCTION("""COMPUTED_VALUE"""),42145.0)</f>
        <v>42145</v>
      </c>
      <c r="F412" s="258" t="str">
        <f>IFERROR(__xludf.DUMMYFUNCTION("""COMPUTED_VALUE"""),"Model S 85D")</f>
        <v>Model S 85D</v>
      </c>
      <c r="G412" s="258" t="str">
        <f>IFERROR(__xludf.DUMMYFUNCTION("""COMPUTED_VALUE"""),"Twice a month")</f>
        <v>Twice a month</v>
      </c>
      <c r="H412" s="258" t="str">
        <f>IFERROR(__xludf.DUMMYFUNCTION("""COMPUTED_VALUE"""),"A few times a year")</f>
        <v>A few times a year</v>
      </c>
      <c r="I412" s="258" t="str">
        <f>IFERROR(__xludf.DUMMYFUNCTION("""COMPUTED_VALUE"""),"A few times a year")</f>
        <v>A few times a year</v>
      </c>
      <c r="J412" s="260">
        <f>IFERROR(__xludf.DUMMYFUNCTION("""COMPUTED_VALUE"""),0.9)</f>
        <v>0.9</v>
      </c>
      <c r="K412" s="258" t="str">
        <f>IFERROR(__xludf.DUMMYFUNCTION("""COMPUTED_VALUE"""),"")</f>
        <v/>
      </c>
      <c r="L412" s="258" t="str">
        <f>IFERROR(__xludf.DUMMYFUNCTION("""COMPUTED_VALUE"""),"")</f>
        <v/>
      </c>
      <c r="M412" s="261">
        <f>IFERROR(__xludf.DUMMYFUNCTION("""COMPUTED_VALUE"""),230.0)</f>
        <v>230</v>
      </c>
      <c r="N412" s="262" t="str">
        <f>IFERROR(__xludf.DUMMYFUNCTION("""COMPUTED_VALUE"""),"")</f>
        <v/>
      </c>
      <c r="O412" s="259" t="str">
        <f>IFERROR(__xludf.DUMMYFUNCTION("""COMPUTED_VALUE"""),"")</f>
        <v/>
      </c>
      <c r="P412" s="259">
        <f>IFERROR(__xludf.DUMMYFUNCTION("""COMPUTED_VALUE"""),42384.0)</f>
        <v>42384</v>
      </c>
      <c r="Q412" s="258">
        <f>IFERROR(__xludf.DUMMYFUNCTION("""COMPUTED_VALUE"""),20800.0)</f>
        <v>20800</v>
      </c>
      <c r="R412" s="261">
        <f>IFERROR(__xludf.DUMMYFUNCTION("""COMPUTED_VALUE"""),414.0)</f>
        <v>414</v>
      </c>
      <c r="S412" s="258">
        <v>425.0</v>
      </c>
      <c r="T412" s="263">
        <v>0.9741176470588235</v>
      </c>
      <c r="U412" s="264">
        <v>12925.0</v>
      </c>
      <c r="V412" s="265">
        <v>20800.0</v>
      </c>
      <c r="W412" s="264">
        <v>12925.0</v>
      </c>
      <c r="X412" s="266" t="str">
        <f>IFERROR(__xludf.DUMMYFUNCTION("""COMPUTED_VALUE"""),"patrickmahoney")</f>
        <v>patrickmahoney</v>
      </c>
      <c r="Y412" s="267">
        <v>-0.01</v>
      </c>
      <c r="Z412" s="267">
        <v>0.9738456489938396</v>
      </c>
      <c r="AA412" s="269"/>
      <c r="AB412" s="270"/>
      <c r="AC412" s="270"/>
      <c r="AD412" s="270"/>
      <c r="AE412" s="270"/>
    </row>
    <row r="413">
      <c r="A413" s="256">
        <f>IFERROR(__xludf.DUMMYFUNCTION("""COMPUTED_VALUE"""),43125.68541666667)</f>
        <v>43125.68542</v>
      </c>
      <c r="B413" s="257" t="str">
        <f>IFERROR(__xludf.DUMMYFUNCTION("""COMPUTED_VALUE"""),"Fjack")</f>
        <v>Fjack</v>
      </c>
      <c r="C413" s="258" t="str">
        <f>IFERROR(__xludf.DUMMYFUNCTION("""COMPUTED_VALUE"""),"Europe (excluding UK) &amp; Asia Pacific")</f>
        <v>Europe (excluding UK) &amp; Asia Pacific</v>
      </c>
      <c r="D413" s="258" t="str">
        <f>IFERROR(__xludf.DUMMYFUNCTION("""COMPUTED_VALUE"""),"km. My car displays range in kilometres and I will enter all range numbers in kilometres.")</f>
        <v>km. My car displays range in kilometres and I will enter all range numbers in kilometres.</v>
      </c>
      <c r="E413" s="259">
        <f>IFERROR(__xludf.DUMMYFUNCTION("""COMPUTED_VALUE"""),42145.0)</f>
        <v>42145</v>
      </c>
      <c r="F413" s="258" t="str">
        <f>IFERROR(__xludf.DUMMYFUNCTION("""COMPUTED_VALUE"""),"Model S 85D")</f>
        <v>Model S 85D</v>
      </c>
      <c r="G413" s="258" t="str">
        <f>IFERROR(__xludf.DUMMYFUNCTION("""COMPUTED_VALUE"""),"")</f>
        <v/>
      </c>
      <c r="H413" s="258" t="str">
        <f>IFERROR(__xludf.DUMMYFUNCTION("""COMPUTED_VALUE"""),"")</f>
        <v/>
      </c>
      <c r="I413" s="258" t="str">
        <f>IFERROR(__xludf.DUMMYFUNCTION("""COMPUTED_VALUE"""),"")</f>
        <v/>
      </c>
      <c r="J413" s="260" t="str">
        <f>IFERROR(__xludf.DUMMYFUNCTION("""COMPUTED_VALUE"""),"")</f>
        <v/>
      </c>
      <c r="K413" s="258" t="str">
        <f>IFERROR(__xludf.DUMMYFUNCTION("""COMPUTED_VALUE"""),"")</f>
        <v/>
      </c>
      <c r="L413" s="258" t="str">
        <f>IFERROR(__xludf.DUMMYFUNCTION("""COMPUTED_VALUE"""),"")</f>
        <v/>
      </c>
      <c r="M413" s="261">
        <f>IFERROR(__xludf.DUMMYFUNCTION("""COMPUTED_VALUE"""),228.0)</f>
        <v>228</v>
      </c>
      <c r="N413" s="262" t="str">
        <f>IFERROR(__xludf.DUMMYFUNCTION("""COMPUTED_VALUE"""),"")</f>
        <v/>
      </c>
      <c r="O413" s="259" t="str">
        <f>IFERROR(__xludf.DUMMYFUNCTION("""COMPUTED_VALUE"""),"")</f>
        <v/>
      </c>
      <c r="P413" s="259">
        <f>IFERROR(__xludf.DUMMYFUNCTION("""COMPUTED_VALUE"""),43125.0)</f>
        <v>43125</v>
      </c>
      <c r="Q413" s="258">
        <f>IFERROR(__xludf.DUMMYFUNCTION("""COMPUTED_VALUE"""),74909.0)</f>
        <v>74909</v>
      </c>
      <c r="R413" s="261">
        <f>IFERROR(__xludf.DUMMYFUNCTION("""COMPUTED_VALUE"""),410.0)</f>
        <v>410</v>
      </c>
      <c r="S413" s="258">
        <v>425.0</v>
      </c>
      <c r="T413" s="263">
        <v>0.9647058823529412</v>
      </c>
      <c r="U413" s="264">
        <v>46546.0</v>
      </c>
      <c r="V413" s="265">
        <v>74909.0</v>
      </c>
      <c r="W413" s="264">
        <v>46546.0</v>
      </c>
      <c r="X413" s="266" t="str">
        <f>IFERROR(__xludf.DUMMYFUNCTION("""COMPUTED_VALUE"""),"PaulT")</f>
        <v>PaulT</v>
      </c>
      <c r="Y413" s="267">
        <v>-0.01</v>
      </c>
      <c r="Z413" s="267">
        <v>0.9526728213739681</v>
      </c>
      <c r="AA413" s="269"/>
      <c r="AB413" s="270"/>
      <c r="AC413" s="270"/>
      <c r="AD413" s="270"/>
      <c r="AE413" s="270"/>
    </row>
    <row r="414">
      <c r="A414" s="256">
        <f>IFERROR(__xludf.DUMMYFUNCTION("""COMPUTED_VALUE"""),43186.72777777778)</f>
        <v>43186.72778</v>
      </c>
      <c r="B414" s="257" t="str">
        <f>IFERROR(__xludf.DUMMYFUNCTION("""COMPUTED_VALUE"""),"Fjack")</f>
        <v>Fjack</v>
      </c>
      <c r="C414" s="258" t="str">
        <f>IFERROR(__xludf.DUMMYFUNCTION("""COMPUTED_VALUE"""),"Europe (excluding UK) &amp; Asia Pacific")</f>
        <v>Europe (excluding UK) &amp; Asia Pacific</v>
      </c>
      <c r="D414" s="258" t="str">
        <f>IFERROR(__xludf.DUMMYFUNCTION("""COMPUTED_VALUE"""),"km. My car displays range in kilometres and I will enter all range numbers in kilometres.")</f>
        <v>km. My car displays range in kilometres and I will enter all range numbers in kilometres.</v>
      </c>
      <c r="E414" s="259">
        <f>IFERROR(__xludf.DUMMYFUNCTION("""COMPUTED_VALUE"""),42145.0)</f>
        <v>42145</v>
      </c>
      <c r="F414" s="258" t="str">
        <f>IFERROR(__xludf.DUMMYFUNCTION("""COMPUTED_VALUE"""),"Model S 85D")</f>
        <v>Model S 85D</v>
      </c>
      <c r="G414" s="258" t="str">
        <f>IFERROR(__xludf.DUMMYFUNCTION("""COMPUTED_VALUE"""),"Twice a month")</f>
        <v>Twice a month</v>
      </c>
      <c r="H414" s="258" t="str">
        <f>IFERROR(__xludf.DUMMYFUNCTION("""COMPUTED_VALUE"""),"A few times a year")</f>
        <v>A few times a year</v>
      </c>
      <c r="I414" s="258" t="str">
        <f>IFERROR(__xludf.DUMMYFUNCTION("""COMPUTED_VALUE"""),"Monthly")</f>
        <v>Monthly</v>
      </c>
      <c r="J414" s="260">
        <f>IFERROR(__xludf.DUMMYFUNCTION("""COMPUTED_VALUE"""),0.9)</f>
        <v>0.9</v>
      </c>
      <c r="K414" s="258" t="str">
        <f>IFERROR(__xludf.DUMMYFUNCTION("""COMPUTED_VALUE"""),"")</f>
        <v/>
      </c>
      <c r="L414" s="258" t="str">
        <f>IFERROR(__xludf.DUMMYFUNCTION("""COMPUTED_VALUE"""),"")</f>
        <v/>
      </c>
      <c r="M414" s="261" t="str">
        <f>IFERROR(__xludf.DUMMYFUNCTION("""COMPUTED_VALUE"""),"")</f>
        <v/>
      </c>
      <c r="N414" s="262" t="str">
        <f>IFERROR(__xludf.DUMMYFUNCTION("""COMPUTED_VALUE"""),"")</f>
        <v/>
      </c>
      <c r="O414" s="259" t="str">
        <f>IFERROR(__xludf.DUMMYFUNCTION("""COMPUTED_VALUE"""),"")</f>
        <v/>
      </c>
      <c r="P414" s="259">
        <f>IFERROR(__xludf.DUMMYFUNCTION("""COMPUTED_VALUE"""),43186.0)</f>
        <v>43186</v>
      </c>
      <c r="Q414" s="258">
        <f>IFERROR(__xludf.DUMMYFUNCTION("""COMPUTED_VALUE"""),81631.0)</f>
        <v>81631</v>
      </c>
      <c r="R414" s="261">
        <f>IFERROR(__xludf.DUMMYFUNCTION("""COMPUTED_VALUE"""),408.0)</f>
        <v>408</v>
      </c>
      <c r="S414" s="258">
        <v>425.0</v>
      </c>
      <c r="T414" s="263">
        <v>0.96</v>
      </c>
      <c r="U414" s="264">
        <v>50723.0</v>
      </c>
      <c r="V414" s="265">
        <v>81631.0</v>
      </c>
      <c r="W414" s="264">
        <v>50723.0</v>
      </c>
      <c r="X414" s="266" t="str">
        <f>IFERROR(__xludf.DUMMYFUNCTION("""COMPUTED_VALUE"""),"PaulusdB")</f>
        <v>PaulusdB</v>
      </c>
      <c r="Y414" s="267">
        <v>-0.01</v>
      </c>
      <c r="Z414" s="267">
        <v>0.9509959706006782</v>
      </c>
      <c r="AA414" s="269"/>
      <c r="AB414" s="270"/>
      <c r="AC414" s="270"/>
      <c r="AD414" s="270"/>
      <c r="AE414" s="270"/>
    </row>
    <row r="415">
      <c r="A415" s="256">
        <f>IFERROR(__xludf.DUMMYFUNCTION("""COMPUTED_VALUE"""),43220.73541666666)</f>
        <v>43220.73542</v>
      </c>
      <c r="B415" s="257" t="str">
        <f>IFERROR(__xludf.DUMMYFUNCTION("""COMPUTED_VALUE"""),"Fjack")</f>
        <v>Fjack</v>
      </c>
      <c r="C415" s="258" t="str">
        <f>IFERROR(__xludf.DUMMYFUNCTION("""COMPUTED_VALUE"""),"Europe (excluding UK) &amp; Asia Pacific")</f>
        <v>Europe (excluding UK) &amp; Asia Pacific</v>
      </c>
      <c r="D415" s="258" t="str">
        <f>IFERROR(__xludf.DUMMYFUNCTION("""COMPUTED_VALUE"""),"km. My car displays range in kilometres and I will enter all range numbers in kilometres.")</f>
        <v>km. My car displays range in kilometres and I will enter all range numbers in kilometres.</v>
      </c>
      <c r="E415" s="259">
        <f>IFERROR(__xludf.DUMMYFUNCTION("""COMPUTED_VALUE"""),42145.0)</f>
        <v>42145</v>
      </c>
      <c r="F415" s="258" t="str">
        <f>IFERROR(__xludf.DUMMYFUNCTION("""COMPUTED_VALUE"""),"Model S 85D")</f>
        <v>Model S 85D</v>
      </c>
      <c r="G415" s="258" t="str">
        <f>IFERROR(__xludf.DUMMYFUNCTION("""COMPUTED_VALUE"""),"Twice a month")</f>
        <v>Twice a month</v>
      </c>
      <c r="H415" s="258" t="str">
        <f>IFERROR(__xludf.DUMMYFUNCTION("""COMPUTED_VALUE"""),"Monthly")</f>
        <v>Monthly</v>
      </c>
      <c r="I415" s="258" t="str">
        <f>IFERROR(__xludf.DUMMYFUNCTION("""COMPUTED_VALUE"""),"Monthly")</f>
        <v>Monthly</v>
      </c>
      <c r="J415" s="260">
        <f>IFERROR(__xludf.DUMMYFUNCTION("""COMPUTED_VALUE"""),0.9)</f>
        <v>0.9</v>
      </c>
      <c r="K415" s="258" t="str">
        <f>IFERROR(__xludf.DUMMYFUNCTION("""COMPUTED_VALUE"""),"")</f>
        <v/>
      </c>
      <c r="L415" s="258" t="str">
        <f>IFERROR(__xludf.DUMMYFUNCTION("""COMPUTED_VALUE"""),"")</f>
        <v/>
      </c>
      <c r="M415" s="261">
        <f>IFERROR(__xludf.DUMMYFUNCTION("""COMPUTED_VALUE"""),225.0)</f>
        <v>225</v>
      </c>
      <c r="N415" s="262" t="str">
        <f>IFERROR(__xludf.DUMMYFUNCTION("""COMPUTED_VALUE"""),"")</f>
        <v/>
      </c>
      <c r="O415" s="259" t="str">
        <f>IFERROR(__xludf.DUMMYFUNCTION("""COMPUTED_VALUE"""),"")</f>
        <v/>
      </c>
      <c r="P415" s="259">
        <f>IFERROR(__xludf.DUMMYFUNCTION("""COMPUTED_VALUE"""),43220.0)</f>
        <v>43220</v>
      </c>
      <c r="Q415" s="258">
        <f>IFERROR(__xludf.DUMMYFUNCTION("""COMPUTED_VALUE"""),86489.0)</f>
        <v>86489</v>
      </c>
      <c r="R415" s="261">
        <f>IFERROR(__xludf.DUMMYFUNCTION("""COMPUTED_VALUE"""),407.0)</f>
        <v>407</v>
      </c>
      <c r="S415" s="258">
        <v>425.0</v>
      </c>
      <c r="T415" s="263">
        <v>0.9576470588235294</v>
      </c>
      <c r="U415" s="264">
        <v>53742.0</v>
      </c>
      <c r="V415" s="265">
        <v>86489.0</v>
      </c>
      <c r="W415" s="264">
        <v>53742.0</v>
      </c>
      <c r="X415" s="266" t="str">
        <f>IFERROR(__xludf.DUMMYFUNCTION("""COMPUTED_VALUE"""),"PaulW5")</f>
        <v>PaulW5</v>
      </c>
      <c r="Y415" s="267">
        <v>-0.01</v>
      </c>
      <c r="Z415" s="267">
        <v>0.9498104242106025</v>
      </c>
      <c r="AA415" s="269"/>
      <c r="AB415" s="270"/>
      <c r="AC415" s="270"/>
      <c r="AD415" s="270"/>
      <c r="AE415" s="270"/>
    </row>
    <row r="416">
      <c r="A416" s="256">
        <f>IFERROR(__xludf.DUMMYFUNCTION("""COMPUTED_VALUE"""),42157.74166666667)</f>
        <v>42157.74167</v>
      </c>
      <c r="B416" s="257" t="str">
        <f>IFERROR(__xludf.DUMMYFUNCTION("""COMPUTED_VALUE"""),"flabbergasted")</f>
        <v>flabbergasted</v>
      </c>
      <c r="C416" s="258" t="str">
        <f>IFERROR(__xludf.DUMMYFUNCTION("""COMPUTED_VALUE"""),"USA")</f>
        <v>USA</v>
      </c>
      <c r="D416" s="258" t="str">
        <f>IFERROR(__xludf.DUMMYFUNCTION("""COMPUTED_VALUE"""),"mi. My car displays range in miles and I will enter all range numbers in miles.")</f>
        <v>mi. My car displays range in miles and I will enter all range numbers in miles.</v>
      </c>
      <c r="E416" s="259">
        <f>IFERROR(__xludf.DUMMYFUNCTION("""COMPUTED_VALUE"""),42156.0)</f>
        <v>42156</v>
      </c>
      <c r="F416" s="258" t="str">
        <f>IFERROR(__xludf.DUMMYFUNCTION("""COMPUTED_VALUE"""),"Model S 70D")</f>
        <v>Model S 70D</v>
      </c>
      <c r="G416" s="258" t="str">
        <f>IFERROR(__xludf.DUMMYFUNCTION("""COMPUTED_VALUE"""),"A few times a year")</f>
        <v>A few times a year</v>
      </c>
      <c r="H416" s="258" t="str">
        <f>IFERROR(__xludf.DUMMYFUNCTION("""COMPUTED_VALUE"""),"Once or twice a year")</f>
        <v>Once or twice a year</v>
      </c>
      <c r="I416" s="258" t="str">
        <f>IFERROR(__xludf.DUMMYFUNCTION("""COMPUTED_VALUE"""),"Once or twice a year")</f>
        <v>Once or twice a year</v>
      </c>
      <c r="J416" s="260" t="str">
        <f>IFERROR(__xludf.DUMMYFUNCTION("""COMPUTED_VALUE"""),"")</f>
        <v/>
      </c>
      <c r="K416" s="258" t="str">
        <f>IFERROR(__xludf.DUMMYFUNCTION("""COMPUTED_VALUE"""),"")</f>
        <v/>
      </c>
      <c r="L416" s="258" t="str">
        <f>IFERROR(__xludf.DUMMYFUNCTION("""COMPUTED_VALUE"""),"")</f>
        <v/>
      </c>
      <c r="M416" s="261">
        <f>IFERROR(__xludf.DUMMYFUNCTION("""COMPUTED_VALUE"""),335.0)</f>
        <v>335</v>
      </c>
      <c r="N416" s="262" t="str">
        <f>IFERROR(__xludf.DUMMYFUNCTION("""COMPUTED_VALUE"""),"")</f>
        <v/>
      </c>
      <c r="O416" s="259" t="str">
        <f>IFERROR(__xludf.DUMMYFUNCTION("""COMPUTED_VALUE"""),"")</f>
        <v/>
      </c>
      <c r="P416" s="259">
        <f>IFERROR(__xludf.DUMMYFUNCTION("""COMPUTED_VALUE"""),42157.0)</f>
        <v>42157</v>
      </c>
      <c r="Q416" s="258">
        <f>IFERROR(__xludf.DUMMYFUNCTION("""COMPUTED_VALUE"""),50.0)</f>
        <v>50</v>
      </c>
      <c r="R416" s="261">
        <f>IFERROR(__xludf.DUMMYFUNCTION("""COMPUTED_VALUE"""),240.0)</f>
        <v>240</v>
      </c>
      <c r="S416" s="258">
        <v>240.0</v>
      </c>
      <c r="T416" s="263">
        <v>1.0</v>
      </c>
      <c r="U416" s="264">
        <v>50.0</v>
      </c>
      <c r="V416" s="265">
        <v>80.0</v>
      </c>
      <c r="W416" s="264">
        <v>50.0</v>
      </c>
      <c r="X416" s="266" t="str">
        <f>IFERROR(__xludf.DUMMYFUNCTION("""COMPUTED_VALUE"""),"pbakk")</f>
        <v>pbakk</v>
      </c>
      <c r="Y416" s="267">
        <v>-0.01</v>
      </c>
      <c r="Z416" s="267">
        <v>0.9998402932552721</v>
      </c>
      <c r="AA416" s="269"/>
      <c r="AB416" s="270"/>
      <c r="AC416" s="270"/>
      <c r="AD416" s="270"/>
      <c r="AE416" s="270"/>
    </row>
    <row r="417">
      <c r="A417" s="256">
        <f>IFERROR(__xludf.DUMMYFUNCTION("""COMPUTED_VALUE"""),42320.22777777778)</f>
        <v>42320.22778</v>
      </c>
      <c r="B417" s="257" t="str">
        <f>IFERROR(__xludf.DUMMYFUNCTION("""COMPUTED_VALUE"""),"flatlander")</f>
        <v>flatlander</v>
      </c>
      <c r="C417" s="258" t="str">
        <f>IFERROR(__xludf.DUMMYFUNCTION("""COMPUTED_VALUE"""),"Europe (excluding UK) &amp; Asia Pacific")</f>
        <v>Europe (excluding UK) &amp; Asia Pacific</v>
      </c>
      <c r="D417" s="258" t="str">
        <f>IFERROR(__xludf.DUMMYFUNCTION("""COMPUTED_VALUE"""),"km. My car displays range in kilometres and I will enter all range numbers in kilometres.")</f>
        <v>km. My car displays range in kilometres and I will enter all range numbers in kilometres.</v>
      </c>
      <c r="E417" s="259">
        <f>IFERROR(__xludf.DUMMYFUNCTION("""COMPUTED_VALUE"""),41791.0)</f>
        <v>41791</v>
      </c>
      <c r="F417" s="258" t="str">
        <f>IFERROR(__xludf.DUMMYFUNCTION("""COMPUTED_VALUE"""),"Model S 85")</f>
        <v>Model S 85</v>
      </c>
      <c r="G417" s="258" t="str">
        <f>IFERROR(__xludf.DUMMYFUNCTION("""COMPUTED_VALUE"""),"Weekly")</f>
        <v>Weekly</v>
      </c>
      <c r="H417" s="258" t="str">
        <f>IFERROR(__xludf.DUMMYFUNCTION("""COMPUTED_VALUE"""),"Monthly")</f>
        <v>Monthly</v>
      </c>
      <c r="I417" s="258" t="str">
        <f>IFERROR(__xludf.DUMMYFUNCTION("""COMPUTED_VALUE"""),"Once or twice a year")</f>
        <v>Once or twice a year</v>
      </c>
      <c r="J417" s="260">
        <f>IFERROR(__xludf.DUMMYFUNCTION("""COMPUTED_VALUE"""),0.8)</f>
        <v>0.8</v>
      </c>
      <c r="K417" s="258" t="str">
        <f>IFERROR(__xludf.DUMMYFUNCTION("""COMPUTED_VALUE"""),"")</f>
        <v/>
      </c>
      <c r="L417" s="258" t="str">
        <f>IFERROR(__xludf.DUMMYFUNCTION("""COMPUTED_VALUE"""),"")</f>
        <v/>
      </c>
      <c r="M417" s="261">
        <f>IFERROR(__xludf.DUMMYFUNCTION("""COMPUTED_VALUE"""),209.0)</f>
        <v>209</v>
      </c>
      <c r="N417" s="262" t="str">
        <f>IFERROR(__xludf.DUMMYFUNCTION("""COMPUTED_VALUE"""),"")</f>
        <v/>
      </c>
      <c r="O417" s="259" t="str">
        <f>IFERROR(__xludf.DUMMYFUNCTION("""COMPUTED_VALUE"""),"")</f>
        <v/>
      </c>
      <c r="P417" s="259">
        <f>IFERROR(__xludf.DUMMYFUNCTION("""COMPUTED_VALUE"""),42320.0)</f>
        <v>42320</v>
      </c>
      <c r="Q417" s="258">
        <f>IFERROR(__xludf.DUMMYFUNCTION("""COMPUTED_VALUE"""),22000.0)</f>
        <v>22000</v>
      </c>
      <c r="R417" s="261">
        <f>IFERROR(__xludf.DUMMYFUNCTION("""COMPUTED_VALUE"""),383.0)</f>
        <v>383</v>
      </c>
      <c r="S417" s="258">
        <v>395.0</v>
      </c>
      <c r="T417" s="263">
        <v>0.9696202531645569</v>
      </c>
      <c r="U417" s="264">
        <v>13670.0</v>
      </c>
      <c r="V417" s="265">
        <v>22000.0</v>
      </c>
      <c r="W417" s="264">
        <v>13670.0</v>
      </c>
      <c r="X417" s="266" t="str">
        <f>IFERROR(__xludf.DUMMYFUNCTION("""COMPUTED_VALUE"""),"PCMc")</f>
        <v>PCMc</v>
      </c>
      <c r="Y417" s="267">
        <v>-0.01</v>
      </c>
      <c r="Z417" s="267">
        <v>0.9729567342463132</v>
      </c>
      <c r="AA417" s="269"/>
      <c r="AB417" s="270"/>
      <c r="AC417" s="270"/>
      <c r="AD417" s="270"/>
      <c r="AE417" s="270"/>
    </row>
    <row r="418">
      <c r="A418" s="256">
        <f>IFERROR(__xludf.DUMMYFUNCTION("""COMPUTED_VALUE"""),43113.66458333333)</f>
        <v>43113.66458</v>
      </c>
      <c r="B418" s="257" t="str">
        <f>IFERROR(__xludf.DUMMYFUNCTION("""COMPUTED_VALUE"""),"floger")</f>
        <v>floger</v>
      </c>
      <c r="C418" s="258" t="str">
        <f>IFERROR(__xludf.DUMMYFUNCTION("""COMPUTED_VALUE"""),"Europe (excluding UK) &amp; Asia Pacific")</f>
        <v>Europe (excluding UK) &amp; Asia Pacific</v>
      </c>
      <c r="D418" s="258" t="str">
        <f>IFERROR(__xludf.DUMMYFUNCTION("""COMPUTED_VALUE"""),"km. My car displays range in kilometres and I will enter all range numbers in kilometres.")</f>
        <v>km. My car displays range in kilometres and I will enter all range numbers in kilometres.</v>
      </c>
      <c r="E418" s="259">
        <f>IFERROR(__xludf.DUMMYFUNCTION("""COMPUTED_VALUE"""),42345.0)</f>
        <v>42345</v>
      </c>
      <c r="F418" s="258" t="str">
        <f>IFERROR(__xludf.DUMMYFUNCTION("""COMPUTED_VALUE"""),"Model S 90D")</f>
        <v>Model S 90D</v>
      </c>
      <c r="G418" s="258" t="str">
        <f>IFERROR(__xludf.DUMMYFUNCTION("""COMPUTED_VALUE"""),"Twice a month")</f>
        <v>Twice a month</v>
      </c>
      <c r="H418" s="258" t="str">
        <f>IFERROR(__xludf.DUMMYFUNCTION("""COMPUTED_VALUE"""),"Twice a month")</f>
        <v>Twice a month</v>
      </c>
      <c r="I418" s="258" t="str">
        <f>IFERROR(__xludf.DUMMYFUNCTION("""COMPUTED_VALUE"""),"Twice a month")</f>
        <v>Twice a month</v>
      </c>
      <c r="J418" s="260">
        <f>IFERROR(__xludf.DUMMYFUNCTION("""COMPUTED_VALUE"""),0.8)</f>
        <v>0.8</v>
      </c>
      <c r="K418" s="258" t="str">
        <f>IFERROR(__xludf.DUMMYFUNCTION("""COMPUTED_VALUE"""),"")</f>
        <v/>
      </c>
      <c r="L418" s="258" t="str">
        <f>IFERROR(__xludf.DUMMYFUNCTION("""COMPUTED_VALUE"""),"")</f>
        <v/>
      </c>
      <c r="M418" s="261">
        <f>IFERROR(__xludf.DUMMYFUNCTION("""COMPUTED_VALUE"""),225.0)</f>
        <v>225</v>
      </c>
      <c r="N418" s="262" t="str">
        <f>IFERROR(__xludf.DUMMYFUNCTION("""COMPUTED_VALUE"""),"")</f>
        <v/>
      </c>
      <c r="O418" s="259" t="str">
        <f>IFERROR(__xludf.DUMMYFUNCTION("""COMPUTED_VALUE"""),"")</f>
        <v/>
      </c>
      <c r="P418" s="259">
        <f>IFERROR(__xludf.DUMMYFUNCTION("""COMPUTED_VALUE"""),43113.0)</f>
        <v>43113</v>
      </c>
      <c r="Q418" s="258">
        <f>IFERROR(__xludf.DUMMYFUNCTION("""COMPUTED_VALUE"""),77257.0)</f>
        <v>77257</v>
      </c>
      <c r="R418" s="261">
        <f>IFERROR(__xludf.DUMMYFUNCTION("""COMPUTED_VALUE"""),423.0)</f>
        <v>423</v>
      </c>
      <c r="S418" s="258">
        <v>447.0</v>
      </c>
      <c r="T418" s="263">
        <v>0.9463087248322147</v>
      </c>
      <c r="U418" s="264">
        <v>48005.0</v>
      </c>
      <c r="V418" s="265">
        <v>77257.0</v>
      </c>
      <c r="W418" s="264">
        <v>48005.0</v>
      </c>
      <c r="X418" s="266" t="str">
        <f>IFERROR(__xludf.DUMMYFUNCTION("""COMPUTED_VALUE"""),"pdx4s")</f>
        <v>pdx4s</v>
      </c>
      <c r="Y418" s="267">
        <v>-0.01</v>
      </c>
      <c r="Z418" s="267">
        <v>0.9520813866846028</v>
      </c>
      <c r="AA418" s="269"/>
      <c r="AB418" s="270"/>
      <c r="AC418" s="270"/>
      <c r="AD418" s="270"/>
      <c r="AE418" s="270"/>
    </row>
    <row r="419">
      <c r="A419" s="256">
        <f>IFERROR(__xludf.DUMMYFUNCTION("""COMPUTED_VALUE"""),42636.43263888889)</f>
        <v>42636.43264</v>
      </c>
      <c r="B419" s="257" t="str">
        <f>IFERROR(__xludf.DUMMYFUNCTION("""COMPUTED_VALUE"""),"florianuhlemann")</f>
        <v>florianuhlemann</v>
      </c>
      <c r="C419" s="258" t="str">
        <f>IFERROR(__xludf.DUMMYFUNCTION("""COMPUTED_VALUE"""),"Europe (excluding UK) &amp; Asia Pacific")</f>
        <v>Europe (excluding UK) &amp; Asia Pacific</v>
      </c>
      <c r="D419" s="258" t="str">
        <f>IFERROR(__xludf.DUMMYFUNCTION("""COMPUTED_VALUE"""),"km. My car displays range in kilometres and I will enter all range numbers in kilometres.")</f>
        <v>km. My car displays range in kilometres and I will enter all range numbers in kilometres.</v>
      </c>
      <c r="E419" s="259">
        <f>IFERROR(__xludf.DUMMYFUNCTION("""COMPUTED_VALUE"""),41807.0)</f>
        <v>41807</v>
      </c>
      <c r="F419" s="258" t="str">
        <f>IFERROR(__xludf.DUMMYFUNCTION("""COMPUTED_VALUE"""),"Model S P85")</f>
        <v>Model S P85</v>
      </c>
      <c r="G419" s="258" t="str">
        <f>IFERROR(__xludf.DUMMYFUNCTION("""COMPUTED_VALUE"""),"Twice a month")</f>
        <v>Twice a month</v>
      </c>
      <c r="H419" s="258" t="str">
        <f>IFERROR(__xludf.DUMMYFUNCTION("""COMPUTED_VALUE"""),"A few times a year")</f>
        <v>A few times a year</v>
      </c>
      <c r="I419" s="258" t="str">
        <f>IFERROR(__xludf.DUMMYFUNCTION("""COMPUTED_VALUE"""),"Once or twice a year")</f>
        <v>Once or twice a year</v>
      </c>
      <c r="J419" s="260">
        <f>IFERROR(__xludf.DUMMYFUNCTION("""COMPUTED_VALUE"""),0.9)</f>
        <v>0.9</v>
      </c>
      <c r="K419" s="258" t="str">
        <f>IFERROR(__xludf.DUMMYFUNCTION("""COMPUTED_VALUE"""),"")</f>
        <v/>
      </c>
      <c r="L419" s="258" t="str">
        <f>IFERROR(__xludf.DUMMYFUNCTION("""COMPUTED_VALUE"""),"")</f>
        <v/>
      </c>
      <c r="M419" s="261">
        <f>IFERROR(__xludf.DUMMYFUNCTION("""COMPUTED_VALUE"""),169.0)</f>
        <v>169</v>
      </c>
      <c r="N419" s="262" t="str">
        <f>IFERROR(__xludf.DUMMYFUNCTION("""COMPUTED_VALUE"""),"")</f>
        <v/>
      </c>
      <c r="O419" s="259" t="str">
        <f>IFERROR(__xludf.DUMMYFUNCTION("""COMPUTED_VALUE"""),"")</f>
        <v/>
      </c>
      <c r="P419" s="259">
        <f>IFERROR(__xludf.DUMMYFUNCTION("""COMPUTED_VALUE"""),42636.0)</f>
        <v>42636</v>
      </c>
      <c r="Q419" s="258">
        <f>IFERROR(__xludf.DUMMYFUNCTION("""COMPUTED_VALUE"""),115834.0)</f>
        <v>115834</v>
      </c>
      <c r="R419" s="261">
        <f>IFERROR(__xludf.DUMMYFUNCTION("""COMPUTED_VALUE"""),384.0)</f>
        <v>384</v>
      </c>
      <c r="S419" s="258">
        <v>395.0</v>
      </c>
      <c r="T419" s="263">
        <v>0.9721518987341772</v>
      </c>
      <c r="U419" s="264">
        <v>71976.0</v>
      </c>
      <c r="V419" s="265">
        <v>115834.0</v>
      </c>
      <c r="W419" s="264">
        <v>71976.0</v>
      </c>
      <c r="X419" s="266" t="str">
        <f>IFERROR(__xludf.DUMMYFUNCTION("""COMPUTED_VALUE"""),"Pebe")</f>
        <v>Pebe</v>
      </c>
      <c r="Y419" s="267">
        <v>-0.01</v>
      </c>
      <c r="Z419" s="267">
        <v>0.9428789279150838</v>
      </c>
      <c r="AA419" s="269"/>
      <c r="AB419" s="270"/>
      <c r="AC419" s="270"/>
      <c r="AD419" s="270"/>
      <c r="AE419" s="270"/>
    </row>
    <row r="420">
      <c r="A420" s="256">
        <f>IFERROR(__xludf.DUMMYFUNCTION("""COMPUTED_VALUE"""),43210.72916666667)</f>
        <v>43210.72917</v>
      </c>
      <c r="B420" s="257" t="str">
        <f>IFERROR(__xludf.DUMMYFUNCTION("""COMPUTED_VALUE"""),"fluelimat")</f>
        <v>fluelimat</v>
      </c>
      <c r="C420" s="258" t="str">
        <f>IFERROR(__xludf.DUMMYFUNCTION("""COMPUTED_VALUE"""),"Europe (excluding UK) &amp; Asia Pacific")</f>
        <v>Europe (excluding UK) &amp; Asia Pacific</v>
      </c>
      <c r="D420" s="258" t="str">
        <f>IFERROR(__xludf.DUMMYFUNCTION("""COMPUTED_VALUE"""),"km. My car displays range in kilometres and I will enter all range numbers in kilometres.")</f>
        <v>km. My car displays range in kilometres and I will enter all range numbers in kilometres.</v>
      </c>
      <c r="E420" s="259">
        <f>IFERROR(__xludf.DUMMYFUNCTION("""COMPUTED_VALUE"""),42080.0)</f>
        <v>42080</v>
      </c>
      <c r="F420" s="258" t="str">
        <f>IFERROR(__xludf.DUMMYFUNCTION("""COMPUTED_VALUE"""),"Model S P85D")</f>
        <v>Model S P85D</v>
      </c>
      <c r="G420" s="258" t="str">
        <f>IFERROR(__xludf.DUMMYFUNCTION("""COMPUTED_VALUE"""),"Twice a month")</f>
        <v>Twice a month</v>
      </c>
      <c r="H420" s="258" t="str">
        <f>IFERROR(__xludf.DUMMYFUNCTION("""COMPUTED_VALUE"""),"Monthly")</f>
        <v>Monthly</v>
      </c>
      <c r="I420" s="258" t="str">
        <f>IFERROR(__xludf.DUMMYFUNCTION("""COMPUTED_VALUE"""),"A few times a year")</f>
        <v>A few times a year</v>
      </c>
      <c r="J420" s="260">
        <f>IFERROR(__xludf.DUMMYFUNCTION("""COMPUTED_VALUE"""),0.7)</f>
        <v>0.7</v>
      </c>
      <c r="K420" s="258" t="str">
        <f>IFERROR(__xludf.DUMMYFUNCTION("""COMPUTED_VALUE"""),"")</f>
        <v/>
      </c>
      <c r="L420" s="258" t="str">
        <f>IFERROR(__xludf.DUMMYFUNCTION("""COMPUTED_VALUE"""),"")</f>
        <v/>
      </c>
      <c r="M420" s="261">
        <f>IFERROR(__xludf.DUMMYFUNCTION("""COMPUTED_VALUE"""),218.0)</f>
        <v>218</v>
      </c>
      <c r="N420" s="262" t="str">
        <f>IFERROR(__xludf.DUMMYFUNCTION("""COMPUTED_VALUE"""),"")</f>
        <v/>
      </c>
      <c r="O420" s="259" t="str">
        <f>IFERROR(__xludf.DUMMYFUNCTION("""COMPUTED_VALUE"""),"")</f>
        <v/>
      </c>
      <c r="P420" s="259">
        <f>IFERROR(__xludf.DUMMYFUNCTION("""COMPUTED_VALUE"""),43210.0)</f>
        <v>43210</v>
      </c>
      <c r="Q420" s="258">
        <f>IFERROR(__xludf.DUMMYFUNCTION("""COMPUTED_VALUE"""),71049.0)</f>
        <v>71049</v>
      </c>
      <c r="R420" s="261">
        <f>IFERROR(__xludf.DUMMYFUNCTION("""COMPUTED_VALUE"""),385.0)</f>
        <v>385</v>
      </c>
      <c r="S420" s="258">
        <v>403.0</v>
      </c>
      <c r="T420" s="263">
        <v>0.9553349875930521</v>
      </c>
      <c r="U420" s="264">
        <v>44148.0</v>
      </c>
      <c r="V420" s="265">
        <v>71049.0</v>
      </c>
      <c r="W420" s="264">
        <v>44148.0</v>
      </c>
      <c r="X420" s="266" t="str">
        <f>IFERROR(__xludf.DUMMYFUNCTION("""COMPUTED_VALUE"""),"peters25")</f>
        <v>peters25</v>
      </c>
      <c r="Y420" s="267">
        <v>-0.01</v>
      </c>
      <c r="Z420" s="267">
        <v>0.9536614577381094</v>
      </c>
      <c r="AA420" s="269"/>
      <c r="AB420" s="270"/>
      <c r="AC420" s="270"/>
      <c r="AD420" s="270"/>
      <c r="AE420" s="270"/>
    </row>
    <row r="421">
      <c r="A421" s="256">
        <f>IFERROR(__xludf.DUMMYFUNCTION("""COMPUTED_VALUE"""),43768.90238168982)</f>
        <v>43768.90238</v>
      </c>
      <c r="B421" s="257" t="str">
        <f>IFERROR(__xludf.DUMMYFUNCTION("""COMPUTED_VALUE"""),"fluelimat")</f>
        <v>fluelimat</v>
      </c>
      <c r="C421" s="258" t="str">
        <f>IFERROR(__xludf.DUMMYFUNCTION("""COMPUTED_VALUE"""),"Europe (excluding UK) &amp; Asia Pacific")</f>
        <v>Europe (excluding UK) &amp; Asia Pacific</v>
      </c>
      <c r="D421" s="258" t="str">
        <f>IFERROR(__xludf.DUMMYFUNCTION("""COMPUTED_VALUE"""),"km. My car displays range in kilometres and I will enter all range numbers in kilometres.")</f>
        <v>km. My car displays range in kilometres and I will enter all range numbers in kilometres.</v>
      </c>
      <c r="E421" s="259">
        <f>IFERROR(__xludf.DUMMYFUNCTION("""COMPUTED_VALUE"""),42080.0)</f>
        <v>42080</v>
      </c>
      <c r="F421" s="258" t="str">
        <f>IFERROR(__xludf.DUMMYFUNCTION("""COMPUTED_VALUE"""),"Model S P85D")</f>
        <v>Model S P85D</v>
      </c>
      <c r="G421" s="258" t="str">
        <f>IFERROR(__xludf.DUMMYFUNCTION("""COMPUTED_VALUE"""),"Twice a month")</f>
        <v>Twice a month</v>
      </c>
      <c r="H421" s="258" t="str">
        <f>IFERROR(__xludf.DUMMYFUNCTION("""COMPUTED_VALUE"""),"Twice a month")</f>
        <v>Twice a month</v>
      </c>
      <c r="I421" s="258" t="str">
        <f>IFERROR(__xludf.DUMMYFUNCTION("""COMPUTED_VALUE"""),"A few times a year")</f>
        <v>A few times a year</v>
      </c>
      <c r="J421" s="260">
        <f>IFERROR(__xludf.DUMMYFUNCTION("""COMPUTED_VALUE"""),0.8)</f>
        <v>0.8</v>
      </c>
      <c r="K421" s="258" t="str">
        <f>IFERROR(__xludf.DUMMYFUNCTION("""COMPUTED_VALUE"""),"")</f>
        <v/>
      </c>
      <c r="L421" s="258">
        <f>IFERROR(__xludf.DUMMYFUNCTION("""COMPUTED_VALUE"""),200.0)</f>
        <v>200</v>
      </c>
      <c r="M421" s="261">
        <f>IFERROR(__xludf.DUMMYFUNCTION("""COMPUTED_VALUE"""),220.0)</f>
        <v>220</v>
      </c>
      <c r="N421" s="262" t="str">
        <f>IFERROR(__xludf.DUMMYFUNCTION("""COMPUTED_VALUE"""),"")</f>
        <v/>
      </c>
      <c r="O421" s="259" t="str">
        <f>IFERROR(__xludf.DUMMYFUNCTION("""COMPUTED_VALUE"""),"")</f>
        <v/>
      </c>
      <c r="P421" s="259">
        <f>IFERROR(__xludf.DUMMYFUNCTION("""COMPUTED_VALUE"""),43315.0)</f>
        <v>43315</v>
      </c>
      <c r="Q421" s="258">
        <f>IFERROR(__xludf.DUMMYFUNCTION("""COMPUTED_VALUE"""),75678.0)</f>
        <v>75678</v>
      </c>
      <c r="R421" s="261">
        <f>IFERROR(__xludf.DUMMYFUNCTION("""COMPUTED_VALUE"""),382.0)</f>
        <v>382</v>
      </c>
      <c r="S421" s="258">
        <v>403.0</v>
      </c>
      <c r="T421" s="263">
        <v>0.9478908188585607</v>
      </c>
      <c r="U421" s="264">
        <v>47024.0</v>
      </c>
      <c r="V421" s="265">
        <v>75678.0</v>
      </c>
      <c r="W421" s="264">
        <v>47024.0</v>
      </c>
      <c r="X421" s="266" t="str">
        <f>IFERROR(__xludf.DUMMYFUNCTION("""COMPUTED_VALUE"""),"Phil V")</f>
        <v>Phil V</v>
      </c>
      <c r="Y421" s="267">
        <v>-0.01</v>
      </c>
      <c r="Z421" s="267">
        <v>0.952478363541634</v>
      </c>
      <c r="AA421" s="269"/>
      <c r="AB421" s="270"/>
      <c r="AC421" s="270"/>
      <c r="AD421" s="270"/>
      <c r="AE421" s="270"/>
    </row>
    <row r="422">
      <c r="A422" s="256">
        <f>IFERROR(__xludf.DUMMYFUNCTION("""COMPUTED_VALUE"""),43768.90238168982)</f>
        <v>43768.90238</v>
      </c>
      <c r="B422" s="257" t="str">
        <f>IFERROR(__xludf.DUMMYFUNCTION("""COMPUTED_VALUE"""),"fluelimat")</f>
        <v>fluelimat</v>
      </c>
      <c r="C422" s="258" t="str">
        <f>IFERROR(__xludf.DUMMYFUNCTION("""COMPUTED_VALUE"""),"Europe (excluding UK) &amp; Asia Pacific")</f>
        <v>Europe (excluding UK) &amp; Asia Pacific</v>
      </c>
      <c r="D422" s="258" t="str">
        <f>IFERROR(__xludf.DUMMYFUNCTION("""COMPUTED_VALUE"""),"km. My car displays range in kilometres and I will enter all range numbers in kilometres.")</f>
        <v>km. My car displays range in kilometres and I will enter all range numbers in kilometres.</v>
      </c>
      <c r="E422" s="259">
        <f>IFERROR(__xludf.DUMMYFUNCTION("""COMPUTED_VALUE"""),42080.0)</f>
        <v>42080</v>
      </c>
      <c r="F422" s="258" t="str">
        <f>IFERROR(__xludf.DUMMYFUNCTION("""COMPUTED_VALUE"""),"Model S P85D")</f>
        <v>Model S P85D</v>
      </c>
      <c r="G422" s="258" t="str">
        <f>IFERROR(__xludf.DUMMYFUNCTION("""COMPUTED_VALUE"""),"Twice a month")</f>
        <v>Twice a month</v>
      </c>
      <c r="H422" s="258" t="str">
        <f>IFERROR(__xludf.DUMMYFUNCTION("""COMPUTED_VALUE"""),"Twice a month")</f>
        <v>Twice a month</v>
      </c>
      <c r="I422" s="258" t="str">
        <f>IFERROR(__xludf.DUMMYFUNCTION("""COMPUTED_VALUE"""),"A few times a year")</f>
        <v>A few times a year</v>
      </c>
      <c r="J422" s="260">
        <f>IFERROR(__xludf.DUMMYFUNCTION("""COMPUTED_VALUE"""),0.8)</f>
        <v>0.8</v>
      </c>
      <c r="K422" s="258" t="str">
        <f>IFERROR(__xludf.DUMMYFUNCTION("""COMPUTED_VALUE"""),"")</f>
        <v/>
      </c>
      <c r="L422" s="258">
        <f>IFERROR(__xludf.DUMMYFUNCTION("""COMPUTED_VALUE"""),200.0)</f>
        <v>200</v>
      </c>
      <c r="M422" s="261">
        <f>IFERROR(__xludf.DUMMYFUNCTION("""COMPUTED_VALUE"""),220.0)</f>
        <v>220</v>
      </c>
      <c r="N422" s="262" t="str">
        <f>IFERROR(__xludf.DUMMYFUNCTION("""COMPUTED_VALUE"""),"")</f>
        <v/>
      </c>
      <c r="O422" s="259" t="str">
        <f>IFERROR(__xludf.DUMMYFUNCTION("""COMPUTED_VALUE"""),"")</f>
        <v/>
      </c>
      <c r="P422" s="259">
        <f>IFERROR(__xludf.DUMMYFUNCTION("""COMPUTED_VALUE"""),43498.0)</f>
        <v>43498</v>
      </c>
      <c r="Q422" s="258">
        <f>IFERROR(__xludf.DUMMYFUNCTION("""COMPUTED_VALUE"""),84981.0)</f>
        <v>84981</v>
      </c>
      <c r="R422" s="261">
        <f>IFERROR(__xludf.DUMMYFUNCTION("""COMPUTED_VALUE"""),373.0)</f>
        <v>373</v>
      </c>
      <c r="S422" s="258">
        <v>403.0</v>
      </c>
      <c r="T422" s="263">
        <v>0.9255583126550868</v>
      </c>
      <c r="U422" s="264">
        <v>52805.0</v>
      </c>
      <c r="V422" s="265">
        <v>84981.0</v>
      </c>
      <c r="W422" s="264">
        <v>52805.0</v>
      </c>
      <c r="X422" s="266" t="str">
        <f>IFERROR(__xludf.DUMMYFUNCTION("""COMPUTED_VALUE"""),"Phil_BE")</f>
        <v>Phil_BE</v>
      </c>
      <c r="Y422" s="267">
        <v>-0.01</v>
      </c>
      <c r="Z422" s="267">
        <v>0.9501765075502143</v>
      </c>
      <c r="AA422" s="269"/>
      <c r="AB422" s="270"/>
      <c r="AC422" s="270"/>
      <c r="AD422" s="270"/>
      <c r="AE422" s="270"/>
    </row>
    <row r="423">
      <c r="A423" s="256">
        <f>IFERROR(__xludf.DUMMYFUNCTION("""COMPUTED_VALUE"""),43768.90238168982)</f>
        <v>43768.90238</v>
      </c>
      <c r="B423" s="257" t="str">
        <f>IFERROR(__xludf.DUMMYFUNCTION("""COMPUTED_VALUE"""),"fluelimat")</f>
        <v>fluelimat</v>
      </c>
      <c r="C423" s="258" t="str">
        <f>IFERROR(__xludf.DUMMYFUNCTION("""COMPUTED_VALUE"""),"Europe (excluding UK) &amp; Asia Pacific")</f>
        <v>Europe (excluding UK) &amp; Asia Pacific</v>
      </c>
      <c r="D423" s="258" t="str">
        <f>IFERROR(__xludf.DUMMYFUNCTION("""COMPUTED_VALUE"""),"km. My car displays range in kilometres and I will enter all range numbers in kilometres.")</f>
        <v>km. My car displays range in kilometres and I will enter all range numbers in kilometres.</v>
      </c>
      <c r="E423" s="259">
        <f>IFERROR(__xludf.DUMMYFUNCTION("""COMPUTED_VALUE"""),42080.0)</f>
        <v>42080</v>
      </c>
      <c r="F423" s="258" t="str">
        <f>IFERROR(__xludf.DUMMYFUNCTION("""COMPUTED_VALUE"""),"Model S P85D")</f>
        <v>Model S P85D</v>
      </c>
      <c r="G423" s="258" t="str">
        <f>IFERROR(__xludf.DUMMYFUNCTION("""COMPUTED_VALUE"""),"Twice a month")</f>
        <v>Twice a month</v>
      </c>
      <c r="H423" s="258" t="str">
        <f>IFERROR(__xludf.DUMMYFUNCTION("""COMPUTED_VALUE"""),"Twice a month")</f>
        <v>Twice a month</v>
      </c>
      <c r="I423" s="258" t="str">
        <f>IFERROR(__xludf.DUMMYFUNCTION("""COMPUTED_VALUE"""),"A few times a year")</f>
        <v>A few times a year</v>
      </c>
      <c r="J423" s="260">
        <f>IFERROR(__xludf.DUMMYFUNCTION("""COMPUTED_VALUE"""),0.8)</f>
        <v>0.8</v>
      </c>
      <c r="K423" s="258" t="str">
        <f>IFERROR(__xludf.DUMMYFUNCTION("""COMPUTED_VALUE"""),"")</f>
        <v/>
      </c>
      <c r="L423" s="258">
        <f>IFERROR(__xludf.DUMMYFUNCTION("""COMPUTED_VALUE"""),200.0)</f>
        <v>200</v>
      </c>
      <c r="M423" s="261">
        <f>IFERROR(__xludf.DUMMYFUNCTION("""COMPUTED_VALUE"""),220.0)</f>
        <v>220</v>
      </c>
      <c r="N423" s="262" t="str">
        <f>IFERROR(__xludf.DUMMYFUNCTION("""COMPUTED_VALUE"""),"")</f>
        <v/>
      </c>
      <c r="O423" s="259" t="str">
        <f>IFERROR(__xludf.DUMMYFUNCTION("""COMPUTED_VALUE"""),"")</f>
        <v/>
      </c>
      <c r="P423" s="259">
        <f>IFERROR(__xludf.DUMMYFUNCTION("""COMPUTED_VALUE"""),43759.0)</f>
        <v>43759</v>
      </c>
      <c r="Q423" s="258">
        <f>IFERROR(__xludf.DUMMYFUNCTION("""COMPUTED_VALUE"""),103691.0)</f>
        <v>103691</v>
      </c>
      <c r="R423" s="261">
        <f>IFERROR(__xludf.DUMMYFUNCTION("""COMPUTED_VALUE"""),376.0)</f>
        <v>376</v>
      </c>
      <c r="S423" s="258">
        <v>403.0</v>
      </c>
      <c r="T423" s="263">
        <v>0.9330024813895782</v>
      </c>
      <c r="U423" s="264">
        <v>64431.0</v>
      </c>
      <c r="V423" s="265">
        <v>103691.0</v>
      </c>
      <c r="W423" s="264">
        <v>64431.0</v>
      </c>
      <c r="X423" s="266" t="str">
        <f>IFERROR(__xludf.DUMMYFUNCTION("""COMPUTED_VALUE"""),"philhill")</f>
        <v>philhill</v>
      </c>
      <c r="Y423" s="267">
        <v>-0.01</v>
      </c>
      <c r="Z423" s="267">
        <v>0.9457168078791185</v>
      </c>
      <c r="AA423" s="269"/>
      <c r="AB423" s="270"/>
      <c r="AC423" s="270"/>
      <c r="AD423" s="270"/>
      <c r="AE423" s="270"/>
    </row>
    <row r="424">
      <c r="A424" s="256">
        <f>IFERROR(__xludf.DUMMYFUNCTION("""COMPUTED_VALUE"""),42313.22222222222)</f>
        <v>42313.22222</v>
      </c>
      <c r="B424" s="257" t="str">
        <f>IFERROR(__xludf.DUMMYFUNCTION("""COMPUTED_VALUE"""),"fonberg")</f>
        <v>fonberg</v>
      </c>
      <c r="C424" s="258" t="str">
        <f>IFERROR(__xludf.DUMMYFUNCTION("""COMPUTED_VALUE"""),"Europe (excluding UK) &amp; Asia Pacific")</f>
        <v>Europe (excluding UK) &amp; Asia Pacific</v>
      </c>
      <c r="D424" s="258" t="str">
        <f>IFERROR(__xludf.DUMMYFUNCTION("""COMPUTED_VALUE"""),"km. My car displays range in kilometres and I will enter all range numbers in kilometres.")</f>
        <v>km. My car displays range in kilometres and I will enter all range numbers in kilometres.</v>
      </c>
      <c r="E424" s="259">
        <f>IFERROR(__xludf.DUMMYFUNCTION("""COMPUTED_VALUE"""),41591.0)</f>
        <v>41591</v>
      </c>
      <c r="F424" s="258" t="str">
        <f>IFERROR(__xludf.DUMMYFUNCTION("""COMPUTED_VALUE"""),"Model S 85")</f>
        <v>Model S 85</v>
      </c>
      <c r="G424" s="258" t="str">
        <f>IFERROR(__xludf.DUMMYFUNCTION("""COMPUTED_VALUE"""),"Monthly")</f>
        <v>Monthly</v>
      </c>
      <c r="H424" s="258" t="str">
        <f>IFERROR(__xludf.DUMMYFUNCTION("""COMPUTED_VALUE"""),"Once or twice a year")</f>
        <v>Once or twice a year</v>
      </c>
      <c r="I424" s="258" t="str">
        <f>IFERROR(__xludf.DUMMYFUNCTION("""COMPUTED_VALUE"""),"Never")</f>
        <v>Never</v>
      </c>
      <c r="J424" s="260">
        <f>IFERROR(__xludf.DUMMYFUNCTION("""COMPUTED_VALUE"""),0.9)</f>
        <v>0.9</v>
      </c>
      <c r="K424" s="258">
        <f>IFERROR(__xludf.DUMMYFUNCTION("""COMPUTED_VALUE"""),393.0)</f>
        <v>393</v>
      </c>
      <c r="L424" s="258" t="str">
        <f>IFERROR(__xludf.DUMMYFUNCTION("""COMPUTED_VALUE"""),"")</f>
        <v/>
      </c>
      <c r="M424" s="261">
        <f>IFERROR(__xludf.DUMMYFUNCTION("""COMPUTED_VALUE"""),216.0)</f>
        <v>216</v>
      </c>
      <c r="N424" s="262">
        <f>IFERROR(__xludf.DUMMYFUNCTION("""COMPUTED_VALUE"""),49000.0)</f>
        <v>49000</v>
      </c>
      <c r="O424" s="259" t="str">
        <f>IFERROR(__xludf.DUMMYFUNCTION("""COMPUTED_VALUE"""),"Increased by 8 km or mi")</f>
        <v>Increased by 8 km or mi</v>
      </c>
      <c r="P424" s="259">
        <f>IFERROR(__xludf.DUMMYFUNCTION("""COMPUTED_VALUE"""),42313.0)</f>
        <v>42313</v>
      </c>
      <c r="Q424" s="258">
        <f>IFERROR(__xludf.DUMMYFUNCTION("""COMPUTED_VALUE"""),60000.0)</f>
        <v>60000</v>
      </c>
      <c r="R424" s="261">
        <f>IFERROR(__xludf.DUMMYFUNCTION("""COMPUTED_VALUE"""),393.0)</f>
        <v>393</v>
      </c>
      <c r="S424" s="258">
        <v>395.0</v>
      </c>
      <c r="T424" s="263">
        <v>0.9949367088607595</v>
      </c>
      <c r="U424" s="264">
        <v>37282.0</v>
      </c>
      <c r="V424" s="265">
        <v>60000.0</v>
      </c>
      <c r="W424" s="264">
        <v>37282.0</v>
      </c>
      <c r="X424" s="266" t="str">
        <f>IFERROR(__xludf.DUMMYFUNCTION("""COMPUTED_VALUE"""),"Pilot_51")</f>
        <v>Pilot_51</v>
      </c>
      <c r="Y424" s="267">
        <v>-0.01</v>
      </c>
      <c r="Z424" s="267">
        <v>0.9566506501201559</v>
      </c>
      <c r="AA424" s="269"/>
      <c r="AB424" s="270"/>
      <c r="AC424" s="270"/>
      <c r="AD424" s="270"/>
      <c r="AE424" s="270"/>
    </row>
    <row r="425">
      <c r="A425" s="256">
        <f>IFERROR(__xludf.DUMMYFUNCTION("""COMPUTED_VALUE"""),42678.913888888885)</f>
        <v>42678.91389</v>
      </c>
      <c r="B425" s="257" t="str">
        <f>IFERROR(__xludf.DUMMYFUNCTION("""COMPUTED_VALUE"""),"Forty Creek")</f>
        <v>Forty Creek</v>
      </c>
      <c r="C425" s="258" t="str">
        <f>IFERROR(__xludf.DUMMYFUNCTION("""COMPUTED_VALUE"""),"Canada")</f>
        <v>Canada</v>
      </c>
      <c r="D425" s="258" t="str">
        <f>IFERROR(__xludf.DUMMYFUNCTION("""COMPUTED_VALUE"""),"km. My car displays range in kilometres and I will enter all range numbers in kilometres.")</f>
        <v>km. My car displays range in kilometres and I will enter all range numbers in kilometres.</v>
      </c>
      <c r="E425" s="259">
        <f>IFERROR(__xludf.DUMMYFUNCTION("""COMPUTED_VALUE"""),41540.0)</f>
        <v>41540</v>
      </c>
      <c r="F425" s="258" t="str">
        <f>IFERROR(__xludf.DUMMYFUNCTION("""COMPUTED_VALUE"""),"Model S P85")</f>
        <v>Model S P85</v>
      </c>
      <c r="G425" s="258" t="str">
        <f>IFERROR(__xludf.DUMMYFUNCTION("""COMPUTED_VALUE"""),"Twice a month")</f>
        <v>Twice a month</v>
      </c>
      <c r="H425" s="258" t="str">
        <f>IFERROR(__xludf.DUMMYFUNCTION("""COMPUTED_VALUE"""),"A few times a year")</f>
        <v>A few times a year</v>
      </c>
      <c r="I425" s="258" t="str">
        <f>IFERROR(__xludf.DUMMYFUNCTION("""COMPUTED_VALUE"""),"Once or twice a year")</f>
        <v>Once or twice a year</v>
      </c>
      <c r="J425" s="260">
        <f>IFERROR(__xludf.DUMMYFUNCTION("""COMPUTED_VALUE"""),0.8)</f>
        <v>0.8</v>
      </c>
      <c r="K425" s="258">
        <f>IFERROR(__xludf.DUMMYFUNCTION("""COMPUTED_VALUE"""),425.0)</f>
        <v>425</v>
      </c>
      <c r="L425" s="258" t="str">
        <f>IFERROR(__xludf.DUMMYFUNCTION("""COMPUTED_VALUE"""),"")</f>
        <v/>
      </c>
      <c r="M425" s="261">
        <f>IFERROR(__xludf.DUMMYFUNCTION("""COMPUTED_VALUE"""),212.0)</f>
        <v>212</v>
      </c>
      <c r="N425" s="262" t="str">
        <f>IFERROR(__xludf.DUMMYFUNCTION("""COMPUTED_VALUE"""),"")</f>
        <v/>
      </c>
      <c r="O425" s="259" t="str">
        <f>IFERROR(__xludf.DUMMYFUNCTION("""COMPUTED_VALUE"""),"")</f>
        <v/>
      </c>
      <c r="P425" s="259">
        <f>IFERROR(__xludf.DUMMYFUNCTION("""COMPUTED_VALUE"""),42678.0)</f>
        <v>42678</v>
      </c>
      <c r="Q425" s="258">
        <f>IFERROR(__xludf.DUMMYFUNCTION("""COMPUTED_VALUE"""),111001.0)</f>
        <v>111001</v>
      </c>
      <c r="R425" s="261">
        <f>IFERROR(__xludf.DUMMYFUNCTION("""COMPUTED_VALUE"""),398.0)</f>
        <v>398</v>
      </c>
      <c r="S425" s="258">
        <v>428.0</v>
      </c>
      <c r="T425" s="263">
        <v>0.9299065420560748</v>
      </c>
      <c r="U425" s="264">
        <v>68973.0</v>
      </c>
      <c r="V425" s="265">
        <v>111001.0</v>
      </c>
      <c r="W425" s="264">
        <v>68973.0</v>
      </c>
      <c r="X425" s="266" t="str">
        <f>IFERROR(__xludf.DUMMYFUNCTION("""COMPUTED_VALUE"""),"PimEffting")</f>
        <v>PimEffting</v>
      </c>
      <c r="Y425" s="267">
        <v>-0.01</v>
      </c>
      <c r="Z425" s="267">
        <v>0.9440053888281166</v>
      </c>
      <c r="AA425" s="269"/>
      <c r="AB425" s="270"/>
      <c r="AC425" s="270"/>
      <c r="AD425" s="270"/>
      <c r="AE425" s="270"/>
    </row>
    <row r="426">
      <c r="A426" s="256">
        <f>IFERROR(__xludf.DUMMYFUNCTION("""COMPUTED_VALUE"""),42783.91666666667)</f>
        <v>42783.91667</v>
      </c>
      <c r="B426" s="257" t="str">
        <f>IFERROR(__xludf.DUMMYFUNCTION("""COMPUTED_VALUE"""),"Forty Creek")</f>
        <v>Forty Creek</v>
      </c>
      <c r="C426" s="258" t="str">
        <f>IFERROR(__xludf.DUMMYFUNCTION("""COMPUTED_VALUE"""),"Canada")</f>
        <v>Canada</v>
      </c>
      <c r="D426" s="258" t="str">
        <f>IFERROR(__xludf.DUMMYFUNCTION("""COMPUTED_VALUE"""),"km. My car displays range in kilometres and I will enter all range numbers in kilometres.")</f>
        <v>km. My car displays range in kilometres and I will enter all range numbers in kilometres.</v>
      </c>
      <c r="E426" s="259">
        <f>IFERROR(__xludf.DUMMYFUNCTION("""COMPUTED_VALUE"""),41540.0)</f>
        <v>41540</v>
      </c>
      <c r="F426" s="258" t="str">
        <f>IFERROR(__xludf.DUMMYFUNCTION("""COMPUTED_VALUE"""),"Model S P85")</f>
        <v>Model S P85</v>
      </c>
      <c r="G426" s="258" t="str">
        <f>IFERROR(__xludf.DUMMYFUNCTION("""COMPUTED_VALUE"""),"Twice a month")</f>
        <v>Twice a month</v>
      </c>
      <c r="H426" s="258" t="str">
        <f>IFERROR(__xludf.DUMMYFUNCTION("""COMPUTED_VALUE"""),"A few times a year")</f>
        <v>A few times a year</v>
      </c>
      <c r="I426" s="258" t="str">
        <f>IFERROR(__xludf.DUMMYFUNCTION("""COMPUTED_VALUE"""),"Once or twice a year")</f>
        <v>Once or twice a year</v>
      </c>
      <c r="J426" s="260">
        <f>IFERROR(__xludf.DUMMYFUNCTION("""COMPUTED_VALUE"""),0.8)</f>
        <v>0.8</v>
      </c>
      <c r="K426" s="258">
        <f>IFERROR(__xludf.DUMMYFUNCTION("""COMPUTED_VALUE"""),425.0)</f>
        <v>425</v>
      </c>
      <c r="L426" s="258" t="str">
        <f>IFERROR(__xludf.DUMMYFUNCTION("""COMPUTED_VALUE"""),"")</f>
        <v/>
      </c>
      <c r="M426" s="261">
        <f>IFERROR(__xludf.DUMMYFUNCTION("""COMPUTED_VALUE"""),214.58)</f>
        <v>214.58</v>
      </c>
      <c r="N426" s="262" t="str">
        <f>IFERROR(__xludf.DUMMYFUNCTION("""COMPUTED_VALUE"""),"")</f>
        <v/>
      </c>
      <c r="O426" s="259" t="str">
        <f>IFERROR(__xludf.DUMMYFUNCTION("""COMPUTED_VALUE"""),"")</f>
        <v/>
      </c>
      <c r="P426" s="259">
        <f>IFERROR(__xludf.DUMMYFUNCTION("""COMPUTED_VALUE"""),42783.0)</f>
        <v>42783</v>
      </c>
      <c r="Q426" s="258">
        <f>IFERROR(__xludf.DUMMYFUNCTION("""COMPUTED_VALUE"""),120000.0)</f>
        <v>120000</v>
      </c>
      <c r="R426" s="261">
        <f>IFERROR(__xludf.DUMMYFUNCTION("""COMPUTED_VALUE"""),403.0)</f>
        <v>403</v>
      </c>
      <c r="S426" s="258">
        <v>428.0</v>
      </c>
      <c r="T426" s="263">
        <v>0.9415887850467289</v>
      </c>
      <c r="U426" s="264">
        <v>74565.0</v>
      </c>
      <c r="V426" s="265">
        <v>120000.0</v>
      </c>
      <c r="W426" s="264">
        <v>74565.0</v>
      </c>
      <c r="X426" s="266" t="str">
        <f>IFERROR(__xludf.DUMMYFUNCTION("""COMPUTED_VALUE"""),"pjhartog")</f>
        <v>pjhartog</v>
      </c>
      <c r="Y426" s="267">
        <v>-0.01</v>
      </c>
      <c r="Z426" s="267">
        <v>0.9419102660523042</v>
      </c>
      <c r="AA426" s="269"/>
      <c r="AB426" s="270"/>
      <c r="AC426" s="270"/>
      <c r="AD426" s="270"/>
      <c r="AE426" s="270"/>
    </row>
    <row r="427">
      <c r="A427" s="256">
        <f>IFERROR(__xludf.DUMMYFUNCTION("""COMPUTED_VALUE"""),42181.14375)</f>
        <v>42181.14375</v>
      </c>
      <c r="B427" s="257" t="str">
        <f>IFERROR(__xludf.DUMMYFUNCTION("""COMPUTED_VALUE"""),"Forza")</f>
        <v>Forza</v>
      </c>
      <c r="C427" s="258" t="str">
        <f>IFERROR(__xludf.DUMMYFUNCTION("""COMPUTED_VALUE"""),"Europe (excluding UK) &amp; Asia Pacific")</f>
        <v>Europe (excluding UK) &amp; Asia Pacific</v>
      </c>
      <c r="D427" s="258" t="str">
        <f>IFERROR(__xludf.DUMMYFUNCTION("""COMPUTED_VALUE"""),"km. My car displays range in kilometres and I will enter all range numbers in kilometres.")</f>
        <v>km. My car displays range in kilometres and I will enter all range numbers in kilometres.</v>
      </c>
      <c r="E427" s="259">
        <f>IFERROR(__xludf.DUMMYFUNCTION("""COMPUTED_VALUE"""),42143.0)</f>
        <v>42143</v>
      </c>
      <c r="F427" s="258" t="str">
        <f>IFERROR(__xludf.DUMMYFUNCTION("""COMPUTED_VALUE"""),"Model S 60")</f>
        <v>Model S 60</v>
      </c>
      <c r="G427" s="258" t="str">
        <f>IFERROR(__xludf.DUMMYFUNCTION("""COMPUTED_VALUE"""),"Monthly")</f>
        <v>Monthly</v>
      </c>
      <c r="H427" s="258" t="str">
        <f>IFERROR(__xludf.DUMMYFUNCTION("""COMPUTED_VALUE"""),"Monthly")</f>
        <v>Monthly</v>
      </c>
      <c r="I427" s="258" t="str">
        <f>IFERROR(__xludf.DUMMYFUNCTION("""COMPUTED_VALUE"""),"Never")</f>
        <v>Never</v>
      </c>
      <c r="J427" s="260">
        <f>IFERROR(__xludf.DUMMYFUNCTION("""COMPUTED_VALUE"""),0.8)</f>
        <v>0.8</v>
      </c>
      <c r="K427" s="258" t="str">
        <f>IFERROR(__xludf.DUMMYFUNCTION("""COMPUTED_VALUE"""),"")</f>
        <v/>
      </c>
      <c r="L427" s="258" t="str">
        <f>IFERROR(__xludf.DUMMYFUNCTION("""COMPUTED_VALUE"""),"")</f>
        <v/>
      </c>
      <c r="M427" s="261">
        <f>IFERROR(__xludf.DUMMYFUNCTION("""COMPUTED_VALUE"""),200.0)</f>
        <v>200</v>
      </c>
      <c r="N427" s="262" t="str">
        <f>IFERROR(__xludf.DUMMYFUNCTION("""COMPUTED_VALUE"""),"")</f>
        <v/>
      </c>
      <c r="O427" s="259" t="str">
        <f>IFERROR(__xludf.DUMMYFUNCTION("""COMPUTED_VALUE"""),"")</f>
        <v/>
      </c>
      <c r="P427" s="259">
        <f>IFERROR(__xludf.DUMMYFUNCTION("""COMPUTED_VALUE"""),42181.0)</f>
        <v>42181</v>
      </c>
      <c r="Q427" s="258">
        <f>IFERROR(__xludf.DUMMYFUNCTION("""COMPUTED_VALUE"""),2300.0)</f>
        <v>2300</v>
      </c>
      <c r="R427" s="261">
        <f>IFERROR(__xludf.DUMMYFUNCTION("""COMPUTED_VALUE"""),286.0)</f>
        <v>286</v>
      </c>
      <c r="S427" s="258">
        <v>284.0</v>
      </c>
      <c r="T427" s="263">
        <v>1.0070422535211268</v>
      </c>
      <c r="U427" s="264">
        <v>1429.0</v>
      </c>
      <c r="V427" s="265">
        <v>2300.0</v>
      </c>
      <c r="W427" s="264">
        <v>1429.0</v>
      </c>
      <c r="X427" s="266" t="str">
        <f>IFERROR(__xludf.DUMMYFUNCTION("""COMPUTED_VALUE"""),"pjw65")</f>
        <v>pjw65</v>
      </c>
      <c r="Y427" s="267">
        <v>-0.01</v>
      </c>
      <c r="Z427" s="267">
        <v>0.9956594009640646</v>
      </c>
      <c r="AA427" s="269"/>
      <c r="AB427" s="270"/>
      <c r="AC427" s="270"/>
      <c r="AD427" s="270"/>
      <c r="AE427" s="270"/>
    </row>
    <row r="428">
      <c r="A428" s="256">
        <f>IFERROR(__xludf.DUMMYFUNCTION("""COMPUTED_VALUE"""),43200.88958333334)</f>
        <v>43200.88958</v>
      </c>
      <c r="B428" s="257" t="str">
        <f>IFERROR(__xludf.DUMMYFUNCTION("""COMPUTED_VALUE"""),"Fozzy D")</f>
        <v>Fozzy D</v>
      </c>
      <c r="C428" s="258" t="str">
        <f>IFERROR(__xludf.DUMMYFUNCTION("""COMPUTED_VALUE"""),"USA")</f>
        <v>USA</v>
      </c>
      <c r="D428" s="258" t="str">
        <f>IFERROR(__xludf.DUMMYFUNCTION("""COMPUTED_VALUE"""),"mi. My car displays range in miles and I will enter all range numbers in miles.")</f>
        <v>mi. My car displays range in miles and I will enter all range numbers in miles.</v>
      </c>
      <c r="E428" s="259">
        <f>IFERROR(__xludf.DUMMYFUNCTION("""COMPUTED_VALUE"""),43192.0)</f>
        <v>43192</v>
      </c>
      <c r="F428" s="258" t="str">
        <f>IFERROR(__xludf.DUMMYFUNCTION("""COMPUTED_VALUE"""),"Model 3 LR")</f>
        <v>Model 3 LR</v>
      </c>
      <c r="G428" s="258" t="str">
        <f>IFERROR(__xludf.DUMMYFUNCTION("""COMPUTED_VALUE"""),"Never")</f>
        <v>Never</v>
      </c>
      <c r="H428" s="258" t="str">
        <f>IFERROR(__xludf.DUMMYFUNCTION("""COMPUTED_VALUE"""),"A few times a year")</f>
        <v>A few times a year</v>
      </c>
      <c r="I428" s="258" t="str">
        <f>IFERROR(__xludf.DUMMYFUNCTION("""COMPUTED_VALUE"""),"Never")</f>
        <v>Never</v>
      </c>
      <c r="J428" s="260">
        <f>IFERROR(__xludf.DUMMYFUNCTION("""COMPUTED_VALUE"""),0.8)</f>
        <v>0.8</v>
      </c>
      <c r="K428" s="258">
        <f>IFERROR(__xludf.DUMMYFUNCTION("""COMPUTED_VALUE"""),311.0)</f>
        <v>311</v>
      </c>
      <c r="L428" s="258" t="str">
        <f>IFERROR(__xludf.DUMMYFUNCTION("""COMPUTED_VALUE"""),"")</f>
        <v/>
      </c>
      <c r="M428" s="261">
        <f>IFERROR(__xludf.DUMMYFUNCTION("""COMPUTED_VALUE"""),250.0)</f>
        <v>250</v>
      </c>
      <c r="N428" s="262" t="str">
        <f>IFERROR(__xludf.DUMMYFUNCTION("""COMPUTED_VALUE"""),"")</f>
        <v/>
      </c>
      <c r="O428" s="259" t="str">
        <f>IFERROR(__xludf.DUMMYFUNCTION("""COMPUTED_VALUE"""),"")</f>
        <v/>
      </c>
      <c r="P428" s="259">
        <f>IFERROR(__xludf.DUMMYFUNCTION("""COMPUTED_VALUE"""),43200.0)</f>
        <v>43200</v>
      </c>
      <c r="Q428" s="258">
        <f>IFERROR(__xludf.DUMMYFUNCTION("""COMPUTED_VALUE"""),6.0)</f>
        <v>6</v>
      </c>
      <c r="R428" s="261">
        <f>IFERROR(__xludf.DUMMYFUNCTION("""COMPUTED_VALUE"""),311.0)</f>
        <v>311</v>
      </c>
      <c r="S428" s="258">
        <v>325.0</v>
      </c>
      <c r="T428" s="263">
        <v>0.9569230769230769</v>
      </c>
      <c r="U428" s="264">
        <v>6.0</v>
      </c>
      <c r="V428" s="265">
        <v>10.0</v>
      </c>
      <c r="W428" s="264">
        <v>6.0</v>
      </c>
      <c r="X428" s="266" t="str">
        <f>IFERROR(__xludf.DUMMYFUNCTION("""COMPUTED_VALUE"""),"Poison Dart Brew")</f>
        <v>Poison Dart Brew</v>
      </c>
      <c r="Y428" s="267">
        <v>-0.01</v>
      </c>
      <c r="Z428" s="267">
        <v>0.9999800007063434</v>
      </c>
      <c r="AA428" s="269"/>
      <c r="AB428" s="270"/>
      <c r="AC428" s="270"/>
      <c r="AD428" s="270"/>
      <c r="AE428" s="270"/>
    </row>
    <row r="429">
      <c r="A429" s="256">
        <f>IFERROR(__xludf.DUMMYFUNCTION("""COMPUTED_VALUE"""),43040.86041666666)</f>
        <v>43040.86042</v>
      </c>
      <c r="B429" s="257" t="str">
        <f>IFERROR(__xludf.DUMMYFUNCTION("""COMPUTED_VALUE"""),"francop")</f>
        <v>francop</v>
      </c>
      <c r="C429" s="258" t="str">
        <f>IFERROR(__xludf.DUMMYFUNCTION("""COMPUTED_VALUE"""),"USA")</f>
        <v>USA</v>
      </c>
      <c r="D429" s="258" t="str">
        <f>IFERROR(__xludf.DUMMYFUNCTION("""COMPUTED_VALUE"""),"mi. My car displays range in miles and I will enter all range numbers in miles.")</f>
        <v>mi. My car displays range in miles and I will enter all range numbers in miles.</v>
      </c>
      <c r="E429" s="259">
        <f>IFERROR(__xludf.DUMMYFUNCTION("""COMPUTED_VALUE"""),42839.0)</f>
        <v>42839</v>
      </c>
      <c r="F429" s="258" t="str">
        <f>IFERROR(__xludf.DUMMYFUNCTION("""COMPUTED_VALUE"""),"Model S 75D")</f>
        <v>Model S 75D</v>
      </c>
      <c r="G429" s="258" t="str">
        <f>IFERROR(__xludf.DUMMYFUNCTION("""COMPUTED_VALUE"""),"A few times a year")</f>
        <v>A few times a year</v>
      </c>
      <c r="H429" s="258" t="str">
        <f>IFERROR(__xludf.DUMMYFUNCTION("""COMPUTED_VALUE"""),"A few times a year")</f>
        <v>A few times a year</v>
      </c>
      <c r="I429" s="258" t="str">
        <f>IFERROR(__xludf.DUMMYFUNCTION("""COMPUTED_VALUE"""),"Never")</f>
        <v>Never</v>
      </c>
      <c r="J429" s="260">
        <f>IFERROR(__xludf.DUMMYFUNCTION("""COMPUTED_VALUE"""),0.7)</f>
        <v>0.7</v>
      </c>
      <c r="K429" s="258">
        <f>IFERROR(__xludf.DUMMYFUNCTION("""COMPUTED_VALUE"""),259.0)</f>
        <v>259</v>
      </c>
      <c r="L429" s="258" t="str">
        <f>IFERROR(__xludf.DUMMYFUNCTION("""COMPUTED_VALUE"""),"")</f>
        <v/>
      </c>
      <c r="M429" s="261">
        <f>IFERROR(__xludf.DUMMYFUNCTION("""COMPUTED_VALUE"""),273.0)</f>
        <v>273</v>
      </c>
      <c r="N429" s="262" t="str">
        <f>IFERROR(__xludf.DUMMYFUNCTION("""COMPUTED_VALUE"""),"")</f>
        <v/>
      </c>
      <c r="O429" s="259" t="str">
        <f>IFERROR(__xludf.DUMMYFUNCTION("""COMPUTED_VALUE"""),"")</f>
        <v/>
      </c>
      <c r="P429" s="259">
        <f>IFERROR(__xludf.DUMMYFUNCTION("""COMPUTED_VALUE"""),43040.0)</f>
        <v>43040</v>
      </c>
      <c r="Q429" s="258">
        <f>IFERROR(__xludf.DUMMYFUNCTION("""COMPUTED_VALUE"""),5451.0)</f>
        <v>5451</v>
      </c>
      <c r="R429" s="261">
        <f>IFERROR(__xludf.DUMMYFUNCTION("""COMPUTED_VALUE"""),256.0)</f>
        <v>256</v>
      </c>
      <c r="S429" s="258">
        <v>259.0</v>
      </c>
      <c r="T429" s="263">
        <v>0.9884169884169884</v>
      </c>
      <c r="U429" s="264">
        <v>5451.0</v>
      </c>
      <c r="V429" s="265">
        <v>8773.0</v>
      </c>
      <c r="W429" s="264">
        <v>5451.0</v>
      </c>
      <c r="X429" s="266" t="str">
        <f>IFERROR(__xludf.DUMMYFUNCTION("""COMPUTED_VALUE"""),"Poko")</f>
        <v>Poko</v>
      </c>
      <c r="Y429" s="267">
        <v>-0.01</v>
      </c>
      <c r="Z429" s="267">
        <v>0.9858143552073189</v>
      </c>
      <c r="AA429" s="269"/>
      <c r="AB429" s="270"/>
      <c r="AC429" s="270"/>
      <c r="AD429" s="270"/>
      <c r="AE429" s="270"/>
    </row>
    <row r="430">
      <c r="A430" s="256">
        <f>IFERROR(__xludf.DUMMYFUNCTION("""COMPUTED_VALUE"""),43125.680555555555)</f>
        <v>43125.68056</v>
      </c>
      <c r="B430" s="257" t="str">
        <f>IFERROR(__xludf.DUMMYFUNCTION("""COMPUTED_VALUE"""),"frankvanhoesel")</f>
        <v>frankvanhoesel</v>
      </c>
      <c r="C430" s="258" t="str">
        <f>IFERROR(__xludf.DUMMYFUNCTION("""COMPUTED_VALUE"""),"Europe (excluding UK) &amp; Asia Pacific")</f>
        <v>Europe (excluding UK) &amp; Asia Pacific</v>
      </c>
      <c r="D430" s="258" t="str">
        <f>IFERROR(__xludf.DUMMYFUNCTION("""COMPUTED_VALUE"""),"km. My car displays range in kilometres and I will enter all range numbers in kilometres.")</f>
        <v>km. My car displays range in kilometres and I will enter all range numbers in kilometres.</v>
      </c>
      <c r="E430" s="259">
        <f>IFERROR(__xludf.DUMMYFUNCTION("""COMPUTED_VALUE"""),42643.0)</f>
        <v>42643</v>
      </c>
      <c r="F430" s="258" t="str">
        <f>IFERROR(__xludf.DUMMYFUNCTION("""COMPUTED_VALUE"""),"Model X 90D")</f>
        <v>Model X 90D</v>
      </c>
      <c r="G430" s="258" t="str">
        <f>IFERROR(__xludf.DUMMYFUNCTION("""COMPUTED_VALUE"""),"A few times a year")</f>
        <v>A few times a year</v>
      </c>
      <c r="H430" s="258" t="str">
        <f>IFERROR(__xludf.DUMMYFUNCTION("""COMPUTED_VALUE"""),"A few times a year")</f>
        <v>A few times a year</v>
      </c>
      <c r="I430" s="258" t="str">
        <f>IFERROR(__xludf.DUMMYFUNCTION("""COMPUTED_VALUE"""),"Monthly")</f>
        <v>Monthly</v>
      </c>
      <c r="J430" s="260">
        <f>IFERROR(__xludf.DUMMYFUNCTION("""COMPUTED_VALUE"""),0.8)</f>
        <v>0.8</v>
      </c>
      <c r="K430" s="258">
        <f>IFERROR(__xludf.DUMMYFUNCTION("""COMPUTED_VALUE"""),399.0)</f>
        <v>399</v>
      </c>
      <c r="L430" s="258" t="str">
        <f>IFERROR(__xludf.DUMMYFUNCTION("""COMPUTED_VALUE"""),"")</f>
        <v/>
      </c>
      <c r="M430" s="261">
        <f>IFERROR(__xludf.DUMMYFUNCTION("""COMPUTED_VALUE"""),257.0)</f>
        <v>257</v>
      </c>
      <c r="N430" s="262" t="str">
        <f>IFERROR(__xludf.DUMMYFUNCTION("""COMPUTED_VALUE"""),"")</f>
        <v/>
      </c>
      <c r="O430" s="259" t="str">
        <f>IFERROR(__xludf.DUMMYFUNCTION("""COMPUTED_VALUE"""),"")</f>
        <v/>
      </c>
      <c r="P430" s="259">
        <f>IFERROR(__xludf.DUMMYFUNCTION("""COMPUTED_VALUE"""),43125.0)</f>
        <v>43125</v>
      </c>
      <c r="Q430" s="258">
        <f>IFERROR(__xludf.DUMMYFUNCTION("""COMPUTED_VALUE"""),81000.0)</f>
        <v>81000</v>
      </c>
      <c r="R430" s="261">
        <f>IFERROR(__xludf.DUMMYFUNCTION("""COMPUTED_VALUE"""),380.0)</f>
        <v>380</v>
      </c>
      <c r="S430" s="258">
        <v>400.0</v>
      </c>
      <c r="T430" s="263">
        <v>0.95</v>
      </c>
      <c r="U430" s="264">
        <v>50331.0</v>
      </c>
      <c r="V430" s="265">
        <v>81000.0</v>
      </c>
      <c r="W430" s="264">
        <v>50331.0</v>
      </c>
      <c r="X430" s="266" t="str">
        <f>IFERROR(__xludf.DUMMYFUNCTION("""COMPUTED_VALUE"""),"Polly Wog")</f>
        <v>Polly Wog</v>
      </c>
      <c r="Y430" s="267">
        <v>-0.01</v>
      </c>
      <c r="Z430" s="267">
        <v>0.9511513895448231</v>
      </c>
      <c r="AA430" s="269"/>
      <c r="AB430" s="270"/>
      <c r="AC430" s="270"/>
      <c r="AD430" s="270"/>
      <c r="AE430" s="270"/>
    </row>
    <row r="431">
      <c r="A431" s="256">
        <f>IFERROR(__xludf.DUMMYFUNCTION("""COMPUTED_VALUE"""),43745.4220869676)</f>
        <v>43745.42209</v>
      </c>
      <c r="B431" s="257" t="str">
        <f>IFERROR(__xludf.DUMMYFUNCTION("""COMPUTED_VALUE"""),"frankvanhoesel")</f>
        <v>frankvanhoesel</v>
      </c>
      <c r="C431" s="258" t="str">
        <f>IFERROR(__xludf.DUMMYFUNCTION("""COMPUTED_VALUE"""),"Europe (excluding UK) &amp; Asia Pacific")</f>
        <v>Europe (excluding UK) &amp; Asia Pacific</v>
      </c>
      <c r="D431" s="258" t="str">
        <f>IFERROR(__xludf.DUMMYFUNCTION("""COMPUTED_VALUE"""),"km. My car displays range in kilometres and I will enter all range numbers in kilometres.")</f>
        <v>km. My car displays range in kilometres and I will enter all range numbers in kilometres.</v>
      </c>
      <c r="E431" s="259">
        <f>IFERROR(__xludf.DUMMYFUNCTION("""COMPUTED_VALUE"""),42643.0)</f>
        <v>42643</v>
      </c>
      <c r="F431" s="258" t="str">
        <f>IFERROR(__xludf.DUMMYFUNCTION("""COMPUTED_VALUE"""),"Model X 90D")</f>
        <v>Model X 90D</v>
      </c>
      <c r="G431" s="258" t="str">
        <f>IFERROR(__xludf.DUMMYFUNCTION("""COMPUTED_VALUE"""),"Monthly")</f>
        <v>Monthly</v>
      </c>
      <c r="H431" s="258" t="str">
        <f>IFERROR(__xludf.DUMMYFUNCTION("""COMPUTED_VALUE"""),"Once or twice a year")</f>
        <v>Once or twice a year</v>
      </c>
      <c r="I431" s="258" t="str">
        <f>IFERROR(__xludf.DUMMYFUNCTION("""COMPUTED_VALUE"""),"A few times a year")</f>
        <v>A few times a year</v>
      </c>
      <c r="J431" s="260">
        <f>IFERROR(__xludf.DUMMYFUNCTION("""COMPUTED_VALUE"""),0.9)</f>
        <v>0.9</v>
      </c>
      <c r="K431" s="258">
        <f>IFERROR(__xludf.DUMMYFUNCTION("""COMPUTED_VALUE"""),399.0)</f>
        <v>399</v>
      </c>
      <c r="L431" s="258">
        <f>IFERROR(__xludf.DUMMYFUNCTION("""COMPUTED_VALUE"""),250.0)</f>
        <v>250</v>
      </c>
      <c r="M431" s="261">
        <f>IFERROR(__xludf.DUMMYFUNCTION("""COMPUTED_VALUE"""),250.0)</f>
        <v>250</v>
      </c>
      <c r="N431" s="262" t="str">
        <f>IFERROR(__xludf.DUMMYFUNCTION("""COMPUTED_VALUE"""),"")</f>
        <v/>
      </c>
      <c r="O431" s="259" t="str">
        <f>IFERROR(__xludf.DUMMYFUNCTION("""COMPUTED_VALUE"""),"")</f>
        <v/>
      </c>
      <c r="P431" s="259">
        <f>IFERROR(__xludf.DUMMYFUNCTION("""COMPUTED_VALUE"""),43739.0)</f>
        <v>43739</v>
      </c>
      <c r="Q431" s="258">
        <f>IFERROR(__xludf.DUMMYFUNCTION("""COMPUTED_VALUE"""),180000.0)</f>
        <v>180000</v>
      </c>
      <c r="R431" s="261">
        <f>IFERROR(__xludf.DUMMYFUNCTION("""COMPUTED_VALUE"""),353.0)</f>
        <v>353</v>
      </c>
      <c r="S431" s="258">
        <v>400.0</v>
      </c>
      <c r="T431" s="263">
        <v>0.8825</v>
      </c>
      <c r="U431" s="264">
        <v>111847.0</v>
      </c>
      <c r="V431" s="265">
        <v>180000.0</v>
      </c>
      <c r="W431" s="264">
        <v>111847.0</v>
      </c>
      <c r="X431" s="266" t="str">
        <f>IFERROR(__xludf.DUMMYFUNCTION("""COMPUTED_VALUE"""),"pott pat")</f>
        <v>pott pat</v>
      </c>
      <c r="Y431" s="267">
        <v>-0.01</v>
      </c>
      <c r="Z431" s="267">
        <v>0.9280439020595289</v>
      </c>
      <c r="AA431" s="269"/>
      <c r="AB431" s="270"/>
      <c r="AC431" s="270"/>
      <c r="AD431" s="270"/>
      <c r="AE431" s="270"/>
    </row>
    <row r="432">
      <c r="A432" s="256">
        <f>IFERROR(__xludf.DUMMYFUNCTION("""COMPUTED_VALUE"""),42639.47916666667)</f>
        <v>42639.47917</v>
      </c>
      <c r="B432" s="257" t="str">
        <f>IFERROR(__xludf.DUMMYFUNCTION("""COMPUTED_VALUE"""),"fren")</f>
        <v>fren</v>
      </c>
      <c r="C432" s="258" t="str">
        <f>IFERROR(__xludf.DUMMYFUNCTION("""COMPUTED_VALUE"""),"Europe (excluding UK) &amp; Asia Pacific")</f>
        <v>Europe (excluding UK) &amp; Asia Pacific</v>
      </c>
      <c r="D432" s="258" t="str">
        <f>IFERROR(__xludf.DUMMYFUNCTION("""COMPUTED_VALUE"""),"km. My car displays range in kilometres and I will enter all range numbers in kilometres.")</f>
        <v>km. My car displays range in kilometres and I will enter all range numbers in kilometres.</v>
      </c>
      <c r="E432" s="259">
        <f>IFERROR(__xludf.DUMMYFUNCTION("""COMPUTED_VALUE"""),42547.0)</f>
        <v>42547</v>
      </c>
      <c r="F432" s="258" t="str">
        <f>IFERROR(__xludf.DUMMYFUNCTION("""COMPUTED_VALUE"""),"Model S 90D")</f>
        <v>Model S 90D</v>
      </c>
      <c r="G432" s="258" t="str">
        <f>IFERROR(__xludf.DUMMYFUNCTION("""COMPUTED_VALUE"""),"Weekly")</f>
        <v>Weekly</v>
      </c>
      <c r="H432" s="258" t="str">
        <f>IFERROR(__xludf.DUMMYFUNCTION("""COMPUTED_VALUE"""),"A few times a year")</f>
        <v>A few times a year</v>
      </c>
      <c r="I432" s="258" t="str">
        <f>IFERROR(__xludf.DUMMYFUNCTION("""COMPUTED_VALUE"""),"A few times a year")</f>
        <v>A few times a year</v>
      </c>
      <c r="J432" s="260" t="str">
        <f>IFERROR(__xludf.DUMMYFUNCTION("""COMPUTED_VALUE"""),"")</f>
        <v/>
      </c>
      <c r="K432" s="258">
        <f>IFERROR(__xludf.DUMMYFUNCTION("""COMPUTED_VALUE"""),457.0)</f>
        <v>457</v>
      </c>
      <c r="L432" s="258" t="str">
        <f>IFERROR(__xludf.DUMMYFUNCTION("""COMPUTED_VALUE"""),"")</f>
        <v/>
      </c>
      <c r="M432" s="261">
        <f>IFERROR(__xludf.DUMMYFUNCTION("""COMPUTED_VALUE"""),220.0)</f>
        <v>220</v>
      </c>
      <c r="N432" s="262" t="str">
        <f>IFERROR(__xludf.DUMMYFUNCTION("""COMPUTED_VALUE"""),"")</f>
        <v/>
      </c>
      <c r="O432" s="259" t="str">
        <f>IFERROR(__xludf.DUMMYFUNCTION("""COMPUTED_VALUE"""),"")</f>
        <v/>
      </c>
      <c r="P432" s="259">
        <f>IFERROR(__xludf.DUMMYFUNCTION("""COMPUTED_VALUE"""),42639.0)</f>
        <v>42639</v>
      </c>
      <c r="Q432" s="258">
        <f>IFERROR(__xludf.DUMMYFUNCTION("""COMPUTED_VALUE"""),8000.0)</f>
        <v>8000</v>
      </c>
      <c r="R432" s="261">
        <f>IFERROR(__xludf.DUMMYFUNCTION("""COMPUTED_VALUE"""),444.0)</f>
        <v>444</v>
      </c>
      <c r="S432" s="258">
        <v>447.0</v>
      </c>
      <c r="T432" s="263">
        <v>0.9932885906040269</v>
      </c>
      <c r="U432" s="264">
        <v>4971.0</v>
      </c>
      <c r="V432" s="265">
        <v>8000.0</v>
      </c>
      <c r="W432" s="264">
        <v>4971.0</v>
      </c>
      <c r="X432" s="266" t="str">
        <f>IFERROR(__xludf.DUMMYFUNCTION("""COMPUTED_VALUE"""),"Prc")</f>
        <v>Prc</v>
      </c>
      <c r="Y432" s="267">
        <v>-0.01</v>
      </c>
      <c r="Z432" s="267">
        <v>0.9868328459645701</v>
      </c>
      <c r="AA432" s="269"/>
      <c r="AB432" s="270"/>
      <c r="AC432" s="270"/>
      <c r="AD432" s="270"/>
      <c r="AE432" s="270"/>
    </row>
    <row r="433">
      <c r="A433" s="256">
        <f>IFERROR(__xludf.DUMMYFUNCTION("""COMPUTED_VALUE"""),42734.47986111111)</f>
        <v>42734.47986</v>
      </c>
      <c r="B433" s="257" t="str">
        <f>IFERROR(__xludf.DUMMYFUNCTION("""COMPUTED_VALUE"""),"fren")</f>
        <v>fren</v>
      </c>
      <c r="C433" s="258" t="str">
        <f>IFERROR(__xludf.DUMMYFUNCTION("""COMPUTED_VALUE"""),"Europe (excluding UK) &amp; Asia Pacific")</f>
        <v>Europe (excluding UK) &amp; Asia Pacific</v>
      </c>
      <c r="D433" s="258" t="str">
        <f>IFERROR(__xludf.DUMMYFUNCTION("""COMPUTED_VALUE"""),"km. My car displays range in kilometres and I will enter all range numbers in kilometres.")</f>
        <v>km. My car displays range in kilometres and I will enter all range numbers in kilometres.</v>
      </c>
      <c r="E433" s="259">
        <f>IFERROR(__xludf.DUMMYFUNCTION("""COMPUTED_VALUE"""),42547.0)</f>
        <v>42547</v>
      </c>
      <c r="F433" s="258" t="str">
        <f>IFERROR(__xludf.DUMMYFUNCTION("""COMPUTED_VALUE"""),"Model S 90D")</f>
        <v>Model S 90D</v>
      </c>
      <c r="G433" s="258" t="str">
        <f>IFERROR(__xludf.DUMMYFUNCTION("""COMPUTED_VALUE"""),"Weekly")</f>
        <v>Weekly</v>
      </c>
      <c r="H433" s="258" t="str">
        <f>IFERROR(__xludf.DUMMYFUNCTION("""COMPUTED_VALUE"""),"A few times a year")</f>
        <v>A few times a year</v>
      </c>
      <c r="I433" s="258" t="str">
        <f>IFERROR(__xludf.DUMMYFUNCTION("""COMPUTED_VALUE"""),"A few times a year")</f>
        <v>A few times a year</v>
      </c>
      <c r="J433" s="260" t="str">
        <f>IFERROR(__xludf.DUMMYFUNCTION("""COMPUTED_VALUE"""),"")</f>
        <v/>
      </c>
      <c r="K433" s="258">
        <f>IFERROR(__xludf.DUMMYFUNCTION("""COMPUTED_VALUE"""),457.0)</f>
        <v>457</v>
      </c>
      <c r="L433" s="258" t="str">
        <f>IFERROR(__xludf.DUMMYFUNCTION("""COMPUTED_VALUE"""),"")</f>
        <v/>
      </c>
      <c r="M433" s="261">
        <f>IFERROR(__xludf.DUMMYFUNCTION("""COMPUTED_VALUE"""),220.0)</f>
        <v>220</v>
      </c>
      <c r="N433" s="262" t="str">
        <f>IFERROR(__xludf.DUMMYFUNCTION("""COMPUTED_VALUE"""),"")</f>
        <v/>
      </c>
      <c r="O433" s="259" t="str">
        <f>IFERROR(__xludf.DUMMYFUNCTION("""COMPUTED_VALUE"""),"")</f>
        <v/>
      </c>
      <c r="P433" s="259">
        <f>IFERROR(__xludf.DUMMYFUNCTION("""COMPUTED_VALUE"""),42734.0)</f>
        <v>42734</v>
      </c>
      <c r="Q433" s="258">
        <f>IFERROR(__xludf.DUMMYFUNCTION("""COMPUTED_VALUE"""),13500.0)</f>
        <v>13500</v>
      </c>
      <c r="R433" s="261">
        <f>IFERROR(__xludf.DUMMYFUNCTION("""COMPUTED_VALUE"""),436.0)</f>
        <v>436</v>
      </c>
      <c r="S433" s="258">
        <v>447.0</v>
      </c>
      <c r="T433" s="263">
        <v>0.9753914988814317</v>
      </c>
      <c r="U433" s="264">
        <v>8389.0</v>
      </c>
      <c r="V433" s="265">
        <v>13500.0</v>
      </c>
      <c r="W433" s="264">
        <v>8389.0</v>
      </c>
      <c r="X433" s="266" t="str">
        <f>IFERROR(__xludf.DUMMYFUNCTION("""COMPUTED_VALUE"""),"ptindle")</f>
        <v>ptindle</v>
      </c>
      <c r="Y433" s="267">
        <v>-0.01</v>
      </c>
      <c r="Z433" s="267">
        <v>0.9803318896515594</v>
      </c>
      <c r="AA433" s="269"/>
      <c r="AB433" s="270"/>
      <c r="AC433" s="270"/>
      <c r="AD433" s="270"/>
      <c r="AE433" s="270"/>
    </row>
    <row r="434">
      <c r="A434" s="256">
        <f>IFERROR(__xludf.DUMMYFUNCTION("""COMPUTED_VALUE"""),42771.49722222222)</f>
        <v>42771.49722</v>
      </c>
      <c r="B434" s="257" t="str">
        <f>IFERROR(__xludf.DUMMYFUNCTION("""COMPUTED_VALUE"""),"fren")</f>
        <v>fren</v>
      </c>
      <c r="C434" s="258" t="str">
        <f>IFERROR(__xludf.DUMMYFUNCTION("""COMPUTED_VALUE"""),"Europe (excluding UK) &amp; Asia Pacific")</f>
        <v>Europe (excluding UK) &amp; Asia Pacific</v>
      </c>
      <c r="D434" s="258" t="str">
        <f>IFERROR(__xludf.DUMMYFUNCTION("""COMPUTED_VALUE"""),"km. My car displays range in kilometres and I will enter all range numbers in kilometres.")</f>
        <v>km. My car displays range in kilometres and I will enter all range numbers in kilometres.</v>
      </c>
      <c r="E434" s="259">
        <f>IFERROR(__xludf.DUMMYFUNCTION("""COMPUTED_VALUE"""),42547.0)</f>
        <v>42547</v>
      </c>
      <c r="F434" s="258" t="str">
        <f>IFERROR(__xludf.DUMMYFUNCTION("""COMPUTED_VALUE"""),"Model S 90D")</f>
        <v>Model S 90D</v>
      </c>
      <c r="G434" s="258" t="str">
        <f>IFERROR(__xludf.DUMMYFUNCTION("""COMPUTED_VALUE"""),"Weekly")</f>
        <v>Weekly</v>
      </c>
      <c r="H434" s="258" t="str">
        <f>IFERROR(__xludf.DUMMYFUNCTION("""COMPUTED_VALUE"""),"A few times a year")</f>
        <v>A few times a year</v>
      </c>
      <c r="I434" s="258" t="str">
        <f>IFERROR(__xludf.DUMMYFUNCTION("""COMPUTED_VALUE"""),"Monthly")</f>
        <v>Monthly</v>
      </c>
      <c r="J434" s="260">
        <f>IFERROR(__xludf.DUMMYFUNCTION("""COMPUTED_VALUE"""),0.9)</f>
        <v>0.9</v>
      </c>
      <c r="K434" s="258">
        <f>IFERROR(__xludf.DUMMYFUNCTION("""COMPUTED_VALUE"""),457.0)</f>
        <v>457</v>
      </c>
      <c r="L434" s="258" t="str">
        <f>IFERROR(__xludf.DUMMYFUNCTION("""COMPUTED_VALUE"""),"")</f>
        <v/>
      </c>
      <c r="M434" s="261">
        <f>IFERROR(__xludf.DUMMYFUNCTION("""COMPUTED_VALUE"""),240.0)</f>
        <v>240</v>
      </c>
      <c r="N434" s="262" t="str">
        <f>IFERROR(__xludf.DUMMYFUNCTION("""COMPUTED_VALUE"""),"")</f>
        <v/>
      </c>
      <c r="O434" s="259" t="str">
        <f>IFERROR(__xludf.DUMMYFUNCTION("""COMPUTED_VALUE"""),"")</f>
        <v/>
      </c>
      <c r="P434" s="259">
        <f>IFERROR(__xludf.DUMMYFUNCTION("""COMPUTED_VALUE"""),42771.0)</f>
        <v>42771</v>
      </c>
      <c r="Q434" s="258">
        <f>IFERROR(__xludf.DUMMYFUNCTION("""COMPUTED_VALUE"""),15000.0)</f>
        <v>15000</v>
      </c>
      <c r="R434" s="261">
        <f>IFERROR(__xludf.DUMMYFUNCTION("""COMPUTED_VALUE"""),433.0)</f>
        <v>433</v>
      </c>
      <c r="S434" s="258">
        <v>447.0</v>
      </c>
      <c r="T434" s="263">
        <v>0.9686800894854586</v>
      </c>
      <c r="U434" s="264">
        <v>9321.0</v>
      </c>
      <c r="V434" s="265">
        <v>15000.0</v>
      </c>
      <c r="W434" s="264">
        <v>9321.0</v>
      </c>
      <c r="X434" s="266" t="str">
        <f>IFERROR(__xludf.DUMMYFUNCTION("""COMPUTED_VALUE"""),"pvandamcom")</f>
        <v>pvandamcom</v>
      </c>
      <c r="Y434" s="267">
        <v>-0.01</v>
      </c>
      <c r="Z434" s="267">
        <v>0.978826222662165</v>
      </c>
      <c r="AA434" s="269"/>
      <c r="AB434" s="270"/>
      <c r="AC434" s="270"/>
      <c r="AD434" s="270"/>
      <c r="AE434" s="270"/>
    </row>
    <row r="435">
      <c r="A435" s="256">
        <f>IFERROR(__xludf.DUMMYFUNCTION("""COMPUTED_VALUE"""),43004.6125)</f>
        <v>43004.6125</v>
      </c>
      <c r="B435" s="257" t="str">
        <f>IFERROR(__xludf.DUMMYFUNCTION("""COMPUTED_VALUE"""),"fren")</f>
        <v>fren</v>
      </c>
      <c r="C435" s="258" t="str">
        <f>IFERROR(__xludf.DUMMYFUNCTION("""COMPUTED_VALUE"""),"Europe (excluding UK) &amp; Asia Pacific")</f>
        <v>Europe (excluding UK) &amp; Asia Pacific</v>
      </c>
      <c r="D435" s="258" t="str">
        <f>IFERROR(__xludf.DUMMYFUNCTION("""COMPUTED_VALUE"""),"km. My car displays range in kilometres and I will enter all range numbers in kilometres.")</f>
        <v>km. My car displays range in kilometres and I will enter all range numbers in kilometres.</v>
      </c>
      <c r="E435" s="259">
        <f>IFERROR(__xludf.DUMMYFUNCTION("""COMPUTED_VALUE"""),42547.0)</f>
        <v>42547</v>
      </c>
      <c r="F435" s="258" t="str">
        <f>IFERROR(__xludf.DUMMYFUNCTION("""COMPUTED_VALUE"""),"Model S 90D")</f>
        <v>Model S 90D</v>
      </c>
      <c r="G435" s="258" t="str">
        <f>IFERROR(__xludf.DUMMYFUNCTION("""COMPUTED_VALUE"""),"Twice a month")</f>
        <v>Twice a month</v>
      </c>
      <c r="H435" s="258" t="str">
        <f>IFERROR(__xludf.DUMMYFUNCTION("""COMPUTED_VALUE"""),"Monthly")</f>
        <v>Monthly</v>
      </c>
      <c r="I435" s="258" t="str">
        <f>IFERROR(__xludf.DUMMYFUNCTION("""COMPUTED_VALUE"""),"A few times a year")</f>
        <v>A few times a year</v>
      </c>
      <c r="J435" s="260">
        <f>IFERROR(__xludf.DUMMYFUNCTION("""COMPUTED_VALUE"""),0.8)</f>
        <v>0.8</v>
      </c>
      <c r="K435" s="258">
        <f>IFERROR(__xludf.DUMMYFUNCTION("""COMPUTED_VALUE"""),457.0)</f>
        <v>457</v>
      </c>
      <c r="L435" s="258" t="str">
        <f>IFERROR(__xludf.DUMMYFUNCTION("""COMPUTED_VALUE"""),"")</f>
        <v/>
      </c>
      <c r="M435" s="261">
        <f>IFERROR(__xludf.DUMMYFUNCTION("""COMPUTED_VALUE"""),204.0)</f>
        <v>204</v>
      </c>
      <c r="N435" s="262" t="str">
        <f>IFERROR(__xludf.DUMMYFUNCTION("""COMPUTED_VALUE"""),"")</f>
        <v/>
      </c>
      <c r="O435" s="259" t="str">
        <f>IFERROR(__xludf.DUMMYFUNCTION("""COMPUTED_VALUE"""),"")</f>
        <v/>
      </c>
      <c r="P435" s="259">
        <f>IFERROR(__xludf.DUMMYFUNCTION("""COMPUTED_VALUE"""),43004.0)</f>
        <v>43004</v>
      </c>
      <c r="Q435" s="258">
        <f>IFERROR(__xludf.DUMMYFUNCTION("""COMPUTED_VALUE"""),37500.0)</f>
        <v>37500</v>
      </c>
      <c r="R435" s="261">
        <f>IFERROR(__xludf.DUMMYFUNCTION("""COMPUTED_VALUE"""),427.0)</f>
        <v>427</v>
      </c>
      <c r="S435" s="258">
        <v>447.0</v>
      </c>
      <c r="T435" s="263">
        <v>0.9552572706935123</v>
      </c>
      <c r="U435" s="264">
        <v>23301.0</v>
      </c>
      <c r="V435" s="265">
        <v>37500.0</v>
      </c>
      <c r="W435" s="264">
        <v>23301.0</v>
      </c>
      <c r="X435" s="266" t="str">
        <f>IFERROR(__xludf.DUMMYFUNCTION("""COMPUTED_VALUE"""),"pvh")</f>
        <v>pvh</v>
      </c>
      <c r="Y435" s="267">
        <v>-0.01</v>
      </c>
      <c r="Z435" s="267">
        <v>0.9643504742854193</v>
      </c>
      <c r="AA435" s="269"/>
      <c r="AB435" s="270"/>
      <c r="AC435" s="270"/>
      <c r="AD435" s="270"/>
      <c r="AE435" s="270"/>
    </row>
    <row r="436">
      <c r="A436" s="256">
        <f>IFERROR(__xludf.DUMMYFUNCTION("""COMPUTED_VALUE"""),43081.64583333333)</f>
        <v>43081.64583</v>
      </c>
      <c r="B436" s="257" t="str">
        <f>IFERROR(__xludf.DUMMYFUNCTION("""COMPUTED_VALUE"""),"fren")</f>
        <v>fren</v>
      </c>
      <c r="C436" s="258" t="str">
        <f>IFERROR(__xludf.DUMMYFUNCTION("""COMPUTED_VALUE"""),"Europe (excluding UK) &amp; Asia Pacific")</f>
        <v>Europe (excluding UK) &amp; Asia Pacific</v>
      </c>
      <c r="D436" s="258" t="str">
        <f>IFERROR(__xludf.DUMMYFUNCTION("""COMPUTED_VALUE"""),"km. My car displays range in kilometres and I will enter all range numbers in kilometres.")</f>
        <v>km. My car displays range in kilometres and I will enter all range numbers in kilometres.</v>
      </c>
      <c r="E436" s="259">
        <f>IFERROR(__xludf.DUMMYFUNCTION("""COMPUTED_VALUE"""),42547.0)</f>
        <v>42547</v>
      </c>
      <c r="F436" s="258" t="str">
        <f>IFERROR(__xludf.DUMMYFUNCTION("""COMPUTED_VALUE"""),"Model S 90D")</f>
        <v>Model S 90D</v>
      </c>
      <c r="G436" s="258" t="str">
        <f>IFERROR(__xludf.DUMMYFUNCTION("""COMPUTED_VALUE"""),"Monthly")</f>
        <v>Monthly</v>
      </c>
      <c r="H436" s="258" t="str">
        <f>IFERROR(__xludf.DUMMYFUNCTION("""COMPUTED_VALUE"""),"A few times a year")</f>
        <v>A few times a year</v>
      </c>
      <c r="I436" s="258" t="str">
        <f>IFERROR(__xludf.DUMMYFUNCTION("""COMPUTED_VALUE"""),"A few times a year")</f>
        <v>A few times a year</v>
      </c>
      <c r="J436" s="260">
        <f>IFERROR(__xludf.DUMMYFUNCTION("""COMPUTED_VALUE"""),0.9)</f>
        <v>0.9</v>
      </c>
      <c r="K436" s="258">
        <f>IFERROR(__xludf.DUMMYFUNCTION("""COMPUTED_VALUE"""),457.0)</f>
        <v>457</v>
      </c>
      <c r="L436" s="258" t="str">
        <f>IFERROR(__xludf.DUMMYFUNCTION("""COMPUTED_VALUE"""),"")</f>
        <v/>
      </c>
      <c r="M436" s="261">
        <f>IFERROR(__xludf.DUMMYFUNCTION("""COMPUTED_VALUE"""),224.0)</f>
        <v>224</v>
      </c>
      <c r="N436" s="262" t="str">
        <f>IFERROR(__xludf.DUMMYFUNCTION("""COMPUTED_VALUE"""),"")</f>
        <v/>
      </c>
      <c r="O436" s="259" t="str">
        <f>IFERROR(__xludf.DUMMYFUNCTION("""COMPUTED_VALUE"""),"")</f>
        <v/>
      </c>
      <c r="P436" s="259">
        <f>IFERROR(__xludf.DUMMYFUNCTION("""COMPUTED_VALUE"""),43081.0)</f>
        <v>43081</v>
      </c>
      <c r="Q436" s="258">
        <f>IFERROR(__xludf.DUMMYFUNCTION("""COMPUTED_VALUE"""),46000.0)</f>
        <v>46000</v>
      </c>
      <c r="R436" s="261">
        <f>IFERROR(__xludf.DUMMYFUNCTION("""COMPUTED_VALUE"""),422.0)</f>
        <v>422</v>
      </c>
      <c r="S436" s="258">
        <v>447.0</v>
      </c>
      <c r="T436" s="263">
        <v>0.9440715883668904</v>
      </c>
      <c r="U436" s="264">
        <v>28583.0</v>
      </c>
      <c r="V436" s="265">
        <v>46000.0</v>
      </c>
      <c r="W436" s="264">
        <v>28583.0</v>
      </c>
      <c r="X436" s="266" t="str">
        <f>IFERROR(__xludf.DUMMYFUNCTION("""COMPUTED_VALUE"""),"pvkeep")</f>
        <v>pvkeep</v>
      </c>
      <c r="Y436" s="267">
        <v>-0.01</v>
      </c>
      <c r="Z436" s="267">
        <v>0.961048512128177</v>
      </c>
      <c r="AA436" s="269"/>
      <c r="AB436" s="270"/>
      <c r="AC436" s="270"/>
      <c r="AD436" s="270"/>
      <c r="AE436" s="270"/>
    </row>
    <row r="437">
      <c r="A437" s="256">
        <f>IFERROR(__xludf.DUMMYFUNCTION("""COMPUTED_VALUE"""),43192.71527777778)</f>
        <v>43192.71528</v>
      </c>
      <c r="B437" s="257" t="str">
        <f>IFERROR(__xludf.DUMMYFUNCTION("""COMPUTED_VALUE"""),"fren")</f>
        <v>fren</v>
      </c>
      <c r="C437" s="258" t="str">
        <f>IFERROR(__xludf.DUMMYFUNCTION("""COMPUTED_VALUE"""),"Europe (excluding UK) &amp; Asia Pacific")</f>
        <v>Europe (excluding UK) &amp; Asia Pacific</v>
      </c>
      <c r="D437" s="258" t="str">
        <f>IFERROR(__xludf.DUMMYFUNCTION("""COMPUTED_VALUE"""),"km. My car displays range in kilometres and I will enter all range numbers in kilometres.")</f>
        <v>km. My car displays range in kilometres and I will enter all range numbers in kilometres.</v>
      </c>
      <c r="E437" s="259">
        <f>IFERROR(__xludf.DUMMYFUNCTION("""COMPUTED_VALUE"""),42547.0)</f>
        <v>42547</v>
      </c>
      <c r="F437" s="258" t="str">
        <f>IFERROR(__xludf.DUMMYFUNCTION("""COMPUTED_VALUE"""),"Model S 90D")</f>
        <v>Model S 90D</v>
      </c>
      <c r="G437" s="258" t="str">
        <f>IFERROR(__xludf.DUMMYFUNCTION("""COMPUTED_VALUE"""),"Twice a month")</f>
        <v>Twice a month</v>
      </c>
      <c r="H437" s="258" t="str">
        <f>IFERROR(__xludf.DUMMYFUNCTION("""COMPUTED_VALUE"""),"A few times a year")</f>
        <v>A few times a year</v>
      </c>
      <c r="I437" s="258" t="str">
        <f>IFERROR(__xludf.DUMMYFUNCTION("""COMPUTED_VALUE"""),"Once or twice a year")</f>
        <v>Once or twice a year</v>
      </c>
      <c r="J437" s="260">
        <f>IFERROR(__xludf.DUMMYFUNCTION("""COMPUTED_VALUE"""),0.8)</f>
        <v>0.8</v>
      </c>
      <c r="K437" s="258">
        <f>IFERROR(__xludf.DUMMYFUNCTION("""COMPUTED_VALUE"""),457.0)</f>
        <v>457</v>
      </c>
      <c r="L437" s="258" t="str">
        <f>IFERROR(__xludf.DUMMYFUNCTION("""COMPUTED_VALUE"""),"")</f>
        <v/>
      </c>
      <c r="M437" s="261">
        <f>IFERROR(__xludf.DUMMYFUNCTION("""COMPUTED_VALUE"""),220.0)</f>
        <v>220</v>
      </c>
      <c r="N437" s="262" t="str">
        <f>IFERROR(__xludf.DUMMYFUNCTION("""COMPUTED_VALUE"""),"")</f>
        <v/>
      </c>
      <c r="O437" s="259" t="str">
        <f>IFERROR(__xludf.DUMMYFUNCTION("""COMPUTED_VALUE"""),"")</f>
        <v/>
      </c>
      <c r="P437" s="259">
        <f>IFERROR(__xludf.DUMMYFUNCTION("""COMPUTED_VALUE"""),43192.0)</f>
        <v>43192</v>
      </c>
      <c r="Q437" s="258">
        <f>IFERROR(__xludf.DUMMYFUNCTION("""COMPUTED_VALUE"""),50000.0)</f>
        <v>50000</v>
      </c>
      <c r="R437" s="261">
        <f>IFERROR(__xludf.DUMMYFUNCTION("""COMPUTED_VALUE"""),420.0)</f>
        <v>420</v>
      </c>
      <c r="S437" s="258">
        <v>447.0</v>
      </c>
      <c r="T437" s="263">
        <v>0.9395973154362416</v>
      </c>
      <c r="U437" s="264">
        <v>31069.0</v>
      </c>
      <c r="V437" s="265">
        <v>50000.0</v>
      </c>
      <c r="W437" s="264">
        <v>31069.0</v>
      </c>
      <c r="X437" s="266" t="str">
        <f>IFERROR(__xludf.DUMMYFUNCTION("""COMPUTED_VALUE"""),"PW01")</f>
        <v>PW01</v>
      </c>
      <c r="Y437" s="267">
        <v>-0.01</v>
      </c>
      <c r="Z437" s="267">
        <v>0.9596904352621635</v>
      </c>
      <c r="AA437" s="269"/>
      <c r="AB437" s="270"/>
      <c r="AC437" s="270"/>
      <c r="AD437" s="270"/>
      <c r="AE437" s="270"/>
    </row>
    <row r="438">
      <c r="A438" s="256">
        <f>IFERROR(__xludf.DUMMYFUNCTION("""COMPUTED_VALUE"""),43875.90159262731)</f>
        <v>43875.90159</v>
      </c>
      <c r="B438" s="257" t="str">
        <f>IFERROR(__xludf.DUMMYFUNCTION("""COMPUTED_VALUE"""),"Frodo_ax")</f>
        <v>Frodo_ax</v>
      </c>
      <c r="C438" s="258" t="str">
        <f>IFERROR(__xludf.DUMMYFUNCTION("""COMPUTED_VALUE"""),"USA")</f>
        <v>USA</v>
      </c>
      <c r="D438" s="258" t="str">
        <f>IFERROR(__xludf.DUMMYFUNCTION("""COMPUTED_VALUE"""),"mi. My car displays range in miles and I will enter all range numbers in miles.")</f>
        <v>mi. My car displays range in miles and I will enter all range numbers in miles.</v>
      </c>
      <c r="E438" s="259">
        <f>IFERROR(__xludf.DUMMYFUNCTION("""COMPUTED_VALUE"""),43405.0)</f>
        <v>43405</v>
      </c>
      <c r="F438" s="258" t="str">
        <f>IFERROR(__xludf.DUMMYFUNCTION("""COMPUTED_VALUE"""),"Model 3 P")</f>
        <v>Model 3 P</v>
      </c>
      <c r="G438" s="258" t="str">
        <f>IFERROR(__xludf.DUMMYFUNCTION("""COMPUTED_VALUE"""),"A few times a year")</f>
        <v>A few times a year</v>
      </c>
      <c r="H438" s="258" t="str">
        <f>IFERROR(__xludf.DUMMYFUNCTION("""COMPUTED_VALUE"""),"A few times a year")</f>
        <v>A few times a year</v>
      </c>
      <c r="I438" s="258" t="str">
        <f>IFERROR(__xludf.DUMMYFUNCTION("""COMPUTED_VALUE"""),"A few times a year")</f>
        <v>A few times a year</v>
      </c>
      <c r="J438" s="260">
        <f>IFERROR(__xludf.DUMMYFUNCTION("""COMPUTED_VALUE"""),0.8)</f>
        <v>0.8</v>
      </c>
      <c r="K438" s="258">
        <f>IFERROR(__xludf.DUMMYFUNCTION("""COMPUTED_VALUE"""),308.0)</f>
        <v>308</v>
      </c>
      <c r="L438" s="258">
        <f>IFERROR(__xludf.DUMMYFUNCTION("""COMPUTED_VALUE"""),250.0)</f>
        <v>250</v>
      </c>
      <c r="M438" s="261">
        <f>IFERROR(__xludf.DUMMYFUNCTION("""COMPUTED_VALUE"""),310.0)</f>
        <v>310</v>
      </c>
      <c r="N438" s="262" t="str">
        <f>IFERROR(__xludf.DUMMYFUNCTION("""COMPUTED_VALUE"""),"")</f>
        <v/>
      </c>
      <c r="O438" s="259" t="str">
        <f>IFERROR(__xludf.DUMMYFUNCTION("""COMPUTED_VALUE"""),"")</f>
        <v/>
      </c>
      <c r="P438" s="259">
        <f>IFERROR(__xludf.DUMMYFUNCTION("""COMPUTED_VALUE"""),43850.0)</f>
        <v>43850</v>
      </c>
      <c r="Q438" s="258">
        <f>IFERROR(__xludf.DUMMYFUNCTION("""COMPUTED_VALUE"""),19000.0)</f>
        <v>19000</v>
      </c>
      <c r="R438" s="261">
        <f>IFERROR(__xludf.DUMMYFUNCTION("""COMPUTED_VALUE"""),295.0)</f>
        <v>295</v>
      </c>
      <c r="S438" s="258">
        <v>310.0</v>
      </c>
      <c r="T438" s="263">
        <v>0.9516129032258065</v>
      </c>
      <c r="U438" s="264">
        <v>19000.0</v>
      </c>
      <c r="V438" s="265">
        <v>30578.0</v>
      </c>
      <c r="W438" s="264">
        <v>19000.0</v>
      </c>
      <c r="X438" s="266" t="str">
        <f>IFERROR(__xludf.DUMMYFUNCTION("""COMPUTED_VALUE"""),"QueenieEye")</f>
        <v>QueenieEye</v>
      </c>
      <c r="Y438" s="267">
        <v>-0.01</v>
      </c>
      <c r="Z438" s="267">
        <v>0.9676515559055207</v>
      </c>
      <c r="AA438" s="269"/>
      <c r="AB438" s="270"/>
      <c r="AC438" s="270"/>
      <c r="AD438" s="270"/>
      <c r="AE438" s="270"/>
    </row>
    <row r="439">
      <c r="A439" s="256">
        <f>IFERROR(__xludf.DUMMYFUNCTION("""COMPUTED_VALUE"""),42256.90763888889)</f>
        <v>42256.90764</v>
      </c>
      <c r="B439" s="257" t="str">
        <f>IFERROR(__xludf.DUMMYFUNCTION("""COMPUTED_VALUE"""),"fsch")</f>
        <v>fsch</v>
      </c>
      <c r="C439" s="258" t="str">
        <f>IFERROR(__xludf.DUMMYFUNCTION("""COMPUTED_VALUE"""),"Canada")</f>
        <v>Canada</v>
      </c>
      <c r="D439" s="258" t="str">
        <f>IFERROR(__xludf.DUMMYFUNCTION("""COMPUTED_VALUE"""),"km. My car displays range in kilometres and I will enter all range numbers in kilometres.")</f>
        <v>km. My car displays range in kilometres and I will enter all range numbers in kilometres.</v>
      </c>
      <c r="E439" s="259">
        <f>IFERROR(__xludf.DUMMYFUNCTION("""COMPUTED_VALUE"""),41348.0)</f>
        <v>41348</v>
      </c>
      <c r="F439" s="258" t="str">
        <f>IFERROR(__xludf.DUMMYFUNCTION("""COMPUTED_VALUE"""),"Model S 85")</f>
        <v>Model S 85</v>
      </c>
      <c r="G439" s="258" t="str">
        <f>IFERROR(__xludf.DUMMYFUNCTION("""COMPUTED_VALUE"""),"Weekly")</f>
        <v>Weekly</v>
      </c>
      <c r="H439" s="258" t="str">
        <f>IFERROR(__xludf.DUMMYFUNCTION("""COMPUTED_VALUE"""),"")</f>
        <v/>
      </c>
      <c r="I439" s="258" t="str">
        <f>IFERROR(__xludf.DUMMYFUNCTION("""COMPUTED_VALUE"""),"")</f>
        <v/>
      </c>
      <c r="J439" s="260" t="str">
        <f>IFERROR(__xludf.DUMMYFUNCTION("""COMPUTED_VALUE"""),"")</f>
        <v/>
      </c>
      <c r="K439" s="258" t="str">
        <f>IFERROR(__xludf.DUMMYFUNCTION("""COMPUTED_VALUE"""),"")</f>
        <v/>
      </c>
      <c r="L439" s="258" t="str">
        <f>IFERROR(__xludf.DUMMYFUNCTION("""COMPUTED_VALUE"""),"")</f>
        <v/>
      </c>
      <c r="M439" s="261">
        <f>IFERROR(__xludf.DUMMYFUNCTION("""COMPUTED_VALUE"""),227.0)</f>
        <v>227</v>
      </c>
      <c r="N439" s="262" t="str">
        <f>IFERROR(__xludf.DUMMYFUNCTION("""COMPUTED_VALUE"""),"")</f>
        <v/>
      </c>
      <c r="O439" s="259" t="str">
        <f>IFERROR(__xludf.DUMMYFUNCTION("""COMPUTED_VALUE"""),"")</f>
        <v/>
      </c>
      <c r="P439" s="259">
        <f>IFERROR(__xludf.DUMMYFUNCTION("""COMPUTED_VALUE"""),42256.0)</f>
        <v>42256</v>
      </c>
      <c r="Q439" s="258">
        <f>IFERROR(__xludf.DUMMYFUNCTION("""COMPUTED_VALUE"""),100000.0)</f>
        <v>100000</v>
      </c>
      <c r="R439" s="261">
        <f>IFERROR(__xludf.DUMMYFUNCTION("""COMPUTED_VALUE"""),406.0)</f>
        <v>406</v>
      </c>
      <c r="S439" s="258">
        <v>428.0</v>
      </c>
      <c r="T439" s="263">
        <v>0.9485981308411215</v>
      </c>
      <c r="U439" s="264">
        <v>62137.0</v>
      </c>
      <c r="V439" s="265">
        <v>100000.0</v>
      </c>
      <c r="W439" s="264">
        <v>62137.0</v>
      </c>
      <c r="X439" s="266" t="str">
        <f>IFERROR(__xludf.DUMMYFUNCTION("""COMPUTED_VALUE"""),"Quenbo")</f>
        <v>Quenbo</v>
      </c>
      <c r="Y439" s="267">
        <v>-0.01</v>
      </c>
      <c r="Z439" s="267">
        <v>0.9465856783080869</v>
      </c>
      <c r="AA439" s="269"/>
      <c r="AB439" s="270"/>
      <c r="AC439" s="270"/>
      <c r="AD439" s="270"/>
      <c r="AE439" s="270"/>
    </row>
    <row r="440">
      <c r="A440" s="256">
        <f>IFERROR(__xludf.DUMMYFUNCTION("""COMPUTED_VALUE"""),42370.90833333333)</f>
        <v>42370.90833</v>
      </c>
      <c r="B440" s="257" t="str">
        <f>IFERROR(__xludf.DUMMYFUNCTION("""COMPUTED_VALUE"""),"fsch")</f>
        <v>fsch</v>
      </c>
      <c r="C440" s="258" t="str">
        <f>IFERROR(__xludf.DUMMYFUNCTION("""COMPUTED_VALUE"""),"Canada")</f>
        <v>Canada</v>
      </c>
      <c r="D440" s="258" t="str">
        <f>IFERROR(__xludf.DUMMYFUNCTION("""COMPUTED_VALUE"""),"km. My car displays range in kilometres and I will enter all range numbers in kilometres.")</f>
        <v>km. My car displays range in kilometres and I will enter all range numbers in kilometres.</v>
      </c>
      <c r="E440" s="259">
        <f>IFERROR(__xludf.DUMMYFUNCTION("""COMPUTED_VALUE"""),41348.0)</f>
        <v>41348</v>
      </c>
      <c r="F440" s="258" t="str">
        <f>IFERROR(__xludf.DUMMYFUNCTION("""COMPUTED_VALUE"""),"Model S 85")</f>
        <v>Model S 85</v>
      </c>
      <c r="G440" s="258" t="str">
        <f>IFERROR(__xludf.DUMMYFUNCTION("""COMPUTED_VALUE"""),"Once or twice a year")</f>
        <v>Once or twice a year</v>
      </c>
      <c r="H440" s="258" t="str">
        <f>IFERROR(__xludf.DUMMYFUNCTION("""COMPUTED_VALUE"""),"A few times a year")</f>
        <v>A few times a year</v>
      </c>
      <c r="I440" s="258" t="str">
        <f>IFERROR(__xludf.DUMMYFUNCTION("""COMPUTED_VALUE"""),"A few times a year")</f>
        <v>A few times a year</v>
      </c>
      <c r="J440" s="260">
        <f>IFERROR(__xludf.DUMMYFUNCTION("""COMPUTED_VALUE"""),0.9)</f>
        <v>0.9</v>
      </c>
      <c r="K440" s="258" t="str">
        <f>IFERROR(__xludf.DUMMYFUNCTION("""COMPUTED_VALUE"""),"")</f>
        <v/>
      </c>
      <c r="L440" s="258" t="str">
        <f>IFERROR(__xludf.DUMMYFUNCTION("""COMPUTED_VALUE"""),"")</f>
        <v/>
      </c>
      <c r="M440" s="261">
        <f>IFERROR(__xludf.DUMMYFUNCTION("""COMPUTED_VALUE"""),227.0)</f>
        <v>227</v>
      </c>
      <c r="N440" s="262" t="str">
        <f>IFERROR(__xludf.DUMMYFUNCTION("""COMPUTED_VALUE"""),"")</f>
        <v/>
      </c>
      <c r="O440" s="259" t="str">
        <f>IFERROR(__xludf.DUMMYFUNCTION("""COMPUTED_VALUE"""),"")</f>
        <v/>
      </c>
      <c r="P440" s="259">
        <f>IFERROR(__xludf.DUMMYFUNCTION("""COMPUTED_VALUE"""),42370.0)</f>
        <v>42370</v>
      </c>
      <c r="Q440" s="258">
        <f>IFERROR(__xludf.DUMMYFUNCTION("""COMPUTED_VALUE"""),109350.0)</f>
        <v>109350</v>
      </c>
      <c r="R440" s="261">
        <f>IFERROR(__xludf.DUMMYFUNCTION("""COMPUTED_VALUE"""),396.0)</f>
        <v>396</v>
      </c>
      <c r="S440" s="258">
        <v>428.0</v>
      </c>
      <c r="T440" s="263">
        <v>0.9252336448598131</v>
      </c>
      <c r="U440" s="264">
        <v>67947.0</v>
      </c>
      <c r="V440" s="265">
        <v>109350.0</v>
      </c>
      <c r="W440" s="264">
        <v>67947.0</v>
      </c>
      <c r="X440" s="266" t="str">
        <f>IFERROR(__xludf.DUMMYFUNCTION("""COMPUTED_VALUE"""),"r.wagner")</f>
        <v>r.wagner</v>
      </c>
      <c r="Y440" s="267">
        <v>-0.01</v>
      </c>
      <c r="Z440" s="267">
        <v>0.9443910169784852</v>
      </c>
      <c r="AA440" s="269"/>
      <c r="AB440" s="270"/>
      <c r="AC440" s="270"/>
      <c r="AD440" s="270"/>
      <c r="AE440" s="270"/>
    </row>
    <row r="441">
      <c r="A441" s="256">
        <f>IFERROR(__xludf.DUMMYFUNCTION("""COMPUTED_VALUE"""),42482.90972222222)</f>
        <v>42482.90972</v>
      </c>
      <c r="B441" s="257" t="str">
        <f>IFERROR(__xludf.DUMMYFUNCTION("""COMPUTED_VALUE"""),"fsch")</f>
        <v>fsch</v>
      </c>
      <c r="C441" s="258" t="str">
        <f>IFERROR(__xludf.DUMMYFUNCTION("""COMPUTED_VALUE"""),"Canada")</f>
        <v>Canada</v>
      </c>
      <c r="D441" s="258" t="str">
        <f>IFERROR(__xludf.DUMMYFUNCTION("""COMPUTED_VALUE"""),"km. My car displays range in kilometres and I will enter all range numbers in kilometres.")</f>
        <v>km. My car displays range in kilometres and I will enter all range numbers in kilometres.</v>
      </c>
      <c r="E441" s="259">
        <f>IFERROR(__xludf.DUMMYFUNCTION("""COMPUTED_VALUE"""),41348.0)</f>
        <v>41348</v>
      </c>
      <c r="F441" s="258" t="str">
        <f>IFERROR(__xludf.DUMMYFUNCTION("""COMPUTED_VALUE"""),"Model S 85")</f>
        <v>Model S 85</v>
      </c>
      <c r="G441" s="258" t="str">
        <f>IFERROR(__xludf.DUMMYFUNCTION("""COMPUTED_VALUE"""),"Once or twice a year")</f>
        <v>Once or twice a year</v>
      </c>
      <c r="H441" s="258" t="str">
        <f>IFERROR(__xludf.DUMMYFUNCTION("""COMPUTED_VALUE"""),"A few times a year")</f>
        <v>A few times a year</v>
      </c>
      <c r="I441" s="258" t="str">
        <f>IFERROR(__xludf.DUMMYFUNCTION("""COMPUTED_VALUE"""),"A few times a year")</f>
        <v>A few times a year</v>
      </c>
      <c r="J441" s="260">
        <f>IFERROR(__xludf.DUMMYFUNCTION("""COMPUTED_VALUE"""),0.9)</f>
        <v>0.9</v>
      </c>
      <c r="K441" s="258" t="str">
        <f>IFERROR(__xludf.DUMMYFUNCTION("""COMPUTED_VALUE"""),"")</f>
        <v/>
      </c>
      <c r="L441" s="258" t="str">
        <f>IFERROR(__xludf.DUMMYFUNCTION("""COMPUTED_VALUE"""),"")</f>
        <v/>
      </c>
      <c r="M441" s="261">
        <f>IFERROR(__xludf.DUMMYFUNCTION("""COMPUTED_VALUE"""),243.0)</f>
        <v>243</v>
      </c>
      <c r="N441" s="262" t="str">
        <f>IFERROR(__xludf.DUMMYFUNCTION("""COMPUTED_VALUE"""),"")</f>
        <v/>
      </c>
      <c r="O441" s="259" t="str">
        <f>IFERROR(__xludf.DUMMYFUNCTION("""COMPUTED_VALUE"""),"")</f>
        <v/>
      </c>
      <c r="P441" s="259">
        <f>IFERROR(__xludf.DUMMYFUNCTION("""COMPUTED_VALUE"""),42482.0)</f>
        <v>42482</v>
      </c>
      <c r="Q441" s="258">
        <f>IFERROR(__xludf.DUMMYFUNCTION("""COMPUTED_VALUE"""),117272.0)</f>
        <v>117272</v>
      </c>
      <c r="R441" s="261">
        <f>IFERROR(__xludf.DUMMYFUNCTION("""COMPUTED_VALUE"""),401.0)</f>
        <v>401</v>
      </c>
      <c r="S441" s="258">
        <v>428.0</v>
      </c>
      <c r="T441" s="263">
        <v>0.9369158878504673</v>
      </c>
      <c r="U441" s="264">
        <v>72869.0</v>
      </c>
      <c r="V441" s="265">
        <v>117272.0</v>
      </c>
      <c r="W441" s="264">
        <v>72869.0</v>
      </c>
      <c r="X441" s="266" t="str">
        <f>IFERROR(__xludf.DUMMYFUNCTION("""COMPUTED_VALUE"""),"RaBalder")</f>
        <v>RaBalder</v>
      </c>
      <c r="Y441" s="267">
        <v>-0.01</v>
      </c>
      <c r="Z441" s="267">
        <v>0.9425443542720615</v>
      </c>
      <c r="AA441" s="269"/>
      <c r="AB441" s="270"/>
      <c r="AC441" s="270"/>
      <c r="AD441" s="270"/>
      <c r="AE441" s="270"/>
    </row>
    <row r="442">
      <c r="A442" s="256">
        <f>IFERROR(__xludf.DUMMYFUNCTION("""COMPUTED_VALUE"""),42621.910416666666)</f>
        <v>42621.91042</v>
      </c>
      <c r="B442" s="257" t="str">
        <f>IFERROR(__xludf.DUMMYFUNCTION("""COMPUTED_VALUE"""),"fsch")</f>
        <v>fsch</v>
      </c>
      <c r="C442" s="258" t="str">
        <f>IFERROR(__xludf.DUMMYFUNCTION("""COMPUTED_VALUE"""),"Canada")</f>
        <v>Canada</v>
      </c>
      <c r="D442" s="258" t="str">
        <f>IFERROR(__xludf.DUMMYFUNCTION("""COMPUTED_VALUE"""),"km. My car displays range in kilometres and I will enter all range numbers in kilometres.")</f>
        <v>km. My car displays range in kilometres and I will enter all range numbers in kilometres.</v>
      </c>
      <c r="E442" s="259">
        <f>IFERROR(__xludf.DUMMYFUNCTION("""COMPUTED_VALUE"""),41348.0)</f>
        <v>41348</v>
      </c>
      <c r="F442" s="258" t="str">
        <f>IFERROR(__xludf.DUMMYFUNCTION("""COMPUTED_VALUE"""),"Model S 85")</f>
        <v>Model S 85</v>
      </c>
      <c r="G442" s="258" t="str">
        <f>IFERROR(__xludf.DUMMYFUNCTION("""COMPUTED_VALUE"""),"Monthly")</f>
        <v>Monthly</v>
      </c>
      <c r="H442" s="258" t="str">
        <f>IFERROR(__xludf.DUMMYFUNCTION("""COMPUTED_VALUE"""),"A few times a year")</f>
        <v>A few times a year</v>
      </c>
      <c r="I442" s="258" t="str">
        <f>IFERROR(__xludf.DUMMYFUNCTION("""COMPUTED_VALUE"""),"A few times a year")</f>
        <v>A few times a year</v>
      </c>
      <c r="J442" s="260">
        <f>IFERROR(__xludf.DUMMYFUNCTION("""COMPUTED_VALUE"""),0.9)</f>
        <v>0.9</v>
      </c>
      <c r="K442" s="258" t="str">
        <f>IFERROR(__xludf.DUMMYFUNCTION("""COMPUTED_VALUE"""),"")</f>
        <v/>
      </c>
      <c r="L442" s="258" t="str">
        <f>IFERROR(__xludf.DUMMYFUNCTION("""COMPUTED_VALUE"""),"")</f>
        <v/>
      </c>
      <c r="M442" s="261">
        <f>IFERROR(__xludf.DUMMYFUNCTION("""COMPUTED_VALUE"""),215.12)</f>
        <v>215.12</v>
      </c>
      <c r="N442" s="262" t="str">
        <f>IFERROR(__xludf.DUMMYFUNCTION("""COMPUTED_VALUE"""),"")</f>
        <v/>
      </c>
      <c r="O442" s="259" t="str">
        <f>IFERROR(__xludf.DUMMYFUNCTION("""COMPUTED_VALUE"""),"")</f>
        <v/>
      </c>
      <c r="P442" s="259">
        <f>IFERROR(__xludf.DUMMYFUNCTION("""COMPUTED_VALUE"""),42621.0)</f>
        <v>42621</v>
      </c>
      <c r="Q442" s="258">
        <f>IFERROR(__xludf.DUMMYFUNCTION("""COMPUTED_VALUE"""),132000.0)</f>
        <v>132000</v>
      </c>
      <c r="R442" s="261">
        <f>IFERROR(__xludf.DUMMYFUNCTION("""COMPUTED_VALUE"""),400.0)</f>
        <v>400</v>
      </c>
      <c r="S442" s="258">
        <v>428.0</v>
      </c>
      <c r="T442" s="263">
        <v>0.9345794392523364</v>
      </c>
      <c r="U442" s="264">
        <v>82021.0</v>
      </c>
      <c r="V442" s="265">
        <v>132000.0</v>
      </c>
      <c r="W442" s="264">
        <v>82021.0</v>
      </c>
      <c r="X442" s="266" t="str">
        <f>IFERROR(__xludf.DUMMYFUNCTION("""COMPUTED_VALUE"""),"radio")</f>
        <v>radio</v>
      </c>
      <c r="Y442" s="267">
        <v>-0.01</v>
      </c>
      <c r="Z442" s="267">
        <v>0.9391282321160771</v>
      </c>
      <c r="AA442" s="269"/>
      <c r="AB442" s="270"/>
      <c r="AC442" s="270"/>
      <c r="AD442" s="270"/>
      <c r="AE442" s="270"/>
    </row>
    <row r="443">
      <c r="A443" s="256">
        <f>IFERROR(__xludf.DUMMYFUNCTION("""COMPUTED_VALUE"""),42702.91458333333)</f>
        <v>42702.91458</v>
      </c>
      <c r="B443" s="257" t="str">
        <f>IFERROR(__xludf.DUMMYFUNCTION("""COMPUTED_VALUE"""),"fsch")</f>
        <v>fsch</v>
      </c>
      <c r="C443" s="258" t="str">
        <f>IFERROR(__xludf.DUMMYFUNCTION("""COMPUTED_VALUE"""),"Canada")</f>
        <v>Canada</v>
      </c>
      <c r="D443" s="258" t="str">
        <f>IFERROR(__xludf.DUMMYFUNCTION("""COMPUTED_VALUE"""),"km. My car displays range in kilometres and I will enter all range numbers in kilometres.")</f>
        <v>km. My car displays range in kilometres and I will enter all range numbers in kilometres.</v>
      </c>
      <c r="E443" s="259">
        <f>IFERROR(__xludf.DUMMYFUNCTION("""COMPUTED_VALUE"""),41348.0)</f>
        <v>41348</v>
      </c>
      <c r="F443" s="258" t="str">
        <f>IFERROR(__xludf.DUMMYFUNCTION("""COMPUTED_VALUE"""),"Model S 85")</f>
        <v>Model S 85</v>
      </c>
      <c r="G443" s="258" t="str">
        <f>IFERROR(__xludf.DUMMYFUNCTION("""COMPUTED_VALUE"""),"Monthly")</f>
        <v>Monthly</v>
      </c>
      <c r="H443" s="258" t="str">
        <f>IFERROR(__xludf.DUMMYFUNCTION("""COMPUTED_VALUE"""),"A few times a year")</f>
        <v>A few times a year</v>
      </c>
      <c r="I443" s="258" t="str">
        <f>IFERROR(__xludf.DUMMYFUNCTION("""COMPUTED_VALUE"""),"A few times a year")</f>
        <v>A few times a year</v>
      </c>
      <c r="J443" s="260">
        <f>IFERROR(__xludf.DUMMYFUNCTION("""COMPUTED_VALUE"""),0.9)</f>
        <v>0.9</v>
      </c>
      <c r="K443" s="258" t="str">
        <f>IFERROR(__xludf.DUMMYFUNCTION("""COMPUTED_VALUE"""),"")</f>
        <v/>
      </c>
      <c r="L443" s="258" t="str">
        <f>IFERROR(__xludf.DUMMYFUNCTION("""COMPUTED_VALUE"""),"")</f>
        <v/>
      </c>
      <c r="M443" s="261">
        <f>IFERROR(__xludf.DUMMYFUNCTION("""COMPUTED_VALUE"""),243.0)</f>
        <v>243</v>
      </c>
      <c r="N443" s="262" t="str">
        <f>IFERROR(__xludf.DUMMYFUNCTION("""COMPUTED_VALUE"""),"")</f>
        <v/>
      </c>
      <c r="O443" s="259" t="str">
        <f>IFERROR(__xludf.DUMMYFUNCTION("""COMPUTED_VALUE"""),"")</f>
        <v/>
      </c>
      <c r="P443" s="259">
        <f>IFERROR(__xludf.DUMMYFUNCTION("""COMPUTED_VALUE"""),42702.0)</f>
        <v>42702</v>
      </c>
      <c r="Q443" s="258">
        <f>IFERROR(__xludf.DUMMYFUNCTION("""COMPUTED_VALUE"""),139000.0)</f>
        <v>139000</v>
      </c>
      <c r="R443" s="261">
        <f>IFERROR(__xludf.DUMMYFUNCTION("""COMPUTED_VALUE"""),388.0)</f>
        <v>388</v>
      </c>
      <c r="S443" s="258">
        <v>428.0</v>
      </c>
      <c r="T443" s="263">
        <v>0.9065420560747663</v>
      </c>
      <c r="U443" s="264">
        <v>86371.0</v>
      </c>
      <c r="V443" s="265">
        <v>139000.0</v>
      </c>
      <c r="W443" s="264">
        <v>86371.0</v>
      </c>
      <c r="X443" s="266" t="str">
        <f>IFERROR(__xludf.DUMMYFUNCTION("""COMPUTED_VALUE"""),"Raibman")</f>
        <v>Raibman</v>
      </c>
      <c r="Y443" s="267">
        <v>-0.01</v>
      </c>
      <c r="Z443" s="267">
        <v>0.9375089749720473</v>
      </c>
      <c r="AA443" s="269"/>
      <c r="AB443" s="270"/>
      <c r="AC443" s="270"/>
      <c r="AD443" s="270"/>
      <c r="AE443" s="270"/>
    </row>
    <row r="444">
      <c r="A444" s="256">
        <f>IFERROR(__xludf.DUMMYFUNCTION("""COMPUTED_VALUE"""),42721.91527777778)</f>
        <v>42721.91528</v>
      </c>
      <c r="B444" s="257" t="str">
        <f>IFERROR(__xludf.DUMMYFUNCTION("""COMPUTED_VALUE"""),"fsch")</f>
        <v>fsch</v>
      </c>
      <c r="C444" s="258" t="str">
        <f>IFERROR(__xludf.DUMMYFUNCTION("""COMPUTED_VALUE"""),"Canada")</f>
        <v>Canada</v>
      </c>
      <c r="D444" s="258" t="str">
        <f>IFERROR(__xludf.DUMMYFUNCTION("""COMPUTED_VALUE"""),"km. My car displays range in kilometres and I will enter all range numbers in kilometres.")</f>
        <v>km. My car displays range in kilometres and I will enter all range numbers in kilometres.</v>
      </c>
      <c r="E444" s="259">
        <f>IFERROR(__xludf.DUMMYFUNCTION("""COMPUTED_VALUE"""),41348.0)</f>
        <v>41348</v>
      </c>
      <c r="F444" s="258" t="str">
        <f>IFERROR(__xludf.DUMMYFUNCTION("""COMPUTED_VALUE"""),"Model S 85")</f>
        <v>Model S 85</v>
      </c>
      <c r="G444" s="258" t="str">
        <f>IFERROR(__xludf.DUMMYFUNCTION("""COMPUTED_VALUE"""),"Monthly")</f>
        <v>Monthly</v>
      </c>
      <c r="H444" s="258" t="str">
        <f>IFERROR(__xludf.DUMMYFUNCTION("""COMPUTED_VALUE"""),"A few times a year")</f>
        <v>A few times a year</v>
      </c>
      <c r="I444" s="258" t="str">
        <f>IFERROR(__xludf.DUMMYFUNCTION("""COMPUTED_VALUE"""),"A few times a year")</f>
        <v>A few times a year</v>
      </c>
      <c r="J444" s="260">
        <f>IFERROR(__xludf.DUMMYFUNCTION("""COMPUTED_VALUE"""),0.9)</f>
        <v>0.9</v>
      </c>
      <c r="K444" s="258" t="str">
        <f>IFERROR(__xludf.DUMMYFUNCTION("""COMPUTED_VALUE"""),"")</f>
        <v/>
      </c>
      <c r="L444" s="258" t="str">
        <f>IFERROR(__xludf.DUMMYFUNCTION("""COMPUTED_VALUE"""),"")</f>
        <v/>
      </c>
      <c r="M444" s="261">
        <f>IFERROR(__xludf.DUMMYFUNCTION("""COMPUTED_VALUE"""),214.0)</f>
        <v>214</v>
      </c>
      <c r="N444" s="262" t="str">
        <f>IFERROR(__xludf.DUMMYFUNCTION("""COMPUTED_VALUE"""),"")</f>
        <v/>
      </c>
      <c r="O444" s="259" t="str">
        <f>IFERROR(__xludf.DUMMYFUNCTION("""COMPUTED_VALUE"""),"")</f>
        <v/>
      </c>
      <c r="P444" s="259">
        <f>IFERROR(__xludf.DUMMYFUNCTION("""COMPUTED_VALUE"""),42721.0)</f>
        <v>42721</v>
      </c>
      <c r="Q444" s="258">
        <f>IFERROR(__xludf.DUMMYFUNCTION("""COMPUTED_VALUE"""),140626.0)</f>
        <v>140626</v>
      </c>
      <c r="R444" s="261">
        <f>IFERROR(__xludf.DUMMYFUNCTION("""COMPUTED_VALUE"""),398.0)</f>
        <v>398</v>
      </c>
      <c r="S444" s="258">
        <v>428.0</v>
      </c>
      <c r="T444" s="263">
        <v>0.9299065420560748</v>
      </c>
      <c r="U444" s="264">
        <v>87381.0</v>
      </c>
      <c r="V444" s="265">
        <v>140626.0</v>
      </c>
      <c r="W444" s="264">
        <v>87381.0</v>
      </c>
      <c r="X444" s="266" t="str">
        <f>IFERROR(__xludf.DUMMYFUNCTION("""COMPUTED_VALUE"""),"Ram EH")</f>
        <v>Ram EH</v>
      </c>
      <c r="Y444" s="267">
        <v>-0.01</v>
      </c>
      <c r="Z444" s="267">
        <v>0.937133093804256</v>
      </c>
      <c r="AA444" s="269"/>
      <c r="AB444" s="270"/>
      <c r="AC444" s="270"/>
      <c r="AD444" s="270"/>
      <c r="AE444" s="270"/>
    </row>
    <row r="445">
      <c r="A445" s="256">
        <f>IFERROR(__xludf.DUMMYFUNCTION("""COMPUTED_VALUE"""),42812.91736111111)</f>
        <v>42812.91736</v>
      </c>
      <c r="B445" s="257" t="str">
        <f>IFERROR(__xludf.DUMMYFUNCTION("""COMPUTED_VALUE"""),"fsch")</f>
        <v>fsch</v>
      </c>
      <c r="C445" s="258" t="str">
        <f>IFERROR(__xludf.DUMMYFUNCTION("""COMPUTED_VALUE"""),"Canada")</f>
        <v>Canada</v>
      </c>
      <c r="D445" s="258" t="str">
        <f>IFERROR(__xludf.DUMMYFUNCTION("""COMPUTED_VALUE"""),"km. My car displays range in kilometres and I will enter all range numbers in kilometres.")</f>
        <v>km. My car displays range in kilometres and I will enter all range numbers in kilometres.</v>
      </c>
      <c r="E445" s="259">
        <f>IFERROR(__xludf.DUMMYFUNCTION("""COMPUTED_VALUE"""),41348.0)</f>
        <v>41348</v>
      </c>
      <c r="F445" s="258" t="str">
        <f>IFERROR(__xludf.DUMMYFUNCTION("""COMPUTED_VALUE"""),"Model S 85")</f>
        <v>Model S 85</v>
      </c>
      <c r="G445" s="258" t="str">
        <f>IFERROR(__xludf.DUMMYFUNCTION("""COMPUTED_VALUE"""),"Monthly")</f>
        <v>Monthly</v>
      </c>
      <c r="H445" s="258" t="str">
        <f>IFERROR(__xludf.DUMMYFUNCTION("""COMPUTED_VALUE"""),"A few times a year")</f>
        <v>A few times a year</v>
      </c>
      <c r="I445" s="258" t="str">
        <f>IFERROR(__xludf.DUMMYFUNCTION("""COMPUTED_VALUE"""),"A few times a year")</f>
        <v>A few times a year</v>
      </c>
      <c r="J445" s="260">
        <f>IFERROR(__xludf.DUMMYFUNCTION("""COMPUTED_VALUE"""),0.9)</f>
        <v>0.9</v>
      </c>
      <c r="K445" s="258" t="str">
        <f>IFERROR(__xludf.DUMMYFUNCTION("""COMPUTED_VALUE"""),"")</f>
        <v/>
      </c>
      <c r="L445" s="258" t="str">
        <f>IFERROR(__xludf.DUMMYFUNCTION("""COMPUTED_VALUE"""),"")</f>
        <v/>
      </c>
      <c r="M445" s="261">
        <f>IFERROR(__xludf.DUMMYFUNCTION("""COMPUTED_VALUE"""),214.0)</f>
        <v>214</v>
      </c>
      <c r="N445" s="262" t="str">
        <f>IFERROR(__xludf.DUMMYFUNCTION("""COMPUTED_VALUE"""),"")</f>
        <v/>
      </c>
      <c r="O445" s="259" t="str">
        <f>IFERROR(__xludf.DUMMYFUNCTION("""COMPUTED_VALUE"""),"")</f>
        <v/>
      </c>
      <c r="P445" s="259">
        <f>IFERROR(__xludf.DUMMYFUNCTION("""COMPUTED_VALUE"""),42812.0)</f>
        <v>42812</v>
      </c>
      <c r="Q445" s="258">
        <f>IFERROR(__xludf.DUMMYFUNCTION("""COMPUTED_VALUE"""),147433.0)</f>
        <v>147433</v>
      </c>
      <c r="R445" s="261">
        <f>IFERROR(__xludf.DUMMYFUNCTION("""COMPUTED_VALUE"""),382.0)</f>
        <v>382</v>
      </c>
      <c r="S445" s="258">
        <v>428.0</v>
      </c>
      <c r="T445" s="263">
        <v>0.8925233644859814</v>
      </c>
      <c r="U445" s="264">
        <v>91611.0</v>
      </c>
      <c r="V445" s="265">
        <v>147433.0</v>
      </c>
      <c r="W445" s="264">
        <v>91611.0</v>
      </c>
      <c r="X445" s="266" t="str">
        <f>IFERROR(__xludf.DUMMYFUNCTION("""COMPUTED_VALUE"""),"Raphdef")</f>
        <v>Raphdef</v>
      </c>
      <c r="Y445" s="267">
        <v>-0.01</v>
      </c>
      <c r="Z445" s="267">
        <v>0.9355602805412517</v>
      </c>
      <c r="AA445" s="269"/>
      <c r="AB445" s="270"/>
      <c r="AC445" s="270"/>
      <c r="AD445" s="270"/>
      <c r="AE445" s="270"/>
    </row>
    <row r="446">
      <c r="A446" s="256">
        <f>IFERROR(__xludf.DUMMYFUNCTION("""COMPUTED_VALUE"""),42819.92013888889)</f>
        <v>42819.92014</v>
      </c>
      <c r="B446" s="257" t="str">
        <f>IFERROR(__xludf.DUMMYFUNCTION("""COMPUTED_VALUE"""),"fsch")</f>
        <v>fsch</v>
      </c>
      <c r="C446" s="258" t="str">
        <f>IFERROR(__xludf.DUMMYFUNCTION("""COMPUTED_VALUE"""),"Canada")</f>
        <v>Canada</v>
      </c>
      <c r="D446" s="258" t="str">
        <f>IFERROR(__xludf.DUMMYFUNCTION("""COMPUTED_VALUE"""),"km. My car displays range in kilometres and I will enter all range numbers in kilometres.")</f>
        <v>km. My car displays range in kilometres and I will enter all range numbers in kilometres.</v>
      </c>
      <c r="E446" s="259">
        <f>IFERROR(__xludf.DUMMYFUNCTION("""COMPUTED_VALUE"""),41348.0)</f>
        <v>41348</v>
      </c>
      <c r="F446" s="258" t="str">
        <f>IFERROR(__xludf.DUMMYFUNCTION("""COMPUTED_VALUE"""),"Model S 85")</f>
        <v>Model S 85</v>
      </c>
      <c r="G446" s="258" t="str">
        <f>IFERROR(__xludf.DUMMYFUNCTION("""COMPUTED_VALUE"""),"Monthly")</f>
        <v>Monthly</v>
      </c>
      <c r="H446" s="258" t="str">
        <f>IFERROR(__xludf.DUMMYFUNCTION("""COMPUTED_VALUE"""),"A few times a year")</f>
        <v>A few times a year</v>
      </c>
      <c r="I446" s="258" t="str">
        <f>IFERROR(__xludf.DUMMYFUNCTION("""COMPUTED_VALUE"""),"A few times a year")</f>
        <v>A few times a year</v>
      </c>
      <c r="J446" s="260">
        <f>IFERROR(__xludf.DUMMYFUNCTION("""COMPUTED_VALUE"""),0.9)</f>
        <v>0.9</v>
      </c>
      <c r="K446" s="258" t="str">
        <f>IFERROR(__xludf.DUMMYFUNCTION("""COMPUTED_VALUE"""),"")</f>
        <v/>
      </c>
      <c r="L446" s="258" t="str">
        <f>IFERROR(__xludf.DUMMYFUNCTION("""COMPUTED_VALUE"""),"")</f>
        <v/>
      </c>
      <c r="M446" s="261">
        <f>IFERROR(__xludf.DUMMYFUNCTION("""COMPUTED_VALUE"""),215.0)</f>
        <v>215</v>
      </c>
      <c r="N446" s="262" t="str">
        <f>IFERROR(__xludf.DUMMYFUNCTION("""COMPUTED_VALUE"""),"")</f>
        <v/>
      </c>
      <c r="O446" s="259" t="str">
        <f>IFERROR(__xludf.DUMMYFUNCTION("""COMPUTED_VALUE"""),"")</f>
        <v/>
      </c>
      <c r="P446" s="259">
        <f>IFERROR(__xludf.DUMMYFUNCTION("""COMPUTED_VALUE"""),42819.0)</f>
        <v>42819</v>
      </c>
      <c r="Q446" s="258">
        <f>IFERROR(__xludf.DUMMYFUNCTION("""COMPUTED_VALUE"""),147694.0)</f>
        <v>147694</v>
      </c>
      <c r="R446" s="261">
        <f>IFERROR(__xludf.DUMMYFUNCTION("""COMPUTED_VALUE"""),398.0)</f>
        <v>398</v>
      </c>
      <c r="S446" s="258">
        <v>428.0</v>
      </c>
      <c r="T446" s="263">
        <v>0.9299065420560748</v>
      </c>
      <c r="U446" s="264">
        <v>91773.0</v>
      </c>
      <c r="V446" s="265">
        <v>147694.0</v>
      </c>
      <c r="W446" s="264">
        <v>91773.0</v>
      </c>
      <c r="X446" s="266" t="str">
        <f>IFERROR(__xludf.DUMMYFUNCTION("""COMPUTED_VALUE"""),"raptorsf")</f>
        <v>raptorsf</v>
      </c>
      <c r="Y446" s="267">
        <v>-0.01</v>
      </c>
      <c r="Z446" s="267">
        <v>0.9354999948476587</v>
      </c>
      <c r="AA446" s="269"/>
      <c r="AB446" s="270"/>
      <c r="AC446" s="270"/>
      <c r="AD446" s="270"/>
      <c r="AE446" s="270"/>
    </row>
    <row r="447">
      <c r="A447" s="256">
        <f>IFERROR(__xludf.DUMMYFUNCTION("""COMPUTED_VALUE"""),42920.92222222222)</f>
        <v>42920.92222</v>
      </c>
      <c r="B447" s="257" t="str">
        <f>IFERROR(__xludf.DUMMYFUNCTION("""COMPUTED_VALUE"""),"fsch")</f>
        <v>fsch</v>
      </c>
      <c r="C447" s="258" t="str">
        <f>IFERROR(__xludf.DUMMYFUNCTION("""COMPUTED_VALUE"""),"Canada")</f>
        <v>Canada</v>
      </c>
      <c r="D447" s="258" t="str">
        <f>IFERROR(__xludf.DUMMYFUNCTION("""COMPUTED_VALUE"""),"km. My car displays range in kilometres and I will enter all range numbers in kilometres.")</f>
        <v>km. My car displays range in kilometres and I will enter all range numbers in kilometres.</v>
      </c>
      <c r="E447" s="259">
        <f>IFERROR(__xludf.DUMMYFUNCTION("""COMPUTED_VALUE"""),41348.0)</f>
        <v>41348</v>
      </c>
      <c r="F447" s="258" t="str">
        <f>IFERROR(__xludf.DUMMYFUNCTION("""COMPUTED_VALUE"""),"Model S 85")</f>
        <v>Model S 85</v>
      </c>
      <c r="G447" s="258" t="str">
        <f>IFERROR(__xludf.DUMMYFUNCTION("""COMPUTED_VALUE"""),"Monthly")</f>
        <v>Monthly</v>
      </c>
      <c r="H447" s="258" t="str">
        <f>IFERROR(__xludf.DUMMYFUNCTION("""COMPUTED_VALUE"""),"Monthly")</f>
        <v>Monthly</v>
      </c>
      <c r="I447" s="258" t="str">
        <f>IFERROR(__xludf.DUMMYFUNCTION("""COMPUTED_VALUE"""),"A few times a year")</f>
        <v>A few times a year</v>
      </c>
      <c r="J447" s="260">
        <f>IFERROR(__xludf.DUMMYFUNCTION("""COMPUTED_VALUE"""),0.9)</f>
        <v>0.9</v>
      </c>
      <c r="K447" s="258" t="str">
        <f>IFERROR(__xludf.DUMMYFUNCTION("""COMPUTED_VALUE"""),"")</f>
        <v/>
      </c>
      <c r="L447" s="258" t="str">
        <f>IFERROR(__xludf.DUMMYFUNCTION("""COMPUTED_VALUE"""),"")</f>
        <v/>
      </c>
      <c r="M447" s="261">
        <f>IFERROR(__xludf.DUMMYFUNCTION("""COMPUTED_VALUE"""),220.0)</f>
        <v>220</v>
      </c>
      <c r="N447" s="262" t="str">
        <f>IFERROR(__xludf.DUMMYFUNCTION("""COMPUTED_VALUE"""),"")</f>
        <v/>
      </c>
      <c r="O447" s="259" t="str">
        <f>IFERROR(__xludf.DUMMYFUNCTION("""COMPUTED_VALUE"""),"")</f>
        <v/>
      </c>
      <c r="P447" s="259">
        <f>IFERROR(__xludf.DUMMYFUNCTION("""COMPUTED_VALUE"""),42920.0)</f>
        <v>42920</v>
      </c>
      <c r="Q447" s="258">
        <f>IFERROR(__xludf.DUMMYFUNCTION("""COMPUTED_VALUE"""),159750.0)</f>
        <v>159750</v>
      </c>
      <c r="R447" s="261">
        <f>IFERROR(__xludf.DUMMYFUNCTION("""COMPUTED_VALUE"""),400.0)</f>
        <v>400</v>
      </c>
      <c r="S447" s="258">
        <v>428.0</v>
      </c>
      <c r="T447" s="263">
        <v>0.9345794392523364</v>
      </c>
      <c r="U447" s="264">
        <v>99264.0</v>
      </c>
      <c r="V447" s="265">
        <v>159750.0</v>
      </c>
      <c r="W447" s="264">
        <v>99264.0</v>
      </c>
      <c r="X447" s="266" t="str">
        <f>IFERROR(__xludf.DUMMYFUNCTION("""COMPUTED_VALUE"""),"Raymond")</f>
        <v>Raymond</v>
      </c>
      <c r="Y447" s="267">
        <v>-0.01</v>
      </c>
      <c r="Z447" s="267">
        <v>0.9327164532602437</v>
      </c>
      <c r="AA447" s="269"/>
      <c r="AB447" s="270"/>
      <c r="AC447" s="270"/>
      <c r="AD447" s="270"/>
      <c r="AE447" s="270"/>
    </row>
    <row r="448">
      <c r="A448" s="256">
        <f>IFERROR(__xludf.DUMMYFUNCTION("""COMPUTED_VALUE"""),43141.929861111115)</f>
        <v>43141.92986</v>
      </c>
      <c r="B448" s="257" t="str">
        <f>IFERROR(__xludf.DUMMYFUNCTION("""COMPUTED_VALUE"""),"fsch")</f>
        <v>fsch</v>
      </c>
      <c r="C448" s="258" t="str">
        <f>IFERROR(__xludf.DUMMYFUNCTION("""COMPUTED_VALUE"""),"Canada")</f>
        <v>Canada</v>
      </c>
      <c r="D448" s="258" t="str">
        <f>IFERROR(__xludf.DUMMYFUNCTION("""COMPUTED_VALUE"""),"km. My car displays range in kilometres and I will enter all range numbers in kilometres.")</f>
        <v>km. My car displays range in kilometres and I will enter all range numbers in kilometres.</v>
      </c>
      <c r="E448" s="259">
        <f>IFERROR(__xludf.DUMMYFUNCTION("""COMPUTED_VALUE"""),41348.0)</f>
        <v>41348</v>
      </c>
      <c r="F448" s="258" t="str">
        <f>IFERROR(__xludf.DUMMYFUNCTION("""COMPUTED_VALUE"""),"Model S 85")</f>
        <v>Model S 85</v>
      </c>
      <c r="G448" s="258" t="str">
        <f>IFERROR(__xludf.DUMMYFUNCTION("""COMPUTED_VALUE"""),"Weekly")</f>
        <v>Weekly</v>
      </c>
      <c r="H448" s="258" t="str">
        <f>IFERROR(__xludf.DUMMYFUNCTION("""COMPUTED_VALUE"""),"Monthly")</f>
        <v>Monthly</v>
      </c>
      <c r="I448" s="258" t="str">
        <f>IFERROR(__xludf.DUMMYFUNCTION("""COMPUTED_VALUE"""),"A few times a year")</f>
        <v>A few times a year</v>
      </c>
      <c r="J448" s="260">
        <f>IFERROR(__xludf.DUMMYFUNCTION("""COMPUTED_VALUE"""),0.9)</f>
        <v>0.9</v>
      </c>
      <c r="K448" s="258" t="str">
        <f>IFERROR(__xludf.DUMMYFUNCTION("""COMPUTED_VALUE"""),"")</f>
        <v/>
      </c>
      <c r="L448" s="258" t="str">
        <f>IFERROR(__xludf.DUMMYFUNCTION("""COMPUTED_VALUE"""),"")</f>
        <v/>
      </c>
      <c r="M448" s="261">
        <f>IFERROR(__xludf.DUMMYFUNCTION("""COMPUTED_VALUE"""),221.0)</f>
        <v>221</v>
      </c>
      <c r="N448" s="262" t="str">
        <f>IFERROR(__xludf.DUMMYFUNCTION("""COMPUTED_VALUE"""),"")</f>
        <v/>
      </c>
      <c r="O448" s="259" t="str">
        <f>IFERROR(__xludf.DUMMYFUNCTION("""COMPUTED_VALUE"""),"")</f>
        <v/>
      </c>
      <c r="P448" s="259">
        <f>IFERROR(__xludf.DUMMYFUNCTION("""COMPUTED_VALUE"""),43141.0)</f>
        <v>43141</v>
      </c>
      <c r="Q448" s="258">
        <f>IFERROR(__xludf.DUMMYFUNCTION("""COMPUTED_VALUE"""),178200.0)</f>
        <v>178200</v>
      </c>
      <c r="R448" s="261">
        <f>IFERROR(__xludf.DUMMYFUNCTION("""COMPUTED_VALUE"""),387.0)</f>
        <v>387</v>
      </c>
      <c r="S448" s="258">
        <v>428.0</v>
      </c>
      <c r="T448" s="263">
        <v>0.9042056074766355</v>
      </c>
      <c r="U448" s="264">
        <v>110728.0</v>
      </c>
      <c r="V448" s="265">
        <v>178200.0</v>
      </c>
      <c r="W448" s="264">
        <v>110728.0</v>
      </c>
      <c r="X448" s="266" t="str">
        <f>IFERROR(__xludf.DUMMYFUNCTION("""COMPUTED_VALUE"""),"RCH1708")</f>
        <v>RCH1708</v>
      </c>
      <c r="Y448" s="267">
        <v>-0.01</v>
      </c>
      <c r="Z448" s="267">
        <v>0.9284591624395393</v>
      </c>
      <c r="AA448" s="269"/>
      <c r="AB448" s="270"/>
      <c r="AC448" s="270"/>
      <c r="AD448" s="270"/>
      <c r="AE448" s="270"/>
    </row>
    <row r="449">
      <c r="A449" s="256">
        <f>IFERROR(__xludf.DUMMYFUNCTION("""COMPUTED_VALUE"""),43685.972922650464)</f>
        <v>43685.97292</v>
      </c>
      <c r="B449" s="257" t="str">
        <f>IFERROR(__xludf.DUMMYFUNCTION("""COMPUTED_VALUE"""),"fsch")</f>
        <v>fsch</v>
      </c>
      <c r="C449" s="258" t="str">
        <f>IFERROR(__xludf.DUMMYFUNCTION("""COMPUTED_VALUE"""),"Canada")</f>
        <v>Canada</v>
      </c>
      <c r="D449" s="258" t="str">
        <f>IFERROR(__xludf.DUMMYFUNCTION("""COMPUTED_VALUE"""),"km. My car displays range in kilometres and I will enter all range numbers in kilometres.")</f>
        <v>km. My car displays range in kilometres and I will enter all range numbers in kilometres.</v>
      </c>
      <c r="E449" s="259">
        <f>IFERROR(__xludf.DUMMYFUNCTION("""COMPUTED_VALUE"""),41348.0)</f>
        <v>41348</v>
      </c>
      <c r="F449" s="258" t="str">
        <f>IFERROR(__xludf.DUMMYFUNCTION("""COMPUTED_VALUE"""),"Model S 85")</f>
        <v>Model S 85</v>
      </c>
      <c r="G449" s="258" t="str">
        <f>IFERROR(__xludf.DUMMYFUNCTION("""COMPUTED_VALUE"""),"Weekly")</f>
        <v>Weekly</v>
      </c>
      <c r="H449" s="258" t="str">
        <f>IFERROR(__xludf.DUMMYFUNCTION("""COMPUTED_VALUE"""),"Monthly")</f>
        <v>Monthly</v>
      </c>
      <c r="I449" s="258" t="str">
        <f>IFERROR(__xludf.DUMMYFUNCTION("""COMPUTED_VALUE"""),"Monthly")</f>
        <v>Monthly</v>
      </c>
      <c r="J449" s="260">
        <f>IFERROR(__xludf.DUMMYFUNCTION("""COMPUTED_VALUE"""),0.9)</f>
        <v>0.9</v>
      </c>
      <c r="K449" s="258">
        <f>IFERROR(__xludf.DUMMYFUNCTION("""COMPUTED_VALUE"""),425.0)</f>
        <v>425</v>
      </c>
      <c r="L449" s="258">
        <f>IFERROR(__xludf.DUMMYFUNCTION("""COMPUTED_VALUE"""),180.0)</f>
        <v>180</v>
      </c>
      <c r="M449" s="261">
        <f>IFERROR(__xludf.DUMMYFUNCTION("""COMPUTED_VALUE"""),210.0)</f>
        <v>210</v>
      </c>
      <c r="N449" s="262" t="str">
        <f>IFERROR(__xludf.DUMMYFUNCTION("""COMPUTED_VALUE"""),"")</f>
        <v/>
      </c>
      <c r="O449" s="259" t="str">
        <f>IFERROR(__xludf.DUMMYFUNCTION("""COMPUTED_VALUE"""),"")</f>
        <v/>
      </c>
      <c r="P449" s="259">
        <f>IFERROR(__xludf.DUMMYFUNCTION("""COMPUTED_VALUE"""),43678.0)</f>
        <v>43678</v>
      </c>
      <c r="Q449" s="258">
        <f>IFERROR(__xludf.DUMMYFUNCTION("""COMPUTED_VALUE"""),239408.0)</f>
        <v>239408</v>
      </c>
      <c r="R449" s="261">
        <f>IFERROR(__xludf.DUMMYFUNCTION("""COMPUTED_VALUE"""),385.0)</f>
        <v>385</v>
      </c>
      <c r="S449" s="258">
        <v>428.0</v>
      </c>
      <c r="T449" s="263">
        <v>0.8995327102803738</v>
      </c>
      <c r="U449" s="264">
        <v>148761.0</v>
      </c>
      <c r="V449" s="265">
        <v>239408.0</v>
      </c>
      <c r="W449" s="264">
        <v>148761.0</v>
      </c>
      <c r="X449" s="266" t="str">
        <f>IFERROR(__xludf.DUMMYFUNCTION("""COMPUTED_VALUE"""),"rdr")</f>
        <v>rdr</v>
      </c>
      <c r="Y449" s="267">
        <v>-0.01</v>
      </c>
      <c r="Z449" s="267">
        <v>0.9143407838337452</v>
      </c>
      <c r="AA449" s="269"/>
      <c r="AB449" s="270"/>
      <c r="AC449" s="270"/>
      <c r="AD449" s="270"/>
      <c r="AE449" s="270"/>
    </row>
    <row r="450">
      <c r="A450" s="256">
        <f>IFERROR(__xludf.DUMMYFUNCTION("""COMPUTED_VALUE"""),42279.18958333333)</f>
        <v>42279.18958</v>
      </c>
      <c r="B450" s="257" t="str">
        <f>IFERROR(__xludf.DUMMYFUNCTION("""COMPUTED_VALUE"""),"Fuelman")</f>
        <v>Fuelman</v>
      </c>
      <c r="C450" s="258" t="str">
        <f>IFERROR(__xludf.DUMMYFUNCTION("""COMPUTED_VALUE"""),"Europe (excluding UK) &amp; Asia Pacific")</f>
        <v>Europe (excluding UK) &amp; Asia Pacific</v>
      </c>
      <c r="D450" s="258" t="str">
        <f>IFERROR(__xludf.DUMMYFUNCTION("""COMPUTED_VALUE"""),"km. My car displays range in kilometres and I will enter all range numbers in kilometres.")</f>
        <v>km. My car displays range in kilometres and I will enter all range numbers in kilometres.</v>
      </c>
      <c r="E450" s="259">
        <f>IFERROR(__xludf.DUMMYFUNCTION("""COMPUTED_VALUE"""),41992.0)</f>
        <v>41992</v>
      </c>
      <c r="F450" s="258" t="str">
        <f>IFERROR(__xludf.DUMMYFUNCTION("""COMPUTED_VALUE"""),"Model S 85")</f>
        <v>Model S 85</v>
      </c>
      <c r="G450" s="258" t="str">
        <f>IFERROR(__xludf.DUMMYFUNCTION("""COMPUTED_VALUE"""),"Monthly")</f>
        <v>Monthly</v>
      </c>
      <c r="H450" s="258" t="str">
        <f>IFERROR(__xludf.DUMMYFUNCTION("""COMPUTED_VALUE"""),"A few times a year")</f>
        <v>A few times a year</v>
      </c>
      <c r="I450" s="258" t="str">
        <f>IFERROR(__xludf.DUMMYFUNCTION("""COMPUTED_VALUE"""),"Once or twice a year")</f>
        <v>Once or twice a year</v>
      </c>
      <c r="J450" s="260">
        <f>IFERROR(__xludf.DUMMYFUNCTION("""COMPUTED_VALUE"""),0.9)</f>
        <v>0.9</v>
      </c>
      <c r="K450" s="258" t="str">
        <f>IFERROR(__xludf.DUMMYFUNCTION("""COMPUTED_VALUE"""),"")</f>
        <v/>
      </c>
      <c r="L450" s="258" t="str">
        <f>IFERROR(__xludf.DUMMYFUNCTION("""COMPUTED_VALUE"""),"")</f>
        <v/>
      </c>
      <c r="M450" s="261">
        <f>IFERROR(__xludf.DUMMYFUNCTION("""COMPUTED_VALUE"""),222.0)</f>
        <v>222</v>
      </c>
      <c r="N450" s="262" t="str">
        <f>IFERROR(__xludf.DUMMYFUNCTION("""COMPUTED_VALUE"""),"")</f>
        <v/>
      </c>
      <c r="O450" s="259" t="str">
        <f>IFERROR(__xludf.DUMMYFUNCTION("""COMPUTED_VALUE"""),"")</f>
        <v/>
      </c>
      <c r="P450" s="259">
        <f>IFERROR(__xludf.DUMMYFUNCTION("""COMPUTED_VALUE"""),42279.0)</f>
        <v>42279</v>
      </c>
      <c r="Q450" s="258">
        <f>IFERROR(__xludf.DUMMYFUNCTION("""COMPUTED_VALUE"""),9934.0)</f>
        <v>9934</v>
      </c>
      <c r="R450" s="261">
        <f>IFERROR(__xludf.DUMMYFUNCTION("""COMPUTED_VALUE"""),395.0)</f>
        <v>395</v>
      </c>
      <c r="S450" s="258">
        <v>395.0</v>
      </c>
      <c r="T450" s="263">
        <v>1.0</v>
      </c>
      <c r="U450" s="264">
        <v>6173.0</v>
      </c>
      <c r="V450" s="265">
        <v>9934.0</v>
      </c>
      <c r="W450" s="264">
        <v>6173.0</v>
      </c>
      <c r="X450" s="266" t="str">
        <f>IFERROR(__xludf.DUMMYFUNCTION("""COMPUTED_VALUE"""),"RealNuke")</f>
        <v>RealNuke</v>
      </c>
      <c r="Y450" s="267">
        <v>-0.01</v>
      </c>
      <c r="Z450" s="267">
        <v>0.9843535060775204</v>
      </c>
      <c r="AA450" s="269"/>
      <c r="AB450" s="270"/>
      <c r="AC450" s="270"/>
      <c r="AD450" s="270"/>
      <c r="AE450" s="270"/>
    </row>
    <row r="451">
      <c r="A451" s="256">
        <f>IFERROR(__xludf.DUMMYFUNCTION("""COMPUTED_VALUE"""),42667.41805555555)</f>
        <v>42667.41806</v>
      </c>
      <c r="B451" s="257" t="str">
        <f>IFERROR(__xludf.DUMMYFUNCTION("""COMPUTED_VALUE"""),"Fuelman")</f>
        <v>Fuelman</v>
      </c>
      <c r="C451" s="258" t="str">
        <f>IFERROR(__xludf.DUMMYFUNCTION("""COMPUTED_VALUE"""),"Europe (excluding UK) &amp; Asia Pacific")</f>
        <v>Europe (excluding UK) &amp; Asia Pacific</v>
      </c>
      <c r="D451" s="258" t="str">
        <f>IFERROR(__xludf.DUMMYFUNCTION("""COMPUTED_VALUE"""),"km. My car displays range in kilometres and I will enter all range numbers in kilometres.")</f>
        <v>km. My car displays range in kilometres and I will enter all range numbers in kilometres.</v>
      </c>
      <c r="E451" s="259">
        <f>IFERROR(__xludf.DUMMYFUNCTION("""COMPUTED_VALUE"""),41992.0)</f>
        <v>41992</v>
      </c>
      <c r="F451" s="258" t="str">
        <f>IFERROR(__xludf.DUMMYFUNCTION("""COMPUTED_VALUE"""),"Model S 85")</f>
        <v>Model S 85</v>
      </c>
      <c r="G451" s="258" t="str">
        <f>IFERROR(__xludf.DUMMYFUNCTION("""COMPUTED_VALUE"""),"Monthly")</f>
        <v>Monthly</v>
      </c>
      <c r="H451" s="258" t="str">
        <f>IFERROR(__xludf.DUMMYFUNCTION("""COMPUTED_VALUE"""),"A few times a year")</f>
        <v>A few times a year</v>
      </c>
      <c r="I451" s="258" t="str">
        <f>IFERROR(__xludf.DUMMYFUNCTION("""COMPUTED_VALUE"""),"Never")</f>
        <v>Never</v>
      </c>
      <c r="J451" s="260">
        <f>IFERROR(__xludf.DUMMYFUNCTION("""COMPUTED_VALUE"""),0.9)</f>
        <v>0.9</v>
      </c>
      <c r="K451" s="258" t="str">
        <f>IFERROR(__xludf.DUMMYFUNCTION("""COMPUTED_VALUE"""),"")</f>
        <v/>
      </c>
      <c r="L451" s="258" t="str">
        <f>IFERROR(__xludf.DUMMYFUNCTION("""COMPUTED_VALUE"""),"")</f>
        <v/>
      </c>
      <c r="M451" s="261">
        <f>IFERROR(__xludf.DUMMYFUNCTION("""COMPUTED_VALUE"""),222.0)</f>
        <v>222</v>
      </c>
      <c r="N451" s="262" t="str">
        <f>IFERROR(__xludf.DUMMYFUNCTION("""COMPUTED_VALUE"""),"")</f>
        <v/>
      </c>
      <c r="O451" s="259" t="str">
        <f>IFERROR(__xludf.DUMMYFUNCTION("""COMPUTED_VALUE"""),"")</f>
        <v/>
      </c>
      <c r="P451" s="259">
        <f>IFERROR(__xludf.DUMMYFUNCTION("""COMPUTED_VALUE"""),42667.0)</f>
        <v>42667</v>
      </c>
      <c r="Q451" s="258">
        <f>IFERROR(__xludf.DUMMYFUNCTION("""COMPUTED_VALUE"""),24183.0)</f>
        <v>24183</v>
      </c>
      <c r="R451" s="261">
        <f>IFERROR(__xludf.DUMMYFUNCTION("""COMPUTED_VALUE"""),383.0)</f>
        <v>383</v>
      </c>
      <c r="S451" s="258">
        <v>395.0</v>
      </c>
      <c r="T451" s="263">
        <v>0.9696202531645569</v>
      </c>
      <c r="U451" s="264">
        <v>15027.0</v>
      </c>
      <c r="V451" s="265">
        <v>24183.0</v>
      </c>
      <c r="W451" s="264">
        <v>15027.0</v>
      </c>
      <c r="X451" s="266" t="str">
        <f>IFERROR(__xludf.DUMMYFUNCTION("""COMPUTED_VALUE"""),"realStarman")</f>
        <v>realStarman</v>
      </c>
      <c r="Y451" s="267">
        <v>-0.01</v>
      </c>
      <c r="Z451" s="267">
        <v>0.9714434777590001</v>
      </c>
      <c r="AA451" s="269"/>
      <c r="AB451" s="270"/>
      <c r="AC451" s="270"/>
      <c r="AD451" s="270"/>
      <c r="AE451" s="270"/>
    </row>
    <row r="452">
      <c r="A452" s="256">
        <f>IFERROR(__xludf.DUMMYFUNCTION("""COMPUTED_VALUE"""),42899.54722222222)</f>
        <v>42899.54722</v>
      </c>
      <c r="B452" s="257" t="str">
        <f>IFERROR(__xludf.DUMMYFUNCTION("""COMPUTED_VALUE"""),"Fuelman")</f>
        <v>Fuelman</v>
      </c>
      <c r="C452" s="258" t="str">
        <f>IFERROR(__xludf.DUMMYFUNCTION("""COMPUTED_VALUE"""),"Europe (excluding UK) &amp; Asia Pacific")</f>
        <v>Europe (excluding UK) &amp; Asia Pacific</v>
      </c>
      <c r="D452" s="258" t="str">
        <f>IFERROR(__xludf.DUMMYFUNCTION("""COMPUTED_VALUE"""),"km. My car displays range in kilometres and I will enter all range numbers in kilometres.")</f>
        <v>km. My car displays range in kilometres and I will enter all range numbers in kilometres.</v>
      </c>
      <c r="E452" s="259">
        <f>IFERROR(__xludf.DUMMYFUNCTION("""COMPUTED_VALUE"""),41986.0)</f>
        <v>41986</v>
      </c>
      <c r="F452" s="258" t="str">
        <f>IFERROR(__xludf.DUMMYFUNCTION("""COMPUTED_VALUE"""),"Model S 85")</f>
        <v>Model S 85</v>
      </c>
      <c r="G452" s="258" t="str">
        <f>IFERROR(__xludf.DUMMYFUNCTION("""COMPUTED_VALUE"""),"A few times a year")</f>
        <v>A few times a year</v>
      </c>
      <c r="H452" s="258" t="str">
        <f>IFERROR(__xludf.DUMMYFUNCTION("""COMPUTED_VALUE"""),"Once or twice a year")</f>
        <v>Once or twice a year</v>
      </c>
      <c r="I452" s="258" t="str">
        <f>IFERROR(__xludf.DUMMYFUNCTION("""COMPUTED_VALUE"""),"A few times a year")</f>
        <v>A few times a year</v>
      </c>
      <c r="J452" s="260">
        <f>IFERROR(__xludf.DUMMYFUNCTION("""COMPUTED_VALUE"""),0.8)</f>
        <v>0.8</v>
      </c>
      <c r="K452" s="258" t="str">
        <f>IFERROR(__xludf.DUMMYFUNCTION("""COMPUTED_VALUE"""),"")</f>
        <v/>
      </c>
      <c r="L452" s="258" t="str">
        <f>IFERROR(__xludf.DUMMYFUNCTION("""COMPUTED_VALUE"""),"")</f>
        <v/>
      </c>
      <c r="M452" s="261">
        <f>IFERROR(__xludf.DUMMYFUNCTION("""COMPUTED_VALUE"""),224.0)</f>
        <v>224</v>
      </c>
      <c r="N452" s="262" t="str">
        <f>IFERROR(__xludf.DUMMYFUNCTION("""COMPUTED_VALUE"""),"")</f>
        <v/>
      </c>
      <c r="O452" s="259" t="str">
        <f>IFERROR(__xludf.DUMMYFUNCTION("""COMPUTED_VALUE"""),"")</f>
        <v/>
      </c>
      <c r="P452" s="259">
        <f>IFERROR(__xludf.DUMMYFUNCTION("""COMPUTED_VALUE"""),42899.0)</f>
        <v>42899</v>
      </c>
      <c r="Q452" s="258">
        <f>IFERROR(__xludf.DUMMYFUNCTION("""COMPUTED_VALUE"""),30287.0)</f>
        <v>30287</v>
      </c>
      <c r="R452" s="261">
        <f>IFERROR(__xludf.DUMMYFUNCTION("""COMPUTED_VALUE"""),378.0)</f>
        <v>378</v>
      </c>
      <c r="S452" s="258">
        <v>395.0</v>
      </c>
      <c r="T452" s="263">
        <v>0.9569620253164557</v>
      </c>
      <c r="U452" s="264">
        <v>18819.0</v>
      </c>
      <c r="V452" s="265">
        <v>30287.0</v>
      </c>
      <c r="W452" s="264">
        <v>18819.0</v>
      </c>
      <c r="X452" s="266" t="str">
        <f>IFERROR(__xludf.DUMMYFUNCTION("""COMPUTED_VALUE"""),"Rebkas")</f>
        <v>Rebkas</v>
      </c>
      <c r="Y452" s="267">
        <v>-0.01</v>
      </c>
      <c r="Z452" s="267">
        <v>0.9678064572418945</v>
      </c>
      <c r="AA452" s="269"/>
      <c r="AB452" s="270"/>
      <c r="AC452" s="270"/>
      <c r="AD452" s="270"/>
      <c r="AE452" s="270"/>
    </row>
    <row r="453">
      <c r="A453" s="256">
        <f>IFERROR(__xludf.DUMMYFUNCTION("""COMPUTED_VALUE"""),41917.02777777778)</f>
        <v>41917.02778</v>
      </c>
      <c r="B453" s="257" t="str">
        <f>IFERROR(__xludf.DUMMYFUNCTION("""COMPUTED_VALUE"""),"FVO")</f>
        <v>FVO</v>
      </c>
      <c r="C453" s="258" t="str">
        <f>IFERROR(__xludf.DUMMYFUNCTION("""COMPUTED_VALUE"""),"Europe (excluding UK) &amp; Asia Pacific")</f>
        <v>Europe (excluding UK) &amp; Asia Pacific</v>
      </c>
      <c r="D453" s="258" t="str">
        <f>IFERROR(__xludf.DUMMYFUNCTION("""COMPUTED_VALUE"""),"km. My car displays range in kilometres and I will enter all range numbers in kilometres.")</f>
        <v>km. My car displays range in kilometres and I will enter all range numbers in kilometres.</v>
      </c>
      <c r="E453" s="259">
        <f>IFERROR(__xludf.DUMMYFUNCTION("""COMPUTED_VALUE"""),41598.0)</f>
        <v>41598</v>
      </c>
      <c r="F453" s="258" t="str">
        <f>IFERROR(__xludf.DUMMYFUNCTION("""COMPUTED_VALUE"""),"Model S 85")</f>
        <v>Model S 85</v>
      </c>
      <c r="G453" s="258" t="str">
        <f>IFERROR(__xludf.DUMMYFUNCTION("""COMPUTED_VALUE"""),"Monthly")</f>
        <v>Monthly</v>
      </c>
      <c r="H453" s="258" t="str">
        <f>IFERROR(__xludf.DUMMYFUNCTION("""COMPUTED_VALUE"""),"A few times a year")</f>
        <v>A few times a year</v>
      </c>
      <c r="I453" s="258" t="str">
        <f>IFERROR(__xludf.DUMMYFUNCTION("""COMPUTED_VALUE"""),"A few times a year")</f>
        <v>A few times a year</v>
      </c>
      <c r="J453" s="260" t="str">
        <f>IFERROR(__xludf.DUMMYFUNCTION("""COMPUTED_VALUE"""),"")</f>
        <v/>
      </c>
      <c r="K453" s="258" t="str">
        <f>IFERROR(__xludf.DUMMYFUNCTION("""COMPUTED_VALUE"""),"")</f>
        <v/>
      </c>
      <c r="L453" s="258" t="str">
        <f>IFERROR(__xludf.DUMMYFUNCTION("""COMPUTED_VALUE"""),"")</f>
        <v/>
      </c>
      <c r="M453" s="261">
        <f>IFERROR(__xludf.DUMMYFUNCTION("""COMPUTED_VALUE"""),209.0)</f>
        <v>209</v>
      </c>
      <c r="N453" s="262" t="str">
        <f>IFERROR(__xludf.DUMMYFUNCTION("""COMPUTED_VALUE"""),"")</f>
        <v/>
      </c>
      <c r="O453" s="259" t="str">
        <f>IFERROR(__xludf.DUMMYFUNCTION("""COMPUTED_VALUE"""),"")</f>
        <v/>
      </c>
      <c r="P453" s="259">
        <f>IFERROR(__xludf.DUMMYFUNCTION("""COMPUTED_VALUE"""),41917.0)</f>
        <v>41917</v>
      </c>
      <c r="Q453" s="258">
        <f>IFERROR(__xludf.DUMMYFUNCTION("""COMPUTED_VALUE"""),27000.0)</f>
        <v>27000</v>
      </c>
      <c r="R453" s="261">
        <f>IFERROR(__xludf.DUMMYFUNCTION("""COMPUTED_VALUE"""),382.0)</f>
        <v>382</v>
      </c>
      <c r="S453" s="258">
        <v>395.0</v>
      </c>
      <c r="T453" s="263">
        <v>0.9670886075949368</v>
      </c>
      <c r="U453" s="264">
        <v>16777.0</v>
      </c>
      <c r="V453" s="265">
        <v>27000.0</v>
      </c>
      <c r="W453" s="264">
        <v>16777.0</v>
      </c>
      <c r="X453" s="266" t="str">
        <f>IFERROR(__xludf.DUMMYFUNCTION("""COMPUTED_VALUE"""),"RED")</f>
        <v>RED</v>
      </c>
      <c r="Y453" s="267">
        <v>-0.01</v>
      </c>
      <c r="Z453" s="267">
        <v>0.9696665000394786</v>
      </c>
      <c r="AA453" s="269"/>
      <c r="AB453" s="270"/>
      <c r="AC453" s="270"/>
      <c r="AD453" s="270"/>
      <c r="AE453" s="270"/>
    </row>
    <row r="454">
      <c r="A454" s="256">
        <f>IFERROR(__xludf.DUMMYFUNCTION("""COMPUTED_VALUE"""),42125.11111111111)</f>
        <v>42125.11111</v>
      </c>
      <c r="B454" s="257" t="str">
        <f>IFERROR(__xludf.DUMMYFUNCTION("""COMPUTED_VALUE"""),"FVO")</f>
        <v>FVO</v>
      </c>
      <c r="C454" s="258" t="str">
        <f>IFERROR(__xludf.DUMMYFUNCTION("""COMPUTED_VALUE"""),"Europe (excluding UK) &amp; Asia Pacific")</f>
        <v>Europe (excluding UK) &amp; Asia Pacific</v>
      </c>
      <c r="D454" s="258" t="str">
        <f>IFERROR(__xludf.DUMMYFUNCTION("""COMPUTED_VALUE"""),"km. My car displays range in kilometres and I will enter all range numbers in kilometres.")</f>
        <v>km. My car displays range in kilometres and I will enter all range numbers in kilometres.</v>
      </c>
      <c r="E454" s="259">
        <f>IFERROR(__xludf.DUMMYFUNCTION("""COMPUTED_VALUE"""),41599.0)</f>
        <v>41599</v>
      </c>
      <c r="F454" s="258" t="str">
        <f>IFERROR(__xludf.DUMMYFUNCTION("""COMPUTED_VALUE"""),"Model S 85")</f>
        <v>Model S 85</v>
      </c>
      <c r="G454" s="258" t="str">
        <f>IFERROR(__xludf.DUMMYFUNCTION("""COMPUTED_VALUE"""),"Monthly")</f>
        <v>Monthly</v>
      </c>
      <c r="H454" s="258" t="str">
        <f>IFERROR(__xludf.DUMMYFUNCTION("""COMPUTED_VALUE"""),"Once or twice a year")</f>
        <v>Once or twice a year</v>
      </c>
      <c r="I454" s="258" t="str">
        <f>IFERROR(__xludf.DUMMYFUNCTION("""COMPUTED_VALUE"""),"Once or twice a year")</f>
        <v>Once or twice a year</v>
      </c>
      <c r="J454" s="260">
        <f>IFERROR(__xludf.DUMMYFUNCTION("""COMPUTED_VALUE"""),0.8)</f>
        <v>0.8</v>
      </c>
      <c r="K454" s="258" t="str">
        <f>IFERROR(__xludf.DUMMYFUNCTION("""COMPUTED_VALUE"""),"")</f>
        <v/>
      </c>
      <c r="L454" s="258" t="str">
        <f>IFERROR(__xludf.DUMMYFUNCTION("""COMPUTED_VALUE"""),"")</f>
        <v/>
      </c>
      <c r="M454" s="261">
        <f>IFERROR(__xludf.DUMMYFUNCTION("""COMPUTED_VALUE"""),211.0)</f>
        <v>211</v>
      </c>
      <c r="N454" s="262" t="str">
        <f>IFERROR(__xludf.DUMMYFUNCTION("""COMPUTED_VALUE"""),"")</f>
        <v/>
      </c>
      <c r="O454" s="259" t="str">
        <f>IFERROR(__xludf.DUMMYFUNCTION("""COMPUTED_VALUE"""),"")</f>
        <v/>
      </c>
      <c r="P454" s="259">
        <f>IFERROR(__xludf.DUMMYFUNCTION("""COMPUTED_VALUE"""),42125.0)</f>
        <v>42125</v>
      </c>
      <c r="Q454" s="258">
        <f>IFERROR(__xludf.DUMMYFUNCTION("""COMPUTED_VALUE"""),36800.0)</f>
        <v>36800</v>
      </c>
      <c r="R454" s="261">
        <f>IFERROR(__xludf.DUMMYFUNCTION("""COMPUTED_VALUE"""),380.0)</f>
        <v>380</v>
      </c>
      <c r="S454" s="258">
        <v>395.0</v>
      </c>
      <c r="T454" s="263">
        <v>0.9620253164556962</v>
      </c>
      <c r="U454" s="264">
        <v>22866.0</v>
      </c>
      <c r="V454" s="265">
        <v>36800.0</v>
      </c>
      <c r="W454" s="264">
        <v>22866.0</v>
      </c>
      <c r="X454" s="266" t="str">
        <f>IFERROR(__xludf.DUMMYFUNCTION("""COMPUTED_VALUE"""),"RED_DS75")</f>
        <v>RED_DS75</v>
      </c>
      <c r="Y454" s="267">
        <v>-0.01</v>
      </c>
      <c r="Z454" s="267">
        <v>0.9646548250844915</v>
      </c>
      <c r="AA454" s="269"/>
      <c r="AB454" s="270"/>
      <c r="AC454" s="270"/>
      <c r="AD454" s="270"/>
      <c r="AE454" s="270"/>
    </row>
    <row r="455">
      <c r="A455" s="256">
        <f>IFERROR(__xludf.DUMMYFUNCTION("""COMPUTED_VALUE"""),42350.24375)</f>
        <v>42350.24375</v>
      </c>
      <c r="B455" s="257" t="str">
        <f>IFERROR(__xludf.DUMMYFUNCTION("""COMPUTED_VALUE"""),"FVO")</f>
        <v>FVO</v>
      </c>
      <c r="C455" s="258" t="str">
        <f>IFERROR(__xludf.DUMMYFUNCTION("""COMPUTED_VALUE"""),"Europe (excluding UK) &amp; Asia Pacific")</f>
        <v>Europe (excluding UK) &amp; Asia Pacific</v>
      </c>
      <c r="D455" s="258" t="str">
        <f>IFERROR(__xludf.DUMMYFUNCTION("""COMPUTED_VALUE"""),"km. My car displays range in kilometres and I will enter all range numbers in kilometres.")</f>
        <v>km. My car displays range in kilometres and I will enter all range numbers in kilometres.</v>
      </c>
      <c r="E455" s="259">
        <f>IFERROR(__xludf.DUMMYFUNCTION("""COMPUTED_VALUE"""),41534.0)</f>
        <v>41534</v>
      </c>
      <c r="F455" s="258" t="str">
        <f>IFERROR(__xludf.DUMMYFUNCTION("""COMPUTED_VALUE"""),"Model S 85")</f>
        <v>Model S 85</v>
      </c>
      <c r="G455" s="258" t="str">
        <f>IFERROR(__xludf.DUMMYFUNCTION("""COMPUTED_VALUE"""),"A few times a year")</f>
        <v>A few times a year</v>
      </c>
      <c r="H455" s="258" t="str">
        <f>IFERROR(__xludf.DUMMYFUNCTION("""COMPUTED_VALUE"""),"Once or twice a year")</f>
        <v>Once or twice a year</v>
      </c>
      <c r="I455" s="258" t="str">
        <f>IFERROR(__xludf.DUMMYFUNCTION("""COMPUTED_VALUE"""),"A few times a year")</f>
        <v>A few times a year</v>
      </c>
      <c r="J455" s="260">
        <f>IFERROR(__xludf.DUMMYFUNCTION("""COMPUTED_VALUE"""),0.8)</f>
        <v>0.8</v>
      </c>
      <c r="K455" s="258">
        <f>IFERROR(__xludf.DUMMYFUNCTION("""COMPUTED_VALUE"""),390.0)</f>
        <v>390</v>
      </c>
      <c r="L455" s="258" t="str">
        <f>IFERROR(__xludf.DUMMYFUNCTION("""COMPUTED_VALUE"""),"")</f>
        <v/>
      </c>
      <c r="M455" s="261">
        <f>IFERROR(__xludf.DUMMYFUNCTION("""COMPUTED_VALUE"""),210.0)</f>
        <v>210</v>
      </c>
      <c r="N455" s="262" t="str">
        <f>IFERROR(__xludf.DUMMYFUNCTION("""COMPUTED_VALUE"""),"")</f>
        <v/>
      </c>
      <c r="O455" s="259" t="str">
        <f>IFERROR(__xludf.DUMMYFUNCTION("""COMPUTED_VALUE"""),"")</f>
        <v/>
      </c>
      <c r="P455" s="259">
        <f>IFERROR(__xludf.DUMMYFUNCTION("""COMPUTED_VALUE"""),42350.0)</f>
        <v>42350</v>
      </c>
      <c r="Q455" s="258">
        <f>IFERROR(__xludf.DUMMYFUNCTION("""COMPUTED_VALUE"""),52850.0)</f>
        <v>52850</v>
      </c>
      <c r="R455" s="261">
        <f>IFERROR(__xludf.DUMMYFUNCTION("""COMPUTED_VALUE"""),366.0)</f>
        <v>366</v>
      </c>
      <c r="S455" s="258">
        <v>395.0</v>
      </c>
      <c r="T455" s="263">
        <v>0.9265822784810127</v>
      </c>
      <c r="U455" s="264">
        <v>32839.0</v>
      </c>
      <c r="V455" s="265">
        <v>52850.0</v>
      </c>
      <c r="W455" s="264">
        <v>32839.0</v>
      </c>
      <c r="X455" s="266" t="str">
        <f>IFERROR(__xludf.DUMMYFUNCTION("""COMPUTED_VALUE"""),"redevries")</f>
        <v>redevries</v>
      </c>
      <c r="Y455" s="267">
        <v>-0.01</v>
      </c>
      <c r="Z455" s="267">
        <v>0.9587791108732785</v>
      </c>
      <c r="AA455" s="269"/>
      <c r="AB455" s="270"/>
      <c r="AC455" s="270"/>
      <c r="AD455" s="270"/>
      <c r="AE455" s="270"/>
    </row>
    <row r="456">
      <c r="A456" s="256">
        <f>IFERROR(__xludf.DUMMYFUNCTION("""COMPUTED_VALUE"""),42402.28055555555)</f>
        <v>42402.28056</v>
      </c>
      <c r="B456" s="257" t="str">
        <f>IFERROR(__xludf.DUMMYFUNCTION("""COMPUTED_VALUE"""),"FVO")</f>
        <v>FVO</v>
      </c>
      <c r="C456" s="258" t="str">
        <f>IFERROR(__xludf.DUMMYFUNCTION("""COMPUTED_VALUE"""),"Europe (excluding UK) &amp; Asia Pacific")</f>
        <v>Europe (excluding UK) &amp; Asia Pacific</v>
      </c>
      <c r="D456" s="258" t="str">
        <f>IFERROR(__xludf.DUMMYFUNCTION("""COMPUTED_VALUE"""),"km. My car displays range in kilometres and I will enter all range numbers in kilometres.")</f>
        <v>km. My car displays range in kilometres and I will enter all range numbers in kilometres.</v>
      </c>
      <c r="E456" s="259">
        <f>IFERROR(__xludf.DUMMYFUNCTION("""COMPUTED_VALUE"""),41598.0)</f>
        <v>41598</v>
      </c>
      <c r="F456" s="258" t="str">
        <f>IFERROR(__xludf.DUMMYFUNCTION("""COMPUTED_VALUE"""),"Model S 85")</f>
        <v>Model S 85</v>
      </c>
      <c r="G456" s="258" t="str">
        <f>IFERROR(__xludf.DUMMYFUNCTION("""COMPUTED_VALUE"""),"A few times a year")</f>
        <v>A few times a year</v>
      </c>
      <c r="H456" s="258" t="str">
        <f>IFERROR(__xludf.DUMMYFUNCTION("""COMPUTED_VALUE"""),"A few times a year")</f>
        <v>A few times a year</v>
      </c>
      <c r="I456" s="258" t="str">
        <f>IFERROR(__xludf.DUMMYFUNCTION("""COMPUTED_VALUE"""),"Once or twice a year")</f>
        <v>Once or twice a year</v>
      </c>
      <c r="J456" s="260">
        <f>IFERROR(__xludf.DUMMYFUNCTION("""COMPUTED_VALUE"""),0.8)</f>
        <v>0.8</v>
      </c>
      <c r="K456" s="258">
        <f>IFERROR(__xludf.DUMMYFUNCTION("""COMPUTED_VALUE"""),387.0)</f>
        <v>387</v>
      </c>
      <c r="L456" s="258" t="str">
        <f>IFERROR(__xludf.DUMMYFUNCTION("""COMPUTED_VALUE"""),"")</f>
        <v/>
      </c>
      <c r="M456" s="261">
        <f>IFERROR(__xludf.DUMMYFUNCTION("""COMPUTED_VALUE"""),211.0)</f>
        <v>211</v>
      </c>
      <c r="N456" s="262" t="str">
        <f>IFERROR(__xludf.DUMMYFUNCTION("""COMPUTED_VALUE"""),"")</f>
        <v/>
      </c>
      <c r="O456" s="259" t="str">
        <f>IFERROR(__xludf.DUMMYFUNCTION("""COMPUTED_VALUE"""),"")</f>
        <v/>
      </c>
      <c r="P456" s="259">
        <f>IFERROR(__xludf.DUMMYFUNCTION("""COMPUTED_VALUE"""),42402.0)</f>
        <v>42402</v>
      </c>
      <c r="Q456" s="258">
        <f>IFERROR(__xludf.DUMMYFUNCTION("""COMPUTED_VALUE"""),58000.0)</f>
        <v>58000</v>
      </c>
      <c r="R456" s="261">
        <f>IFERROR(__xludf.DUMMYFUNCTION("""COMPUTED_VALUE"""),374.0)</f>
        <v>374</v>
      </c>
      <c r="S456" s="258">
        <v>395.0</v>
      </c>
      <c r="T456" s="263">
        <v>0.9468354430379747</v>
      </c>
      <c r="U456" s="264">
        <v>36040.0</v>
      </c>
      <c r="V456" s="265">
        <v>58000.0</v>
      </c>
      <c r="W456" s="264">
        <v>36040.0</v>
      </c>
      <c r="X456" s="266" t="str">
        <f>IFERROR(__xludf.DUMMYFUNCTION("""COMPUTED_VALUE"""),"reiter@lav.at")</f>
        <v>reiter@lav.at</v>
      </c>
      <c r="Y456" s="267">
        <v>-0.01</v>
      </c>
      <c r="Z456" s="267">
        <v>0.957226618669855</v>
      </c>
      <c r="AA456" s="269"/>
      <c r="AB456" s="270"/>
      <c r="AC456" s="270"/>
      <c r="AD456" s="270"/>
      <c r="AE456" s="270"/>
    </row>
    <row r="457">
      <c r="A457" s="256">
        <f>IFERROR(__xludf.DUMMYFUNCTION("""COMPUTED_VALUE"""),42604.384722222225)</f>
        <v>42604.38472</v>
      </c>
      <c r="B457" s="257" t="str">
        <f>IFERROR(__xludf.DUMMYFUNCTION("""COMPUTED_VALUE"""),"FVO")</f>
        <v>FVO</v>
      </c>
      <c r="C457" s="258" t="str">
        <f>IFERROR(__xludf.DUMMYFUNCTION("""COMPUTED_VALUE"""),"Europe (excluding UK) &amp; Asia Pacific")</f>
        <v>Europe (excluding UK) &amp; Asia Pacific</v>
      </c>
      <c r="D457" s="258" t="str">
        <f>IFERROR(__xludf.DUMMYFUNCTION("""COMPUTED_VALUE"""),"km. My car displays range in kilometres and I will enter all range numbers in kilometres.")</f>
        <v>km. My car displays range in kilometres and I will enter all range numbers in kilometres.</v>
      </c>
      <c r="E457" s="259">
        <f>IFERROR(__xludf.DUMMYFUNCTION("""COMPUTED_VALUE"""),41598.0)</f>
        <v>41598</v>
      </c>
      <c r="F457" s="258" t="str">
        <f>IFERROR(__xludf.DUMMYFUNCTION("""COMPUTED_VALUE"""),"Model S 85")</f>
        <v>Model S 85</v>
      </c>
      <c r="G457" s="258" t="str">
        <f>IFERROR(__xludf.DUMMYFUNCTION("""COMPUTED_VALUE"""),"Twice a month")</f>
        <v>Twice a month</v>
      </c>
      <c r="H457" s="258" t="str">
        <f>IFERROR(__xludf.DUMMYFUNCTION("""COMPUTED_VALUE"""),"A few times a year")</f>
        <v>A few times a year</v>
      </c>
      <c r="I457" s="258" t="str">
        <f>IFERROR(__xludf.DUMMYFUNCTION("""COMPUTED_VALUE"""),"Once or twice a year")</f>
        <v>Once or twice a year</v>
      </c>
      <c r="J457" s="260">
        <f>IFERROR(__xludf.DUMMYFUNCTION("""COMPUTED_VALUE"""),0.8)</f>
        <v>0.8</v>
      </c>
      <c r="K457" s="258">
        <f>IFERROR(__xludf.DUMMYFUNCTION("""COMPUTED_VALUE"""),392.0)</f>
        <v>392</v>
      </c>
      <c r="L457" s="258" t="str">
        <f>IFERROR(__xludf.DUMMYFUNCTION("""COMPUTED_VALUE"""),"")</f>
        <v/>
      </c>
      <c r="M457" s="261">
        <f>IFERROR(__xludf.DUMMYFUNCTION("""COMPUTED_VALUE"""),210.0)</f>
        <v>210</v>
      </c>
      <c r="N457" s="262" t="str">
        <f>IFERROR(__xludf.DUMMYFUNCTION("""COMPUTED_VALUE"""),"")</f>
        <v/>
      </c>
      <c r="O457" s="259" t="str">
        <f>IFERROR(__xludf.DUMMYFUNCTION("""COMPUTED_VALUE"""),"")</f>
        <v/>
      </c>
      <c r="P457" s="259">
        <f>IFERROR(__xludf.DUMMYFUNCTION("""COMPUTED_VALUE"""),42604.0)</f>
        <v>42604</v>
      </c>
      <c r="Q457" s="258">
        <f>IFERROR(__xludf.DUMMYFUNCTION("""COMPUTED_VALUE"""),74000.0)</f>
        <v>74000</v>
      </c>
      <c r="R457" s="261">
        <f>IFERROR(__xludf.DUMMYFUNCTION("""COMPUTED_VALUE"""),381.0)</f>
        <v>381</v>
      </c>
      <c r="S457" s="258">
        <v>395.0</v>
      </c>
      <c r="T457" s="263">
        <v>0.9645569620253165</v>
      </c>
      <c r="U457" s="264">
        <v>45981.0</v>
      </c>
      <c r="V457" s="265">
        <v>74000.0</v>
      </c>
      <c r="W457" s="264">
        <v>45981.0</v>
      </c>
      <c r="X457" s="266" t="str">
        <f>IFERROR(__xludf.DUMMYFUNCTION("""COMPUTED_VALUE"""),"ReNe")</f>
        <v>ReNe</v>
      </c>
      <c r="Y457" s="267">
        <v>-0.01</v>
      </c>
      <c r="Z457" s="267">
        <v>0.9529036917010625</v>
      </c>
      <c r="AA457" s="269"/>
      <c r="AB457" s="270"/>
      <c r="AC457" s="270"/>
      <c r="AD457" s="270"/>
      <c r="AE457" s="270"/>
    </row>
    <row r="458">
      <c r="A458" s="256">
        <f>IFERROR(__xludf.DUMMYFUNCTION("""COMPUTED_VALUE"""),42793.506944444445)</f>
        <v>42793.50694</v>
      </c>
      <c r="B458" s="257" t="str">
        <f>IFERROR(__xludf.DUMMYFUNCTION("""COMPUTED_VALUE"""),"FVO")</f>
        <v>FVO</v>
      </c>
      <c r="C458" s="258" t="str">
        <f>IFERROR(__xludf.DUMMYFUNCTION("""COMPUTED_VALUE"""),"Europe (excluding UK) &amp; Asia Pacific")</f>
        <v>Europe (excluding UK) &amp; Asia Pacific</v>
      </c>
      <c r="D458" s="258" t="str">
        <f>IFERROR(__xludf.DUMMYFUNCTION("""COMPUTED_VALUE"""),"km. My car displays range in kilometres and I will enter all range numbers in kilometres.")</f>
        <v>km. My car displays range in kilometres and I will enter all range numbers in kilometres.</v>
      </c>
      <c r="E458" s="259">
        <f>IFERROR(__xludf.DUMMYFUNCTION("""COMPUTED_VALUE"""),41534.0)</f>
        <v>41534</v>
      </c>
      <c r="F458" s="258" t="str">
        <f>IFERROR(__xludf.DUMMYFUNCTION("""COMPUTED_VALUE"""),"Model S 85")</f>
        <v>Model S 85</v>
      </c>
      <c r="G458" s="258" t="str">
        <f>IFERROR(__xludf.DUMMYFUNCTION("""COMPUTED_VALUE"""),"Monthly")</f>
        <v>Monthly</v>
      </c>
      <c r="H458" s="258" t="str">
        <f>IFERROR(__xludf.DUMMYFUNCTION("""COMPUTED_VALUE"""),"A few times a year")</f>
        <v>A few times a year</v>
      </c>
      <c r="I458" s="258" t="str">
        <f>IFERROR(__xludf.DUMMYFUNCTION("""COMPUTED_VALUE"""),"Once or twice a year")</f>
        <v>Once or twice a year</v>
      </c>
      <c r="J458" s="260">
        <f>IFERROR(__xludf.DUMMYFUNCTION("""COMPUTED_VALUE"""),0.8)</f>
        <v>0.8</v>
      </c>
      <c r="K458" s="258">
        <f>IFERROR(__xludf.DUMMYFUNCTION("""COMPUTED_VALUE"""),387.0)</f>
        <v>387</v>
      </c>
      <c r="L458" s="258" t="str">
        <f>IFERROR(__xludf.DUMMYFUNCTION("""COMPUTED_VALUE"""),"")</f>
        <v/>
      </c>
      <c r="M458" s="261">
        <f>IFERROR(__xludf.DUMMYFUNCTION("""COMPUTED_VALUE"""),212.0)</f>
        <v>212</v>
      </c>
      <c r="N458" s="262" t="str">
        <f>IFERROR(__xludf.DUMMYFUNCTION("""COMPUTED_VALUE"""),"")</f>
        <v/>
      </c>
      <c r="O458" s="259" t="str">
        <f>IFERROR(__xludf.DUMMYFUNCTION("""COMPUTED_VALUE"""),"")</f>
        <v/>
      </c>
      <c r="P458" s="259">
        <f>IFERROR(__xludf.DUMMYFUNCTION("""COMPUTED_VALUE"""),42793.0)</f>
        <v>42793</v>
      </c>
      <c r="Q458" s="258">
        <f>IFERROR(__xludf.DUMMYFUNCTION("""COMPUTED_VALUE"""),85000.0)</f>
        <v>85000</v>
      </c>
      <c r="R458" s="261">
        <f>IFERROR(__xludf.DUMMYFUNCTION("""COMPUTED_VALUE"""),369.0)</f>
        <v>369</v>
      </c>
      <c r="S458" s="258">
        <v>395.0</v>
      </c>
      <c r="T458" s="263">
        <v>0.9341772151898734</v>
      </c>
      <c r="U458" s="264">
        <v>52817.0</v>
      </c>
      <c r="V458" s="265">
        <v>85000.0</v>
      </c>
      <c r="W458" s="264">
        <v>52817.0</v>
      </c>
      <c r="X458" s="266" t="str">
        <f>IFERROR(__xludf.DUMMYFUNCTION("""COMPUTED_VALUE"""),"riccardol")</f>
        <v>riccardol</v>
      </c>
      <c r="Y458" s="267">
        <v>-0.01</v>
      </c>
      <c r="Z458" s="267">
        <v>0.9501718849899705</v>
      </c>
      <c r="AA458" s="269"/>
      <c r="AB458" s="270"/>
      <c r="AC458" s="270"/>
      <c r="AD458" s="270"/>
      <c r="AE458" s="270"/>
    </row>
    <row r="459">
      <c r="A459" s="256">
        <f>IFERROR(__xludf.DUMMYFUNCTION("""COMPUTED_VALUE"""),42997.60763888889)</f>
        <v>42997.60764</v>
      </c>
      <c r="B459" s="257" t="str">
        <f>IFERROR(__xludf.DUMMYFUNCTION("""COMPUTED_VALUE"""),"FVO")</f>
        <v>FVO</v>
      </c>
      <c r="C459" s="258" t="str">
        <f>IFERROR(__xludf.DUMMYFUNCTION("""COMPUTED_VALUE"""),"Europe (excluding UK) &amp; Asia Pacific")</f>
        <v>Europe (excluding UK) &amp; Asia Pacific</v>
      </c>
      <c r="D459" s="258" t="str">
        <f>IFERROR(__xludf.DUMMYFUNCTION("""COMPUTED_VALUE"""),"km. My car displays range in kilometres and I will enter all range numbers in kilometres.")</f>
        <v>km. My car displays range in kilometres and I will enter all range numbers in kilometres.</v>
      </c>
      <c r="E459" s="259">
        <f>IFERROR(__xludf.DUMMYFUNCTION("""COMPUTED_VALUE"""),41598.0)</f>
        <v>41598</v>
      </c>
      <c r="F459" s="258" t="str">
        <f>IFERROR(__xludf.DUMMYFUNCTION("""COMPUTED_VALUE"""),"Model S 85")</f>
        <v>Model S 85</v>
      </c>
      <c r="G459" s="258" t="str">
        <f>IFERROR(__xludf.DUMMYFUNCTION("""COMPUTED_VALUE"""),"Monthly")</f>
        <v>Monthly</v>
      </c>
      <c r="H459" s="258" t="str">
        <f>IFERROR(__xludf.DUMMYFUNCTION("""COMPUTED_VALUE"""),"Monthly")</f>
        <v>Monthly</v>
      </c>
      <c r="I459" s="258" t="str">
        <f>IFERROR(__xludf.DUMMYFUNCTION("""COMPUTED_VALUE"""),"Once or twice a year")</f>
        <v>Once or twice a year</v>
      </c>
      <c r="J459" s="260">
        <f>IFERROR(__xludf.DUMMYFUNCTION("""COMPUTED_VALUE"""),0.8)</f>
        <v>0.8</v>
      </c>
      <c r="K459" s="258">
        <f>IFERROR(__xludf.DUMMYFUNCTION("""COMPUTED_VALUE"""),391.0)</f>
        <v>391</v>
      </c>
      <c r="L459" s="258" t="str">
        <f>IFERROR(__xludf.DUMMYFUNCTION("""COMPUTED_VALUE"""),"")</f>
        <v/>
      </c>
      <c r="M459" s="261">
        <f>IFERROR(__xludf.DUMMYFUNCTION("""COMPUTED_VALUE"""),209.0)</f>
        <v>209</v>
      </c>
      <c r="N459" s="262" t="str">
        <f>IFERROR(__xludf.DUMMYFUNCTION("""COMPUTED_VALUE"""),"")</f>
        <v/>
      </c>
      <c r="O459" s="259" t="str">
        <f>IFERROR(__xludf.DUMMYFUNCTION("""COMPUTED_VALUE"""),"")</f>
        <v/>
      </c>
      <c r="P459" s="259">
        <f>IFERROR(__xludf.DUMMYFUNCTION("""COMPUTED_VALUE"""),42997.0)</f>
        <v>42997</v>
      </c>
      <c r="Q459" s="258">
        <f>IFERROR(__xludf.DUMMYFUNCTION("""COMPUTED_VALUE"""),98400.0)</f>
        <v>98400</v>
      </c>
      <c r="R459" s="261">
        <f>IFERROR(__xludf.DUMMYFUNCTION("""COMPUTED_VALUE"""),371.0)</f>
        <v>371</v>
      </c>
      <c r="S459" s="258">
        <v>395.0</v>
      </c>
      <c r="T459" s="263">
        <v>0.9392405063291139</v>
      </c>
      <c r="U459" s="264">
        <v>61143.0</v>
      </c>
      <c r="V459" s="265">
        <v>98400.0</v>
      </c>
      <c r="W459" s="264">
        <v>61143.0</v>
      </c>
      <c r="X459" s="266" t="str">
        <f>IFERROR(__xludf.DUMMYFUNCTION("""COMPUTED_VALUE"""),"Rick A.")</f>
        <v>Rick A.</v>
      </c>
      <c r="Y459" s="267">
        <v>-0.01</v>
      </c>
      <c r="Z459" s="267">
        <v>0.9469635734875903</v>
      </c>
      <c r="AA459" s="269"/>
      <c r="AB459" s="270"/>
      <c r="AC459" s="270"/>
      <c r="AD459" s="270"/>
      <c r="AE459" s="270"/>
    </row>
    <row r="460">
      <c r="A460" s="256">
        <f>IFERROR(__xludf.DUMMYFUNCTION("""COMPUTED_VALUE"""),43174.70763888889)</f>
        <v>43174.70764</v>
      </c>
      <c r="B460" s="257" t="str">
        <f>IFERROR(__xludf.DUMMYFUNCTION("""COMPUTED_VALUE"""),"FVO")</f>
        <v>FVO</v>
      </c>
      <c r="C460" s="258" t="str">
        <f>IFERROR(__xludf.DUMMYFUNCTION("""COMPUTED_VALUE"""),"Europe (excluding UK) &amp; Asia Pacific")</f>
        <v>Europe (excluding UK) &amp; Asia Pacific</v>
      </c>
      <c r="D460" s="258" t="str">
        <f>IFERROR(__xludf.DUMMYFUNCTION("""COMPUTED_VALUE"""),"km. My car displays range in kilometres and I will enter all range numbers in kilometres.")</f>
        <v>km. My car displays range in kilometres and I will enter all range numbers in kilometres.</v>
      </c>
      <c r="E460" s="259">
        <f>IFERROR(__xludf.DUMMYFUNCTION("""COMPUTED_VALUE"""),41601.0)</f>
        <v>41601</v>
      </c>
      <c r="F460" s="258" t="str">
        <f>IFERROR(__xludf.DUMMYFUNCTION("""COMPUTED_VALUE"""),"Model S 85")</f>
        <v>Model S 85</v>
      </c>
      <c r="G460" s="258" t="str">
        <f>IFERROR(__xludf.DUMMYFUNCTION("""COMPUTED_VALUE"""),"A few times a year")</f>
        <v>A few times a year</v>
      </c>
      <c r="H460" s="258" t="str">
        <f>IFERROR(__xludf.DUMMYFUNCTION("""COMPUTED_VALUE"""),"A few times a year")</f>
        <v>A few times a year</v>
      </c>
      <c r="I460" s="258" t="str">
        <f>IFERROR(__xludf.DUMMYFUNCTION("""COMPUTED_VALUE"""),"Once or twice a year")</f>
        <v>Once or twice a year</v>
      </c>
      <c r="J460" s="260">
        <f>IFERROR(__xludf.DUMMYFUNCTION("""COMPUTED_VALUE"""),0.8)</f>
        <v>0.8</v>
      </c>
      <c r="K460" s="258">
        <f>IFERROR(__xludf.DUMMYFUNCTION("""COMPUTED_VALUE"""),398.0)</f>
        <v>398</v>
      </c>
      <c r="L460" s="258" t="str">
        <f>IFERROR(__xludf.DUMMYFUNCTION("""COMPUTED_VALUE"""),"")</f>
        <v/>
      </c>
      <c r="M460" s="261">
        <f>IFERROR(__xludf.DUMMYFUNCTION("""COMPUTED_VALUE"""),209.0)</f>
        <v>209</v>
      </c>
      <c r="N460" s="262" t="str">
        <f>IFERROR(__xludf.DUMMYFUNCTION("""COMPUTED_VALUE"""),"")</f>
        <v/>
      </c>
      <c r="O460" s="259" t="str">
        <f>IFERROR(__xludf.DUMMYFUNCTION("""COMPUTED_VALUE"""),"")</f>
        <v/>
      </c>
      <c r="P460" s="259">
        <f>IFERROR(__xludf.DUMMYFUNCTION("""COMPUTED_VALUE"""),43174.0)</f>
        <v>43174</v>
      </c>
      <c r="Q460" s="258">
        <f>IFERROR(__xludf.DUMMYFUNCTION("""COMPUTED_VALUE"""),113500.0)</f>
        <v>113500</v>
      </c>
      <c r="R460" s="261">
        <f>IFERROR(__xludf.DUMMYFUNCTION("""COMPUTED_VALUE"""),373.0)</f>
        <v>373</v>
      </c>
      <c r="S460" s="258">
        <v>395.0</v>
      </c>
      <c r="T460" s="263">
        <v>0.9443037974683545</v>
      </c>
      <c r="U460" s="264">
        <v>70526.0</v>
      </c>
      <c r="V460" s="265">
        <v>113500.0</v>
      </c>
      <c r="W460" s="264">
        <v>70526.0</v>
      </c>
      <c r="X460" s="266" t="str">
        <f>IFERROR(__xludf.DUMMYFUNCTION("""COMPUTED_VALUE"""),"rjseaman")</f>
        <v>rjseaman</v>
      </c>
      <c r="Y460" s="267">
        <v>-0.01</v>
      </c>
      <c r="Z460" s="267">
        <v>0.9434225188490186</v>
      </c>
      <c r="AA460" s="269"/>
      <c r="AB460" s="270"/>
      <c r="AC460" s="270"/>
      <c r="AD460" s="270"/>
      <c r="AE460" s="270"/>
    </row>
    <row r="461">
      <c r="A461" s="256">
        <f>IFERROR(__xludf.DUMMYFUNCTION("""COMPUTED_VALUE"""),42930.84375)</f>
        <v>42930.84375</v>
      </c>
      <c r="B461" s="257" t="str">
        <f>IFERROR(__xludf.DUMMYFUNCTION("""COMPUTED_VALUE"""),"Gabeincal")</f>
        <v>Gabeincal</v>
      </c>
      <c r="C461" s="258" t="str">
        <f>IFERROR(__xludf.DUMMYFUNCTION("""COMPUTED_VALUE"""),"USA")</f>
        <v>USA</v>
      </c>
      <c r="D461" s="258" t="str">
        <f>IFERROR(__xludf.DUMMYFUNCTION("""COMPUTED_VALUE"""),"mi. My car displays range in miles and I will enter all range numbers in miles.")</f>
        <v>mi. My car displays range in miles and I will enter all range numbers in miles.</v>
      </c>
      <c r="E461" s="259">
        <f>IFERROR(__xludf.DUMMYFUNCTION("""COMPUTED_VALUE"""),42548.0)</f>
        <v>42548</v>
      </c>
      <c r="F461" s="258" t="str">
        <f>IFERROR(__xludf.DUMMYFUNCTION("""COMPUTED_VALUE"""),"Model S 75")</f>
        <v>Model S 75</v>
      </c>
      <c r="G461" s="258" t="str">
        <f>IFERROR(__xludf.DUMMYFUNCTION("""COMPUTED_VALUE"""),"Weekly")</f>
        <v>Weekly</v>
      </c>
      <c r="H461" s="258" t="str">
        <f>IFERROR(__xludf.DUMMYFUNCTION("""COMPUTED_VALUE"""),"Monthly")</f>
        <v>Monthly</v>
      </c>
      <c r="I461" s="258" t="str">
        <f>IFERROR(__xludf.DUMMYFUNCTION("""COMPUTED_VALUE"""),"Once or twice a year")</f>
        <v>Once or twice a year</v>
      </c>
      <c r="J461" s="260">
        <f>IFERROR(__xludf.DUMMYFUNCTION("""COMPUTED_VALUE"""),0.8)</f>
        <v>0.8</v>
      </c>
      <c r="K461" s="258" t="str">
        <f>IFERROR(__xludf.DUMMYFUNCTION("""COMPUTED_VALUE"""),"")</f>
        <v/>
      </c>
      <c r="L461" s="258" t="str">
        <f>IFERROR(__xludf.DUMMYFUNCTION("""COMPUTED_VALUE"""),"")</f>
        <v/>
      </c>
      <c r="M461" s="261">
        <f>IFERROR(__xludf.DUMMYFUNCTION("""COMPUTED_VALUE"""),286.0)</f>
        <v>286</v>
      </c>
      <c r="N461" s="262" t="str">
        <f>IFERROR(__xludf.DUMMYFUNCTION("""COMPUTED_VALUE"""),"")</f>
        <v/>
      </c>
      <c r="O461" s="259" t="str">
        <f>IFERROR(__xludf.DUMMYFUNCTION("""COMPUTED_VALUE"""),"")</f>
        <v/>
      </c>
      <c r="P461" s="259">
        <f>IFERROR(__xludf.DUMMYFUNCTION("""COMPUTED_VALUE"""),42930.0)</f>
        <v>42930</v>
      </c>
      <c r="Q461" s="258">
        <f>IFERROR(__xludf.DUMMYFUNCTION("""COMPUTED_VALUE"""),13711.0)</f>
        <v>13711</v>
      </c>
      <c r="R461" s="261">
        <f>IFERROR(__xludf.DUMMYFUNCTION("""COMPUTED_VALUE"""),241.0)</f>
        <v>241</v>
      </c>
      <c r="S461" s="258">
        <v>246.0</v>
      </c>
      <c r="T461" s="263">
        <v>0.9796747967479674</v>
      </c>
      <c r="U461" s="264">
        <v>13711.0</v>
      </c>
      <c r="V461" s="265">
        <v>22066.0</v>
      </c>
      <c r="W461" s="264">
        <v>13711.0</v>
      </c>
      <c r="X461" s="266" t="str">
        <f>IFERROR(__xludf.DUMMYFUNCTION("""COMPUTED_VALUE"""),"Rob N.")</f>
        <v>Rob N.</v>
      </c>
      <c r="Y461" s="267">
        <v>-0.01</v>
      </c>
      <c r="Z461" s="267">
        <v>0.9729090670193726</v>
      </c>
      <c r="AA461" s="269"/>
      <c r="AB461" s="270"/>
      <c r="AC461" s="270"/>
      <c r="AD461" s="270"/>
      <c r="AE461" s="270"/>
    </row>
    <row r="462">
      <c r="A462" s="256">
        <f>IFERROR(__xludf.DUMMYFUNCTION("""COMPUTED_VALUE"""),42676.42291666666)</f>
        <v>42676.42292</v>
      </c>
      <c r="B462" s="257" t="str">
        <f>IFERROR(__xludf.DUMMYFUNCTION("""COMPUTED_VALUE"""),"ganimed")</f>
        <v>ganimed</v>
      </c>
      <c r="C462" s="258" t="str">
        <f>IFERROR(__xludf.DUMMYFUNCTION("""COMPUTED_VALUE"""),"Europe (excluding UK) &amp; Asia Pacific")</f>
        <v>Europe (excluding UK) &amp; Asia Pacific</v>
      </c>
      <c r="D462" s="258" t="str">
        <f>IFERROR(__xludf.DUMMYFUNCTION("""COMPUTED_VALUE"""),"km. My car displays range in kilometres and I will enter all range numbers in kilometres.")</f>
        <v>km. My car displays range in kilometres and I will enter all range numbers in kilometres.</v>
      </c>
      <c r="E462" s="259">
        <f>IFERROR(__xludf.DUMMYFUNCTION("""COMPUTED_VALUE"""),42088.0)</f>
        <v>42088</v>
      </c>
      <c r="F462" s="258" t="str">
        <f>IFERROR(__xludf.DUMMYFUNCTION("""COMPUTED_VALUE"""),"Model S P85D")</f>
        <v>Model S P85D</v>
      </c>
      <c r="G462" s="258" t="str">
        <f>IFERROR(__xludf.DUMMYFUNCTION("""COMPUTED_VALUE"""),"Twice a month")</f>
        <v>Twice a month</v>
      </c>
      <c r="H462" s="258" t="str">
        <f>IFERROR(__xludf.DUMMYFUNCTION("""COMPUTED_VALUE"""),"A few times a year")</f>
        <v>A few times a year</v>
      </c>
      <c r="I462" s="258" t="str">
        <f>IFERROR(__xludf.DUMMYFUNCTION("""COMPUTED_VALUE"""),"Once or twice a year")</f>
        <v>Once or twice a year</v>
      </c>
      <c r="J462" s="260">
        <f>IFERROR(__xludf.DUMMYFUNCTION("""COMPUTED_VALUE"""),0.9)</f>
        <v>0.9</v>
      </c>
      <c r="K462" s="258">
        <f>IFERROR(__xludf.DUMMYFUNCTION("""COMPUTED_VALUE"""),406.0)</f>
        <v>406</v>
      </c>
      <c r="L462" s="258" t="str">
        <f>IFERROR(__xludf.DUMMYFUNCTION("""COMPUTED_VALUE"""),"")</f>
        <v/>
      </c>
      <c r="M462" s="261">
        <f>IFERROR(__xludf.DUMMYFUNCTION("""COMPUTED_VALUE"""),185.0)</f>
        <v>185</v>
      </c>
      <c r="N462" s="262" t="str">
        <f>IFERROR(__xludf.DUMMYFUNCTION("""COMPUTED_VALUE"""),"")</f>
        <v/>
      </c>
      <c r="O462" s="259" t="str">
        <f>IFERROR(__xludf.DUMMYFUNCTION("""COMPUTED_VALUE"""),"")</f>
        <v/>
      </c>
      <c r="P462" s="259">
        <f>IFERROR(__xludf.DUMMYFUNCTION("""COMPUTED_VALUE"""),42676.0)</f>
        <v>42676</v>
      </c>
      <c r="Q462" s="258">
        <f>IFERROR(__xludf.DUMMYFUNCTION("""COMPUTED_VALUE"""),50105.0)</f>
        <v>50105</v>
      </c>
      <c r="R462" s="261">
        <f>IFERROR(__xludf.DUMMYFUNCTION("""COMPUTED_VALUE"""),387.0)</f>
        <v>387</v>
      </c>
      <c r="S462" s="258">
        <v>403.0</v>
      </c>
      <c r="T462" s="263">
        <v>0.9602977667493796</v>
      </c>
      <c r="U462" s="264">
        <v>31134.0</v>
      </c>
      <c r="V462" s="265">
        <v>50105.0</v>
      </c>
      <c r="W462" s="264">
        <v>31134.0</v>
      </c>
      <c r="X462" s="266" t="str">
        <f>IFERROR(__xludf.DUMMYFUNCTION("""COMPUTED_VALUE"""),"RobPet")</f>
        <v>RobPet</v>
      </c>
      <c r="Y462" s="267">
        <v>-0.01</v>
      </c>
      <c r="Z462" s="267">
        <v>0.959656094452753</v>
      </c>
      <c r="AA462" s="269"/>
      <c r="AB462" s="270"/>
      <c r="AC462" s="270"/>
      <c r="AD462" s="270"/>
      <c r="AE462" s="270"/>
    </row>
    <row r="463">
      <c r="A463" s="256">
        <f>IFERROR(__xludf.DUMMYFUNCTION("""COMPUTED_VALUE"""),42847.89583333333)</f>
        <v>42847.89583</v>
      </c>
      <c r="B463" s="257" t="str">
        <f>IFERROR(__xludf.DUMMYFUNCTION("""COMPUTED_VALUE"""),"Gary")</f>
        <v>Gary</v>
      </c>
      <c r="C463" s="258" t="str">
        <f>IFERROR(__xludf.DUMMYFUNCTION("""COMPUTED_VALUE"""),"UK")</f>
        <v>UK</v>
      </c>
      <c r="D463" s="258" t="str">
        <f>IFERROR(__xludf.DUMMYFUNCTION("""COMPUTED_VALUE"""),"mi. My car displays range in miles and I will enter all range numbers in miles.")</f>
        <v>mi. My car displays range in miles and I will enter all range numbers in miles.</v>
      </c>
      <c r="E463" s="259">
        <f>IFERROR(__xludf.DUMMYFUNCTION("""COMPUTED_VALUE"""),42811.0)</f>
        <v>42811</v>
      </c>
      <c r="F463" s="258" t="str">
        <f>IFERROR(__xludf.DUMMYFUNCTION("""COMPUTED_VALUE"""),"Model S 60D")</f>
        <v>Model S 60D</v>
      </c>
      <c r="G463" s="258" t="str">
        <f>IFERROR(__xludf.DUMMYFUNCTION("""COMPUTED_VALUE"""),"")</f>
        <v/>
      </c>
      <c r="H463" s="258" t="str">
        <f>IFERROR(__xludf.DUMMYFUNCTION("""COMPUTED_VALUE"""),"")</f>
        <v/>
      </c>
      <c r="I463" s="258" t="str">
        <f>IFERROR(__xludf.DUMMYFUNCTION("""COMPUTED_VALUE"""),"")</f>
        <v/>
      </c>
      <c r="J463" s="260" t="str">
        <f>IFERROR(__xludf.DUMMYFUNCTION("""COMPUTED_VALUE"""),"")</f>
        <v/>
      </c>
      <c r="K463" s="258" t="str">
        <f>IFERROR(__xludf.DUMMYFUNCTION("""COMPUTED_VALUE"""),"")</f>
        <v/>
      </c>
      <c r="L463" s="258" t="str">
        <f>IFERROR(__xludf.DUMMYFUNCTION("""COMPUTED_VALUE"""),"")</f>
        <v/>
      </c>
      <c r="M463" s="261" t="str">
        <f>IFERROR(__xludf.DUMMYFUNCTION("""COMPUTED_VALUE"""),"")</f>
        <v/>
      </c>
      <c r="N463" s="262" t="str">
        <f>IFERROR(__xludf.DUMMYFUNCTION("""COMPUTED_VALUE"""),"")</f>
        <v/>
      </c>
      <c r="O463" s="259" t="str">
        <f>IFERROR(__xludf.DUMMYFUNCTION("""COMPUTED_VALUE"""),"")</f>
        <v/>
      </c>
      <c r="P463" s="259">
        <f>IFERROR(__xludf.DUMMYFUNCTION("""COMPUTED_VALUE"""),42847.0)</f>
        <v>42847</v>
      </c>
      <c r="Q463" s="258">
        <f>IFERROR(__xludf.DUMMYFUNCTION("""COMPUTED_VALUE"""),2271.0)</f>
        <v>2271</v>
      </c>
      <c r="R463" s="261">
        <f>IFERROR(__xludf.DUMMYFUNCTION("""COMPUTED_VALUE"""),205.0)</f>
        <v>205</v>
      </c>
      <c r="S463" s="258">
        <v>204.0</v>
      </c>
      <c r="T463" s="263">
        <v>1.0049019607843137</v>
      </c>
      <c r="U463" s="264">
        <v>2271.0</v>
      </c>
      <c r="V463" s="265">
        <v>3655.0</v>
      </c>
      <c r="W463" s="264">
        <v>2271.0</v>
      </c>
      <c r="X463" s="266" t="str">
        <f>IFERROR(__xludf.DUMMYFUNCTION("""COMPUTED_VALUE"""),"Robrecht")</f>
        <v>Robrecht</v>
      </c>
      <c r="Y463" s="267">
        <v>-0.01</v>
      </c>
      <c r="Z463" s="267">
        <v>0.9933294647618304</v>
      </c>
      <c r="AA463" s="269"/>
      <c r="AB463" s="270"/>
      <c r="AC463" s="270"/>
      <c r="AD463" s="270"/>
      <c r="AE463" s="270"/>
    </row>
    <row r="464">
      <c r="A464" s="256">
        <f>IFERROR(__xludf.DUMMYFUNCTION("""COMPUTED_VALUE"""),42352.24722222222)</f>
        <v>42352.24722</v>
      </c>
      <c r="B464" s="257" t="str">
        <f>IFERROR(__xludf.DUMMYFUNCTION("""COMPUTED_VALUE"""),"GDgreen")</f>
        <v>GDgreen</v>
      </c>
      <c r="C464" s="258" t="str">
        <f>IFERROR(__xludf.DUMMYFUNCTION("""COMPUTED_VALUE"""),"Europe (excluding UK) &amp; Asia Pacific")</f>
        <v>Europe (excluding UK) &amp; Asia Pacific</v>
      </c>
      <c r="D464" s="258" t="str">
        <f>IFERROR(__xludf.DUMMYFUNCTION("""COMPUTED_VALUE"""),"km. My car displays range in kilometres and I will enter all range numbers in kilometres.")</f>
        <v>km. My car displays range in kilometres and I will enter all range numbers in kilometres.</v>
      </c>
      <c r="E464" s="259">
        <f>IFERROR(__xludf.DUMMYFUNCTION("""COMPUTED_VALUE"""),41563.0)</f>
        <v>41563</v>
      </c>
      <c r="F464" s="258" t="str">
        <f>IFERROR(__xludf.DUMMYFUNCTION("""COMPUTED_VALUE"""),"Model S P85+")</f>
        <v>Model S P85+</v>
      </c>
      <c r="G464" s="258" t="str">
        <f>IFERROR(__xludf.DUMMYFUNCTION("""COMPUTED_VALUE"""),"A few times a year")</f>
        <v>A few times a year</v>
      </c>
      <c r="H464" s="258" t="str">
        <f>IFERROR(__xludf.DUMMYFUNCTION("""COMPUTED_VALUE"""),"A few times a year")</f>
        <v>A few times a year</v>
      </c>
      <c r="I464" s="258" t="str">
        <f>IFERROR(__xludf.DUMMYFUNCTION("""COMPUTED_VALUE"""),"Never")</f>
        <v>Never</v>
      </c>
      <c r="J464" s="260">
        <f>IFERROR(__xludf.DUMMYFUNCTION("""COMPUTED_VALUE"""),0.6)</f>
        <v>0.6</v>
      </c>
      <c r="K464" s="258">
        <f>IFERROR(__xludf.DUMMYFUNCTION("""COMPUTED_VALUE"""),400.0)</f>
        <v>400</v>
      </c>
      <c r="L464" s="258" t="str">
        <f>IFERROR(__xludf.DUMMYFUNCTION("""COMPUTED_VALUE"""),"")</f>
        <v/>
      </c>
      <c r="M464" s="261">
        <f>IFERROR(__xludf.DUMMYFUNCTION("""COMPUTED_VALUE"""),225.0)</f>
        <v>225</v>
      </c>
      <c r="N464" s="262" t="str">
        <f>IFERROR(__xludf.DUMMYFUNCTION("""COMPUTED_VALUE"""),"")</f>
        <v/>
      </c>
      <c r="O464" s="259" t="str">
        <f>IFERROR(__xludf.DUMMYFUNCTION("""COMPUTED_VALUE"""),"")</f>
        <v/>
      </c>
      <c r="P464" s="259">
        <f>IFERROR(__xludf.DUMMYFUNCTION("""COMPUTED_VALUE"""),42352.0)</f>
        <v>42352</v>
      </c>
      <c r="Q464" s="258">
        <f>IFERROR(__xludf.DUMMYFUNCTION("""COMPUTED_VALUE"""),41868.0)</f>
        <v>41868</v>
      </c>
      <c r="R464" s="261">
        <f>IFERROR(__xludf.DUMMYFUNCTION("""COMPUTED_VALUE"""),357.0)</f>
        <v>357</v>
      </c>
      <c r="S464" s="258">
        <v>395.0</v>
      </c>
      <c r="T464" s="263">
        <v>0.9037974683544304</v>
      </c>
      <c r="U464" s="264">
        <v>26016.0</v>
      </c>
      <c r="V464" s="265">
        <v>41868.0</v>
      </c>
      <c r="W464" s="264">
        <v>26016.0</v>
      </c>
      <c r="X464" s="266" t="str">
        <f>IFERROR(__xludf.DUMMYFUNCTION("""COMPUTED_VALUE"""),"Rolfe")</f>
        <v>Rolfe</v>
      </c>
      <c r="Y464" s="267">
        <v>-0.01</v>
      </c>
      <c r="Z464" s="267">
        <v>0.9625714580024158</v>
      </c>
      <c r="AA464" s="269"/>
      <c r="AB464" s="270"/>
      <c r="AC464" s="270"/>
      <c r="AD464" s="270"/>
      <c r="AE464" s="270"/>
    </row>
    <row r="465">
      <c r="A465" s="256">
        <f>IFERROR(__xludf.DUMMYFUNCTION("""COMPUTED_VALUE"""),42553.35902777778)</f>
        <v>42553.35903</v>
      </c>
      <c r="B465" s="257" t="str">
        <f>IFERROR(__xludf.DUMMYFUNCTION("""COMPUTED_VALUE"""),"GDgreen")</f>
        <v>GDgreen</v>
      </c>
      <c r="C465" s="258" t="str">
        <f>IFERROR(__xludf.DUMMYFUNCTION("""COMPUTED_VALUE"""),"Europe (excluding UK) &amp; Asia Pacific")</f>
        <v>Europe (excluding UK) &amp; Asia Pacific</v>
      </c>
      <c r="D465" s="258" t="str">
        <f>IFERROR(__xludf.DUMMYFUNCTION("""COMPUTED_VALUE"""),"km. My car displays range in kilometres and I will enter all range numbers in kilometres.")</f>
        <v>km. My car displays range in kilometres and I will enter all range numbers in kilometres.</v>
      </c>
      <c r="E465" s="259">
        <f>IFERROR(__xludf.DUMMYFUNCTION("""COMPUTED_VALUE"""),41563.0)</f>
        <v>41563</v>
      </c>
      <c r="F465" s="258" t="str">
        <f>IFERROR(__xludf.DUMMYFUNCTION("""COMPUTED_VALUE"""),"Model S P85+")</f>
        <v>Model S P85+</v>
      </c>
      <c r="G465" s="258" t="str">
        <f>IFERROR(__xludf.DUMMYFUNCTION("""COMPUTED_VALUE"""),"Once or twice a year")</f>
        <v>Once or twice a year</v>
      </c>
      <c r="H465" s="258" t="str">
        <f>IFERROR(__xludf.DUMMYFUNCTION("""COMPUTED_VALUE"""),"Once or twice a year")</f>
        <v>Once or twice a year</v>
      </c>
      <c r="I465" s="258" t="str">
        <f>IFERROR(__xludf.DUMMYFUNCTION("""COMPUTED_VALUE"""),"Never")</f>
        <v>Never</v>
      </c>
      <c r="J465" s="260">
        <f>IFERROR(__xludf.DUMMYFUNCTION("""COMPUTED_VALUE"""),0.8)</f>
        <v>0.8</v>
      </c>
      <c r="K465" s="258">
        <f>IFERROR(__xludf.DUMMYFUNCTION("""COMPUTED_VALUE"""),400.0)</f>
        <v>400</v>
      </c>
      <c r="L465" s="258" t="str">
        <f>IFERROR(__xludf.DUMMYFUNCTION("""COMPUTED_VALUE"""),"")</f>
        <v/>
      </c>
      <c r="M465" s="261">
        <f>IFERROR(__xludf.DUMMYFUNCTION("""COMPUTED_VALUE"""),225.0)</f>
        <v>225</v>
      </c>
      <c r="N465" s="262" t="str">
        <f>IFERROR(__xludf.DUMMYFUNCTION("""COMPUTED_VALUE"""),"")</f>
        <v/>
      </c>
      <c r="O465" s="259" t="str">
        <f>IFERROR(__xludf.DUMMYFUNCTION("""COMPUTED_VALUE"""),"")</f>
        <v/>
      </c>
      <c r="P465" s="259">
        <f>IFERROR(__xludf.DUMMYFUNCTION("""COMPUTED_VALUE"""),42553.0)</f>
        <v>42553</v>
      </c>
      <c r="Q465" s="258">
        <f>IFERROR(__xludf.DUMMYFUNCTION("""COMPUTED_VALUE"""),52500.0)</f>
        <v>52500</v>
      </c>
      <c r="R465" s="261">
        <f>IFERROR(__xludf.DUMMYFUNCTION("""COMPUTED_VALUE"""),380.0)</f>
        <v>380</v>
      </c>
      <c r="S465" s="258">
        <v>395.0</v>
      </c>
      <c r="T465" s="263">
        <v>0.9620253164556962</v>
      </c>
      <c r="U465" s="264">
        <v>32622.0</v>
      </c>
      <c r="V465" s="265">
        <v>52500.0</v>
      </c>
      <c r="W465" s="264">
        <v>32622.0</v>
      </c>
      <c r="X465" s="266" t="str">
        <f>IFERROR(__xludf.DUMMYFUNCTION("""COMPUTED_VALUE"""),"RonVerbrugge")</f>
        <v>RonVerbrugge</v>
      </c>
      <c r="Y465" s="267">
        <v>-0.01</v>
      </c>
      <c r="Z465" s="267">
        <v>0.95888880890043</v>
      </c>
      <c r="AA465" s="269"/>
      <c r="AB465" s="270"/>
      <c r="AC465" s="270"/>
      <c r="AD465" s="270"/>
      <c r="AE465" s="270"/>
    </row>
    <row r="466">
      <c r="A466" s="256">
        <f>IFERROR(__xludf.DUMMYFUNCTION("""COMPUTED_VALUE"""),42678.429861111115)</f>
        <v>42678.42986</v>
      </c>
      <c r="B466" s="257" t="str">
        <f>IFERROR(__xludf.DUMMYFUNCTION("""COMPUTED_VALUE"""),"GDgreen")</f>
        <v>GDgreen</v>
      </c>
      <c r="C466" s="258" t="str">
        <f>IFERROR(__xludf.DUMMYFUNCTION("""COMPUTED_VALUE"""),"Europe (excluding UK) &amp; Asia Pacific")</f>
        <v>Europe (excluding UK) &amp; Asia Pacific</v>
      </c>
      <c r="D466" s="258" t="str">
        <f>IFERROR(__xludf.DUMMYFUNCTION("""COMPUTED_VALUE"""),"km. My car displays range in kilometres and I will enter all range numbers in kilometres.")</f>
        <v>km. My car displays range in kilometres and I will enter all range numbers in kilometres.</v>
      </c>
      <c r="E466" s="259">
        <f>IFERROR(__xludf.DUMMYFUNCTION("""COMPUTED_VALUE"""),41563.0)</f>
        <v>41563</v>
      </c>
      <c r="F466" s="258" t="str">
        <f>IFERROR(__xludf.DUMMYFUNCTION("""COMPUTED_VALUE"""),"Model S P85+")</f>
        <v>Model S P85+</v>
      </c>
      <c r="G466" s="258" t="str">
        <f>IFERROR(__xludf.DUMMYFUNCTION("""COMPUTED_VALUE"""),"Once or twice a year")</f>
        <v>Once or twice a year</v>
      </c>
      <c r="H466" s="258" t="str">
        <f>IFERROR(__xludf.DUMMYFUNCTION("""COMPUTED_VALUE"""),"A few times a year")</f>
        <v>A few times a year</v>
      </c>
      <c r="I466" s="258" t="str">
        <f>IFERROR(__xludf.DUMMYFUNCTION("""COMPUTED_VALUE"""),"Never")</f>
        <v>Never</v>
      </c>
      <c r="J466" s="260">
        <f>IFERROR(__xludf.DUMMYFUNCTION("""COMPUTED_VALUE"""),0.7)</f>
        <v>0.7</v>
      </c>
      <c r="K466" s="258">
        <f>IFERROR(__xludf.DUMMYFUNCTION("""COMPUTED_VALUE"""),400.0)</f>
        <v>400</v>
      </c>
      <c r="L466" s="258" t="str">
        <f>IFERROR(__xludf.DUMMYFUNCTION("""COMPUTED_VALUE"""),"")</f>
        <v/>
      </c>
      <c r="M466" s="261">
        <f>IFERROR(__xludf.DUMMYFUNCTION("""COMPUTED_VALUE"""),225.0)</f>
        <v>225</v>
      </c>
      <c r="N466" s="262" t="str">
        <f>IFERROR(__xludf.DUMMYFUNCTION("""COMPUTED_VALUE"""),"")</f>
        <v/>
      </c>
      <c r="O466" s="259" t="str">
        <f>IFERROR(__xludf.DUMMYFUNCTION("""COMPUTED_VALUE"""),"")</f>
        <v/>
      </c>
      <c r="P466" s="259">
        <f>IFERROR(__xludf.DUMMYFUNCTION("""COMPUTED_VALUE"""),42678.0)</f>
        <v>42678</v>
      </c>
      <c r="Q466" s="258">
        <f>IFERROR(__xludf.DUMMYFUNCTION("""COMPUTED_VALUE"""),59750.0)</f>
        <v>59750</v>
      </c>
      <c r="R466" s="261">
        <f>IFERROR(__xludf.DUMMYFUNCTION("""COMPUTED_VALUE"""),380.0)</f>
        <v>380</v>
      </c>
      <c r="S466" s="258">
        <v>395.0</v>
      </c>
      <c r="T466" s="263">
        <v>0.9620253164556962</v>
      </c>
      <c r="U466" s="264">
        <v>37127.0</v>
      </c>
      <c r="V466" s="265">
        <v>59750.0</v>
      </c>
      <c r="W466" s="264">
        <v>37127.0</v>
      </c>
      <c r="X466" s="266" t="str">
        <f>IFERROR(__xludf.DUMMYFUNCTION("""COMPUTED_VALUE"""),"Rprp")</f>
        <v>Rprp</v>
      </c>
      <c r="Y466" s="267">
        <v>-0.01</v>
      </c>
      <c r="Z466" s="267">
        <v>0.9567219276579761</v>
      </c>
      <c r="AA466" s="269"/>
      <c r="AB466" s="270"/>
      <c r="AC466" s="270"/>
      <c r="AD466" s="270"/>
      <c r="AE466" s="270"/>
    </row>
    <row r="467">
      <c r="A467" s="256">
        <f>IFERROR(__xludf.DUMMYFUNCTION("""COMPUTED_VALUE"""),42950.56805555556)</f>
        <v>42950.56806</v>
      </c>
      <c r="B467" s="257" t="str">
        <f>IFERROR(__xludf.DUMMYFUNCTION("""COMPUTED_VALUE"""),"GDgreen")</f>
        <v>GDgreen</v>
      </c>
      <c r="C467" s="258" t="str">
        <f>IFERROR(__xludf.DUMMYFUNCTION("""COMPUTED_VALUE"""),"Europe (excluding UK) &amp; Asia Pacific")</f>
        <v>Europe (excluding UK) &amp; Asia Pacific</v>
      </c>
      <c r="D467" s="258" t="str">
        <f>IFERROR(__xludf.DUMMYFUNCTION("""COMPUTED_VALUE"""),"km. My car displays range in kilometres and I will enter all range numbers in kilometres.")</f>
        <v>km. My car displays range in kilometres and I will enter all range numbers in kilometres.</v>
      </c>
      <c r="E467" s="259">
        <f>IFERROR(__xludf.DUMMYFUNCTION("""COMPUTED_VALUE"""),41563.0)</f>
        <v>41563</v>
      </c>
      <c r="F467" s="258" t="str">
        <f>IFERROR(__xludf.DUMMYFUNCTION("""COMPUTED_VALUE"""),"Model S P85+")</f>
        <v>Model S P85+</v>
      </c>
      <c r="G467" s="258" t="str">
        <f>IFERROR(__xludf.DUMMYFUNCTION("""COMPUTED_VALUE"""),"Once or twice a year")</f>
        <v>Once or twice a year</v>
      </c>
      <c r="H467" s="258" t="str">
        <f>IFERROR(__xludf.DUMMYFUNCTION("""COMPUTED_VALUE"""),"Once or twice a year")</f>
        <v>Once or twice a year</v>
      </c>
      <c r="I467" s="258" t="str">
        <f>IFERROR(__xludf.DUMMYFUNCTION("""COMPUTED_VALUE"""),"Once or twice a year")</f>
        <v>Once or twice a year</v>
      </c>
      <c r="J467" s="260">
        <f>IFERROR(__xludf.DUMMYFUNCTION("""COMPUTED_VALUE"""),0.7)</f>
        <v>0.7</v>
      </c>
      <c r="K467" s="258">
        <f>IFERROR(__xludf.DUMMYFUNCTION("""COMPUTED_VALUE"""),400.0)</f>
        <v>400</v>
      </c>
      <c r="L467" s="258" t="str">
        <f>IFERROR(__xludf.DUMMYFUNCTION("""COMPUTED_VALUE"""),"")</f>
        <v/>
      </c>
      <c r="M467" s="261">
        <f>IFERROR(__xludf.DUMMYFUNCTION("""COMPUTED_VALUE"""),227.0)</f>
        <v>227</v>
      </c>
      <c r="N467" s="262" t="str">
        <f>IFERROR(__xludf.DUMMYFUNCTION("""COMPUTED_VALUE"""),"")</f>
        <v/>
      </c>
      <c r="O467" s="259" t="str">
        <f>IFERROR(__xludf.DUMMYFUNCTION("""COMPUTED_VALUE"""),"")</f>
        <v/>
      </c>
      <c r="P467" s="259">
        <f>IFERROR(__xludf.DUMMYFUNCTION("""COMPUTED_VALUE"""),42950.0)</f>
        <v>42950</v>
      </c>
      <c r="Q467" s="258">
        <f>IFERROR(__xludf.DUMMYFUNCTION("""COMPUTED_VALUE"""),68900.0)</f>
        <v>68900</v>
      </c>
      <c r="R467" s="261">
        <f>IFERROR(__xludf.DUMMYFUNCTION("""COMPUTED_VALUE"""),380.0)</f>
        <v>380</v>
      </c>
      <c r="S467" s="258">
        <v>395.0</v>
      </c>
      <c r="T467" s="263">
        <v>0.9620253164556962</v>
      </c>
      <c r="U467" s="264">
        <v>42812.0</v>
      </c>
      <c r="V467" s="265">
        <v>68900.0</v>
      </c>
      <c r="W467" s="264">
        <v>42812.0</v>
      </c>
      <c r="X467" s="266" t="str">
        <f>IFERROR(__xludf.DUMMYFUNCTION("""COMPUTED_VALUE"""),"Rprp 90D")</f>
        <v>Rprp 90D</v>
      </c>
      <c r="Y467" s="267">
        <v>-0.01</v>
      </c>
      <c r="Z467" s="267">
        <v>0.9542222223018547</v>
      </c>
      <c r="AA467" s="269"/>
      <c r="AB467" s="270"/>
      <c r="AC467" s="270"/>
      <c r="AD467" s="270"/>
      <c r="AE467" s="270"/>
    </row>
    <row r="468">
      <c r="A468" s="256">
        <f>IFERROR(__xludf.DUMMYFUNCTION("""COMPUTED_VALUE"""),43095.65347222222)</f>
        <v>43095.65347</v>
      </c>
      <c r="B468" s="257" t="str">
        <f>IFERROR(__xludf.DUMMYFUNCTION("""COMPUTED_VALUE"""),"GDgreen")</f>
        <v>GDgreen</v>
      </c>
      <c r="C468" s="258" t="str">
        <f>IFERROR(__xludf.DUMMYFUNCTION("""COMPUTED_VALUE"""),"Europe (excluding UK) &amp; Asia Pacific")</f>
        <v>Europe (excluding UK) &amp; Asia Pacific</v>
      </c>
      <c r="D468" s="258" t="str">
        <f>IFERROR(__xludf.DUMMYFUNCTION("""COMPUTED_VALUE"""),"km. My car displays range in kilometres and I will enter all range numbers in kilometres.")</f>
        <v>km. My car displays range in kilometres and I will enter all range numbers in kilometres.</v>
      </c>
      <c r="E468" s="259">
        <f>IFERROR(__xludf.DUMMYFUNCTION("""COMPUTED_VALUE"""),41563.0)</f>
        <v>41563</v>
      </c>
      <c r="F468" s="258" t="str">
        <f>IFERROR(__xludf.DUMMYFUNCTION("""COMPUTED_VALUE"""),"Model S P85+")</f>
        <v>Model S P85+</v>
      </c>
      <c r="G468" s="258" t="str">
        <f>IFERROR(__xludf.DUMMYFUNCTION("""COMPUTED_VALUE"""),"Once or twice a year")</f>
        <v>Once or twice a year</v>
      </c>
      <c r="H468" s="258" t="str">
        <f>IFERROR(__xludf.DUMMYFUNCTION("""COMPUTED_VALUE"""),"Once or twice a year")</f>
        <v>Once or twice a year</v>
      </c>
      <c r="I468" s="258" t="str">
        <f>IFERROR(__xludf.DUMMYFUNCTION("""COMPUTED_VALUE"""),"Once or twice a year")</f>
        <v>Once or twice a year</v>
      </c>
      <c r="J468" s="260">
        <f>IFERROR(__xludf.DUMMYFUNCTION("""COMPUTED_VALUE"""),0.7)</f>
        <v>0.7</v>
      </c>
      <c r="K468" s="258">
        <f>IFERROR(__xludf.DUMMYFUNCTION("""COMPUTED_VALUE"""),400.0)</f>
        <v>400</v>
      </c>
      <c r="L468" s="258" t="str">
        <f>IFERROR(__xludf.DUMMYFUNCTION("""COMPUTED_VALUE"""),"")</f>
        <v/>
      </c>
      <c r="M468" s="261">
        <f>IFERROR(__xludf.DUMMYFUNCTION("""COMPUTED_VALUE"""),226.0)</f>
        <v>226</v>
      </c>
      <c r="N468" s="262" t="str">
        <f>IFERROR(__xludf.DUMMYFUNCTION("""COMPUTED_VALUE"""),"")</f>
        <v/>
      </c>
      <c r="O468" s="259" t="str">
        <f>IFERROR(__xludf.DUMMYFUNCTION("""COMPUTED_VALUE"""),"")</f>
        <v/>
      </c>
      <c r="P468" s="259">
        <f>IFERROR(__xludf.DUMMYFUNCTION("""COMPUTED_VALUE"""),43095.0)</f>
        <v>43095</v>
      </c>
      <c r="Q468" s="258">
        <f>IFERROR(__xludf.DUMMYFUNCTION("""COMPUTED_VALUE"""),78126.0)</f>
        <v>78126</v>
      </c>
      <c r="R468" s="261">
        <f>IFERROR(__xludf.DUMMYFUNCTION("""COMPUTED_VALUE"""),382.0)</f>
        <v>382</v>
      </c>
      <c r="S468" s="258">
        <v>395.0</v>
      </c>
      <c r="T468" s="263">
        <v>0.9670886075949368</v>
      </c>
      <c r="U468" s="264">
        <v>48545.0</v>
      </c>
      <c r="V468" s="265">
        <v>78126.0</v>
      </c>
      <c r="W468" s="264">
        <v>48545.0</v>
      </c>
      <c r="X468" s="266" t="str">
        <f>IFERROR(__xludf.DUMMYFUNCTION("""COMPUTED_VALUE"""),"RSayer")</f>
        <v>RSayer</v>
      </c>
      <c r="Y468" s="267">
        <v>-0.01</v>
      </c>
      <c r="Z468" s="267">
        <v>0.9518641546391386</v>
      </c>
      <c r="AA468" s="269"/>
      <c r="AB468" s="270"/>
      <c r="AC468" s="270"/>
      <c r="AD468" s="270"/>
      <c r="AE468" s="270"/>
    </row>
    <row r="469">
      <c r="A469" s="256">
        <f>IFERROR(__xludf.DUMMYFUNCTION("""COMPUTED_VALUE"""),42853.52777777778)</f>
        <v>42853.52778</v>
      </c>
      <c r="B469" s="257" t="str">
        <f>IFERROR(__xludf.DUMMYFUNCTION("""COMPUTED_VALUE"""),"gec")</f>
        <v>gec</v>
      </c>
      <c r="C469" s="258" t="str">
        <f>IFERROR(__xludf.DUMMYFUNCTION("""COMPUTED_VALUE"""),"Europe (excluding UK) &amp; Asia Pacific")</f>
        <v>Europe (excluding UK) &amp; Asia Pacific</v>
      </c>
      <c r="D469" s="258" t="str">
        <f>IFERROR(__xludf.DUMMYFUNCTION("""COMPUTED_VALUE"""),"km. My car displays range in kilometres and I will enter all range numbers in kilometres.")</f>
        <v>km. My car displays range in kilometres and I will enter all range numbers in kilometres.</v>
      </c>
      <c r="E469" s="259">
        <f>IFERROR(__xludf.DUMMYFUNCTION("""COMPUTED_VALUE"""),41977.0)</f>
        <v>41977</v>
      </c>
      <c r="F469" s="258" t="str">
        <f>IFERROR(__xludf.DUMMYFUNCTION("""COMPUTED_VALUE"""),"Model S 85")</f>
        <v>Model S 85</v>
      </c>
      <c r="G469" s="258" t="str">
        <f>IFERROR(__xludf.DUMMYFUNCTION("""COMPUTED_VALUE"""),"A few times a year")</f>
        <v>A few times a year</v>
      </c>
      <c r="H469" s="258" t="str">
        <f>IFERROR(__xludf.DUMMYFUNCTION("""COMPUTED_VALUE"""),"A few times a year")</f>
        <v>A few times a year</v>
      </c>
      <c r="I469" s="258" t="str">
        <f>IFERROR(__xludf.DUMMYFUNCTION("""COMPUTED_VALUE"""),"Once or twice a year")</f>
        <v>Once or twice a year</v>
      </c>
      <c r="J469" s="260">
        <f>IFERROR(__xludf.DUMMYFUNCTION("""COMPUTED_VALUE"""),0.8)</f>
        <v>0.8</v>
      </c>
      <c r="K469" s="258" t="str">
        <f>IFERROR(__xludf.DUMMYFUNCTION("""COMPUTED_VALUE"""),"")</f>
        <v/>
      </c>
      <c r="L469" s="258" t="str">
        <f>IFERROR(__xludf.DUMMYFUNCTION("""COMPUTED_VALUE"""),"")</f>
        <v/>
      </c>
      <c r="M469" s="261" t="str">
        <f>IFERROR(__xludf.DUMMYFUNCTION("""COMPUTED_VALUE"""),"")</f>
        <v/>
      </c>
      <c r="N469" s="262" t="str">
        <f>IFERROR(__xludf.DUMMYFUNCTION("""COMPUTED_VALUE"""),"")</f>
        <v/>
      </c>
      <c r="O469" s="259" t="str">
        <f>IFERROR(__xludf.DUMMYFUNCTION("""COMPUTED_VALUE"""),"")</f>
        <v/>
      </c>
      <c r="P469" s="259">
        <f>IFERROR(__xludf.DUMMYFUNCTION("""COMPUTED_VALUE"""),42853.0)</f>
        <v>42853</v>
      </c>
      <c r="Q469" s="258">
        <f>IFERROR(__xludf.DUMMYFUNCTION("""COMPUTED_VALUE"""),34485.0)</f>
        <v>34485</v>
      </c>
      <c r="R469" s="261">
        <f>IFERROR(__xludf.DUMMYFUNCTION("""COMPUTED_VALUE"""),384.0)</f>
        <v>384</v>
      </c>
      <c r="S469" s="258">
        <v>395.0</v>
      </c>
      <c r="T469" s="263">
        <v>0.9721518987341772</v>
      </c>
      <c r="U469" s="264">
        <v>21428.0</v>
      </c>
      <c r="V469" s="265">
        <v>34485.0</v>
      </c>
      <c r="W469" s="264">
        <v>21428.0</v>
      </c>
      <c r="X469" s="266" t="str">
        <f>IFERROR(__xludf.DUMMYFUNCTION("""COMPUTED_VALUE"""),"rsp")</f>
        <v>rsp</v>
      </c>
      <c r="Y469" s="267">
        <v>-0.01</v>
      </c>
      <c r="Z469" s="267">
        <v>0.9657049996028642</v>
      </c>
      <c r="AA469" s="269"/>
      <c r="AB469" s="270"/>
      <c r="AC469" s="270"/>
      <c r="AD469" s="270"/>
      <c r="AE469" s="270"/>
    </row>
    <row r="470">
      <c r="A470" s="256">
        <f>IFERROR(__xludf.DUMMYFUNCTION("""COMPUTED_VALUE"""),42945.57291666667)</f>
        <v>42945.57292</v>
      </c>
      <c r="B470" s="257" t="str">
        <f>IFERROR(__xludf.DUMMYFUNCTION("""COMPUTED_VALUE"""),"gec")</f>
        <v>gec</v>
      </c>
      <c r="C470" s="258" t="str">
        <f>IFERROR(__xludf.DUMMYFUNCTION("""COMPUTED_VALUE"""),"Europe (excluding UK) &amp; Asia Pacific")</f>
        <v>Europe (excluding UK) &amp; Asia Pacific</v>
      </c>
      <c r="D470" s="258" t="str">
        <f>IFERROR(__xludf.DUMMYFUNCTION("""COMPUTED_VALUE"""),"km. My car displays range in kilometres and I will enter all range numbers in kilometres.")</f>
        <v>km. My car displays range in kilometres and I will enter all range numbers in kilometres.</v>
      </c>
      <c r="E470" s="259">
        <f>IFERROR(__xludf.DUMMYFUNCTION("""COMPUTED_VALUE"""),41977.0)</f>
        <v>41977</v>
      </c>
      <c r="F470" s="258" t="str">
        <f>IFERROR(__xludf.DUMMYFUNCTION("""COMPUTED_VALUE"""),"Model S 85")</f>
        <v>Model S 85</v>
      </c>
      <c r="G470" s="258" t="str">
        <f>IFERROR(__xludf.DUMMYFUNCTION("""COMPUTED_VALUE"""),"Monthly")</f>
        <v>Monthly</v>
      </c>
      <c r="H470" s="258" t="str">
        <f>IFERROR(__xludf.DUMMYFUNCTION("""COMPUTED_VALUE"""),"A few times a year")</f>
        <v>A few times a year</v>
      </c>
      <c r="I470" s="258" t="str">
        <f>IFERROR(__xludf.DUMMYFUNCTION("""COMPUTED_VALUE"""),"A few times a year")</f>
        <v>A few times a year</v>
      </c>
      <c r="J470" s="260">
        <f>IFERROR(__xludf.DUMMYFUNCTION("""COMPUTED_VALUE"""),0.9)</f>
        <v>0.9</v>
      </c>
      <c r="K470" s="258" t="str">
        <f>IFERROR(__xludf.DUMMYFUNCTION("""COMPUTED_VALUE"""),"")</f>
        <v/>
      </c>
      <c r="L470" s="258" t="str">
        <f>IFERROR(__xludf.DUMMYFUNCTION("""COMPUTED_VALUE"""),"")</f>
        <v/>
      </c>
      <c r="M470" s="261">
        <f>IFERROR(__xludf.DUMMYFUNCTION("""COMPUTED_VALUE"""),218.0)</f>
        <v>218</v>
      </c>
      <c r="N470" s="262" t="str">
        <f>IFERROR(__xludf.DUMMYFUNCTION("""COMPUTED_VALUE"""),"")</f>
        <v/>
      </c>
      <c r="O470" s="259" t="str">
        <f>IFERROR(__xludf.DUMMYFUNCTION("""COMPUTED_VALUE"""),"")</f>
        <v/>
      </c>
      <c r="P470" s="259">
        <f>IFERROR(__xludf.DUMMYFUNCTION("""COMPUTED_VALUE"""),42945.0)</f>
        <v>42945</v>
      </c>
      <c r="Q470" s="258">
        <f>IFERROR(__xludf.DUMMYFUNCTION("""COMPUTED_VALUE"""),37970.0)</f>
        <v>37970</v>
      </c>
      <c r="R470" s="261">
        <f>IFERROR(__xludf.DUMMYFUNCTION("""COMPUTED_VALUE"""),386.0)</f>
        <v>386</v>
      </c>
      <c r="S470" s="258">
        <v>395.0</v>
      </c>
      <c r="T470" s="263">
        <v>0.9772151898734177</v>
      </c>
      <c r="U470" s="264">
        <v>23593.0</v>
      </c>
      <c r="V470" s="265">
        <v>37970.0</v>
      </c>
      <c r="W470" s="264">
        <v>23593.0</v>
      </c>
      <c r="X470" s="266" t="str">
        <f>IFERROR(__xludf.DUMMYFUNCTION("""COMPUTED_VALUE"""),"rsvarthur")</f>
        <v>rsvarthur</v>
      </c>
      <c r="Y470" s="267">
        <v>-0.01</v>
      </c>
      <c r="Z470" s="267">
        <v>0.9641493363774674</v>
      </c>
      <c r="AA470" s="269"/>
      <c r="AB470" s="270"/>
      <c r="AC470" s="270"/>
      <c r="AD470" s="270"/>
      <c r="AE470" s="270"/>
    </row>
    <row r="471">
      <c r="A471" s="256">
        <f>IFERROR(__xludf.DUMMYFUNCTION("""COMPUTED_VALUE"""),42958.57361111111)</f>
        <v>42958.57361</v>
      </c>
      <c r="B471" s="257" t="str">
        <f>IFERROR(__xludf.DUMMYFUNCTION("""COMPUTED_VALUE"""),"gec")</f>
        <v>gec</v>
      </c>
      <c r="C471" s="258" t="str">
        <f>IFERROR(__xludf.DUMMYFUNCTION("""COMPUTED_VALUE"""),"Europe (excluding UK) &amp; Asia Pacific")</f>
        <v>Europe (excluding UK) &amp; Asia Pacific</v>
      </c>
      <c r="D471" s="258" t="str">
        <f>IFERROR(__xludf.DUMMYFUNCTION("""COMPUTED_VALUE"""),"km. My car displays range in kilometres and I will enter all range numbers in kilometres.")</f>
        <v>km. My car displays range in kilometres and I will enter all range numbers in kilometres.</v>
      </c>
      <c r="E471" s="259">
        <f>IFERROR(__xludf.DUMMYFUNCTION("""COMPUTED_VALUE"""),41977.0)</f>
        <v>41977</v>
      </c>
      <c r="F471" s="258" t="str">
        <f>IFERROR(__xludf.DUMMYFUNCTION("""COMPUTED_VALUE"""),"Model S 85")</f>
        <v>Model S 85</v>
      </c>
      <c r="G471" s="258" t="str">
        <f>IFERROR(__xludf.DUMMYFUNCTION("""COMPUTED_VALUE"""),"")</f>
        <v/>
      </c>
      <c r="H471" s="258" t="str">
        <f>IFERROR(__xludf.DUMMYFUNCTION("""COMPUTED_VALUE"""),"")</f>
        <v/>
      </c>
      <c r="I471" s="258" t="str">
        <f>IFERROR(__xludf.DUMMYFUNCTION("""COMPUTED_VALUE"""),"")</f>
        <v/>
      </c>
      <c r="J471" s="260" t="str">
        <f>IFERROR(__xludf.DUMMYFUNCTION("""COMPUTED_VALUE"""),"")</f>
        <v/>
      </c>
      <c r="K471" s="258" t="str">
        <f>IFERROR(__xludf.DUMMYFUNCTION("""COMPUTED_VALUE"""),"")</f>
        <v/>
      </c>
      <c r="L471" s="258" t="str">
        <f>IFERROR(__xludf.DUMMYFUNCTION("""COMPUTED_VALUE"""),"")</f>
        <v/>
      </c>
      <c r="M471" s="261" t="str">
        <f>IFERROR(__xludf.DUMMYFUNCTION("""COMPUTED_VALUE"""),"")</f>
        <v/>
      </c>
      <c r="N471" s="262" t="str">
        <f>IFERROR(__xludf.DUMMYFUNCTION("""COMPUTED_VALUE"""),"")</f>
        <v/>
      </c>
      <c r="O471" s="259" t="str">
        <f>IFERROR(__xludf.DUMMYFUNCTION("""COMPUTED_VALUE"""),"")</f>
        <v/>
      </c>
      <c r="P471" s="259">
        <f>IFERROR(__xludf.DUMMYFUNCTION("""COMPUTED_VALUE"""),42958.0)</f>
        <v>42958</v>
      </c>
      <c r="Q471" s="258">
        <f>IFERROR(__xludf.DUMMYFUNCTION("""COMPUTED_VALUE"""),39951.0)</f>
        <v>39951</v>
      </c>
      <c r="R471" s="261">
        <f>IFERROR(__xludf.DUMMYFUNCTION("""COMPUTED_VALUE"""),384.0)</f>
        <v>384</v>
      </c>
      <c r="S471" s="258">
        <v>395.0</v>
      </c>
      <c r="T471" s="263">
        <v>0.9721518987341772</v>
      </c>
      <c r="U471" s="264">
        <v>24824.0</v>
      </c>
      <c r="V471" s="265">
        <v>39951.0</v>
      </c>
      <c r="W471" s="264">
        <v>24824.0</v>
      </c>
      <c r="X471" s="266" t="str">
        <f>IFERROR(__xludf.DUMMYFUNCTION("""COMPUTED_VALUE"""),"Ruben7113")</f>
        <v>Ruben7113</v>
      </c>
      <c r="Y471" s="267">
        <v>-0.01</v>
      </c>
      <c r="Z471" s="267">
        <v>0.9633282516393887</v>
      </c>
      <c r="AA471" s="269"/>
      <c r="AB471" s="270"/>
      <c r="AC471" s="270"/>
      <c r="AD471" s="270"/>
      <c r="AE471" s="270"/>
    </row>
    <row r="472">
      <c r="A472" s="256">
        <f>IFERROR(__xludf.DUMMYFUNCTION("""COMPUTED_VALUE"""),41918.02916666667)</f>
        <v>41918.02917</v>
      </c>
      <c r="B472" s="257" t="str">
        <f>IFERROR(__xludf.DUMMYFUNCTION("""COMPUTED_VALUE"""),"Geert.Snijders")</f>
        <v>Geert.Snijders</v>
      </c>
      <c r="C472" s="258" t="str">
        <f>IFERROR(__xludf.DUMMYFUNCTION("""COMPUTED_VALUE"""),"Europe (excluding UK) &amp; Asia Pacific")</f>
        <v>Europe (excluding UK) &amp; Asia Pacific</v>
      </c>
      <c r="D472" s="258" t="str">
        <f>IFERROR(__xludf.DUMMYFUNCTION("""COMPUTED_VALUE"""),"km. My car displays range in kilometres and I will enter all range numbers in kilometres.")</f>
        <v>km. My car displays range in kilometres and I will enter all range numbers in kilometres.</v>
      </c>
      <c r="E472" s="259">
        <f>IFERROR(__xludf.DUMMYFUNCTION("""COMPUTED_VALUE"""),41612.0)</f>
        <v>41612</v>
      </c>
      <c r="F472" s="258" t="str">
        <f>IFERROR(__xludf.DUMMYFUNCTION("""COMPUTED_VALUE"""),"Model S P85")</f>
        <v>Model S P85</v>
      </c>
      <c r="G472" s="258" t="str">
        <f>IFERROR(__xludf.DUMMYFUNCTION("""COMPUTED_VALUE"""),"Weekly")</f>
        <v>Weekly</v>
      </c>
      <c r="H472" s="258" t="str">
        <f>IFERROR(__xludf.DUMMYFUNCTION("""COMPUTED_VALUE"""),"Twice a month")</f>
        <v>Twice a month</v>
      </c>
      <c r="I472" s="258" t="str">
        <f>IFERROR(__xludf.DUMMYFUNCTION("""COMPUTED_VALUE"""),"Never")</f>
        <v>Never</v>
      </c>
      <c r="J472" s="260" t="str">
        <f>IFERROR(__xludf.DUMMYFUNCTION("""COMPUTED_VALUE"""),"")</f>
        <v/>
      </c>
      <c r="K472" s="258" t="str">
        <f>IFERROR(__xludf.DUMMYFUNCTION("""COMPUTED_VALUE"""),"")</f>
        <v/>
      </c>
      <c r="L472" s="258" t="str">
        <f>IFERROR(__xludf.DUMMYFUNCTION("""COMPUTED_VALUE"""),"")</f>
        <v/>
      </c>
      <c r="M472" s="261">
        <f>IFERROR(__xludf.DUMMYFUNCTION("""COMPUTED_VALUE"""),230.0)</f>
        <v>230</v>
      </c>
      <c r="N472" s="262" t="str">
        <f>IFERROR(__xludf.DUMMYFUNCTION("""COMPUTED_VALUE"""),"")</f>
        <v/>
      </c>
      <c r="O472" s="259" t="str">
        <f>IFERROR(__xludf.DUMMYFUNCTION("""COMPUTED_VALUE"""),"")</f>
        <v/>
      </c>
      <c r="P472" s="259">
        <f>IFERROR(__xludf.DUMMYFUNCTION("""COMPUTED_VALUE"""),41918.0)</f>
        <v>41918</v>
      </c>
      <c r="Q472" s="258">
        <f>IFERROR(__xludf.DUMMYFUNCTION("""COMPUTED_VALUE"""),21500.0)</f>
        <v>21500</v>
      </c>
      <c r="R472" s="261">
        <f>IFERROR(__xludf.DUMMYFUNCTION("""COMPUTED_VALUE"""),380.0)</f>
        <v>380</v>
      </c>
      <c r="S472" s="258">
        <v>395.0</v>
      </c>
      <c r="T472" s="263">
        <v>0.9620253164556962</v>
      </c>
      <c r="U472" s="264">
        <v>13359.0</v>
      </c>
      <c r="V472" s="265">
        <v>21500.0</v>
      </c>
      <c r="W472" s="264">
        <v>13359.0</v>
      </c>
      <c r="X472" s="266" t="str">
        <f>IFERROR(__xludf.DUMMYFUNCTION("""COMPUTED_VALUE"""),"S-19910")</f>
        <v>S-19910</v>
      </c>
      <c r="Y472" s="267">
        <v>-0.01</v>
      </c>
      <c r="Z472" s="267">
        <v>0.9733219358333485</v>
      </c>
      <c r="AA472" s="269"/>
      <c r="AB472" s="270"/>
      <c r="AC472" s="270"/>
      <c r="AD472" s="270"/>
      <c r="AE472" s="270"/>
    </row>
    <row r="473">
      <c r="A473" s="256">
        <f>IFERROR(__xludf.DUMMYFUNCTION("""COMPUTED_VALUE"""),42457.31458333333)</f>
        <v>42457.31458</v>
      </c>
      <c r="B473" s="257" t="str">
        <f>IFERROR(__xludf.DUMMYFUNCTION("""COMPUTED_VALUE"""),"Geert.Snijders")</f>
        <v>Geert.Snijders</v>
      </c>
      <c r="C473" s="258" t="str">
        <f>IFERROR(__xludf.DUMMYFUNCTION("""COMPUTED_VALUE"""),"Europe (excluding UK) &amp; Asia Pacific")</f>
        <v>Europe (excluding UK) &amp; Asia Pacific</v>
      </c>
      <c r="D473" s="258" t="str">
        <f>IFERROR(__xludf.DUMMYFUNCTION("""COMPUTED_VALUE"""),"km. My car displays range in kilometres and I will enter all range numbers in kilometres.")</f>
        <v>km. My car displays range in kilometres and I will enter all range numbers in kilometres.</v>
      </c>
      <c r="E473" s="259">
        <f>IFERROR(__xludf.DUMMYFUNCTION("""COMPUTED_VALUE"""),41613.0)</f>
        <v>41613</v>
      </c>
      <c r="F473" s="258" t="str">
        <f>IFERROR(__xludf.DUMMYFUNCTION("""COMPUTED_VALUE"""),"Model S P85")</f>
        <v>Model S P85</v>
      </c>
      <c r="G473" s="258" t="str">
        <f>IFERROR(__xludf.DUMMYFUNCTION("""COMPUTED_VALUE"""),"Weekly")</f>
        <v>Weekly</v>
      </c>
      <c r="H473" s="258" t="str">
        <f>IFERROR(__xludf.DUMMYFUNCTION("""COMPUTED_VALUE"""),"Once or twice a year")</f>
        <v>Once or twice a year</v>
      </c>
      <c r="I473" s="258" t="str">
        <f>IFERROR(__xludf.DUMMYFUNCTION("""COMPUTED_VALUE"""),"A few times a year")</f>
        <v>A few times a year</v>
      </c>
      <c r="J473" s="260" t="str">
        <f>IFERROR(__xludf.DUMMYFUNCTION("""COMPUTED_VALUE"""),"")</f>
        <v/>
      </c>
      <c r="K473" s="258" t="str">
        <f>IFERROR(__xludf.DUMMYFUNCTION("""COMPUTED_VALUE"""),"")</f>
        <v/>
      </c>
      <c r="L473" s="258" t="str">
        <f>IFERROR(__xludf.DUMMYFUNCTION("""COMPUTED_VALUE"""),"")</f>
        <v/>
      </c>
      <c r="M473" s="261">
        <f>IFERROR(__xludf.DUMMYFUNCTION("""COMPUTED_VALUE"""),230.0)</f>
        <v>230</v>
      </c>
      <c r="N473" s="262" t="str">
        <f>IFERROR(__xludf.DUMMYFUNCTION("""COMPUTED_VALUE"""),"")</f>
        <v/>
      </c>
      <c r="O473" s="259" t="str">
        <f>IFERROR(__xludf.DUMMYFUNCTION("""COMPUTED_VALUE"""),"")</f>
        <v/>
      </c>
      <c r="P473" s="259">
        <f>IFERROR(__xludf.DUMMYFUNCTION("""COMPUTED_VALUE"""),42457.0)</f>
        <v>42457</v>
      </c>
      <c r="Q473" s="258">
        <f>IFERROR(__xludf.DUMMYFUNCTION("""COMPUTED_VALUE"""),69000.0)</f>
        <v>69000</v>
      </c>
      <c r="R473" s="261">
        <f>IFERROR(__xludf.DUMMYFUNCTION("""COMPUTED_VALUE"""),373.0)</f>
        <v>373</v>
      </c>
      <c r="S473" s="258">
        <v>395.0</v>
      </c>
      <c r="T473" s="263">
        <v>0.9443037974683545</v>
      </c>
      <c r="U473" s="264">
        <v>42875.0</v>
      </c>
      <c r="V473" s="265">
        <v>69000.0</v>
      </c>
      <c r="W473" s="264">
        <v>42875.0</v>
      </c>
      <c r="X473" s="266" t="str">
        <f>IFERROR(__xludf.DUMMYFUNCTION("""COMPUTED_VALUE"""),"sadyel")</f>
        <v>sadyel</v>
      </c>
      <c r="Y473" s="267">
        <v>-0.01</v>
      </c>
      <c r="Z473" s="267">
        <v>0.9541959442462938</v>
      </c>
      <c r="AA473" s="269"/>
      <c r="AB473" s="270"/>
      <c r="AC473" s="270"/>
      <c r="AD473" s="270"/>
      <c r="AE473" s="270"/>
    </row>
    <row r="474">
      <c r="A474" s="256">
        <f>IFERROR(__xludf.DUMMYFUNCTION("""COMPUTED_VALUE"""),42317.222916666666)</f>
        <v>42317.22292</v>
      </c>
      <c r="B474" s="257" t="str">
        <f>IFERROR(__xludf.DUMMYFUNCTION("""COMPUTED_VALUE"""),"GeirHM")</f>
        <v>GeirHM</v>
      </c>
      <c r="C474" s="258" t="str">
        <f>IFERROR(__xludf.DUMMYFUNCTION("""COMPUTED_VALUE"""),"Europe (excluding UK) &amp; Asia Pacific")</f>
        <v>Europe (excluding UK) &amp; Asia Pacific</v>
      </c>
      <c r="D474" s="258" t="str">
        <f>IFERROR(__xludf.DUMMYFUNCTION("""COMPUTED_VALUE"""),"km. My car displays range in kilometres and I will enter all range numbers in kilometres.")</f>
        <v>km. My car displays range in kilometres and I will enter all range numbers in kilometres.</v>
      </c>
      <c r="E474" s="259">
        <f>IFERROR(__xludf.DUMMYFUNCTION("""COMPUTED_VALUE"""),42040.0)</f>
        <v>42040</v>
      </c>
      <c r="F474" s="258" t="str">
        <f>IFERROR(__xludf.DUMMYFUNCTION("""COMPUTED_VALUE"""),"Model S 85D")</f>
        <v>Model S 85D</v>
      </c>
      <c r="G474" s="258" t="str">
        <f>IFERROR(__xludf.DUMMYFUNCTION("""COMPUTED_VALUE"""),"Twice a month")</f>
        <v>Twice a month</v>
      </c>
      <c r="H474" s="258" t="str">
        <f>IFERROR(__xludf.DUMMYFUNCTION("""COMPUTED_VALUE"""),"A few times a year")</f>
        <v>A few times a year</v>
      </c>
      <c r="I474" s="258" t="str">
        <f>IFERROR(__xludf.DUMMYFUNCTION("""COMPUTED_VALUE"""),"Never")</f>
        <v>Never</v>
      </c>
      <c r="J474" s="260">
        <f>IFERROR(__xludf.DUMMYFUNCTION("""COMPUTED_VALUE"""),0.8)</f>
        <v>0.8</v>
      </c>
      <c r="K474" s="258">
        <f>IFERROR(__xludf.DUMMYFUNCTION("""COMPUTED_VALUE"""),404.0)</f>
        <v>404</v>
      </c>
      <c r="L474" s="258" t="str">
        <f>IFERROR(__xludf.DUMMYFUNCTION("""COMPUTED_VALUE"""),"")</f>
        <v/>
      </c>
      <c r="M474" s="261">
        <f>IFERROR(__xludf.DUMMYFUNCTION("""COMPUTED_VALUE"""),206.0)</f>
        <v>206</v>
      </c>
      <c r="N474" s="262" t="str">
        <f>IFERROR(__xludf.DUMMYFUNCTION("""COMPUTED_VALUE"""),"")</f>
        <v/>
      </c>
      <c r="O474" s="259" t="str">
        <f>IFERROR(__xludf.DUMMYFUNCTION("""COMPUTED_VALUE"""),"")</f>
        <v/>
      </c>
      <c r="P474" s="259">
        <f>IFERROR(__xludf.DUMMYFUNCTION("""COMPUTED_VALUE"""),42317.0)</f>
        <v>42317</v>
      </c>
      <c r="Q474" s="258">
        <f>IFERROR(__xludf.DUMMYFUNCTION("""COMPUTED_VALUE"""),32161.0)</f>
        <v>32161</v>
      </c>
      <c r="R474" s="261">
        <f>IFERROR(__xludf.DUMMYFUNCTION("""COMPUTED_VALUE"""),393.0)</f>
        <v>393</v>
      </c>
      <c r="S474" s="258">
        <v>425.0</v>
      </c>
      <c r="T474" s="263">
        <v>0.9247058823529412</v>
      </c>
      <c r="U474" s="264">
        <v>19984.0</v>
      </c>
      <c r="V474" s="265">
        <v>32161.0</v>
      </c>
      <c r="W474" s="264">
        <v>19984.0</v>
      </c>
      <c r="X474" s="266" t="str">
        <f>IFERROR(__xludf.DUMMYFUNCTION("""COMPUTED_VALUE"""),"Sam")</f>
        <v>Sam</v>
      </c>
      <c r="Y474" s="267">
        <v>-0.01</v>
      </c>
      <c r="Z474" s="267">
        <v>0.9668340779739898</v>
      </c>
      <c r="AA474" s="269"/>
      <c r="AB474" s="270"/>
      <c r="AC474" s="270"/>
      <c r="AD474" s="270"/>
      <c r="AE474" s="270"/>
    </row>
    <row r="475">
      <c r="A475" s="256">
        <f>IFERROR(__xludf.DUMMYFUNCTION("""COMPUTED_VALUE"""),41918.02986111111)</f>
        <v>41918.02986</v>
      </c>
      <c r="B475" s="257" t="str">
        <f>IFERROR(__xludf.DUMMYFUNCTION("""COMPUTED_VALUE"""),"gelden")</f>
        <v>gelden</v>
      </c>
      <c r="C475" s="258" t="str">
        <f>IFERROR(__xludf.DUMMYFUNCTION("""COMPUTED_VALUE"""),"Europe (excluding UK) &amp; Asia Pacific")</f>
        <v>Europe (excluding UK) &amp; Asia Pacific</v>
      </c>
      <c r="D475" s="258" t="str">
        <f>IFERROR(__xludf.DUMMYFUNCTION("""COMPUTED_VALUE"""),"km. My car displays range in kilometres and I will enter all range numbers in kilometres.")</f>
        <v>km. My car displays range in kilometres and I will enter all range numbers in kilometres.</v>
      </c>
      <c r="E475" s="259">
        <f>IFERROR(__xludf.DUMMYFUNCTION("""COMPUTED_VALUE"""),41607.0)</f>
        <v>41607</v>
      </c>
      <c r="F475" s="258" t="str">
        <f>IFERROR(__xludf.DUMMYFUNCTION("""COMPUTED_VALUE"""),"Model S 85")</f>
        <v>Model S 85</v>
      </c>
      <c r="G475" s="258" t="str">
        <f>IFERROR(__xludf.DUMMYFUNCTION("""COMPUTED_VALUE"""),"A few times a year")</f>
        <v>A few times a year</v>
      </c>
      <c r="H475" s="258" t="str">
        <f>IFERROR(__xludf.DUMMYFUNCTION("""COMPUTED_VALUE"""),"Once or twice a year")</f>
        <v>Once or twice a year</v>
      </c>
      <c r="I475" s="258" t="str">
        <f>IFERROR(__xludf.DUMMYFUNCTION("""COMPUTED_VALUE"""),"Once or twice a year")</f>
        <v>Once or twice a year</v>
      </c>
      <c r="J475" s="260" t="str">
        <f>IFERROR(__xludf.DUMMYFUNCTION("""COMPUTED_VALUE"""),"")</f>
        <v/>
      </c>
      <c r="K475" s="258" t="str">
        <f>IFERROR(__xludf.DUMMYFUNCTION("""COMPUTED_VALUE"""),"")</f>
        <v/>
      </c>
      <c r="L475" s="258" t="str">
        <f>IFERROR(__xludf.DUMMYFUNCTION("""COMPUTED_VALUE"""),"")</f>
        <v/>
      </c>
      <c r="M475" s="261">
        <f>IFERROR(__xludf.DUMMYFUNCTION("""COMPUTED_VALUE"""),263.0)</f>
        <v>263</v>
      </c>
      <c r="N475" s="262">
        <f>IFERROR(__xludf.DUMMYFUNCTION("""COMPUTED_VALUE"""),26000.0)</f>
        <v>26000</v>
      </c>
      <c r="O475" s="259" t="str">
        <f>IFERROR(__xludf.DUMMYFUNCTION("""COMPUTED_VALUE"""),"I don't know")</f>
        <v>I don't know</v>
      </c>
      <c r="P475" s="259">
        <f>IFERROR(__xludf.DUMMYFUNCTION("""COMPUTED_VALUE"""),41918.0)</f>
        <v>41918</v>
      </c>
      <c r="Q475" s="258">
        <f>IFERROR(__xludf.DUMMYFUNCTION("""COMPUTED_VALUE"""),29700.0)</f>
        <v>29700</v>
      </c>
      <c r="R475" s="261">
        <f>IFERROR(__xludf.DUMMYFUNCTION("""COMPUTED_VALUE"""),387.0)</f>
        <v>387</v>
      </c>
      <c r="S475" s="258">
        <v>395.0</v>
      </c>
      <c r="T475" s="263">
        <v>0.979746835443038</v>
      </c>
      <c r="U475" s="264">
        <v>18455.0</v>
      </c>
      <c r="V475" s="265">
        <v>29700.0</v>
      </c>
      <c r="W475" s="264">
        <v>18455.0</v>
      </c>
      <c r="X475" s="266" t="str">
        <f>IFERROR(__xludf.DUMMYFUNCTION("""COMPUTED_VALUE"""),"Sascha")</f>
        <v>Sascha</v>
      </c>
      <c r="Y475" s="267">
        <v>-0.01</v>
      </c>
      <c r="Z475" s="267">
        <v>0.9681235057844315</v>
      </c>
      <c r="AA475" s="269"/>
      <c r="AB475" s="270"/>
      <c r="AC475" s="270"/>
      <c r="AD475" s="270"/>
      <c r="AE475" s="270"/>
    </row>
    <row r="476">
      <c r="A476" s="256">
        <f>IFERROR(__xludf.DUMMYFUNCTION("""COMPUTED_VALUE"""),42039.07083333333)</f>
        <v>42039.07083</v>
      </c>
      <c r="B476" s="257" t="str">
        <f>IFERROR(__xludf.DUMMYFUNCTION("""COMPUTED_VALUE"""),"gelden")</f>
        <v>gelden</v>
      </c>
      <c r="C476" s="258" t="str">
        <f>IFERROR(__xludf.DUMMYFUNCTION("""COMPUTED_VALUE"""),"Europe (excluding UK) &amp; Asia Pacific")</f>
        <v>Europe (excluding UK) &amp; Asia Pacific</v>
      </c>
      <c r="D476" s="258" t="str">
        <f>IFERROR(__xludf.DUMMYFUNCTION("""COMPUTED_VALUE"""),"km. My car displays range in kilometres and I will enter all range numbers in kilometres.")</f>
        <v>km. My car displays range in kilometres and I will enter all range numbers in kilometres.</v>
      </c>
      <c r="E476" s="259">
        <f>IFERROR(__xludf.DUMMYFUNCTION("""COMPUTED_VALUE"""),41607.0)</f>
        <v>41607</v>
      </c>
      <c r="F476" s="258" t="str">
        <f>IFERROR(__xludf.DUMMYFUNCTION("""COMPUTED_VALUE"""),"Model S 85")</f>
        <v>Model S 85</v>
      </c>
      <c r="G476" s="258" t="str">
        <f>IFERROR(__xludf.DUMMYFUNCTION("""COMPUTED_VALUE"""),"A few times a year")</f>
        <v>A few times a year</v>
      </c>
      <c r="H476" s="258" t="str">
        <f>IFERROR(__xludf.DUMMYFUNCTION("""COMPUTED_VALUE"""),"Once or twice a year")</f>
        <v>Once or twice a year</v>
      </c>
      <c r="I476" s="258" t="str">
        <f>IFERROR(__xludf.DUMMYFUNCTION("""COMPUTED_VALUE"""),"Once or twice a year")</f>
        <v>Once or twice a year</v>
      </c>
      <c r="J476" s="260" t="str">
        <f>IFERROR(__xludf.DUMMYFUNCTION("""COMPUTED_VALUE"""),"")</f>
        <v/>
      </c>
      <c r="K476" s="258" t="str">
        <f>IFERROR(__xludf.DUMMYFUNCTION("""COMPUTED_VALUE"""),"")</f>
        <v/>
      </c>
      <c r="L476" s="258" t="str">
        <f>IFERROR(__xludf.DUMMYFUNCTION("""COMPUTED_VALUE"""),"")</f>
        <v/>
      </c>
      <c r="M476" s="261">
        <f>IFERROR(__xludf.DUMMYFUNCTION("""COMPUTED_VALUE"""),266.0)</f>
        <v>266</v>
      </c>
      <c r="N476" s="262">
        <f>IFERROR(__xludf.DUMMYFUNCTION("""COMPUTED_VALUE"""),26000.0)</f>
        <v>26000</v>
      </c>
      <c r="O476" s="259" t="str">
        <f>IFERROR(__xludf.DUMMYFUNCTION("""COMPUTED_VALUE"""),"I don't know")</f>
        <v>I don't know</v>
      </c>
      <c r="P476" s="259">
        <f>IFERROR(__xludf.DUMMYFUNCTION("""COMPUTED_VALUE"""),42039.0)</f>
        <v>42039</v>
      </c>
      <c r="Q476" s="258">
        <f>IFERROR(__xludf.DUMMYFUNCTION("""COMPUTED_VALUE"""),41000.0)</f>
        <v>41000</v>
      </c>
      <c r="R476" s="261">
        <f>IFERROR(__xludf.DUMMYFUNCTION("""COMPUTED_VALUE"""),375.0)</f>
        <v>375</v>
      </c>
      <c r="S476" s="258">
        <v>395.0</v>
      </c>
      <c r="T476" s="263">
        <v>0.9493670886075949</v>
      </c>
      <c r="U476" s="264">
        <v>25476.0</v>
      </c>
      <c r="V476" s="265">
        <v>41000.0</v>
      </c>
      <c r="W476" s="264">
        <v>25476.0</v>
      </c>
      <c r="X476" s="266" t="str">
        <f>IFERROR(__xludf.DUMMYFUNCTION("""COMPUTED_VALUE"""),"SBA1991")</f>
        <v>SBA1991</v>
      </c>
      <c r="Y476" s="267">
        <v>-0.01</v>
      </c>
      <c r="Z476" s="267">
        <v>0.9629097915102499</v>
      </c>
      <c r="AA476" s="269"/>
      <c r="AB476" s="270"/>
      <c r="AC476" s="270"/>
      <c r="AD476" s="270"/>
      <c r="AE476" s="270"/>
    </row>
    <row r="477">
      <c r="A477" s="256">
        <f>IFERROR(__xludf.DUMMYFUNCTION("""COMPUTED_VALUE"""),42114.10208333333)</f>
        <v>42114.10208</v>
      </c>
      <c r="B477" s="257" t="str">
        <f>IFERROR(__xludf.DUMMYFUNCTION("""COMPUTED_VALUE"""),"gelden")</f>
        <v>gelden</v>
      </c>
      <c r="C477" s="258" t="str">
        <f>IFERROR(__xludf.DUMMYFUNCTION("""COMPUTED_VALUE"""),"Europe (excluding UK) &amp; Asia Pacific")</f>
        <v>Europe (excluding UK) &amp; Asia Pacific</v>
      </c>
      <c r="D477" s="258" t="str">
        <f>IFERROR(__xludf.DUMMYFUNCTION("""COMPUTED_VALUE"""),"km. My car displays range in kilometres and I will enter all range numbers in kilometres.")</f>
        <v>km. My car displays range in kilometres and I will enter all range numbers in kilometres.</v>
      </c>
      <c r="E477" s="259">
        <f>IFERROR(__xludf.DUMMYFUNCTION("""COMPUTED_VALUE"""),41607.0)</f>
        <v>41607</v>
      </c>
      <c r="F477" s="258" t="str">
        <f>IFERROR(__xludf.DUMMYFUNCTION("""COMPUTED_VALUE"""),"Model S 85")</f>
        <v>Model S 85</v>
      </c>
      <c r="G477" s="258" t="str">
        <f>IFERROR(__xludf.DUMMYFUNCTION("""COMPUTED_VALUE"""),"Monthly")</f>
        <v>Monthly</v>
      </c>
      <c r="H477" s="258" t="str">
        <f>IFERROR(__xludf.DUMMYFUNCTION("""COMPUTED_VALUE"""),"A few times a year")</f>
        <v>A few times a year</v>
      </c>
      <c r="I477" s="258" t="str">
        <f>IFERROR(__xludf.DUMMYFUNCTION("""COMPUTED_VALUE"""),"A few times a year")</f>
        <v>A few times a year</v>
      </c>
      <c r="J477" s="260" t="str">
        <f>IFERROR(__xludf.DUMMYFUNCTION("""COMPUTED_VALUE"""),"")</f>
        <v/>
      </c>
      <c r="K477" s="258" t="str">
        <f>IFERROR(__xludf.DUMMYFUNCTION("""COMPUTED_VALUE"""),"")</f>
        <v/>
      </c>
      <c r="L477" s="258" t="str">
        <f>IFERROR(__xludf.DUMMYFUNCTION("""COMPUTED_VALUE"""),"")</f>
        <v/>
      </c>
      <c r="M477" s="261">
        <f>IFERROR(__xludf.DUMMYFUNCTION("""COMPUTED_VALUE"""),266.0)</f>
        <v>266</v>
      </c>
      <c r="N477" s="262">
        <f>IFERROR(__xludf.DUMMYFUNCTION("""COMPUTED_VALUE"""),26000.0)</f>
        <v>26000</v>
      </c>
      <c r="O477" s="259" t="str">
        <f>IFERROR(__xludf.DUMMYFUNCTION("""COMPUTED_VALUE"""),"I don't know")</f>
        <v>I don't know</v>
      </c>
      <c r="P477" s="259">
        <f>IFERROR(__xludf.DUMMYFUNCTION("""COMPUTED_VALUE"""),42114.0)</f>
        <v>42114</v>
      </c>
      <c r="Q477" s="258">
        <f>IFERROR(__xludf.DUMMYFUNCTION("""COMPUTED_VALUE"""),46000.0)</f>
        <v>46000</v>
      </c>
      <c r="R477" s="261">
        <f>IFERROR(__xludf.DUMMYFUNCTION("""COMPUTED_VALUE"""),378.0)</f>
        <v>378</v>
      </c>
      <c r="S477" s="258">
        <v>395.0</v>
      </c>
      <c r="T477" s="263">
        <v>0.9569620253164557</v>
      </c>
      <c r="U477" s="264">
        <v>28583.0</v>
      </c>
      <c r="V477" s="265">
        <v>46000.0</v>
      </c>
      <c r="W477" s="264">
        <v>28583.0</v>
      </c>
      <c r="X477" s="266" t="str">
        <f>IFERROR(__xludf.DUMMYFUNCTION("""COMPUTED_VALUE"""),"sbeau")</f>
        <v>sbeau</v>
      </c>
      <c r="Y477" s="267">
        <v>-0.01</v>
      </c>
      <c r="Z477" s="267">
        <v>0.961048512128177</v>
      </c>
      <c r="AA477" s="269"/>
      <c r="AB477" s="270"/>
      <c r="AC477" s="270"/>
      <c r="AD477" s="270"/>
      <c r="AE477" s="270"/>
    </row>
    <row r="478">
      <c r="A478" s="256">
        <f>IFERROR(__xludf.DUMMYFUNCTION("""COMPUTED_VALUE"""),42234.16736111111)</f>
        <v>42234.16736</v>
      </c>
      <c r="B478" s="257" t="str">
        <f>IFERROR(__xludf.DUMMYFUNCTION("""COMPUTED_VALUE"""),"gelden")</f>
        <v>gelden</v>
      </c>
      <c r="C478" s="258" t="str">
        <f>IFERROR(__xludf.DUMMYFUNCTION("""COMPUTED_VALUE"""),"Europe (excluding UK) &amp; Asia Pacific")</f>
        <v>Europe (excluding UK) &amp; Asia Pacific</v>
      </c>
      <c r="D478" s="258" t="str">
        <f>IFERROR(__xludf.DUMMYFUNCTION("""COMPUTED_VALUE"""),"km. My car displays range in kilometres and I will enter all range numbers in kilometres.")</f>
        <v>km. My car displays range in kilometres and I will enter all range numbers in kilometres.</v>
      </c>
      <c r="E478" s="259">
        <f>IFERROR(__xludf.DUMMYFUNCTION("""COMPUTED_VALUE"""),41608.0)</f>
        <v>41608</v>
      </c>
      <c r="F478" s="258" t="str">
        <f>IFERROR(__xludf.DUMMYFUNCTION("""COMPUTED_VALUE"""),"Model S 85")</f>
        <v>Model S 85</v>
      </c>
      <c r="G478" s="258" t="str">
        <f>IFERROR(__xludf.DUMMYFUNCTION("""COMPUTED_VALUE"""),"Twice a month")</f>
        <v>Twice a month</v>
      </c>
      <c r="H478" s="258" t="str">
        <f>IFERROR(__xludf.DUMMYFUNCTION("""COMPUTED_VALUE"""),"A few times a year")</f>
        <v>A few times a year</v>
      </c>
      <c r="I478" s="258" t="str">
        <f>IFERROR(__xludf.DUMMYFUNCTION("""COMPUTED_VALUE"""),"A few times a year")</f>
        <v>A few times a year</v>
      </c>
      <c r="J478" s="260">
        <f>IFERROR(__xludf.DUMMYFUNCTION("""COMPUTED_VALUE"""),0.9)</f>
        <v>0.9</v>
      </c>
      <c r="K478" s="258">
        <f>IFERROR(__xludf.DUMMYFUNCTION("""COMPUTED_VALUE"""),399.0)</f>
        <v>399</v>
      </c>
      <c r="L478" s="258" t="str">
        <f>IFERROR(__xludf.DUMMYFUNCTION("""COMPUTED_VALUE"""),"")</f>
        <v/>
      </c>
      <c r="M478" s="261">
        <f>IFERROR(__xludf.DUMMYFUNCTION("""COMPUTED_VALUE"""),265.0)</f>
        <v>265</v>
      </c>
      <c r="N478" s="262">
        <f>IFERROR(__xludf.DUMMYFUNCTION("""COMPUTED_VALUE"""),25000.0)</f>
        <v>25000</v>
      </c>
      <c r="O478" s="259" t="str">
        <f>IFERROR(__xludf.DUMMYFUNCTION("""COMPUTED_VALUE"""),"Increased by 7 km or mi")</f>
        <v>Increased by 7 km or mi</v>
      </c>
      <c r="P478" s="259">
        <f>IFERROR(__xludf.DUMMYFUNCTION("""COMPUTED_VALUE"""),42234.0)</f>
        <v>42234</v>
      </c>
      <c r="Q478" s="258">
        <f>IFERROR(__xludf.DUMMYFUNCTION("""COMPUTED_VALUE"""),54500.0)</f>
        <v>54500</v>
      </c>
      <c r="R478" s="261">
        <f>IFERROR(__xludf.DUMMYFUNCTION("""COMPUTED_VALUE"""),371.0)</f>
        <v>371</v>
      </c>
      <c r="S478" s="258">
        <v>395.0</v>
      </c>
      <c r="T478" s="263">
        <v>0.9392405063291139</v>
      </c>
      <c r="U478" s="264">
        <v>33865.0</v>
      </c>
      <c r="V478" s="265">
        <v>54500.0</v>
      </c>
      <c r="W478" s="264">
        <v>33865.0</v>
      </c>
      <c r="X478" s="266" t="str">
        <f>IFERROR(__xludf.DUMMYFUNCTION("""COMPUTED_VALUE"""),"sblank")</f>
        <v>sblank</v>
      </c>
      <c r="Y478" s="267">
        <v>-0.01</v>
      </c>
      <c r="Z478" s="267">
        <v>0.95826963012492</v>
      </c>
      <c r="AA478" s="269"/>
      <c r="AB478" s="270"/>
      <c r="AC478" s="270"/>
      <c r="AD478" s="270"/>
      <c r="AE478" s="270"/>
    </row>
    <row r="479">
      <c r="A479" s="256">
        <f>IFERROR(__xludf.DUMMYFUNCTION("""COMPUTED_VALUE"""),42582.37152777778)</f>
        <v>42582.37153</v>
      </c>
      <c r="B479" s="257" t="str">
        <f>IFERROR(__xludf.DUMMYFUNCTION("""COMPUTED_VALUE"""),"gelden")</f>
        <v>gelden</v>
      </c>
      <c r="C479" s="258" t="str">
        <f>IFERROR(__xludf.DUMMYFUNCTION("""COMPUTED_VALUE"""),"Europe (excluding UK) &amp; Asia Pacific")</f>
        <v>Europe (excluding UK) &amp; Asia Pacific</v>
      </c>
      <c r="D479" s="258" t="str">
        <f>IFERROR(__xludf.DUMMYFUNCTION("""COMPUTED_VALUE"""),"km. My car displays range in kilometres and I will enter all range numbers in kilometres.")</f>
        <v>km. My car displays range in kilometres and I will enter all range numbers in kilometres.</v>
      </c>
      <c r="E479" s="259">
        <f>IFERROR(__xludf.DUMMYFUNCTION("""COMPUTED_VALUE"""),41603.0)</f>
        <v>41603</v>
      </c>
      <c r="F479" s="258" t="str">
        <f>IFERROR(__xludf.DUMMYFUNCTION("""COMPUTED_VALUE"""),"Model S 85")</f>
        <v>Model S 85</v>
      </c>
      <c r="G479" s="258" t="str">
        <f>IFERROR(__xludf.DUMMYFUNCTION("""COMPUTED_VALUE"""),"Monthly")</f>
        <v>Monthly</v>
      </c>
      <c r="H479" s="258" t="str">
        <f>IFERROR(__xludf.DUMMYFUNCTION("""COMPUTED_VALUE"""),"A few times a year")</f>
        <v>A few times a year</v>
      </c>
      <c r="I479" s="258" t="str">
        <f>IFERROR(__xludf.DUMMYFUNCTION("""COMPUTED_VALUE"""),"A few times a year")</f>
        <v>A few times a year</v>
      </c>
      <c r="J479" s="260">
        <f>IFERROR(__xludf.DUMMYFUNCTION("""COMPUTED_VALUE"""),0.9)</f>
        <v>0.9</v>
      </c>
      <c r="K479" s="258">
        <f>IFERROR(__xludf.DUMMYFUNCTION("""COMPUTED_VALUE"""),400.0)</f>
        <v>400</v>
      </c>
      <c r="L479" s="258" t="str">
        <f>IFERROR(__xludf.DUMMYFUNCTION("""COMPUTED_VALUE"""),"")</f>
        <v/>
      </c>
      <c r="M479" s="261">
        <f>IFERROR(__xludf.DUMMYFUNCTION("""COMPUTED_VALUE"""),266.0)</f>
        <v>266</v>
      </c>
      <c r="N479" s="262">
        <f>IFERROR(__xludf.DUMMYFUNCTION("""COMPUTED_VALUE"""),26000.0)</f>
        <v>26000</v>
      </c>
      <c r="O479" s="259" t="str">
        <f>IFERROR(__xludf.DUMMYFUNCTION("""COMPUTED_VALUE"""),"I don't know")</f>
        <v>I don't know</v>
      </c>
      <c r="P479" s="259">
        <f>IFERROR(__xludf.DUMMYFUNCTION("""COMPUTED_VALUE"""),42582.0)</f>
        <v>42582</v>
      </c>
      <c r="Q479" s="258">
        <f>IFERROR(__xludf.DUMMYFUNCTION("""COMPUTED_VALUE"""),71000.0)</f>
        <v>71000</v>
      </c>
      <c r="R479" s="261">
        <f>IFERROR(__xludf.DUMMYFUNCTION("""COMPUTED_VALUE"""),373.0)</f>
        <v>373</v>
      </c>
      <c r="S479" s="258">
        <v>395.0</v>
      </c>
      <c r="T479" s="263">
        <v>0.9443037974683545</v>
      </c>
      <c r="U479" s="264">
        <v>44117.0</v>
      </c>
      <c r="V479" s="265">
        <v>71000.0</v>
      </c>
      <c r="W479" s="264">
        <v>44117.0</v>
      </c>
      <c r="X479" s="266" t="str">
        <f>IFERROR(__xludf.DUMMYFUNCTION("""COMPUTED_VALUE"""),"SCCRENDO")</f>
        <v>SCCRENDO</v>
      </c>
      <c r="Y479" s="267">
        <v>-0.01</v>
      </c>
      <c r="Z479" s="267">
        <v>0.9536741550828826</v>
      </c>
      <c r="AA479" s="269"/>
      <c r="AB479" s="270"/>
      <c r="AC479" s="270"/>
      <c r="AD479" s="270"/>
      <c r="AE479" s="270"/>
    </row>
    <row r="480">
      <c r="A480" s="256">
        <f>IFERROR(__xludf.DUMMYFUNCTION("""COMPUTED_VALUE"""),41926.03263888889)</f>
        <v>41926.03264</v>
      </c>
      <c r="B480" s="257" t="str">
        <f>IFERROR(__xludf.DUMMYFUNCTION("""COMPUTED_VALUE"""),"Gepekop")</f>
        <v>Gepekop</v>
      </c>
      <c r="C480" s="258" t="str">
        <f>IFERROR(__xludf.DUMMYFUNCTION("""COMPUTED_VALUE"""),"Europe (excluding UK) &amp; Asia Pacific")</f>
        <v>Europe (excluding UK) &amp; Asia Pacific</v>
      </c>
      <c r="D480" s="258" t="str">
        <f>IFERROR(__xludf.DUMMYFUNCTION("""COMPUTED_VALUE"""),"km. My car displays range in kilometres and I will enter all range numbers in kilometres.")</f>
        <v>km. My car displays range in kilometres and I will enter all range numbers in kilometres.</v>
      </c>
      <c r="E480" s="259">
        <f>IFERROR(__xludf.DUMMYFUNCTION("""COMPUTED_VALUE"""),41612.0)</f>
        <v>41612</v>
      </c>
      <c r="F480" s="258" t="str">
        <f>IFERROR(__xludf.DUMMYFUNCTION("""COMPUTED_VALUE"""),"Model S P85")</f>
        <v>Model S P85</v>
      </c>
      <c r="G480" s="258" t="str">
        <f>IFERROR(__xludf.DUMMYFUNCTION("""COMPUTED_VALUE"""),"Monthly")</f>
        <v>Monthly</v>
      </c>
      <c r="H480" s="258" t="str">
        <f>IFERROR(__xludf.DUMMYFUNCTION("""COMPUTED_VALUE"""),"Twice a month")</f>
        <v>Twice a month</v>
      </c>
      <c r="I480" s="258" t="str">
        <f>IFERROR(__xludf.DUMMYFUNCTION("""COMPUTED_VALUE"""),"Once or twice a year")</f>
        <v>Once or twice a year</v>
      </c>
      <c r="J480" s="260" t="str">
        <f>IFERROR(__xludf.DUMMYFUNCTION("""COMPUTED_VALUE"""),"")</f>
        <v/>
      </c>
      <c r="K480" s="258" t="str">
        <f>IFERROR(__xludf.DUMMYFUNCTION("""COMPUTED_VALUE"""),"")</f>
        <v/>
      </c>
      <c r="L480" s="258" t="str">
        <f>IFERROR(__xludf.DUMMYFUNCTION("""COMPUTED_VALUE"""),"")</f>
        <v/>
      </c>
      <c r="M480" s="261">
        <f>IFERROR(__xludf.DUMMYFUNCTION("""COMPUTED_VALUE"""),234.0)</f>
        <v>234</v>
      </c>
      <c r="N480" s="262" t="str">
        <f>IFERROR(__xludf.DUMMYFUNCTION("""COMPUTED_VALUE"""),"")</f>
        <v/>
      </c>
      <c r="O480" s="259" t="str">
        <f>IFERROR(__xludf.DUMMYFUNCTION("""COMPUTED_VALUE"""),"")</f>
        <v/>
      </c>
      <c r="P480" s="259">
        <f>IFERROR(__xludf.DUMMYFUNCTION("""COMPUTED_VALUE"""),41926.0)</f>
        <v>41926</v>
      </c>
      <c r="Q480" s="258">
        <f>IFERROR(__xludf.DUMMYFUNCTION("""COMPUTED_VALUE"""),34000.0)</f>
        <v>34000</v>
      </c>
      <c r="R480" s="261">
        <f>IFERROR(__xludf.DUMMYFUNCTION("""COMPUTED_VALUE"""),381.0)</f>
        <v>381</v>
      </c>
      <c r="S480" s="258">
        <v>395.0</v>
      </c>
      <c r="T480" s="263">
        <v>0.9645569620253165</v>
      </c>
      <c r="U480" s="264">
        <v>21127.0</v>
      </c>
      <c r="V480" s="265">
        <v>34000.0</v>
      </c>
      <c r="W480" s="264">
        <v>21127.0</v>
      </c>
      <c r="X480" s="266" t="str">
        <f>IFERROR(__xludf.DUMMYFUNCTION("""COMPUTED_VALUE"""),"Scholten")</f>
        <v>Scholten</v>
      </c>
      <c r="Y480" s="267">
        <v>-0.01</v>
      </c>
      <c r="Z480" s="267">
        <v>0.9659341011268335</v>
      </c>
      <c r="AA480" s="269"/>
      <c r="AB480" s="270"/>
      <c r="AC480" s="270"/>
      <c r="AD480" s="270"/>
      <c r="AE480" s="270"/>
    </row>
    <row r="481">
      <c r="A481" s="256">
        <f>IFERROR(__xludf.DUMMYFUNCTION("""COMPUTED_VALUE"""),42081.08472222222)</f>
        <v>42081.08472</v>
      </c>
      <c r="B481" s="257" t="str">
        <f>IFERROR(__xludf.DUMMYFUNCTION("""COMPUTED_VALUE"""),"Gepekop")</f>
        <v>Gepekop</v>
      </c>
      <c r="C481" s="258" t="str">
        <f>IFERROR(__xludf.DUMMYFUNCTION("""COMPUTED_VALUE"""),"Europe (excluding UK) &amp; Asia Pacific")</f>
        <v>Europe (excluding UK) &amp; Asia Pacific</v>
      </c>
      <c r="D481" s="258" t="str">
        <f>IFERROR(__xludf.DUMMYFUNCTION("""COMPUTED_VALUE"""),"km. My car displays range in kilometres and I will enter all range numbers in kilometres.")</f>
        <v>km. My car displays range in kilometres and I will enter all range numbers in kilometres.</v>
      </c>
      <c r="E481" s="259">
        <f>IFERROR(__xludf.DUMMYFUNCTION("""COMPUTED_VALUE"""),41612.0)</f>
        <v>41612</v>
      </c>
      <c r="F481" s="258" t="str">
        <f>IFERROR(__xludf.DUMMYFUNCTION("""COMPUTED_VALUE"""),"Model S P85")</f>
        <v>Model S P85</v>
      </c>
      <c r="G481" s="258" t="str">
        <f>IFERROR(__xludf.DUMMYFUNCTION("""COMPUTED_VALUE"""),"Monthly")</f>
        <v>Monthly</v>
      </c>
      <c r="H481" s="258" t="str">
        <f>IFERROR(__xludf.DUMMYFUNCTION("""COMPUTED_VALUE"""),"Twice a month")</f>
        <v>Twice a month</v>
      </c>
      <c r="I481" s="258" t="str">
        <f>IFERROR(__xludf.DUMMYFUNCTION("""COMPUTED_VALUE"""),"A few times a year")</f>
        <v>A few times a year</v>
      </c>
      <c r="J481" s="260" t="str">
        <f>IFERROR(__xludf.DUMMYFUNCTION("""COMPUTED_VALUE"""),"")</f>
        <v/>
      </c>
      <c r="K481" s="258" t="str">
        <f>IFERROR(__xludf.DUMMYFUNCTION("""COMPUTED_VALUE"""),"")</f>
        <v/>
      </c>
      <c r="L481" s="258" t="str">
        <f>IFERROR(__xludf.DUMMYFUNCTION("""COMPUTED_VALUE"""),"")</f>
        <v/>
      </c>
      <c r="M481" s="261">
        <f>IFERROR(__xludf.DUMMYFUNCTION("""COMPUTED_VALUE"""),237.0)</f>
        <v>237</v>
      </c>
      <c r="N481" s="262" t="str">
        <f>IFERROR(__xludf.DUMMYFUNCTION("""COMPUTED_VALUE"""),"")</f>
        <v/>
      </c>
      <c r="O481" s="259" t="str">
        <f>IFERROR(__xludf.DUMMYFUNCTION("""COMPUTED_VALUE"""),"")</f>
        <v/>
      </c>
      <c r="P481" s="259">
        <f>IFERROR(__xludf.DUMMYFUNCTION("""COMPUTED_VALUE"""),42081.0)</f>
        <v>42081</v>
      </c>
      <c r="Q481" s="258">
        <f>IFERROR(__xludf.DUMMYFUNCTION("""COMPUTED_VALUE"""),50000.0)</f>
        <v>50000</v>
      </c>
      <c r="R481" s="261">
        <f>IFERROR(__xludf.DUMMYFUNCTION("""COMPUTED_VALUE"""),383.0)</f>
        <v>383</v>
      </c>
      <c r="S481" s="258">
        <v>395.0</v>
      </c>
      <c r="T481" s="263">
        <v>0.9696202531645569</v>
      </c>
      <c r="U481" s="264">
        <v>31069.0</v>
      </c>
      <c r="V481" s="265">
        <v>50000.0</v>
      </c>
      <c r="W481" s="264">
        <v>31069.0</v>
      </c>
      <c r="X481" s="266" t="str">
        <f>IFERROR(__xludf.DUMMYFUNCTION("""COMPUTED_VALUE"""),"SchwartzMobile")</f>
        <v>SchwartzMobile</v>
      </c>
      <c r="Y481" s="267">
        <v>-0.01</v>
      </c>
      <c r="Z481" s="267">
        <v>0.9596904352621635</v>
      </c>
      <c r="AA481" s="269"/>
      <c r="AB481" s="270"/>
      <c r="AC481" s="270"/>
      <c r="AD481" s="270"/>
      <c r="AE481" s="270"/>
    </row>
    <row r="482">
      <c r="A482" s="256">
        <f>IFERROR(__xludf.DUMMYFUNCTION("""COMPUTED_VALUE"""),42049.07430555555)</f>
        <v>42049.07431</v>
      </c>
      <c r="B482" s="257" t="str">
        <f>IFERROR(__xludf.DUMMYFUNCTION("""COMPUTED_VALUE"""),"GerardF")</f>
        <v>GerardF</v>
      </c>
      <c r="C482" s="258" t="str">
        <f>IFERROR(__xludf.DUMMYFUNCTION("""COMPUTED_VALUE"""),"Europe (excluding UK) &amp; Asia Pacific")</f>
        <v>Europe (excluding UK) &amp; Asia Pacific</v>
      </c>
      <c r="D482" s="258" t="str">
        <f>IFERROR(__xludf.DUMMYFUNCTION("""COMPUTED_VALUE"""),"km. My car displays range in kilometres and I will enter all range numbers in kilometres.")</f>
        <v>km. My car displays range in kilometres and I will enter all range numbers in kilometres.</v>
      </c>
      <c r="E482" s="259">
        <f>IFERROR(__xludf.DUMMYFUNCTION("""COMPUTED_VALUE"""),41621.0)</f>
        <v>41621</v>
      </c>
      <c r="F482" s="258" t="str">
        <f>IFERROR(__xludf.DUMMYFUNCTION("""COMPUTED_VALUE"""),"Model S 85")</f>
        <v>Model S 85</v>
      </c>
      <c r="G482" s="258" t="str">
        <f>IFERROR(__xludf.DUMMYFUNCTION("""COMPUTED_VALUE"""),"Twice a month")</f>
        <v>Twice a month</v>
      </c>
      <c r="H482" s="258" t="str">
        <f>IFERROR(__xludf.DUMMYFUNCTION("""COMPUTED_VALUE"""),"Monthly")</f>
        <v>Monthly</v>
      </c>
      <c r="I482" s="258" t="str">
        <f>IFERROR(__xludf.DUMMYFUNCTION("""COMPUTED_VALUE"""),"A few times a year")</f>
        <v>A few times a year</v>
      </c>
      <c r="J482" s="260" t="str">
        <f>IFERROR(__xludf.DUMMYFUNCTION("""COMPUTED_VALUE"""),"")</f>
        <v/>
      </c>
      <c r="K482" s="258" t="str">
        <f>IFERROR(__xludf.DUMMYFUNCTION("""COMPUTED_VALUE"""),"")</f>
        <v/>
      </c>
      <c r="L482" s="258" t="str">
        <f>IFERROR(__xludf.DUMMYFUNCTION("""COMPUTED_VALUE"""),"")</f>
        <v/>
      </c>
      <c r="M482" s="261">
        <f>IFERROR(__xludf.DUMMYFUNCTION("""COMPUTED_VALUE"""),218.0)</f>
        <v>218</v>
      </c>
      <c r="N482" s="262" t="str">
        <f>IFERROR(__xludf.DUMMYFUNCTION("""COMPUTED_VALUE"""),"")</f>
        <v/>
      </c>
      <c r="O482" s="259" t="str">
        <f>IFERROR(__xludf.DUMMYFUNCTION("""COMPUTED_VALUE"""),"")</f>
        <v/>
      </c>
      <c r="P482" s="259">
        <f>IFERROR(__xludf.DUMMYFUNCTION("""COMPUTED_VALUE"""),42049.0)</f>
        <v>42049</v>
      </c>
      <c r="Q482" s="258">
        <f>IFERROR(__xludf.DUMMYFUNCTION("""COMPUTED_VALUE"""),27000.0)</f>
        <v>27000</v>
      </c>
      <c r="R482" s="261">
        <f>IFERROR(__xludf.DUMMYFUNCTION("""COMPUTED_VALUE"""),373.0)</f>
        <v>373</v>
      </c>
      <c r="S482" s="258">
        <v>395.0</v>
      </c>
      <c r="T482" s="263">
        <v>0.9443037974683545</v>
      </c>
      <c r="U482" s="264">
        <v>16777.0</v>
      </c>
      <c r="V482" s="265">
        <v>27000.0</v>
      </c>
      <c r="W482" s="264">
        <v>16777.0</v>
      </c>
      <c r="X482" s="266" t="str">
        <f>IFERROR(__xludf.DUMMYFUNCTION("""COMPUTED_VALUE"""),"scottf200")</f>
        <v>scottf200</v>
      </c>
      <c r="Y482" s="267">
        <v>-0.01</v>
      </c>
      <c r="Z482" s="267">
        <v>0.9696665000394786</v>
      </c>
      <c r="AA482" s="269"/>
      <c r="AB482" s="270"/>
      <c r="AC482" s="270"/>
      <c r="AD482" s="270"/>
      <c r="AE482" s="270"/>
    </row>
    <row r="483">
      <c r="A483" s="256">
        <f>IFERROR(__xludf.DUMMYFUNCTION("""COMPUTED_VALUE"""),42128.11041666666)</f>
        <v>42128.11042</v>
      </c>
      <c r="B483" s="257" t="str">
        <f>IFERROR(__xludf.DUMMYFUNCTION("""COMPUTED_VALUE"""),"GerardF")</f>
        <v>GerardF</v>
      </c>
      <c r="C483" s="258" t="str">
        <f>IFERROR(__xludf.DUMMYFUNCTION("""COMPUTED_VALUE"""),"Europe (excluding UK) &amp; Asia Pacific")</f>
        <v>Europe (excluding UK) &amp; Asia Pacific</v>
      </c>
      <c r="D483" s="258" t="str">
        <f>IFERROR(__xludf.DUMMYFUNCTION("""COMPUTED_VALUE"""),"km. My car displays range in kilometres and I will enter all range numbers in kilometres.")</f>
        <v>km. My car displays range in kilometres and I will enter all range numbers in kilometres.</v>
      </c>
      <c r="E483" s="259">
        <f>IFERROR(__xludf.DUMMYFUNCTION("""COMPUTED_VALUE"""),41621.0)</f>
        <v>41621</v>
      </c>
      <c r="F483" s="258" t="str">
        <f>IFERROR(__xludf.DUMMYFUNCTION("""COMPUTED_VALUE"""),"Model S 85")</f>
        <v>Model S 85</v>
      </c>
      <c r="G483" s="258" t="str">
        <f>IFERROR(__xludf.DUMMYFUNCTION("""COMPUTED_VALUE"""),"Twice a month")</f>
        <v>Twice a month</v>
      </c>
      <c r="H483" s="258" t="str">
        <f>IFERROR(__xludf.DUMMYFUNCTION("""COMPUTED_VALUE"""),"Monthly")</f>
        <v>Monthly</v>
      </c>
      <c r="I483" s="258" t="str">
        <f>IFERROR(__xludf.DUMMYFUNCTION("""COMPUTED_VALUE"""),"A few times a year")</f>
        <v>A few times a year</v>
      </c>
      <c r="J483" s="260">
        <f>IFERROR(__xludf.DUMMYFUNCTION("""COMPUTED_VALUE"""),0.8)</f>
        <v>0.8</v>
      </c>
      <c r="K483" s="258" t="str">
        <f>IFERROR(__xludf.DUMMYFUNCTION("""COMPUTED_VALUE"""),"")</f>
        <v/>
      </c>
      <c r="L483" s="258" t="str">
        <f>IFERROR(__xludf.DUMMYFUNCTION("""COMPUTED_VALUE"""),"")</f>
        <v/>
      </c>
      <c r="M483" s="261">
        <f>IFERROR(__xludf.DUMMYFUNCTION("""COMPUTED_VALUE"""),218.0)</f>
        <v>218</v>
      </c>
      <c r="N483" s="262" t="str">
        <f>IFERROR(__xludf.DUMMYFUNCTION("""COMPUTED_VALUE"""),"")</f>
        <v/>
      </c>
      <c r="O483" s="259" t="str">
        <f>IFERROR(__xludf.DUMMYFUNCTION("""COMPUTED_VALUE"""),"")</f>
        <v/>
      </c>
      <c r="P483" s="259">
        <f>IFERROR(__xludf.DUMMYFUNCTION("""COMPUTED_VALUE"""),42128.0)</f>
        <v>42128</v>
      </c>
      <c r="Q483" s="258">
        <f>IFERROR(__xludf.DUMMYFUNCTION("""COMPUTED_VALUE"""),34786.0)</f>
        <v>34786</v>
      </c>
      <c r="R483" s="261">
        <f>IFERROR(__xludf.DUMMYFUNCTION("""COMPUTED_VALUE"""),382.0)</f>
        <v>382</v>
      </c>
      <c r="S483" s="258">
        <v>395.0</v>
      </c>
      <c r="T483" s="263">
        <v>0.9670886075949368</v>
      </c>
      <c r="U483" s="264">
        <v>21615.0</v>
      </c>
      <c r="V483" s="265">
        <v>34786.0</v>
      </c>
      <c r="W483" s="264">
        <v>21615.0</v>
      </c>
      <c r="X483" s="266" t="str">
        <f>IFERROR(__xludf.DUMMYFUNCTION("""COMPUTED_VALUE"""),"Script")</f>
        <v>Script</v>
      </c>
      <c r="Y483" s="267">
        <v>-0.01</v>
      </c>
      <c r="Z483" s="267">
        <v>0.9655644600245009</v>
      </c>
      <c r="AA483" s="269"/>
      <c r="AB483" s="270"/>
      <c r="AC483" s="270"/>
      <c r="AD483" s="270"/>
      <c r="AE483" s="270"/>
    </row>
    <row r="484">
      <c r="A484" s="256">
        <f>IFERROR(__xludf.DUMMYFUNCTION("""COMPUTED_VALUE"""),42982.59861111111)</f>
        <v>42982.59861</v>
      </c>
      <c r="B484" s="257" t="str">
        <f>IFERROR(__xludf.DUMMYFUNCTION("""COMPUTED_VALUE"""),"Gert")</f>
        <v>Gert</v>
      </c>
      <c r="C484" s="258" t="str">
        <f>IFERROR(__xludf.DUMMYFUNCTION("""COMPUTED_VALUE"""),"Europe (excluding UK) &amp; Asia Pacific")</f>
        <v>Europe (excluding UK) &amp; Asia Pacific</v>
      </c>
      <c r="D484" s="258" t="str">
        <f>IFERROR(__xludf.DUMMYFUNCTION("""COMPUTED_VALUE"""),"km. My car displays range in kilometres and I will enter all range numbers in kilometres.")</f>
        <v>km. My car displays range in kilometres and I will enter all range numbers in kilometres.</v>
      </c>
      <c r="E484" s="259">
        <f>IFERROR(__xludf.DUMMYFUNCTION("""COMPUTED_VALUE"""),41557.0)</f>
        <v>41557</v>
      </c>
      <c r="F484" s="258" t="str">
        <f>IFERROR(__xludf.DUMMYFUNCTION("""COMPUTED_VALUE"""),"Model S 85")</f>
        <v>Model S 85</v>
      </c>
      <c r="G484" s="258" t="str">
        <f>IFERROR(__xludf.DUMMYFUNCTION("""COMPUTED_VALUE"""),"A few times a year")</f>
        <v>A few times a year</v>
      </c>
      <c r="H484" s="258" t="str">
        <f>IFERROR(__xludf.DUMMYFUNCTION("""COMPUTED_VALUE"""),"Weekly")</f>
        <v>Weekly</v>
      </c>
      <c r="I484" s="258" t="str">
        <f>IFERROR(__xludf.DUMMYFUNCTION("""COMPUTED_VALUE"""),"A few times a year")</f>
        <v>A few times a year</v>
      </c>
      <c r="J484" s="260">
        <f>IFERROR(__xludf.DUMMYFUNCTION("""COMPUTED_VALUE"""),0.9)</f>
        <v>0.9</v>
      </c>
      <c r="K484" s="258" t="str">
        <f>IFERROR(__xludf.DUMMYFUNCTION("""COMPUTED_VALUE"""),"")</f>
        <v/>
      </c>
      <c r="L484" s="258" t="str">
        <f>IFERROR(__xludf.DUMMYFUNCTION("""COMPUTED_VALUE"""),"")</f>
        <v/>
      </c>
      <c r="M484" s="261">
        <f>IFERROR(__xludf.DUMMYFUNCTION("""COMPUTED_VALUE"""),244.0)</f>
        <v>244</v>
      </c>
      <c r="N484" s="262" t="str">
        <f>IFERROR(__xludf.DUMMYFUNCTION("""COMPUTED_VALUE"""),"")</f>
        <v/>
      </c>
      <c r="O484" s="259" t="str">
        <f>IFERROR(__xludf.DUMMYFUNCTION("""COMPUTED_VALUE"""),"")</f>
        <v/>
      </c>
      <c r="P484" s="259">
        <f>IFERROR(__xludf.DUMMYFUNCTION("""COMPUTED_VALUE"""),42982.0)</f>
        <v>42982</v>
      </c>
      <c r="Q484" s="258">
        <f>IFERROR(__xludf.DUMMYFUNCTION("""COMPUTED_VALUE"""),95422.0)</f>
        <v>95422</v>
      </c>
      <c r="R484" s="261">
        <f>IFERROR(__xludf.DUMMYFUNCTION("""COMPUTED_VALUE"""),379.0)</f>
        <v>379</v>
      </c>
      <c r="S484" s="258">
        <v>395.0</v>
      </c>
      <c r="T484" s="263">
        <v>0.959493670886076</v>
      </c>
      <c r="U484" s="264">
        <v>59292.0</v>
      </c>
      <c r="V484" s="265">
        <v>95422.0</v>
      </c>
      <c r="W484" s="264">
        <v>59292.0</v>
      </c>
      <c r="X484" s="266" t="str">
        <f>IFERROR(__xludf.DUMMYFUNCTION("""COMPUTED_VALUE"""),"Scriptacus")</f>
        <v>Scriptacus</v>
      </c>
      <c r="Y484" s="267">
        <v>-0.01</v>
      </c>
      <c r="Z484" s="267">
        <v>0.9476692949511774</v>
      </c>
      <c r="AA484" s="269"/>
      <c r="AB484" s="270"/>
      <c r="AC484" s="270"/>
      <c r="AD484" s="270"/>
      <c r="AE484" s="270"/>
    </row>
    <row r="485">
      <c r="A485" s="256">
        <f>IFERROR(__xludf.DUMMYFUNCTION("""COMPUTED_VALUE"""),42135.7375)</f>
        <v>42135.7375</v>
      </c>
      <c r="B485" s="257" t="str">
        <f>IFERROR(__xludf.DUMMYFUNCTION("""COMPUTED_VALUE"""),"ghurenkamp")</f>
        <v>ghurenkamp</v>
      </c>
      <c r="C485" s="258" t="str">
        <f>IFERROR(__xludf.DUMMYFUNCTION("""COMPUTED_VALUE"""),"USA")</f>
        <v>USA</v>
      </c>
      <c r="D485" s="258" t="str">
        <f>IFERROR(__xludf.DUMMYFUNCTION("""COMPUTED_VALUE"""),"mi. My car displays range in miles and I will enter all range numbers in miles.")</f>
        <v>mi. My car displays range in miles and I will enter all range numbers in miles.</v>
      </c>
      <c r="E485" s="259">
        <f>IFERROR(__xludf.DUMMYFUNCTION("""COMPUTED_VALUE"""),41432.0)</f>
        <v>41432</v>
      </c>
      <c r="F485" s="258" t="str">
        <f>IFERROR(__xludf.DUMMYFUNCTION("""COMPUTED_VALUE"""),"Model S P85")</f>
        <v>Model S P85</v>
      </c>
      <c r="G485" s="258" t="str">
        <f>IFERROR(__xludf.DUMMYFUNCTION("""COMPUTED_VALUE"""),"Weekly")</f>
        <v>Weekly</v>
      </c>
      <c r="H485" s="258" t="str">
        <f>IFERROR(__xludf.DUMMYFUNCTION("""COMPUTED_VALUE"""),"A few times a year")</f>
        <v>A few times a year</v>
      </c>
      <c r="I485" s="258" t="str">
        <f>IFERROR(__xludf.DUMMYFUNCTION("""COMPUTED_VALUE"""),"Once or twice a year")</f>
        <v>Once or twice a year</v>
      </c>
      <c r="J485" s="260">
        <f>IFERROR(__xludf.DUMMYFUNCTION("""COMPUTED_VALUE"""),0.9)</f>
        <v>0.9</v>
      </c>
      <c r="K485" s="258">
        <f>IFERROR(__xludf.DUMMYFUNCTION("""COMPUTED_VALUE"""),260.0)</f>
        <v>260</v>
      </c>
      <c r="L485" s="258" t="str">
        <f>IFERROR(__xludf.DUMMYFUNCTION("""COMPUTED_VALUE"""),"")</f>
        <v/>
      </c>
      <c r="M485" s="261">
        <f>IFERROR(__xludf.DUMMYFUNCTION("""COMPUTED_VALUE"""),304.0)</f>
        <v>304</v>
      </c>
      <c r="N485" s="262" t="str">
        <f>IFERROR(__xludf.DUMMYFUNCTION("""COMPUTED_VALUE"""),"")</f>
        <v/>
      </c>
      <c r="O485" s="259" t="str">
        <f>IFERROR(__xludf.DUMMYFUNCTION("""COMPUTED_VALUE"""),"")</f>
        <v/>
      </c>
      <c r="P485" s="259">
        <f>IFERROR(__xludf.DUMMYFUNCTION("""COMPUTED_VALUE"""),42135.0)</f>
        <v>42135</v>
      </c>
      <c r="Q485" s="258">
        <f>IFERROR(__xludf.DUMMYFUNCTION("""COMPUTED_VALUE"""),43715.0)</f>
        <v>43715</v>
      </c>
      <c r="R485" s="261">
        <f>IFERROR(__xludf.DUMMYFUNCTION("""COMPUTED_VALUE"""),251.0)</f>
        <v>251</v>
      </c>
      <c r="S485" s="258">
        <v>266.0</v>
      </c>
      <c r="T485" s="263">
        <v>0.943609022556391</v>
      </c>
      <c r="U485" s="264">
        <v>43715.0</v>
      </c>
      <c r="V485" s="265">
        <v>70352.0</v>
      </c>
      <c r="W485" s="264">
        <v>43715.0</v>
      </c>
      <c r="X485" s="266" t="str">
        <f>IFERROR(__xludf.DUMMYFUNCTION("""COMPUTED_VALUE"""),"sdoorex")</f>
        <v>sdoorex</v>
      </c>
      <c r="Y485" s="267">
        <v>-0.01</v>
      </c>
      <c r="Z485" s="267">
        <v>0.9538424498726692</v>
      </c>
      <c r="AA485" s="269"/>
      <c r="AB485" s="270"/>
      <c r="AC485" s="270"/>
      <c r="AD485" s="270"/>
      <c r="AE485" s="270"/>
    </row>
    <row r="486">
      <c r="A486" s="256">
        <f>IFERROR(__xludf.DUMMYFUNCTION("""COMPUTED_VALUE"""),42267.76180555555)</f>
        <v>42267.76181</v>
      </c>
      <c r="B486" s="257" t="str">
        <f>IFERROR(__xludf.DUMMYFUNCTION("""COMPUTED_VALUE"""),"ghurenkamp")</f>
        <v>ghurenkamp</v>
      </c>
      <c r="C486" s="258" t="str">
        <f>IFERROR(__xludf.DUMMYFUNCTION("""COMPUTED_VALUE"""),"USA")</f>
        <v>USA</v>
      </c>
      <c r="D486" s="258" t="str">
        <f>IFERROR(__xludf.DUMMYFUNCTION("""COMPUTED_VALUE"""),"mi. My car displays range in miles and I will enter all range numbers in miles.")</f>
        <v>mi. My car displays range in miles and I will enter all range numbers in miles.</v>
      </c>
      <c r="E486" s="259">
        <f>IFERROR(__xludf.DUMMYFUNCTION("""COMPUTED_VALUE"""),41432.0)</f>
        <v>41432</v>
      </c>
      <c r="F486" s="258" t="str">
        <f>IFERROR(__xludf.DUMMYFUNCTION("""COMPUTED_VALUE"""),"Model S P85")</f>
        <v>Model S P85</v>
      </c>
      <c r="G486" s="258" t="str">
        <f>IFERROR(__xludf.DUMMYFUNCTION("""COMPUTED_VALUE"""),"Weekly")</f>
        <v>Weekly</v>
      </c>
      <c r="H486" s="258" t="str">
        <f>IFERROR(__xludf.DUMMYFUNCTION("""COMPUTED_VALUE"""),"A few times a year")</f>
        <v>A few times a year</v>
      </c>
      <c r="I486" s="258" t="str">
        <f>IFERROR(__xludf.DUMMYFUNCTION("""COMPUTED_VALUE"""),"Once or twice a year")</f>
        <v>Once or twice a year</v>
      </c>
      <c r="J486" s="260">
        <f>IFERROR(__xludf.DUMMYFUNCTION("""COMPUTED_VALUE"""),0.9)</f>
        <v>0.9</v>
      </c>
      <c r="K486" s="258">
        <f>IFERROR(__xludf.DUMMYFUNCTION("""COMPUTED_VALUE"""),260.0)</f>
        <v>260</v>
      </c>
      <c r="L486" s="258" t="str">
        <f>IFERROR(__xludf.DUMMYFUNCTION("""COMPUTED_VALUE"""),"")</f>
        <v/>
      </c>
      <c r="M486" s="261">
        <f>IFERROR(__xludf.DUMMYFUNCTION("""COMPUTED_VALUE"""),304.0)</f>
        <v>304</v>
      </c>
      <c r="N486" s="262" t="str">
        <f>IFERROR(__xludf.DUMMYFUNCTION("""COMPUTED_VALUE"""),"")</f>
        <v/>
      </c>
      <c r="O486" s="259" t="str">
        <f>IFERROR(__xludf.DUMMYFUNCTION("""COMPUTED_VALUE"""),"")</f>
        <v/>
      </c>
      <c r="P486" s="259">
        <f>IFERROR(__xludf.DUMMYFUNCTION("""COMPUTED_VALUE"""),42267.0)</f>
        <v>42267</v>
      </c>
      <c r="Q486" s="258">
        <f>IFERROR(__xludf.DUMMYFUNCTION("""COMPUTED_VALUE"""),51123.0)</f>
        <v>51123</v>
      </c>
      <c r="R486" s="261">
        <f>IFERROR(__xludf.DUMMYFUNCTION("""COMPUTED_VALUE"""),250.0)</f>
        <v>250</v>
      </c>
      <c r="S486" s="258">
        <v>266.0</v>
      </c>
      <c r="T486" s="263">
        <v>0.9398496240601504</v>
      </c>
      <c r="U486" s="264">
        <v>51123.0</v>
      </c>
      <c r="V486" s="265">
        <v>82274.0</v>
      </c>
      <c r="W486" s="264">
        <v>51123.0</v>
      </c>
      <c r="X486" s="266" t="str">
        <f>IFERROR(__xludf.DUMMYFUNCTION("""COMPUTED_VALUE"""),"sdragon")</f>
        <v>sdragon</v>
      </c>
      <c r="Y486" s="267">
        <v>-0.01</v>
      </c>
      <c r="Z486" s="267">
        <v>0.9508379620347137</v>
      </c>
      <c r="AA486" s="269"/>
      <c r="AB486" s="270"/>
      <c r="AC486" s="270"/>
      <c r="AD486" s="270"/>
      <c r="AE486" s="270"/>
    </row>
    <row r="487">
      <c r="A487" s="256">
        <f>IFERROR(__xludf.DUMMYFUNCTION("""COMPUTED_VALUE"""),42338.775)</f>
        <v>42338.775</v>
      </c>
      <c r="B487" s="257" t="str">
        <f>IFERROR(__xludf.DUMMYFUNCTION("""COMPUTED_VALUE"""),"ghurenkamp")</f>
        <v>ghurenkamp</v>
      </c>
      <c r="C487" s="258" t="str">
        <f>IFERROR(__xludf.DUMMYFUNCTION("""COMPUTED_VALUE"""),"USA")</f>
        <v>USA</v>
      </c>
      <c r="D487" s="258" t="str">
        <f>IFERROR(__xludf.DUMMYFUNCTION("""COMPUTED_VALUE"""),"mi. My car displays range in miles and I will enter all range numbers in miles.")</f>
        <v>mi. My car displays range in miles and I will enter all range numbers in miles.</v>
      </c>
      <c r="E487" s="259">
        <f>IFERROR(__xludf.DUMMYFUNCTION("""COMPUTED_VALUE"""),41432.0)</f>
        <v>41432</v>
      </c>
      <c r="F487" s="258" t="str">
        <f>IFERROR(__xludf.DUMMYFUNCTION("""COMPUTED_VALUE"""),"Model S P85")</f>
        <v>Model S P85</v>
      </c>
      <c r="G487" s="258" t="str">
        <f>IFERROR(__xludf.DUMMYFUNCTION("""COMPUTED_VALUE"""),"Weekly")</f>
        <v>Weekly</v>
      </c>
      <c r="H487" s="258" t="str">
        <f>IFERROR(__xludf.DUMMYFUNCTION("""COMPUTED_VALUE"""),"A few times a year")</f>
        <v>A few times a year</v>
      </c>
      <c r="I487" s="258" t="str">
        <f>IFERROR(__xludf.DUMMYFUNCTION("""COMPUTED_VALUE"""),"Once or twice a year")</f>
        <v>Once or twice a year</v>
      </c>
      <c r="J487" s="260">
        <f>IFERROR(__xludf.DUMMYFUNCTION("""COMPUTED_VALUE"""),0.9)</f>
        <v>0.9</v>
      </c>
      <c r="K487" s="258">
        <f>IFERROR(__xludf.DUMMYFUNCTION("""COMPUTED_VALUE"""),260.0)</f>
        <v>260</v>
      </c>
      <c r="L487" s="258" t="str">
        <f>IFERROR(__xludf.DUMMYFUNCTION("""COMPUTED_VALUE"""),"")</f>
        <v/>
      </c>
      <c r="M487" s="261">
        <f>IFERROR(__xludf.DUMMYFUNCTION("""COMPUTED_VALUE"""),302.0)</f>
        <v>302</v>
      </c>
      <c r="N487" s="262" t="str">
        <f>IFERROR(__xludf.DUMMYFUNCTION("""COMPUTED_VALUE"""),"")</f>
        <v/>
      </c>
      <c r="O487" s="259" t="str">
        <f>IFERROR(__xludf.DUMMYFUNCTION("""COMPUTED_VALUE"""),"")</f>
        <v/>
      </c>
      <c r="P487" s="259">
        <f>IFERROR(__xludf.DUMMYFUNCTION("""COMPUTED_VALUE"""),42338.0)</f>
        <v>42338</v>
      </c>
      <c r="Q487" s="258">
        <f>IFERROR(__xludf.DUMMYFUNCTION("""COMPUTED_VALUE"""),56544.0)</f>
        <v>56544</v>
      </c>
      <c r="R487" s="261">
        <f>IFERROR(__xludf.DUMMYFUNCTION("""COMPUTED_VALUE"""),251.0)</f>
        <v>251</v>
      </c>
      <c r="S487" s="258">
        <v>266.0</v>
      </c>
      <c r="T487" s="263">
        <v>0.943609022556391</v>
      </c>
      <c r="U487" s="264">
        <v>56544.0</v>
      </c>
      <c r="V487" s="265">
        <v>90999.0</v>
      </c>
      <c r="W487" s="264">
        <v>56544.0</v>
      </c>
      <c r="X487" s="266" t="str">
        <f>IFERROR(__xludf.DUMMYFUNCTION("""COMPUTED_VALUE"""),"Sean O")</f>
        <v>Sean O</v>
      </c>
      <c r="Y487" s="267">
        <v>-0.01</v>
      </c>
      <c r="Z487" s="267">
        <v>0.9487242244009926</v>
      </c>
      <c r="AA487" s="269"/>
      <c r="AB487" s="270"/>
      <c r="AC487" s="270"/>
      <c r="AD487" s="270"/>
      <c r="AE487" s="270"/>
    </row>
    <row r="488">
      <c r="A488" s="256">
        <f>IFERROR(__xludf.DUMMYFUNCTION("""COMPUTED_VALUE"""),42507.79652777778)</f>
        <v>42507.79653</v>
      </c>
      <c r="B488" s="257" t="str">
        <f>IFERROR(__xludf.DUMMYFUNCTION("""COMPUTED_VALUE"""),"ghurenkamp")</f>
        <v>ghurenkamp</v>
      </c>
      <c r="C488" s="258" t="str">
        <f>IFERROR(__xludf.DUMMYFUNCTION("""COMPUTED_VALUE"""),"USA")</f>
        <v>USA</v>
      </c>
      <c r="D488" s="258" t="str">
        <f>IFERROR(__xludf.DUMMYFUNCTION("""COMPUTED_VALUE"""),"mi. My car displays range in miles and I will enter all range numbers in miles.")</f>
        <v>mi. My car displays range in miles and I will enter all range numbers in miles.</v>
      </c>
      <c r="E488" s="259">
        <f>IFERROR(__xludf.DUMMYFUNCTION("""COMPUTED_VALUE"""),41432.0)</f>
        <v>41432</v>
      </c>
      <c r="F488" s="258" t="str">
        <f>IFERROR(__xludf.DUMMYFUNCTION("""COMPUTED_VALUE"""),"Model S P85")</f>
        <v>Model S P85</v>
      </c>
      <c r="G488" s="258" t="str">
        <f>IFERROR(__xludf.DUMMYFUNCTION("""COMPUTED_VALUE"""),"Weekly")</f>
        <v>Weekly</v>
      </c>
      <c r="H488" s="258" t="str">
        <f>IFERROR(__xludf.DUMMYFUNCTION("""COMPUTED_VALUE"""),"A few times a year")</f>
        <v>A few times a year</v>
      </c>
      <c r="I488" s="258" t="str">
        <f>IFERROR(__xludf.DUMMYFUNCTION("""COMPUTED_VALUE"""),"Once or twice a year")</f>
        <v>Once or twice a year</v>
      </c>
      <c r="J488" s="260">
        <f>IFERROR(__xludf.DUMMYFUNCTION("""COMPUTED_VALUE"""),0.9)</f>
        <v>0.9</v>
      </c>
      <c r="K488" s="258">
        <f>IFERROR(__xludf.DUMMYFUNCTION("""COMPUTED_VALUE"""),260.0)</f>
        <v>260</v>
      </c>
      <c r="L488" s="258" t="str">
        <f>IFERROR(__xludf.DUMMYFUNCTION("""COMPUTED_VALUE"""),"")</f>
        <v/>
      </c>
      <c r="M488" s="261">
        <f>IFERROR(__xludf.DUMMYFUNCTION("""COMPUTED_VALUE"""),322.0)</f>
        <v>322</v>
      </c>
      <c r="N488" s="262" t="str">
        <f>IFERROR(__xludf.DUMMYFUNCTION("""COMPUTED_VALUE"""),"")</f>
        <v/>
      </c>
      <c r="O488" s="259" t="str">
        <f>IFERROR(__xludf.DUMMYFUNCTION("""COMPUTED_VALUE"""),"")</f>
        <v/>
      </c>
      <c r="P488" s="259">
        <f>IFERROR(__xludf.DUMMYFUNCTION("""COMPUTED_VALUE"""),42507.0)</f>
        <v>42507</v>
      </c>
      <c r="Q488" s="258">
        <f>IFERROR(__xludf.DUMMYFUNCTION("""COMPUTED_VALUE"""),66281.0)</f>
        <v>66281</v>
      </c>
      <c r="R488" s="261">
        <f>IFERROR(__xludf.DUMMYFUNCTION("""COMPUTED_VALUE"""),249.0)</f>
        <v>249</v>
      </c>
      <c r="S488" s="258">
        <v>266.0</v>
      </c>
      <c r="T488" s="263">
        <v>0.9360902255639098</v>
      </c>
      <c r="U488" s="264">
        <v>66281.0</v>
      </c>
      <c r="V488" s="265">
        <v>106669.0</v>
      </c>
      <c r="W488" s="264">
        <v>66281.0</v>
      </c>
      <c r="X488" s="266" t="str">
        <f>IFERROR(__xludf.DUMMYFUNCTION("""COMPUTED_VALUE"""),"SeanMichaelMitchell")</f>
        <v>SeanMichaelMitchell</v>
      </c>
      <c r="Y488" s="267">
        <v>-0.01</v>
      </c>
      <c r="Z488" s="267">
        <v>0.9450182829404267</v>
      </c>
      <c r="AA488" s="269"/>
      <c r="AB488" s="270"/>
      <c r="AC488" s="270"/>
      <c r="AD488" s="270"/>
      <c r="AE488" s="270"/>
    </row>
    <row r="489">
      <c r="A489" s="256">
        <f>IFERROR(__xludf.DUMMYFUNCTION("""COMPUTED_VALUE"""),42606.804861111115)</f>
        <v>42606.80486</v>
      </c>
      <c r="B489" s="257" t="str">
        <f>IFERROR(__xludf.DUMMYFUNCTION("""COMPUTED_VALUE"""),"ghurenkamp")</f>
        <v>ghurenkamp</v>
      </c>
      <c r="C489" s="258" t="str">
        <f>IFERROR(__xludf.DUMMYFUNCTION("""COMPUTED_VALUE"""),"USA")</f>
        <v>USA</v>
      </c>
      <c r="D489" s="258" t="str">
        <f>IFERROR(__xludf.DUMMYFUNCTION("""COMPUTED_VALUE"""),"mi. My car displays range in miles and I will enter all range numbers in miles.")</f>
        <v>mi. My car displays range in miles and I will enter all range numbers in miles.</v>
      </c>
      <c r="E489" s="259">
        <f>IFERROR(__xludf.DUMMYFUNCTION("""COMPUTED_VALUE"""),41432.0)</f>
        <v>41432</v>
      </c>
      <c r="F489" s="258" t="str">
        <f>IFERROR(__xludf.DUMMYFUNCTION("""COMPUTED_VALUE"""),"Model S P85")</f>
        <v>Model S P85</v>
      </c>
      <c r="G489" s="258" t="str">
        <f>IFERROR(__xludf.DUMMYFUNCTION("""COMPUTED_VALUE"""),"Twice a week")</f>
        <v>Twice a week</v>
      </c>
      <c r="H489" s="258" t="str">
        <f>IFERROR(__xludf.DUMMYFUNCTION("""COMPUTED_VALUE"""),"A few times a year")</f>
        <v>A few times a year</v>
      </c>
      <c r="I489" s="258" t="str">
        <f>IFERROR(__xludf.DUMMYFUNCTION("""COMPUTED_VALUE"""),"Once or twice a year")</f>
        <v>Once or twice a year</v>
      </c>
      <c r="J489" s="260">
        <f>IFERROR(__xludf.DUMMYFUNCTION("""COMPUTED_VALUE"""),0.9)</f>
        <v>0.9</v>
      </c>
      <c r="K489" s="258">
        <f>IFERROR(__xludf.DUMMYFUNCTION("""COMPUTED_VALUE"""),260.0)</f>
        <v>260</v>
      </c>
      <c r="L489" s="258" t="str">
        <f>IFERROR(__xludf.DUMMYFUNCTION("""COMPUTED_VALUE"""),"")</f>
        <v/>
      </c>
      <c r="M489" s="261">
        <f>IFERROR(__xludf.DUMMYFUNCTION("""COMPUTED_VALUE"""),316.0)</f>
        <v>316</v>
      </c>
      <c r="N489" s="262" t="str">
        <f>IFERROR(__xludf.DUMMYFUNCTION("""COMPUTED_VALUE"""),"")</f>
        <v/>
      </c>
      <c r="O489" s="259" t="str">
        <f>IFERROR(__xludf.DUMMYFUNCTION("""COMPUTED_VALUE"""),"")</f>
        <v/>
      </c>
      <c r="P489" s="259">
        <f>IFERROR(__xludf.DUMMYFUNCTION("""COMPUTED_VALUE"""),42606.0)</f>
        <v>42606</v>
      </c>
      <c r="Q489" s="258">
        <f>IFERROR(__xludf.DUMMYFUNCTION("""COMPUTED_VALUE"""),72029.0)</f>
        <v>72029</v>
      </c>
      <c r="R489" s="261">
        <f>IFERROR(__xludf.DUMMYFUNCTION("""COMPUTED_VALUE"""),249.0)</f>
        <v>249</v>
      </c>
      <c r="S489" s="258">
        <v>266.0</v>
      </c>
      <c r="T489" s="263">
        <v>0.9360902255639098</v>
      </c>
      <c r="U489" s="264">
        <v>72029.0</v>
      </c>
      <c r="V489" s="265">
        <v>115919.0</v>
      </c>
      <c r="W489" s="264">
        <v>72029.0</v>
      </c>
      <c r="X489" s="266" t="str">
        <f>IFERROR(__xludf.DUMMYFUNCTION("""COMPUTED_VALUE"""),"selsrog")</f>
        <v>selsrog</v>
      </c>
      <c r="Y489" s="267">
        <v>-0.01</v>
      </c>
      <c r="Z489" s="267">
        <v>0.9428591444765564</v>
      </c>
      <c r="AA489" s="269"/>
      <c r="AB489" s="270"/>
      <c r="AC489" s="270"/>
      <c r="AD489" s="270"/>
      <c r="AE489" s="270"/>
    </row>
    <row r="490">
      <c r="A490" s="256">
        <f>IFERROR(__xludf.DUMMYFUNCTION("""COMPUTED_VALUE"""),42751.819444444445)</f>
        <v>42751.81944</v>
      </c>
      <c r="B490" s="257" t="str">
        <f>IFERROR(__xludf.DUMMYFUNCTION("""COMPUTED_VALUE"""),"ghurenkamp")</f>
        <v>ghurenkamp</v>
      </c>
      <c r="C490" s="258" t="str">
        <f>IFERROR(__xludf.DUMMYFUNCTION("""COMPUTED_VALUE"""),"USA")</f>
        <v>USA</v>
      </c>
      <c r="D490" s="258" t="str">
        <f>IFERROR(__xludf.DUMMYFUNCTION("""COMPUTED_VALUE"""),"mi. My car displays range in miles and I will enter all range numbers in miles.")</f>
        <v>mi. My car displays range in miles and I will enter all range numbers in miles.</v>
      </c>
      <c r="E490" s="259">
        <f>IFERROR(__xludf.DUMMYFUNCTION("""COMPUTED_VALUE"""),41432.0)</f>
        <v>41432</v>
      </c>
      <c r="F490" s="258" t="str">
        <f>IFERROR(__xludf.DUMMYFUNCTION("""COMPUTED_VALUE"""),"Model S P85")</f>
        <v>Model S P85</v>
      </c>
      <c r="G490" s="258" t="str">
        <f>IFERROR(__xludf.DUMMYFUNCTION("""COMPUTED_VALUE"""),"Twice a week")</f>
        <v>Twice a week</v>
      </c>
      <c r="H490" s="258" t="str">
        <f>IFERROR(__xludf.DUMMYFUNCTION("""COMPUTED_VALUE"""),"A few times a year")</f>
        <v>A few times a year</v>
      </c>
      <c r="I490" s="258" t="str">
        <f>IFERROR(__xludf.DUMMYFUNCTION("""COMPUTED_VALUE"""),"Once or twice a year")</f>
        <v>Once or twice a year</v>
      </c>
      <c r="J490" s="260">
        <f>IFERROR(__xludf.DUMMYFUNCTION("""COMPUTED_VALUE"""),0.9)</f>
        <v>0.9</v>
      </c>
      <c r="K490" s="258">
        <f>IFERROR(__xludf.DUMMYFUNCTION("""COMPUTED_VALUE"""),260.0)</f>
        <v>260</v>
      </c>
      <c r="L490" s="258" t="str">
        <f>IFERROR(__xludf.DUMMYFUNCTION("""COMPUTED_VALUE"""),"")</f>
        <v/>
      </c>
      <c r="M490" s="261">
        <f>IFERROR(__xludf.DUMMYFUNCTION("""COMPUTED_VALUE"""),306.0)</f>
        <v>306</v>
      </c>
      <c r="N490" s="262" t="str">
        <f>IFERROR(__xludf.DUMMYFUNCTION("""COMPUTED_VALUE"""),"")</f>
        <v/>
      </c>
      <c r="O490" s="259" t="str">
        <f>IFERROR(__xludf.DUMMYFUNCTION("""COMPUTED_VALUE"""),"")</f>
        <v/>
      </c>
      <c r="P490" s="259">
        <f>IFERROR(__xludf.DUMMYFUNCTION("""COMPUTED_VALUE"""),42751.0)</f>
        <v>42751</v>
      </c>
      <c r="Q490" s="258">
        <f>IFERROR(__xludf.DUMMYFUNCTION("""COMPUTED_VALUE"""),79971.0)</f>
        <v>79971</v>
      </c>
      <c r="R490" s="261">
        <f>IFERROR(__xludf.DUMMYFUNCTION("""COMPUTED_VALUE"""),248.0)</f>
        <v>248</v>
      </c>
      <c r="S490" s="258">
        <v>266.0</v>
      </c>
      <c r="T490" s="263">
        <v>0.9323308270676691</v>
      </c>
      <c r="U490" s="264">
        <v>79971.0</v>
      </c>
      <c r="V490" s="265">
        <v>128701.0</v>
      </c>
      <c r="W490" s="264">
        <v>79971.0</v>
      </c>
      <c r="X490" s="266" t="str">
        <f>IFERROR(__xludf.DUMMYFUNCTION("""COMPUTED_VALUE"""),"sgblank")</f>
        <v>sgblank</v>
      </c>
      <c r="Y490" s="267">
        <v>-0.01</v>
      </c>
      <c r="Z490" s="267">
        <v>0.939892126551751</v>
      </c>
      <c r="AA490" s="269"/>
      <c r="AB490" s="270"/>
      <c r="AC490" s="270"/>
      <c r="AD490" s="270"/>
      <c r="AE490" s="270"/>
    </row>
    <row r="491">
      <c r="A491" s="256">
        <f>IFERROR(__xludf.DUMMYFUNCTION("""COMPUTED_VALUE"""),42865.830555555556)</f>
        <v>42865.83056</v>
      </c>
      <c r="B491" s="257" t="str">
        <f>IFERROR(__xludf.DUMMYFUNCTION("""COMPUTED_VALUE"""),"ghurenkamp")</f>
        <v>ghurenkamp</v>
      </c>
      <c r="C491" s="258" t="str">
        <f>IFERROR(__xludf.DUMMYFUNCTION("""COMPUTED_VALUE"""),"USA")</f>
        <v>USA</v>
      </c>
      <c r="D491" s="258" t="str">
        <f>IFERROR(__xludf.DUMMYFUNCTION("""COMPUTED_VALUE"""),"mi. My car displays range in miles and I will enter all range numbers in miles.")</f>
        <v>mi. My car displays range in miles and I will enter all range numbers in miles.</v>
      </c>
      <c r="E491" s="259">
        <f>IFERROR(__xludf.DUMMYFUNCTION("""COMPUTED_VALUE"""),41432.0)</f>
        <v>41432</v>
      </c>
      <c r="F491" s="258" t="str">
        <f>IFERROR(__xludf.DUMMYFUNCTION("""COMPUTED_VALUE"""),"Model S P85")</f>
        <v>Model S P85</v>
      </c>
      <c r="G491" s="258" t="str">
        <f>IFERROR(__xludf.DUMMYFUNCTION("""COMPUTED_VALUE"""),"Twice a week")</f>
        <v>Twice a week</v>
      </c>
      <c r="H491" s="258" t="str">
        <f>IFERROR(__xludf.DUMMYFUNCTION("""COMPUTED_VALUE"""),"A few times a year")</f>
        <v>A few times a year</v>
      </c>
      <c r="I491" s="258" t="str">
        <f>IFERROR(__xludf.DUMMYFUNCTION("""COMPUTED_VALUE"""),"Once or twice a year")</f>
        <v>Once or twice a year</v>
      </c>
      <c r="J491" s="260">
        <f>IFERROR(__xludf.DUMMYFUNCTION("""COMPUTED_VALUE"""),0.9)</f>
        <v>0.9</v>
      </c>
      <c r="K491" s="258">
        <f>IFERROR(__xludf.DUMMYFUNCTION("""COMPUTED_VALUE"""),260.0)</f>
        <v>260</v>
      </c>
      <c r="L491" s="258" t="str">
        <f>IFERROR(__xludf.DUMMYFUNCTION("""COMPUTED_VALUE"""),"")</f>
        <v/>
      </c>
      <c r="M491" s="261">
        <f>IFERROR(__xludf.DUMMYFUNCTION("""COMPUTED_VALUE"""),307.0)</f>
        <v>307</v>
      </c>
      <c r="N491" s="262" t="str">
        <f>IFERROR(__xludf.DUMMYFUNCTION("""COMPUTED_VALUE"""),"")</f>
        <v/>
      </c>
      <c r="O491" s="259" t="str">
        <f>IFERROR(__xludf.DUMMYFUNCTION("""COMPUTED_VALUE"""),"")</f>
        <v/>
      </c>
      <c r="P491" s="259">
        <f>IFERROR(__xludf.DUMMYFUNCTION("""COMPUTED_VALUE"""),42865.0)</f>
        <v>42865</v>
      </c>
      <c r="Q491" s="258">
        <f>IFERROR(__xludf.DUMMYFUNCTION("""COMPUTED_VALUE"""),85063.0)</f>
        <v>85063</v>
      </c>
      <c r="R491" s="261">
        <f>IFERROR(__xludf.DUMMYFUNCTION("""COMPUTED_VALUE"""),247.0)</f>
        <v>247</v>
      </c>
      <c r="S491" s="258">
        <v>266.0</v>
      </c>
      <c r="T491" s="263">
        <v>0.9285714285714286</v>
      </c>
      <c r="U491" s="264">
        <v>85063.0</v>
      </c>
      <c r="V491" s="265">
        <v>136896.0</v>
      </c>
      <c r="W491" s="264">
        <v>85063.0</v>
      </c>
      <c r="X491" s="266" t="str">
        <f>IFERROR(__xludf.DUMMYFUNCTION("""COMPUTED_VALUE"""),"Sh3xCod")</f>
        <v>Sh3xCod</v>
      </c>
      <c r="Y491" s="267">
        <v>-0.01</v>
      </c>
      <c r="Z491" s="267">
        <v>0.9379954811754914</v>
      </c>
      <c r="AA491" s="269"/>
      <c r="AB491" s="270"/>
      <c r="AC491" s="270"/>
      <c r="AD491" s="270"/>
      <c r="AE491" s="270"/>
    </row>
    <row r="492">
      <c r="A492" s="256">
        <f>IFERROR(__xludf.DUMMYFUNCTION("""COMPUTED_VALUE"""),42981.85208333333)</f>
        <v>42981.85208</v>
      </c>
      <c r="B492" s="257" t="str">
        <f>IFERROR(__xludf.DUMMYFUNCTION("""COMPUTED_VALUE"""),"ghurenkamp")</f>
        <v>ghurenkamp</v>
      </c>
      <c r="C492" s="258" t="str">
        <f>IFERROR(__xludf.DUMMYFUNCTION("""COMPUTED_VALUE"""),"USA")</f>
        <v>USA</v>
      </c>
      <c r="D492" s="258" t="str">
        <f>IFERROR(__xludf.DUMMYFUNCTION("""COMPUTED_VALUE"""),"mi. My car displays range in miles and I will enter all range numbers in miles.")</f>
        <v>mi. My car displays range in miles and I will enter all range numbers in miles.</v>
      </c>
      <c r="E492" s="259">
        <f>IFERROR(__xludf.DUMMYFUNCTION("""COMPUTED_VALUE"""),41432.0)</f>
        <v>41432</v>
      </c>
      <c r="F492" s="258" t="str">
        <f>IFERROR(__xludf.DUMMYFUNCTION("""COMPUTED_VALUE"""),"Model S P85")</f>
        <v>Model S P85</v>
      </c>
      <c r="G492" s="258" t="str">
        <f>IFERROR(__xludf.DUMMYFUNCTION("""COMPUTED_VALUE"""),"Weekly")</f>
        <v>Weekly</v>
      </c>
      <c r="H492" s="258" t="str">
        <f>IFERROR(__xludf.DUMMYFUNCTION("""COMPUTED_VALUE"""),"A few times a year")</f>
        <v>A few times a year</v>
      </c>
      <c r="I492" s="258" t="str">
        <f>IFERROR(__xludf.DUMMYFUNCTION("""COMPUTED_VALUE"""),"Once or twice a year")</f>
        <v>Once or twice a year</v>
      </c>
      <c r="J492" s="260">
        <f>IFERROR(__xludf.DUMMYFUNCTION("""COMPUTED_VALUE"""),0.9)</f>
        <v>0.9</v>
      </c>
      <c r="K492" s="258">
        <f>IFERROR(__xludf.DUMMYFUNCTION("""COMPUTED_VALUE"""),260.0)</f>
        <v>260</v>
      </c>
      <c r="L492" s="258" t="str">
        <f>IFERROR(__xludf.DUMMYFUNCTION("""COMPUTED_VALUE"""),"")</f>
        <v/>
      </c>
      <c r="M492" s="261">
        <f>IFERROR(__xludf.DUMMYFUNCTION("""COMPUTED_VALUE"""),307.0)</f>
        <v>307</v>
      </c>
      <c r="N492" s="262" t="str">
        <f>IFERROR(__xludf.DUMMYFUNCTION("""COMPUTED_VALUE"""),"")</f>
        <v/>
      </c>
      <c r="O492" s="259" t="str">
        <f>IFERROR(__xludf.DUMMYFUNCTION("""COMPUTED_VALUE"""),"")</f>
        <v/>
      </c>
      <c r="P492" s="259">
        <f>IFERROR(__xludf.DUMMYFUNCTION("""COMPUTED_VALUE"""),42981.0)</f>
        <v>42981</v>
      </c>
      <c r="Q492" s="258">
        <f>IFERROR(__xludf.DUMMYFUNCTION("""COMPUTED_VALUE"""),91282.0)</f>
        <v>91282</v>
      </c>
      <c r="R492" s="261">
        <f>IFERROR(__xludf.DUMMYFUNCTION("""COMPUTED_VALUE"""),245.0)</f>
        <v>245</v>
      </c>
      <c r="S492" s="258">
        <v>266.0</v>
      </c>
      <c r="T492" s="263">
        <v>0.9210526315789473</v>
      </c>
      <c r="U492" s="264">
        <v>91282.0</v>
      </c>
      <c r="V492" s="265">
        <v>146904.0</v>
      </c>
      <c r="W492" s="264">
        <v>91282.0</v>
      </c>
      <c r="X492" s="266" t="str">
        <f>IFERROR(__xludf.DUMMYFUNCTION("""COMPUTED_VALUE"""),"Sheffie")</f>
        <v>Sheffie</v>
      </c>
      <c r="Y492" s="267">
        <v>-0.01</v>
      </c>
      <c r="Z492" s="267">
        <v>0.9356824728795494</v>
      </c>
      <c r="AA492" s="269"/>
      <c r="AB492" s="270"/>
      <c r="AC492" s="270"/>
      <c r="AD492" s="270"/>
      <c r="AE492" s="270"/>
    </row>
    <row r="493">
      <c r="A493" s="256">
        <f>IFERROR(__xludf.DUMMYFUNCTION("""COMPUTED_VALUE"""),43103.86875)</f>
        <v>43103.86875</v>
      </c>
      <c r="B493" s="257" t="str">
        <f>IFERROR(__xludf.DUMMYFUNCTION("""COMPUTED_VALUE"""),"ghurenkamp")</f>
        <v>ghurenkamp</v>
      </c>
      <c r="C493" s="258" t="str">
        <f>IFERROR(__xludf.DUMMYFUNCTION("""COMPUTED_VALUE"""),"USA")</f>
        <v>USA</v>
      </c>
      <c r="D493" s="258" t="str">
        <f>IFERROR(__xludf.DUMMYFUNCTION("""COMPUTED_VALUE"""),"mi. My car displays range in miles and I will enter all range numbers in miles.")</f>
        <v>mi. My car displays range in miles and I will enter all range numbers in miles.</v>
      </c>
      <c r="E493" s="259">
        <f>IFERROR(__xludf.DUMMYFUNCTION("""COMPUTED_VALUE"""),41432.0)</f>
        <v>41432</v>
      </c>
      <c r="F493" s="258" t="str">
        <f>IFERROR(__xludf.DUMMYFUNCTION("""COMPUTED_VALUE"""),"Model S P85")</f>
        <v>Model S P85</v>
      </c>
      <c r="G493" s="258" t="str">
        <f>IFERROR(__xludf.DUMMYFUNCTION("""COMPUTED_VALUE"""),"Weekly")</f>
        <v>Weekly</v>
      </c>
      <c r="H493" s="258" t="str">
        <f>IFERROR(__xludf.DUMMYFUNCTION("""COMPUTED_VALUE"""),"A few times a year")</f>
        <v>A few times a year</v>
      </c>
      <c r="I493" s="258" t="str">
        <f>IFERROR(__xludf.DUMMYFUNCTION("""COMPUTED_VALUE"""),"Once or twice a year")</f>
        <v>Once or twice a year</v>
      </c>
      <c r="J493" s="260">
        <f>IFERROR(__xludf.DUMMYFUNCTION("""COMPUTED_VALUE"""),0.9)</f>
        <v>0.9</v>
      </c>
      <c r="K493" s="258">
        <f>IFERROR(__xludf.DUMMYFUNCTION("""COMPUTED_VALUE"""),260.0)</f>
        <v>260</v>
      </c>
      <c r="L493" s="258" t="str">
        <f>IFERROR(__xludf.DUMMYFUNCTION("""COMPUTED_VALUE"""),"")</f>
        <v/>
      </c>
      <c r="M493" s="261">
        <f>IFERROR(__xludf.DUMMYFUNCTION("""COMPUTED_VALUE"""),307.0)</f>
        <v>307</v>
      </c>
      <c r="N493" s="262" t="str">
        <f>IFERROR(__xludf.DUMMYFUNCTION("""COMPUTED_VALUE"""),"")</f>
        <v/>
      </c>
      <c r="O493" s="259" t="str">
        <f>IFERROR(__xludf.DUMMYFUNCTION("""COMPUTED_VALUE"""),"")</f>
        <v/>
      </c>
      <c r="P493" s="259">
        <f>IFERROR(__xludf.DUMMYFUNCTION("""COMPUTED_VALUE"""),43103.0)</f>
        <v>43103</v>
      </c>
      <c r="Q493" s="258">
        <f>IFERROR(__xludf.DUMMYFUNCTION("""COMPUTED_VALUE"""),96003.0)</f>
        <v>96003</v>
      </c>
      <c r="R493" s="261">
        <f>IFERROR(__xludf.DUMMYFUNCTION("""COMPUTED_VALUE"""),244.0)</f>
        <v>244</v>
      </c>
      <c r="S493" s="258">
        <v>266.0</v>
      </c>
      <c r="T493" s="263">
        <v>0.9172932330827067</v>
      </c>
      <c r="U493" s="264">
        <v>96003.0</v>
      </c>
      <c r="V493" s="265">
        <v>154502.0</v>
      </c>
      <c r="W493" s="264">
        <v>96003.0</v>
      </c>
      <c r="X493" s="266" t="str">
        <f>IFERROR(__xludf.DUMMYFUNCTION("""COMPUTED_VALUE"""),"shoot72")</f>
        <v>shoot72</v>
      </c>
      <c r="Y493" s="267">
        <v>-0.01</v>
      </c>
      <c r="Z493" s="267">
        <v>0.9339278939030291</v>
      </c>
      <c r="AA493" s="269"/>
      <c r="AB493" s="270"/>
      <c r="AC493" s="270"/>
      <c r="AD493" s="270"/>
      <c r="AE493" s="270"/>
    </row>
    <row r="494">
      <c r="A494" s="256">
        <f>IFERROR(__xludf.DUMMYFUNCTION("""COMPUTED_VALUE"""),43187.881944444445)</f>
        <v>43187.88194</v>
      </c>
      <c r="B494" s="257" t="str">
        <f>IFERROR(__xludf.DUMMYFUNCTION("""COMPUTED_VALUE"""),"ghurenkamp")</f>
        <v>ghurenkamp</v>
      </c>
      <c r="C494" s="258" t="str">
        <f>IFERROR(__xludf.DUMMYFUNCTION("""COMPUTED_VALUE"""),"USA")</f>
        <v>USA</v>
      </c>
      <c r="D494" s="258" t="str">
        <f>IFERROR(__xludf.DUMMYFUNCTION("""COMPUTED_VALUE"""),"mi. My car displays range in miles and I will enter all range numbers in miles.")</f>
        <v>mi. My car displays range in miles and I will enter all range numbers in miles.</v>
      </c>
      <c r="E494" s="259">
        <f>IFERROR(__xludf.DUMMYFUNCTION("""COMPUTED_VALUE"""),41432.0)</f>
        <v>41432</v>
      </c>
      <c r="F494" s="258" t="str">
        <f>IFERROR(__xludf.DUMMYFUNCTION("""COMPUTED_VALUE"""),"Model S P85")</f>
        <v>Model S P85</v>
      </c>
      <c r="G494" s="258" t="str">
        <f>IFERROR(__xludf.DUMMYFUNCTION("""COMPUTED_VALUE"""),"Weekly")</f>
        <v>Weekly</v>
      </c>
      <c r="H494" s="258" t="str">
        <f>IFERROR(__xludf.DUMMYFUNCTION("""COMPUTED_VALUE"""),"A few times a year")</f>
        <v>A few times a year</v>
      </c>
      <c r="I494" s="258" t="str">
        <f>IFERROR(__xludf.DUMMYFUNCTION("""COMPUTED_VALUE"""),"Once or twice a year")</f>
        <v>Once or twice a year</v>
      </c>
      <c r="J494" s="260">
        <f>IFERROR(__xludf.DUMMYFUNCTION("""COMPUTED_VALUE"""),0.9)</f>
        <v>0.9</v>
      </c>
      <c r="K494" s="258">
        <f>IFERROR(__xludf.DUMMYFUNCTION("""COMPUTED_VALUE"""),260.0)</f>
        <v>260</v>
      </c>
      <c r="L494" s="258" t="str">
        <f>IFERROR(__xludf.DUMMYFUNCTION("""COMPUTED_VALUE"""),"")</f>
        <v/>
      </c>
      <c r="M494" s="261">
        <f>IFERROR(__xludf.DUMMYFUNCTION("""COMPUTED_VALUE"""),307.0)</f>
        <v>307</v>
      </c>
      <c r="N494" s="262" t="str">
        <f>IFERROR(__xludf.DUMMYFUNCTION("""COMPUTED_VALUE"""),"")</f>
        <v/>
      </c>
      <c r="O494" s="259" t="str">
        <f>IFERROR(__xludf.DUMMYFUNCTION("""COMPUTED_VALUE"""),"")</f>
        <v/>
      </c>
      <c r="P494" s="259">
        <f>IFERROR(__xludf.DUMMYFUNCTION("""COMPUTED_VALUE"""),43187.0)</f>
        <v>43187</v>
      </c>
      <c r="Q494" s="258">
        <f>IFERROR(__xludf.DUMMYFUNCTION("""COMPUTED_VALUE"""),100112.0)</f>
        <v>100112</v>
      </c>
      <c r="R494" s="261">
        <f>IFERROR(__xludf.DUMMYFUNCTION("""COMPUTED_VALUE"""),243.0)</f>
        <v>243</v>
      </c>
      <c r="S494" s="258">
        <v>266.0</v>
      </c>
      <c r="T494" s="263">
        <v>0.9135338345864662</v>
      </c>
      <c r="U494" s="264">
        <v>100112.0</v>
      </c>
      <c r="V494" s="265">
        <v>161115.0</v>
      </c>
      <c r="W494" s="264">
        <v>100112.0</v>
      </c>
      <c r="X494" s="266" t="str">
        <f>IFERROR(__xludf.DUMMYFUNCTION("""COMPUTED_VALUE"""),"Shoot72")</f>
        <v>Shoot72</v>
      </c>
      <c r="Y494" s="267">
        <v>-0.01</v>
      </c>
      <c r="Z494" s="267">
        <v>0.9324014051569103</v>
      </c>
      <c r="AA494" s="269"/>
      <c r="AB494" s="270"/>
      <c r="AC494" s="270"/>
      <c r="AD494" s="270"/>
      <c r="AE494" s="270"/>
    </row>
    <row r="495">
      <c r="A495" s="256">
        <f>IFERROR(__xludf.DUMMYFUNCTION("""COMPUTED_VALUE"""),43580.22073484954)</f>
        <v>43580.22073</v>
      </c>
      <c r="B495" s="257" t="str">
        <f>IFERROR(__xludf.DUMMYFUNCTION("""COMPUTED_VALUE"""),"ghurenkamp")</f>
        <v>ghurenkamp</v>
      </c>
      <c r="C495" s="258" t="str">
        <f>IFERROR(__xludf.DUMMYFUNCTION("""COMPUTED_VALUE"""),"USA")</f>
        <v>USA</v>
      </c>
      <c r="D495" s="258" t="str">
        <f>IFERROR(__xludf.DUMMYFUNCTION("""COMPUTED_VALUE"""),"mi. My car displays range in miles and I will enter all range numbers in miles.")</f>
        <v>mi. My car displays range in miles and I will enter all range numbers in miles.</v>
      </c>
      <c r="E495" s="259">
        <f>IFERROR(__xludf.DUMMYFUNCTION("""COMPUTED_VALUE"""),41432.0)</f>
        <v>41432</v>
      </c>
      <c r="F495" s="258" t="str">
        <f>IFERROR(__xludf.DUMMYFUNCTION("""COMPUTED_VALUE"""),"Model S P85")</f>
        <v>Model S P85</v>
      </c>
      <c r="G495" s="258" t="str">
        <f>IFERROR(__xludf.DUMMYFUNCTION("""COMPUTED_VALUE"""),"Weekly")</f>
        <v>Weekly</v>
      </c>
      <c r="H495" s="258" t="str">
        <f>IFERROR(__xludf.DUMMYFUNCTION("""COMPUTED_VALUE"""),"A few times a year")</f>
        <v>A few times a year</v>
      </c>
      <c r="I495" s="258" t="str">
        <f>IFERROR(__xludf.DUMMYFUNCTION("""COMPUTED_VALUE"""),"Once or twice a year")</f>
        <v>Once or twice a year</v>
      </c>
      <c r="J495" s="260">
        <f>IFERROR(__xludf.DUMMYFUNCTION("""COMPUTED_VALUE"""),0.9)</f>
        <v>0.9</v>
      </c>
      <c r="K495" s="258">
        <f>IFERROR(__xludf.DUMMYFUNCTION("""COMPUTED_VALUE"""),260.0)</f>
        <v>260</v>
      </c>
      <c r="L495" s="258" t="str">
        <f>IFERROR(__xludf.DUMMYFUNCTION("""COMPUTED_VALUE"""),"")</f>
        <v/>
      </c>
      <c r="M495" s="261">
        <f>IFERROR(__xludf.DUMMYFUNCTION("""COMPUTED_VALUE"""),308.0)</f>
        <v>308</v>
      </c>
      <c r="N495" s="262" t="str">
        <f>IFERROR(__xludf.DUMMYFUNCTION("""COMPUTED_VALUE"""),"")</f>
        <v/>
      </c>
      <c r="O495" s="259" t="str">
        <f>IFERROR(__xludf.DUMMYFUNCTION("""COMPUTED_VALUE"""),"")</f>
        <v/>
      </c>
      <c r="P495" s="259">
        <f>IFERROR(__xludf.DUMMYFUNCTION("""COMPUTED_VALUE"""),43579.0)</f>
        <v>43579</v>
      </c>
      <c r="Q495" s="258">
        <f>IFERROR(__xludf.DUMMYFUNCTION("""COMPUTED_VALUE"""),112172.0)</f>
        <v>112172</v>
      </c>
      <c r="R495" s="261">
        <f>IFERROR(__xludf.DUMMYFUNCTION("""COMPUTED_VALUE"""),246.0)</f>
        <v>246</v>
      </c>
      <c r="S495" s="258">
        <v>266.0</v>
      </c>
      <c r="T495" s="263">
        <v>0.924812030075188</v>
      </c>
      <c r="U495" s="264">
        <v>112172.0</v>
      </c>
      <c r="V495" s="265">
        <v>180523.0</v>
      </c>
      <c r="W495" s="264">
        <v>112172.0</v>
      </c>
      <c r="X495" s="266" t="str">
        <f>IFERROR(__xludf.DUMMYFUNCTION("""COMPUTED_VALUE"""),"shoot72 S100D")</f>
        <v>shoot72 S100D</v>
      </c>
      <c r="Y495" s="267">
        <v>-0.01</v>
      </c>
      <c r="Z495" s="267">
        <v>0.927923247676811</v>
      </c>
      <c r="AA495" s="269"/>
      <c r="AB495" s="270"/>
      <c r="AC495" s="270"/>
      <c r="AD495" s="270"/>
      <c r="AE495" s="270"/>
    </row>
    <row r="496">
      <c r="A496" s="256">
        <f>IFERROR(__xludf.DUMMYFUNCTION("""COMPUTED_VALUE"""),43593.06185048611)</f>
        <v>43593.06185</v>
      </c>
      <c r="B496" s="257" t="str">
        <f>IFERROR(__xludf.DUMMYFUNCTION("""COMPUTED_VALUE"""),"glhs272")</f>
        <v>glhs272</v>
      </c>
      <c r="C496" s="258" t="str">
        <f>IFERROR(__xludf.DUMMYFUNCTION("""COMPUTED_VALUE"""),"USA")</f>
        <v>USA</v>
      </c>
      <c r="D496" s="258" t="str">
        <f>IFERROR(__xludf.DUMMYFUNCTION("""COMPUTED_VALUE"""),"mi. My car displays range in miles and I will enter all range numbers in miles.")</f>
        <v>mi. My car displays range in miles and I will enter all range numbers in miles.</v>
      </c>
      <c r="E496" s="259">
        <f>IFERROR(__xludf.DUMMYFUNCTION("""COMPUTED_VALUE"""),41469.0)</f>
        <v>41469</v>
      </c>
      <c r="F496" s="258" t="str">
        <f>IFERROR(__xludf.DUMMYFUNCTION("""COMPUTED_VALUE"""),"Model S 60")</f>
        <v>Model S 60</v>
      </c>
      <c r="G496" s="258" t="str">
        <f>IFERROR(__xludf.DUMMYFUNCTION("""COMPUTED_VALUE"""),"Monthly")</f>
        <v>Monthly</v>
      </c>
      <c r="H496" s="258" t="str">
        <f>IFERROR(__xludf.DUMMYFUNCTION("""COMPUTED_VALUE"""),"Monthly")</f>
        <v>Monthly</v>
      </c>
      <c r="I496" s="258" t="str">
        <f>IFERROR(__xludf.DUMMYFUNCTION("""COMPUTED_VALUE"""),"Once or twice a year")</f>
        <v>Once or twice a year</v>
      </c>
      <c r="J496" s="260">
        <f>IFERROR(__xludf.DUMMYFUNCTION("""COMPUTED_VALUE"""),0.9)</f>
        <v>0.9</v>
      </c>
      <c r="K496" s="258">
        <f>IFERROR(__xludf.DUMMYFUNCTION("""COMPUTED_VALUE"""),208.0)</f>
        <v>208</v>
      </c>
      <c r="L496" s="258">
        <f>IFERROR(__xludf.DUMMYFUNCTION("""COMPUTED_VALUE"""),270.0)</f>
        <v>270</v>
      </c>
      <c r="M496" s="261">
        <f>IFERROR(__xludf.DUMMYFUNCTION("""COMPUTED_VALUE"""),312.0)</f>
        <v>312</v>
      </c>
      <c r="N496" s="262" t="str">
        <f>IFERROR(__xludf.DUMMYFUNCTION("""COMPUTED_VALUE"""),"")</f>
        <v/>
      </c>
      <c r="O496" s="259" t="str">
        <f>IFERROR(__xludf.DUMMYFUNCTION("""COMPUTED_VALUE"""),"")</f>
        <v/>
      </c>
      <c r="P496" s="259">
        <f>IFERROR(__xludf.DUMMYFUNCTION("""COMPUTED_VALUE"""),43589.0)</f>
        <v>43589</v>
      </c>
      <c r="Q496" s="258">
        <f>IFERROR(__xludf.DUMMYFUNCTION("""COMPUTED_VALUE"""),145154.0)</f>
        <v>145154</v>
      </c>
      <c r="R496" s="261">
        <f>IFERROR(__xludf.DUMMYFUNCTION("""COMPUTED_VALUE"""),190.0)</f>
        <v>190</v>
      </c>
      <c r="S496" s="258">
        <v>207.0</v>
      </c>
      <c r="T496" s="263">
        <v>0.9178743961352657</v>
      </c>
      <c r="U496" s="264">
        <v>145154.0</v>
      </c>
      <c r="V496" s="265">
        <v>233603.0</v>
      </c>
      <c r="W496" s="264">
        <v>145154.0</v>
      </c>
      <c r="X496" s="266" t="str">
        <f>IFERROR(__xludf.DUMMYFUNCTION("""COMPUTED_VALUE"""),"shred")</f>
        <v>shred</v>
      </c>
      <c r="Y496" s="267">
        <v>-0.01</v>
      </c>
      <c r="Z496" s="267">
        <v>0.9156797007565491</v>
      </c>
      <c r="AA496" s="269"/>
      <c r="AB496" s="270"/>
      <c r="AC496" s="270"/>
      <c r="AD496" s="270"/>
      <c r="AE496" s="270"/>
    </row>
    <row r="497">
      <c r="A497" s="256">
        <f>IFERROR(__xludf.DUMMYFUNCTION("""COMPUTED_VALUE"""),41901.00555555556)</f>
        <v>41901.00556</v>
      </c>
      <c r="B497" s="257" t="str">
        <f>IFERROR(__xludf.DUMMYFUNCTION("""COMPUTED_VALUE"""),"Go4IT")</f>
        <v>Go4IT</v>
      </c>
      <c r="C497" s="258" t="str">
        <f>IFERROR(__xludf.DUMMYFUNCTION("""COMPUTED_VALUE"""),"Europe (excluding UK) &amp; Asia Pacific")</f>
        <v>Europe (excluding UK) &amp; Asia Pacific</v>
      </c>
      <c r="D497" s="258" t="str">
        <f>IFERROR(__xludf.DUMMYFUNCTION("""COMPUTED_VALUE"""),"km. My car displays range in kilometres and I will enter all range numbers in kilometres.")</f>
        <v>km. My car displays range in kilometres and I will enter all range numbers in kilometres.</v>
      </c>
      <c r="E497" s="259">
        <f>IFERROR(__xludf.DUMMYFUNCTION("""COMPUTED_VALUE"""),41527.0)</f>
        <v>41527</v>
      </c>
      <c r="F497" s="258" t="str">
        <f>IFERROR(__xludf.DUMMYFUNCTION("""COMPUTED_VALUE"""),"Model S P85")</f>
        <v>Model S P85</v>
      </c>
      <c r="G497" s="258" t="str">
        <f>IFERROR(__xludf.DUMMYFUNCTION("""COMPUTED_VALUE"""),"Twice a month")</f>
        <v>Twice a month</v>
      </c>
      <c r="H497" s="258" t="str">
        <f>IFERROR(__xludf.DUMMYFUNCTION("""COMPUTED_VALUE"""),"Daily")</f>
        <v>Daily</v>
      </c>
      <c r="I497" s="258" t="str">
        <f>IFERROR(__xludf.DUMMYFUNCTION("""COMPUTED_VALUE"""),"Once or twice a year")</f>
        <v>Once or twice a year</v>
      </c>
      <c r="J497" s="260">
        <f>IFERROR(__xludf.DUMMYFUNCTION("""COMPUTED_VALUE"""),1.0)</f>
        <v>1</v>
      </c>
      <c r="K497" s="258" t="str">
        <f>IFERROR(__xludf.DUMMYFUNCTION("""COMPUTED_VALUE"""),"")</f>
        <v/>
      </c>
      <c r="L497" s="258" t="str">
        <f>IFERROR(__xludf.DUMMYFUNCTION("""COMPUTED_VALUE"""),"")</f>
        <v/>
      </c>
      <c r="M497" s="261">
        <f>IFERROR(__xludf.DUMMYFUNCTION("""COMPUTED_VALUE"""),220.0)</f>
        <v>220</v>
      </c>
      <c r="N497" s="262" t="str">
        <f>IFERROR(__xludf.DUMMYFUNCTION("""COMPUTED_VALUE"""),"")</f>
        <v/>
      </c>
      <c r="O497" s="259" t="str">
        <f>IFERROR(__xludf.DUMMYFUNCTION("""COMPUTED_VALUE"""),"")</f>
        <v/>
      </c>
      <c r="P497" s="259">
        <f>IFERROR(__xludf.DUMMYFUNCTION("""COMPUTED_VALUE"""),41901.0)</f>
        <v>41901</v>
      </c>
      <c r="Q497" s="258">
        <f>IFERROR(__xludf.DUMMYFUNCTION("""COMPUTED_VALUE"""),67000.0)</f>
        <v>67000</v>
      </c>
      <c r="R497" s="261">
        <f>IFERROR(__xludf.DUMMYFUNCTION("""COMPUTED_VALUE"""),385.0)</f>
        <v>385</v>
      </c>
      <c r="S497" s="258">
        <v>395.0</v>
      </c>
      <c r="T497" s="263">
        <v>0.9746835443037974</v>
      </c>
      <c r="U497" s="264">
        <v>41632.0</v>
      </c>
      <c r="V497" s="265">
        <v>67000.0</v>
      </c>
      <c r="W497" s="264">
        <v>41632.0</v>
      </c>
      <c r="X497" s="266" t="str">
        <f>IFERROR(__xludf.DUMMYFUNCTION("""COMPUTED_VALUE"""),"Siempie76")</f>
        <v>Siempie76</v>
      </c>
      <c r="Y497" s="267">
        <v>-0.01</v>
      </c>
      <c r="Z497" s="267">
        <v>0.9547251930235957</v>
      </c>
      <c r="AA497" s="269"/>
      <c r="AB497" s="270"/>
      <c r="AC497" s="270"/>
      <c r="AD497" s="270"/>
      <c r="AE497" s="270"/>
    </row>
    <row r="498">
      <c r="A498" s="256">
        <f>IFERROR(__xludf.DUMMYFUNCTION("""COMPUTED_VALUE"""),41953.03611111111)</f>
        <v>41953.03611</v>
      </c>
      <c r="B498" s="257" t="str">
        <f>IFERROR(__xludf.DUMMYFUNCTION("""COMPUTED_VALUE"""),"Go4IT")</f>
        <v>Go4IT</v>
      </c>
      <c r="C498" s="258" t="str">
        <f>IFERROR(__xludf.DUMMYFUNCTION("""COMPUTED_VALUE"""),"Europe (excluding UK) &amp; Asia Pacific")</f>
        <v>Europe (excluding UK) &amp; Asia Pacific</v>
      </c>
      <c r="D498" s="258" t="str">
        <f>IFERROR(__xludf.DUMMYFUNCTION("""COMPUTED_VALUE"""),"km. My car displays range in kilometres and I will enter all range numbers in kilometres.")</f>
        <v>km. My car displays range in kilometres and I will enter all range numbers in kilometres.</v>
      </c>
      <c r="E498" s="259">
        <f>IFERROR(__xludf.DUMMYFUNCTION("""COMPUTED_VALUE"""),41527.0)</f>
        <v>41527</v>
      </c>
      <c r="F498" s="258" t="str">
        <f>IFERROR(__xludf.DUMMYFUNCTION("""COMPUTED_VALUE"""),"Model S P85")</f>
        <v>Model S P85</v>
      </c>
      <c r="G498" s="258" t="str">
        <f>IFERROR(__xludf.DUMMYFUNCTION("""COMPUTED_VALUE"""),"Twice a month")</f>
        <v>Twice a month</v>
      </c>
      <c r="H498" s="258" t="str">
        <f>IFERROR(__xludf.DUMMYFUNCTION("""COMPUTED_VALUE"""),"Daily")</f>
        <v>Daily</v>
      </c>
      <c r="I498" s="258" t="str">
        <f>IFERROR(__xludf.DUMMYFUNCTION("""COMPUTED_VALUE"""),"Once or twice a year")</f>
        <v>Once or twice a year</v>
      </c>
      <c r="J498" s="260">
        <f>IFERROR(__xludf.DUMMYFUNCTION("""COMPUTED_VALUE"""),1.0)</f>
        <v>1</v>
      </c>
      <c r="K498" s="258" t="str">
        <f>IFERROR(__xludf.DUMMYFUNCTION("""COMPUTED_VALUE"""),"")</f>
        <v/>
      </c>
      <c r="L498" s="258" t="str">
        <f>IFERROR(__xludf.DUMMYFUNCTION("""COMPUTED_VALUE"""),"")</f>
        <v/>
      </c>
      <c r="M498" s="261">
        <f>IFERROR(__xludf.DUMMYFUNCTION("""COMPUTED_VALUE"""),218.0)</f>
        <v>218</v>
      </c>
      <c r="N498" s="262" t="str">
        <f>IFERROR(__xludf.DUMMYFUNCTION("""COMPUTED_VALUE"""),"")</f>
        <v/>
      </c>
      <c r="O498" s="259" t="str">
        <f>IFERROR(__xludf.DUMMYFUNCTION("""COMPUTED_VALUE"""),"")</f>
        <v/>
      </c>
      <c r="P498" s="259">
        <f>IFERROR(__xludf.DUMMYFUNCTION("""COMPUTED_VALUE"""),41953.0)</f>
        <v>41953</v>
      </c>
      <c r="Q498" s="258">
        <f>IFERROR(__xludf.DUMMYFUNCTION("""COMPUTED_VALUE"""),73000.0)</f>
        <v>73000</v>
      </c>
      <c r="R498" s="261">
        <f>IFERROR(__xludf.DUMMYFUNCTION("""COMPUTED_VALUE"""),379.0)</f>
        <v>379</v>
      </c>
      <c r="S498" s="258">
        <v>395.0</v>
      </c>
      <c r="T498" s="263">
        <v>0.959493670886076</v>
      </c>
      <c r="U498" s="264">
        <v>45360.0</v>
      </c>
      <c r="V498" s="265">
        <v>73000.0</v>
      </c>
      <c r="W498" s="264">
        <v>45360.0</v>
      </c>
      <c r="X498" s="266" t="str">
        <f>IFERROR(__xludf.DUMMYFUNCTION("""COMPUTED_VALUE"""),"Siggy101")</f>
        <v>Siggy101</v>
      </c>
      <c r="Y498" s="267">
        <v>-0.01</v>
      </c>
      <c r="Z498" s="267">
        <v>0.9531590066673257</v>
      </c>
      <c r="AA498" s="269"/>
      <c r="AB498" s="270"/>
      <c r="AC498" s="270"/>
      <c r="AD498" s="270"/>
      <c r="AE498" s="270"/>
    </row>
    <row r="499">
      <c r="A499" s="256">
        <f>IFERROR(__xludf.DUMMYFUNCTION("""COMPUTED_VALUE"""),41968.040972222225)</f>
        <v>41968.04097</v>
      </c>
      <c r="B499" s="257" t="str">
        <f>IFERROR(__xludf.DUMMYFUNCTION("""COMPUTED_VALUE"""),"Go4IT")</f>
        <v>Go4IT</v>
      </c>
      <c r="C499" s="258" t="str">
        <f>IFERROR(__xludf.DUMMYFUNCTION("""COMPUTED_VALUE"""),"Europe (excluding UK) &amp; Asia Pacific")</f>
        <v>Europe (excluding UK) &amp; Asia Pacific</v>
      </c>
      <c r="D499" s="258" t="str">
        <f>IFERROR(__xludf.DUMMYFUNCTION("""COMPUTED_VALUE"""),"km. My car displays range in kilometres and I will enter all range numbers in kilometres.")</f>
        <v>km. My car displays range in kilometres and I will enter all range numbers in kilometres.</v>
      </c>
      <c r="E499" s="259">
        <f>IFERROR(__xludf.DUMMYFUNCTION("""COMPUTED_VALUE"""),41527.0)</f>
        <v>41527</v>
      </c>
      <c r="F499" s="258" t="str">
        <f>IFERROR(__xludf.DUMMYFUNCTION("""COMPUTED_VALUE"""),"Model S P85")</f>
        <v>Model S P85</v>
      </c>
      <c r="G499" s="258" t="str">
        <f>IFERROR(__xludf.DUMMYFUNCTION("""COMPUTED_VALUE"""),"Twice a month")</f>
        <v>Twice a month</v>
      </c>
      <c r="H499" s="258" t="str">
        <f>IFERROR(__xludf.DUMMYFUNCTION("""COMPUTED_VALUE"""),"Daily")</f>
        <v>Daily</v>
      </c>
      <c r="I499" s="258" t="str">
        <f>IFERROR(__xludf.DUMMYFUNCTION("""COMPUTED_VALUE"""),"Once or twice a year")</f>
        <v>Once or twice a year</v>
      </c>
      <c r="J499" s="260">
        <f>IFERROR(__xludf.DUMMYFUNCTION("""COMPUTED_VALUE"""),1.0)</f>
        <v>1</v>
      </c>
      <c r="K499" s="258" t="str">
        <f>IFERROR(__xludf.DUMMYFUNCTION("""COMPUTED_VALUE"""),"")</f>
        <v/>
      </c>
      <c r="L499" s="258" t="str">
        <f>IFERROR(__xludf.DUMMYFUNCTION("""COMPUTED_VALUE"""),"")</f>
        <v/>
      </c>
      <c r="M499" s="261">
        <f>IFERROR(__xludf.DUMMYFUNCTION("""COMPUTED_VALUE"""),220.0)</f>
        <v>220</v>
      </c>
      <c r="N499" s="262" t="str">
        <f>IFERROR(__xludf.DUMMYFUNCTION("""COMPUTED_VALUE"""),"")</f>
        <v/>
      </c>
      <c r="O499" s="259" t="str">
        <f>IFERROR(__xludf.DUMMYFUNCTION("""COMPUTED_VALUE"""),"")</f>
        <v/>
      </c>
      <c r="P499" s="259">
        <f>IFERROR(__xludf.DUMMYFUNCTION("""COMPUTED_VALUE"""),41968.0)</f>
        <v>41968</v>
      </c>
      <c r="Q499" s="258">
        <f>IFERROR(__xludf.DUMMYFUNCTION("""COMPUTED_VALUE"""),74500.0)</f>
        <v>74500</v>
      </c>
      <c r="R499" s="261">
        <f>IFERROR(__xludf.DUMMYFUNCTION("""COMPUTED_VALUE"""),380.0)</f>
        <v>380</v>
      </c>
      <c r="S499" s="258">
        <v>395.0</v>
      </c>
      <c r="T499" s="263">
        <v>0.9620253164556962</v>
      </c>
      <c r="U499" s="264">
        <v>46292.0</v>
      </c>
      <c r="V499" s="265">
        <v>74500.0</v>
      </c>
      <c r="W499" s="264">
        <v>46292.0</v>
      </c>
      <c r="X499" s="266" t="str">
        <f>IFERROR(__xludf.DUMMYFUNCTION("""COMPUTED_VALUE"""),"Silent Bolt")</f>
        <v>Silent Bolt</v>
      </c>
      <c r="Y499" s="267">
        <v>-0.01</v>
      </c>
      <c r="Z499" s="267">
        <v>0.9527765617267461</v>
      </c>
      <c r="AA499" s="269"/>
      <c r="AB499" s="270"/>
      <c r="AC499" s="270"/>
      <c r="AD499" s="270"/>
      <c r="AE499" s="270"/>
    </row>
    <row r="500">
      <c r="A500" s="256">
        <f>IFERROR(__xludf.DUMMYFUNCTION("""COMPUTED_VALUE"""),42020.054861111115)</f>
        <v>42020.05486</v>
      </c>
      <c r="B500" s="257" t="str">
        <f>IFERROR(__xludf.DUMMYFUNCTION("""COMPUTED_VALUE"""),"Go4IT")</f>
        <v>Go4IT</v>
      </c>
      <c r="C500" s="258" t="str">
        <f>IFERROR(__xludf.DUMMYFUNCTION("""COMPUTED_VALUE"""),"Europe (excluding UK) &amp; Asia Pacific")</f>
        <v>Europe (excluding UK) &amp; Asia Pacific</v>
      </c>
      <c r="D500" s="258" t="str">
        <f>IFERROR(__xludf.DUMMYFUNCTION("""COMPUTED_VALUE"""),"km. My car displays range in kilometres and I will enter all range numbers in kilometres.")</f>
        <v>km. My car displays range in kilometres and I will enter all range numbers in kilometres.</v>
      </c>
      <c r="E500" s="259">
        <f>IFERROR(__xludf.DUMMYFUNCTION("""COMPUTED_VALUE"""),41527.0)</f>
        <v>41527</v>
      </c>
      <c r="F500" s="258" t="str">
        <f>IFERROR(__xludf.DUMMYFUNCTION("""COMPUTED_VALUE"""),"Model S P85")</f>
        <v>Model S P85</v>
      </c>
      <c r="G500" s="258" t="str">
        <f>IFERROR(__xludf.DUMMYFUNCTION("""COMPUTED_VALUE"""),"Twice a month")</f>
        <v>Twice a month</v>
      </c>
      <c r="H500" s="258" t="str">
        <f>IFERROR(__xludf.DUMMYFUNCTION("""COMPUTED_VALUE"""),"Daily")</f>
        <v>Daily</v>
      </c>
      <c r="I500" s="258" t="str">
        <f>IFERROR(__xludf.DUMMYFUNCTION("""COMPUTED_VALUE"""),"Once or twice a year")</f>
        <v>Once or twice a year</v>
      </c>
      <c r="J500" s="260">
        <f>IFERROR(__xludf.DUMMYFUNCTION("""COMPUTED_VALUE"""),1.0)</f>
        <v>1</v>
      </c>
      <c r="K500" s="258" t="str">
        <f>IFERROR(__xludf.DUMMYFUNCTION("""COMPUTED_VALUE"""),"")</f>
        <v/>
      </c>
      <c r="L500" s="258" t="str">
        <f>IFERROR(__xludf.DUMMYFUNCTION("""COMPUTED_VALUE"""),"")</f>
        <v/>
      </c>
      <c r="M500" s="261">
        <f>IFERROR(__xludf.DUMMYFUNCTION("""COMPUTED_VALUE"""),220.0)</f>
        <v>220</v>
      </c>
      <c r="N500" s="262" t="str">
        <f>IFERROR(__xludf.DUMMYFUNCTION("""COMPUTED_VALUE"""),"")</f>
        <v/>
      </c>
      <c r="O500" s="259" t="str">
        <f>IFERROR(__xludf.DUMMYFUNCTION("""COMPUTED_VALUE"""),"")</f>
        <v/>
      </c>
      <c r="P500" s="259">
        <f>IFERROR(__xludf.DUMMYFUNCTION("""COMPUTED_VALUE"""),42020.0)</f>
        <v>42020</v>
      </c>
      <c r="Q500" s="258">
        <f>IFERROR(__xludf.DUMMYFUNCTION("""COMPUTED_VALUE"""),84000.0)</f>
        <v>84000</v>
      </c>
      <c r="R500" s="261">
        <f>IFERROR(__xludf.DUMMYFUNCTION("""COMPUTED_VALUE"""),375.0)</f>
        <v>375</v>
      </c>
      <c r="S500" s="258">
        <v>395.0</v>
      </c>
      <c r="T500" s="263">
        <v>0.9493670886075949</v>
      </c>
      <c r="U500" s="264">
        <v>52195.0</v>
      </c>
      <c r="V500" s="265">
        <v>84000.0</v>
      </c>
      <c r="W500" s="264">
        <v>52195.0</v>
      </c>
      <c r="X500" s="266" t="str">
        <f>IFERROR(__xludf.DUMMYFUNCTION("""COMPUTED_VALUE"""),"Simen1")</f>
        <v>Simen1</v>
      </c>
      <c r="Y500" s="267">
        <v>-0.01</v>
      </c>
      <c r="Z500" s="267">
        <v>0.9504155452786733</v>
      </c>
      <c r="AA500" s="269"/>
      <c r="AB500" s="270"/>
      <c r="AC500" s="270"/>
      <c r="AD500" s="270"/>
      <c r="AE500" s="270"/>
    </row>
    <row r="501">
      <c r="A501" s="256">
        <f>IFERROR(__xludf.DUMMYFUNCTION("""COMPUTED_VALUE"""),42048.07291666667)</f>
        <v>42048.07292</v>
      </c>
      <c r="B501" s="257" t="str">
        <f>IFERROR(__xludf.DUMMYFUNCTION("""COMPUTED_VALUE"""),"Go4IT")</f>
        <v>Go4IT</v>
      </c>
      <c r="C501" s="258" t="str">
        <f>IFERROR(__xludf.DUMMYFUNCTION("""COMPUTED_VALUE"""),"Europe (excluding UK) &amp; Asia Pacific")</f>
        <v>Europe (excluding UK) &amp; Asia Pacific</v>
      </c>
      <c r="D501" s="258" t="str">
        <f>IFERROR(__xludf.DUMMYFUNCTION("""COMPUTED_VALUE"""),"km. My car displays range in kilometres and I will enter all range numbers in kilometres.")</f>
        <v>km. My car displays range in kilometres and I will enter all range numbers in kilometres.</v>
      </c>
      <c r="E501" s="259">
        <f>IFERROR(__xludf.DUMMYFUNCTION("""COMPUTED_VALUE"""),41527.0)</f>
        <v>41527</v>
      </c>
      <c r="F501" s="258" t="str">
        <f>IFERROR(__xludf.DUMMYFUNCTION("""COMPUTED_VALUE"""),"Model S P85")</f>
        <v>Model S P85</v>
      </c>
      <c r="G501" s="258" t="str">
        <f>IFERROR(__xludf.DUMMYFUNCTION("""COMPUTED_VALUE"""),"Twice a month")</f>
        <v>Twice a month</v>
      </c>
      <c r="H501" s="258" t="str">
        <f>IFERROR(__xludf.DUMMYFUNCTION("""COMPUTED_VALUE"""),"Daily")</f>
        <v>Daily</v>
      </c>
      <c r="I501" s="258" t="str">
        <f>IFERROR(__xludf.DUMMYFUNCTION("""COMPUTED_VALUE"""),"Once or twice a year")</f>
        <v>Once or twice a year</v>
      </c>
      <c r="J501" s="260">
        <f>IFERROR(__xludf.DUMMYFUNCTION("""COMPUTED_VALUE"""),1.0)</f>
        <v>1</v>
      </c>
      <c r="K501" s="258" t="str">
        <f>IFERROR(__xludf.DUMMYFUNCTION("""COMPUTED_VALUE"""),"")</f>
        <v/>
      </c>
      <c r="L501" s="258" t="str">
        <f>IFERROR(__xludf.DUMMYFUNCTION("""COMPUTED_VALUE"""),"")</f>
        <v/>
      </c>
      <c r="M501" s="261">
        <f>IFERROR(__xludf.DUMMYFUNCTION("""COMPUTED_VALUE"""),220.0)</f>
        <v>220</v>
      </c>
      <c r="N501" s="262" t="str">
        <f>IFERROR(__xludf.DUMMYFUNCTION("""COMPUTED_VALUE"""),"")</f>
        <v/>
      </c>
      <c r="O501" s="259" t="str">
        <f>IFERROR(__xludf.DUMMYFUNCTION("""COMPUTED_VALUE"""),"")</f>
        <v/>
      </c>
      <c r="P501" s="259">
        <f>IFERROR(__xludf.DUMMYFUNCTION("""COMPUTED_VALUE"""),42048.0)</f>
        <v>42048</v>
      </c>
      <c r="Q501" s="258">
        <f>IFERROR(__xludf.DUMMYFUNCTION("""COMPUTED_VALUE"""),90000.0)</f>
        <v>90000</v>
      </c>
      <c r="R501" s="261">
        <f>IFERROR(__xludf.DUMMYFUNCTION("""COMPUTED_VALUE"""),379.0)</f>
        <v>379</v>
      </c>
      <c r="S501" s="258">
        <v>395.0</v>
      </c>
      <c r="T501" s="263">
        <v>0.959493670886076</v>
      </c>
      <c r="U501" s="264">
        <v>55923.0</v>
      </c>
      <c r="V501" s="265">
        <v>90000.0</v>
      </c>
      <c r="W501" s="264">
        <v>55923.0</v>
      </c>
      <c r="X501" s="266" t="str">
        <f>IFERROR(__xludf.DUMMYFUNCTION("""COMPUTED_VALUE"""),"Simon Mac")</f>
        <v>Simon Mac</v>
      </c>
      <c r="Y501" s="267">
        <v>-0.01</v>
      </c>
      <c r="Z501" s="267">
        <v>0.948963812819512</v>
      </c>
      <c r="AA501" s="269"/>
      <c r="AB501" s="270"/>
      <c r="AC501" s="270"/>
      <c r="AD501" s="270"/>
      <c r="AE501" s="270"/>
    </row>
    <row r="502">
      <c r="A502" s="256">
        <f>IFERROR(__xludf.DUMMYFUNCTION("""COMPUTED_VALUE"""),42108.09513888889)</f>
        <v>42108.09514</v>
      </c>
      <c r="B502" s="257" t="str">
        <f>IFERROR(__xludf.DUMMYFUNCTION("""COMPUTED_VALUE"""),"Go4IT")</f>
        <v>Go4IT</v>
      </c>
      <c r="C502" s="258" t="str">
        <f>IFERROR(__xludf.DUMMYFUNCTION("""COMPUTED_VALUE"""),"Europe (excluding UK) &amp; Asia Pacific")</f>
        <v>Europe (excluding UK) &amp; Asia Pacific</v>
      </c>
      <c r="D502" s="258" t="str">
        <f>IFERROR(__xludf.DUMMYFUNCTION("""COMPUTED_VALUE"""),"km. My car displays range in kilometres and I will enter all range numbers in kilometres.")</f>
        <v>km. My car displays range in kilometres and I will enter all range numbers in kilometres.</v>
      </c>
      <c r="E502" s="259">
        <f>IFERROR(__xludf.DUMMYFUNCTION("""COMPUTED_VALUE"""),41527.0)</f>
        <v>41527</v>
      </c>
      <c r="F502" s="258" t="str">
        <f>IFERROR(__xludf.DUMMYFUNCTION("""COMPUTED_VALUE"""),"Model S P85")</f>
        <v>Model S P85</v>
      </c>
      <c r="G502" s="258" t="str">
        <f>IFERROR(__xludf.DUMMYFUNCTION("""COMPUTED_VALUE"""),"Twice a month")</f>
        <v>Twice a month</v>
      </c>
      <c r="H502" s="258" t="str">
        <f>IFERROR(__xludf.DUMMYFUNCTION("""COMPUTED_VALUE"""),"Daily")</f>
        <v>Daily</v>
      </c>
      <c r="I502" s="258" t="str">
        <f>IFERROR(__xludf.DUMMYFUNCTION("""COMPUTED_VALUE"""),"Once or twice a year")</f>
        <v>Once or twice a year</v>
      </c>
      <c r="J502" s="260">
        <f>IFERROR(__xludf.DUMMYFUNCTION("""COMPUTED_VALUE"""),1.0)</f>
        <v>1</v>
      </c>
      <c r="K502" s="258" t="str">
        <f>IFERROR(__xludf.DUMMYFUNCTION("""COMPUTED_VALUE"""),"")</f>
        <v/>
      </c>
      <c r="L502" s="258" t="str">
        <f>IFERROR(__xludf.DUMMYFUNCTION("""COMPUTED_VALUE"""),"")</f>
        <v/>
      </c>
      <c r="M502" s="261">
        <f>IFERROR(__xludf.DUMMYFUNCTION("""COMPUTED_VALUE"""),218.0)</f>
        <v>218</v>
      </c>
      <c r="N502" s="262" t="str">
        <f>IFERROR(__xludf.DUMMYFUNCTION("""COMPUTED_VALUE"""),"")</f>
        <v/>
      </c>
      <c r="O502" s="259" t="str">
        <f>IFERROR(__xludf.DUMMYFUNCTION("""COMPUTED_VALUE"""),"")</f>
        <v/>
      </c>
      <c r="P502" s="259">
        <f>IFERROR(__xludf.DUMMYFUNCTION("""COMPUTED_VALUE"""),42108.0)</f>
        <v>42108</v>
      </c>
      <c r="Q502" s="258">
        <f>IFERROR(__xludf.DUMMYFUNCTION("""COMPUTED_VALUE"""),100000.0)</f>
        <v>100000</v>
      </c>
      <c r="R502" s="261">
        <f>IFERROR(__xludf.DUMMYFUNCTION("""COMPUTED_VALUE"""),380.0)</f>
        <v>380</v>
      </c>
      <c r="S502" s="258">
        <v>395.0</v>
      </c>
      <c r="T502" s="263">
        <v>0.9620253164556962</v>
      </c>
      <c r="U502" s="264">
        <v>62137.0</v>
      </c>
      <c r="V502" s="265">
        <v>100000.0</v>
      </c>
      <c r="W502" s="264">
        <v>62137.0</v>
      </c>
      <c r="X502" s="266" t="str">
        <f>IFERROR(__xludf.DUMMYFUNCTION("""COMPUTED_VALUE"""),"Simone")</f>
        <v>Simone</v>
      </c>
      <c r="Y502" s="267">
        <v>-0.01</v>
      </c>
      <c r="Z502" s="267">
        <v>0.9465856783080869</v>
      </c>
      <c r="AA502" s="269"/>
      <c r="AB502" s="270"/>
      <c r="AC502" s="270"/>
      <c r="AD502" s="270"/>
      <c r="AE502" s="270"/>
    </row>
    <row r="503">
      <c r="A503" s="256">
        <f>IFERROR(__xludf.DUMMYFUNCTION("""COMPUTED_VALUE"""),42146.120833333334)</f>
        <v>42146.12083</v>
      </c>
      <c r="B503" s="257" t="str">
        <f>IFERROR(__xludf.DUMMYFUNCTION("""COMPUTED_VALUE"""),"Go4IT")</f>
        <v>Go4IT</v>
      </c>
      <c r="C503" s="258" t="str">
        <f>IFERROR(__xludf.DUMMYFUNCTION("""COMPUTED_VALUE"""),"Europe (excluding UK) &amp; Asia Pacific")</f>
        <v>Europe (excluding UK) &amp; Asia Pacific</v>
      </c>
      <c r="D503" s="258" t="str">
        <f>IFERROR(__xludf.DUMMYFUNCTION("""COMPUTED_VALUE"""),"km. My car displays range in kilometres and I will enter all range numbers in kilometres.")</f>
        <v>km. My car displays range in kilometres and I will enter all range numbers in kilometres.</v>
      </c>
      <c r="E503" s="259">
        <f>IFERROR(__xludf.DUMMYFUNCTION("""COMPUTED_VALUE"""),41527.0)</f>
        <v>41527</v>
      </c>
      <c r="F503" s="258" t="str">
        <f>IFERROR(__xludf.DUMMYFUNCTION("""COMPUTED_VALUE"""),"Model S P85")</f>
        <v>Model S P85</v>
      </c>
      <c r="G503" s="258" t="str">
        <f>IFERROR(__xludf.DUMMYFUNCTION("""COMPUTED_VALUE"""),"Twice a month")</f>
        <v>Twice a month</v>
      </c>
      <c r="H503" s="258" t="str">
        <f>IFERROR(__xludf.DUMMYFUNCTION("""COMPUTED_VALUE"""),"Daily")</f>
        <v>Daily</v>
      </c>
      <c r="I503" s="258" t="str">
        <f>IFERROR(__xludf.DUMMYFUNCTION("""COMPUTED_VALUE"""),"Once or twice a year")</f>
        <v>Once or twice a year</v>
      </c>
      <c r="J503" s="260">
        <f>IFERROR(__xludf.DUMMYFUNCTION("""COMPUTED_VALUE"""),1.0)</f>
        <v>1</v>
      </c>
      <c r="K503" s="258" t="str">
        <f>IFERROR(__xludf.DUMMYFUNCTION("""COMPUTED_VALUE"""),"")</f>
        <v/>
      </c>
      <c r="L503" s="258" t="str">
        <f>IFERROR(__xludf.DUMMYFUNCTION("""COMPUTED_VALUE"""),"")</f>
        <v/>
      </c>
      <c r="M503" s="261">
        <f>IFERROR(__xludf.DUMMYFUNCTION("""COMPUTED_VALUE"""),218.0)</f>
        <v>218</v>
      </c>
      <c r="N503" s="262" t="str">
        <f>IFERROR(__xludf.DUMMYFUNCTION("""COMPUTED_VALUE"""),"")</f>
        <v/>
      </c>
      <c r="O503" s="259" t="str">
        <f>IFERROR(__xludf.DUMMYFUNCTION("""COMPUTED_VALUE"""),"")</f>
        <v/>
      </c>
      <c r="P503" s="259">
        <f>IFERROR(__xludf.DUMMYFUNCTION("""COMPUTED_VALUE"""),42146.0)</f>
        <v>42146</v>
      </c>
      <c r="Q503" s="258">
        <f>IFERROR(__xludf.DUMMYFUNCTION("""COMPUTED_VALUE"""),105000.0)</f>
        <v>105000</v>
      </c>
      <c r="R503" s="261">
        <f>IFERROR(__xludf.DUMMYFUNCTION("""COMPUTED_VALUE"""),376.0)</f>
        <v>376</v>
      </c>
      <c r="S503" s="258">
        <v>395.0</v>
      </c>
      <c r="T503" s="263">
        <v>0.9518987341772152</v>
      </c>
      <c r="U503" s="264">
        <v>65244.0</v>
      </c>
      <c r="V503" s="265">
        <v>105000.0</v>
      </c>
      <c r="W503" s="264">
        <v>65244.0</v>
      </c>
      <c r="X503" s="266" t="str">
        <f>IFERROR(__xludf.DUMMYFUNCTION("""COMPUTED_VALUE"""),"sjøhyene")</f>
        <v>sjøhyene</v>
      </c>
      <c r="Y503" s="267">
        <v>-0.01</v>
      </c>
      <c r="Z503" s="267">
        <v>0.9454095171905799</v>
      </c>
      <c r="AA503" s="269"/>
      <c r="AB503" s="270"/>
      <c r="AC503" s="270"/>
      <c r="AD503" s="270"/>
      <c r="AE503" s="270"/>
    </row>
    <row r="504">
      <c r="A504" s="256">
        <f>IFERROR(__xludf.DUMMYFUNCTION("""COMPUTED_VALUE"""),42184.143055555556)</f>
        <v>42184.14306</v>
      </c>
      <c r="B504" s="257" t="str">
        <f>IFERROR(__xludf.DUMMYFUNCTION("""COMPUTED_VALUE"""),"Go4IT")</f>
        <v>Go4IT</v>
      </c>
      <c r="C504" s="258" t="str">
        <f>IFERROR(__xludf.DUMMYFUNCTION("""COMPUTED_VALUE"""),"Europe (excluding UK) &amp; Asia Pacific")</f>
        <v>Europe (excluding UK) &amp; Asia Pacific</v>
      </c>
      <c r="D504" s="258" t="str">
        <f>IFERROR(__xludf.DUMMYFUNCTION("""COMPUTED_VALUE"""),"km. My car displays range in kilometres and I will enter all range numbers in kilometres.")</f>
        <v>km. My car displays range in kilometres and I will enter all range numbers in kilometres.</v>
      </c>
      <c r="E504" s="259">
        <f>IFERROR(__xludf.DUMMYFUNCTION("""COMPUTED_VALUE"""),41527.0)</f>
        <v>41527</v>
      </c>
      <c r="F504" s="258" t="str">
        <f>IFERROR(__xludf.DUMMYFUNCTION("""COMPUTED_VALUE"""),"Model S P85")</f>
        <v>Model S P85</v>
      </c>
      <c r="G504" s="258" t="str">
        <f>IFERROR(__xludf.DUMMYFUNCTION("""COMPUTED_VALUE"""),"Twice a month")</f>
        <v>Twice a month</v>
      </c>
      <c r="H504" s="258" t="str">
        <f>IFERROR(__xludf.DUMMYFUNCTION("""COMPUTED_VALUE"""),"Daily")</f>
        <v>Daily</v>
      </c>
      <c r="I504" s="258" t="str">
        <f>IFERROR(__xludf.DUMMYFUNCTION("""COMPUTED_VALUE"""),"Once or twice a year")</f>
        <v>Once or twice a year</v>
      </c>
      <c r="J504" s="260">
        <f>IFERROR(__xludf.DUMMYFUNCTION("""COMPUTED_VALUE"""),1.0)</f>
        <v>1</v>
      </c>
      <c r="K504" s="258">
        <f>IFERROR(__xludf.DUMMYFUNCTION("""COMPUTED_VALUE"""),400.0)</f>
        <v>400</v>
      </c>
      <c r="L504" s="258" t="str">
        <f>IFERROR(__xludf.DUMMYFUNCTION("""COMPUTED_VALUE"""),"")</f>
        <v/>
      </c>
      <c r="M504" s="261">
        <f>IFERROR(__xludf.DUMMYFUNCTION("""COMPUTED_VALUE"""),218.0)</f>
        <v>218</v>
      </c>
      <c r="N504" s="262" t="str">
        <f>IFERROR(__xludf.DUMMYFUNCTION("""COMPUTED_VALUE"""),"")</f>
        <v/>
      </c>
      <c r="O504" s="259" t="str">
        <f>IFERROR(__xludf.DUMMYFUNCTION("""COMPUTED_VALUE"""),"")</f>
        <v/>
      </c>
      <c r="P504" s="259">
        <f>IFERROR(__xludf.DUMMYFUNCTION("""COMPUTED_VALUE"""),42184.0)</f>
        <v>42184</v>
      </c>
      <c r="Q504" s="258">
        <f>IFERROR(__xludf.DUMMYFUNCTION("""COMPUTED_VALUE"""),111000.0)</f>
        <v>111000</v>
      </c>
      <c r="R504" s="261">
        <f>IFERROR(__xludf.DUMMYFUNCTION("""COMPUTED_VALUE"""),372.0)</f>
        <v>372</v>
      </c>
      <c r="S504" s="258">
        <v>395.0</v>
      </c>
      <c r="T504" s="263">
        <v>0.9417721518987342</v>
      </c>
      <c r="U504" s="264">
        <v>68972.0</v>
      </c>
      <c r="V504" s="265">
        <v>111000.0</v>
      </c>
      <c r="W504" s="264">
        <v>68972.0</v>
      </c>
      <c r="X504" s="266" t="str">
        <f>IFERROR(__xludf.DUMMYFUNCTION("""COMPUTED_VALUE"""),"SLJC")</f>
        <v>SLJC</v>
      </c>
      <c r="Y504" s="267">
        <v>-0.01</v>
      </c>
      <c r="Z504" s="267">
        <v>0.9440056222625098</v>
      </c>
      <c r="AA504" s="269"/>
      <c r="AB504" s="270"/>
      <c r="AC504" s="270"/>
      <c r="AD504" s="270"/>
      <c r="AE504" s="270"/>
    </row>
    <row r="505">
      <c r="A505" s="256">
        <f>IFERROR(__xludf.DUMMYFUNCTION("""COMPUTED_VALUE"""),42214.146527777775)</f>
        <v>42214.14653</v>
      </c>
      <c r="B505" s="257" t="str">
        <f>IFERROR(__xludf.DUMMYFUNCTION("""COMPUTED_VALUE"""),"Go4IT")</f>
        <v>Go4IT</v>
      </c>
      <c r="C505" s="258" t="str">
        <f>IFERROR(__xludf.DUMMYFUNCTION("""COMPUTED_VALUE"""),"Europe (excluding UK) &amp; Asia Pacific")</f>
        <v>Europe (excluding UK) &amp; Asia Pacific</v>
      </c>
      <c r="D505" s="258" t="str">
        <f>IFERROR(__xludf.DUMMYFUNCTION("""COMPUTED_VALUE"""),"km. My car displays range in kilometres and I will enter all range numbers in kilometres.")</f>
        <v>km. My car displays range in kilometres and I will enter all range numbers in kilometres.</v>
      </c>
      <c r="E505" s="259">
        <f>IFERROR(__xludf.DUMMYFUNCTION("""COMPUTED_VALUE"""),41527.0)</f>
        <v>41527</v>
      </c>
      <c r="F505" s="258" t="str">
        <f>IFERROR(__xludf.DUMMYFUNCTION("""COMPUTED_VALUE"""),"Model S P85")</f>
        <v>Model S P85</v>
      </c>
      <c r="G505" s="258" t="str">
        <f>IFERROR(__xludf.DUMMYFUNCTION("""COMPUTED_VALUE"""),"Twice a month")</f>
        <v>Twice a month</v>
      </c>
      <c r="H505" s="258" t="str">
        <f>IFERROR(__xludf.DUMMYFUNCTION("""COMPUTED_VALUE"""),"Daily")</f>
        <v>Daily</v>
      </c>
      <c r="I505" s="258" t="str">
        <f>IFERROR(__xludf.DUMMYFUNCTION("""COMPUTED_VALUE"""),"Once or twice a year")</f>
        <v>Once or twice a year</v>
      </c>
      <c r="J505" s="260">
        <f>IFERROR(__xludf.DUMMYFUNCTION("""COMPUTED_VALUE"""),1.0)</f>
        <v>1</v>
      </c>
      <c r="K505" s="258">
        <f>IFERROR(__xludf.DUMMYFUNCTION("""COMPUTED_VALUE"""),400.0)</f>
        <v>400</v>
      </c>
      <c r="L505" s="258" t="str">
        <f>IFERROR(__xludf.DUMMYFUNCTION("""COMPUTED_VALUE"""),"")</f>
        <v/>
      </c>
      <c r="M505" s="261">
        <f>IFERROR(__xludf.DUMMYFUNCTION("""COMPUTED_VALUE"""),218.0)</f>
        <v>218</v>
      </c>
      <c r="N505" s="262" t="str">
        <f>IFERROR(__xludf.DUMMYFUNCTION("""COMPUTED_VALUE"""),"")</f>
        <v/>
      </c>
      <c r="O505" s="259" t="str">
        <f>IFERROR(__xludf.DUMMYFUNCTION("""COMPUTED_VALUE"""),"")</f>
        <v/>
      </c>
      <c r="P505" s="259">
        <f>IFERROR(__xludf.DUMMYFUNCTION("""COMPUTED_VALUE"""),42214.0)</f>
        <v>42214</v>
      </c>
      <c r="Q505" s="258">
        <f>IFERROR(__xludf.DUMMYFUNCTION("""COMPUTED_VALUE"""),120000.0)</f>
        <v>120000</v>
      </c>
      <c r="R505" s="261">
        <f>IFERROR(__xludf.DUMMYFUNCTION("""COMPUTED_VALUE"""),372.0)</f>
        <v>372</v>
      </c>
      <c r="S505" s="258">
        <v>395.0</v>
      </c>
      <c r="T505" s="263">
        <v>0.9417721518987342</v>
      </c>
      <c r="U505" s="264">
        <v>74565.0</v>
      </c>
      <c r="V505" s="265">
        <v>120000.0</v>
      </c>
      <c r="W505" s="264">
        <v>74565.0</v>
      </c>
      <c r="X505" s="266" t="str">
        <f>IFERROR(__xludf.DUMMYFUNCTION("""COMPUTED_VALUE"""),"SmartElectric")</f>
        <v>SmartElectric</v>
      </c>
      <c r="Y505" s="267">
        <v>-0.01</v>
      </c>
      <c r="Z505" s="267">
        <v>0.9419102660523042</v>
      </c>
      <c r="AA505" s="269"/>
      <c r="AB505" s="270"/>
      <c r="AC505" s="270"/>
      <c r="AD505" s="270"/>
      <c r="AE505" s="270"/>
    </row>
    <row r="506">
      <c r="A506" s="256">
        <f>IFERROR(__xludf.DUMMYFUNCTION("""COMPUTED_VALUE"""),42277.18888888889)</f>
        <v>42277.18889</v>
      </c>
      <c r="B506" s="257" t="str">
        <f>IFERROR(__xludf.DUMMYFUNCTION("""COMPUTED_VALUE"""),"Go4IT")</f>
        <v>Go4IT</v>
      </c>
      <c r="C506" s="258" t="str">
        <f>IFERROR(__xludf.DUMMYFUNCTION("""COMPUTED_VALUE"""),"Europe (excluding UK) &amp; Asia Pacific")</f>
        <v>Europe (excluding UK) &amp; Asia Pacific</v>
      </c>
      <c r="D506" s="258" t="str">
        <f>IFERROR(__xludf.DUMMYFUNCTION("""COMPUTED_VALUE"""),"km. My car displays range in kilometres and I will enter all range numbers in kilometres.")</f>
        <v>km. My car displays range in kilometres and I will enter all range numbers in kilometres.</v>
      </c>
      <c r="E506" s="259">
        <f>IFERROR(__xludf.DUMMYFUNCTION("""COMPUTED_VALUE"""),41527.0)</f>
        <v>41527</v>
      </c>
      <c r="F506" s="258" t="str">
        <f>IFERROR(__xludf.DUMMYFUNCTION("""COMPUTED_VALUE"""),"Model S P85")</f>
        <v>Model S P85</v>
      </c>
      <c r="G506" s="258" t="str">
        <f>IFERROR(__xludf.DUMMYFUNCTION("""COMPUTED_VALUE"""),"Twice a month")</f>
        <v>Twice a month</v>
      </c>
      <c r="H506" s="258" t="str">
        <f>IFERROR(__xludf.DUMMYFUNCTION("""COMPUTED_VALUE"""),"Daily")</f>
        <v>Daily</v>
      </c>
      <c r="I506" s="258" t="str">
        <f>IFERROR(__xludf.DUMMYFUNCTION("""COMPUTED_VALUE"""),"A few times a year")</f>
        <v>A few times a year</v>
      </c>
      <c r="J506" s="260">
        <f>IFERROR(__xludf.DUMMYFUNCTION("""COMPUTED_VALUE"""),1.0)</f>
        <v>1</v>
      </c>
      <c r="K506" s="258">
        <f>IFERROR(__xludf.DUMMYFUNCTION("""COMPUTED_VALUE"""),400.0)</f>
        <v>400</v>
      </c>
      <c r="L506" s="258" t="str">
        <f>IFERROR(__xludf.DUMMYFUNCTION("""COMPUTED_VALUE"""),"")</f>
        <v/>
      </c>
      <c r="M506" s="261">
        <f>IFERROR(__xludf.DUMMYFUNCTION("""COMPUTED_VALUE"""),215.0)</f>
        <v>215</v>
      </c>
      <c r="N506" s="262" t="str">
        <f>IFERROR(__xludf.DUMMYFUNCTION("""COMPUTED_VALUE"""),"")</f>
        <v/>
      </c>
      <c r="O506" s="259" t="str">
        <f>IFERROR(__xludf.DUMMYFUNCTION("""COMPUTED_VALUE"""),"")</f>
        <v/>
      </c>
      <c r="P506" s="259">
        <f>IFERROR(__xludf.DUMMYFUNCTION("""COMPUTED_VALUE"""),42277.0)</f>
        <v>42277</v>
      </c>
      <c r="Q506" s="258">
        <f>IFERROR(__xludf.DUMMYFUNCTION("""COMPUTED_VALUE"""),131000.0)</f>
        <v>131000</v>
      </c>
      <c r="R506" s="261">
        <f>IFERROR(__xludf.DUMMYFUNCTION("""COMPUTED_VALUE"""),366.0)</f>
        <v>366</v>
      </c>
      <c r="S506" s="258">
        <v>395.0</v>
      </c>
      <c r="T506" s="263">
        <v>0.9265822784810127</v>
      </c>
      <c r="U506" s="264">
        <v>81400.0</v>
      </c>
      <c r="V506" s="265">
        <v>131000.0</v>
      </c>
      <c r="W506" s="264">
        <v>81400.0</v>
      </c>
      <c r="X506" s="266" t="str">
        <f>IFERROR(__xludf.DUMMYFUNCTION("""COMPUTED_VALUE"""),"Smartypnz")</f>
        <v>Smartypnz</v>
      </c>
      <c r="Y506" s="267">
        <v>-0.01</v>
      </c>
      <c r="Z506" s="267">
        <v>0.9393597256764262</v>
      </c>
      <c r="AA506" s="269"/>
      <c r="AB506" s="270"/>
      <c r="AC506" s="270"/>
      <c r="AD506" s="270"/>
      <c r="AE506" s="270"/>
    </row>
    <row r="507">
      <c r="A507" s="256">
        <f>IFERROR(__xludf.DUMMYFUNCTION("""COMPUTED_VALUE"""),42352.245833333334)</f>
        <v>42352.24583</v>
      </c>
      <c r="B507" s="257" t="str">
        <f>IFERROR(__xludf.DUMMYFUNCTION("""COMPUTED_VALUE"""),"Go4IT")</f>
        <v>Go4IT</v>
      </c>
      <c r="C507" s="258" t="str">
        <f>IFERROR(__xludf.DUMMYFUNCTION("""COMPUTED_VALUE"""),"Europe (excluding UK) &amp; Asia Pacific")</f>
        <v>Europe (excluding UK) &amp; Asia Pacific</v>
      </c>
      <c r="D507" s="258" t="str">
        <f>IFERROR(__xludf.DUMMYFUNCTION("""COMPUTED_VALUE"""),"km. My car displays range in kilometres and I will enter all range numbers in kilometres.")</f>
        <v>km. My car displays range in kilometres and I will enter all range numbers in kilometres.</v>
      </c>
      <c r="E507" s="259">
        <f>IFERROR(__xludf.DUMMYFUNCTION("""COMPUTED_VALUE"""),41527.0)</f>
        <v>41527</v>
      </c>
      <c r="F507" s="258" t="str">
        <f>IFERROR(__xludf.DUMMYFUNCTION("""COMPUTED_VALUE"""),"Model S P85")</f>
        <v>Model S P85</v>
      </c>
      <c r="G507" s="258" t="str">
        <f>IFERROR(__xludf.DUMMYFUNCTION("""COMPUTED_VALUE"""),"Twice a month")</f>
        <v>Twice a month</v>
      </c>
      <c r="H507" s="258" t="str">
        <f>IFERROR(__xludf.DUMMYFUNCTION("""COMPUTED_VALUE"""),"Daily")</f>
        <v>Daily</v>
      </c>
      <c r="I507" s="258" t="str">
        <f>IFERROR(__xludf.DUMMYFUNCTION("""COMPUTED_VALUE"""),"A few times a year")</f>
        <v>A few times a year</v>
      </c>
      <c r="J507" s="260">
        <f>IFERROR(__xludf.DUMMYFUNCTION("""COMPUTED_VALUE"""),1.0)</f>
        <v>1</v>
      </c>
      <c r="K507" s="258">
        <f>IFERROR(__xludf.DUMMYFUNCTION("""COMPUTED_VALUE"""),400.0)</f>
        <v>400</v>
      </c>
      <c r="L507" s="258" t="str">
        <f>IFERROR(__xludf.DUMMYFUNCTION("""COMPUTED_VALUE"""),"")</f>
        <v/>
      </c>
      <c r="M507" s="261">
        <f>IFERROR(__xludf.DUMMYFUNCTION("""COMPUTED_VALUE"""),214.0)</f>
        <v>214</v>
      </c>
      <c r="N507" s="262" t="str">
        <f>IFERROR(__xludf.DUMMYFUNCTION("""COMPUTED_VALUE"""),"")</f>
        <v/>
      </c>
      <c r="O507" s="259" t="str">
        <f>IFERROR(__xludf.DUMMYFUNCTION("""COMPUTED_VALUE"""),"")</f>
        <v/>
      </c>
      <c r="P507" s="259">
        <f>IFERROR(__xludf.DUMMYFUNCTION("""COMPUTED_VALUE"""),42352.0)</f>
        <v>42352</v>
      </c>
      <c r="Q507" s="258">
        <f>IFERROR(__xludf.DUMMYFUNCTION("""COMPUTED_VALUE"""),144000.0)</f>
        <v>144000</v>
      </c>
      <c r="R507" s="261">
        <f>IFERROR(__xludf.DUMMYFUNCTION("""COMPUTED_VALUE"""),366.0)</f>
        <v>366</v>
      </c>
      <c r="S507" s="258">
        <v>395.0</v>
      </c>
      <c r="T507" s="263">
        <v>0.9265822784810127</v>
      </c>
      <c r="U507" s="264">
        <v>89477.0</v>
      </c>
      <c r="V507" s="265">
        <v>144000.0</v>
      </c>
      <c r="W507" s="264">
        <v>89477.0</v>
      </c>
      <c r="X507" s="266" t="str">
        <f>IFERROR(__xludf.DUMMYFUNCTION("""COMPUTED_VALUE"""),"snail3")</f>
        <v>snail3</v>
      </c>
      <c r="Y507" s="267">
        <v>-0.01</v>
      </c>
      <c r="Z507" s="267">
        <v>0.9363533653040239</v>
      </c>
      <c r="AA507" s="269"/>
      <c r="AB507" s="270"/>
      <c r="AC507" s="270"/>
      <c r="AD507" s="270"/>
      <c r="AE507" s="270"/>
    </row>
    <row r="508">
      <c r="A508" s="256">
        <f>IFERROR(__xludf.DUMMYFUNCTION("""COMPUTED_VALUE"""),42389.27569444444)</f>
        <v>42389.27569</v>
      </c>
      <c r="B508" s="257" t="str">
        <f>IFERROR(__xludf.DUMMYFUNCTION("""COMPUTED_VALUE"""),"Go4IT")</f>
        <v>Go4IT</v>
      </c>
      <c r="C508" s="258" t="str">
        <f>IFERROR(__xludf.DUMMYFUNCTION("""COMPUTED_VALUE"""),"Europe (excluding UK) &amp; Asia Pacific")</f>
        <v>Europe (excluding UK) &amp; Asia Pacific</v>
      </c>
      <c r="D508" s="258" t="str">
        <f>IFERROR(__xludf.DUMMYFUNCTION("""COMPUTED_VALUE"""),"km. My car displays range in kilometres and I will enter all range numbers in kilometres.")</f>
        <v>km. My car displays range in kilometres and I will enter all range numbers in kilometres.</v>
      </c>
      <c r="E508" s="259">
        <f>IFERROR(__xludf.DUMMYFUNCTION("""COMPUTED_VALUE"""),41527.0)</f>
        <v>41527</v>
      </c>
      <c r="F508" s="258" t="str">
        <f>IFERROR(__xludf.DUMMYFUNCTION("""COMPUTED_VALUE"""),"Model S P85")</f>
        <v>Model S P85</v>
      </c>
      <c r="G508" s="258" t="str">
        <f>IFERROR(__xludf.DUMMYFUNCTION("""COMPUTED_VALUE"""),"Twice a month")</f>
        <v>Twice a month</v>
      </c>
      <c r="H508" s="258" t="str">
        <f>IFERROR(__xludf.DUMMYFUNCTION("""COMPUTED_VALUE"""),"Daily")</f>
        <v>Daily</v>
      </c>
      <c r="I508" s="258" t="str">
        <f>IFERROR(__xludf.DUMMYFUNCTION("""COMPUTED_VALUE"""),"A few times a year")</f>
        <v>A few times a year</v>
      </c>
      <c r="J508" s="260">
        <f>IFERROR(__xludf.DUMMYFUNCTION("""COMPUTED_VALUE"""),1.0)</f>
        <v>1</v>
      </c>
      <c r="K508" s="258">
        <f>IFERROR(__xludf.DUMMYFUNCTION("""COMPUTED_VALUE"""),400.0)</f>
        <v>400</v>
      </c>
      <c r="L508" s="258" t="str">
        <f>IFERROR(__xludf.DUMMYFUNCTION("""COMPUTED_VALUE"""),"")</f>
        <v/>
      </c>
      <c r="M508" s="261">
        <f>IFERROR(__xludf.DUMMYFUNCTION("""COMPUTED_VALUE"""),214.0)</f>
        <v>214</v>
      </c>
      <c r="N508" s="262" t="str">
        <f>IFERROR(__xludf.DUMMYFUNCTION("""COMPUTED_VALUE"""),"")</f>
        <v/>
      </c>
      <c r="O508" s="259" t="str">
        <f>IFERROR(__xludf.DUMMYFUNCTION("""COMPUTED_VALUE"""),"")</f>
        <v/>
      </c>
      <c r="P508" s="259">
        <f>IFERROR(__xludf.DUMMYFUNCTION("""COMPUTED_VALUE"""),42389.0)</f>
        <v>42389</v>
      </c>
      <c r="Q508" s="258">
        <f>IFERROR(__xludf.DUMMYFUNCTION("""COMPUTED_VALUE"""),150000.0)</f>
        <v>150000</v>
      </c>
      <c r="R508" s="261">
        <f>IFERROR(__xludf.DUMMYFUNCTION("""COMPUTED_VALUE"""),356.0)</f>
        <v>356</v>
      </c>
      <c r="S508" s="258">
        <v>395.0</v>
      </c>
      <c r="T508" s="263">
        <v>0.9012658227848102</v>
      </c>
      <c r="U508" s="264">
        <v>93206.0</v>
      </c>
      <c r="V508" s="265">
        <v>150000.0</v>
      </c>
      <c r="W508" s="264">
        <v>93206.0</v>
      </c>
      <c r="X508" s="266" t="str">
        <f>IFERROR(__xludf.DUMMYFUNCTION("""COMPUTED_VALUE"""),"Snakefun")</f>
        <v>Snakefun</v>
      </c>
      <c r="Y508" s="267">
        <v>-0.01</v>
      </c>
      <c r="Z508" s="267">
        <v>0.9349674103640534</v>
      </c>
      <c r="AA508" s="269"/>
      <c r="AB508" s="270"/>
      <c r="AC508" s="270"/>
      <c r="AD508" s="270"/>
      <c r="AE508" s="270"/>
    </row>
    <row r="509">
      <c r="A509" s="256">
        <f>IFERROR(__xludf.DUMMYFUNCTION("""COMPUTED_VALUE"""),42416.29027777778)</f>
        <v>42416.29028</v>
      </c>
      <c r="B509" s="257" t="str">
        <f>IFERROR(__xludf.DUMMYFUNCTION("""COMPUTED_VALUE"""),"Go4IT")</f>
        <v>Go4IT</v>
      </c>
      <c r="C509" s="258" t="str">
        <f>IFERROR(__xludf.DUMMYFUNCTION("""COMPUTED_VALUE"""),"Europe (excluding UK) &amp; Asia Pacific")</f>
        <v>Europe (excluding UK) &amp; Asia Pacific</v>
      </c>
      <c r="D509" s="258" t="str">
        <f>IFERROR(__xludf.DUMMYFUNCTION("""COMPUTED_VALUE"""),"km. My car displays range in kilometres and I will enter all range numbers in kilometres.")</f>
        <v>km. My car displays range in kilometres and I will enter all range numbers in kilometres.</v>
      </c>
      <c r="E509" s="259">
        <f>IFERROR(__xludf.DUMMYFUNCTION("""COMPUTED_VALUE"""),41527.0)</f>
        <v>41527</v>
      </c>
      <c r="F509" s="258" t="str">
        <f>IFERROR(__xludf.DUMMYFUNCTION("""COMPUTED_VALUE"""),"Model S P85")</f>
        <v>Model S P85</v>
      </c>
      <c r="G509" s="258" t="str">
        <f>IFERROR(__xludf.DUMMYFUNCTION("""COMPUTED_VALUE"""),"Twice a month")</f>
        <v>Twice a month</v>
      </c>
      <c r="H509" s="258" t="str">
        <f>IFERROR(__xludf.DUMMYFUNCTION("""COMPUTED_VALUE"""),"Daily")</f>
        <v>Daily</v>
      </c>
      <c r="I509" s="258" t="str">
        <f>IFERROR(__xludf.DUMMYFUNCTION("""COMPUTED_VALUE"""),"A few times a year")</f>
        <v>A few times a year</v>
      </c>
      <c r="J509" s="260">
        <f>IFERROR(__xludf.DUMMYFUNCTION("""COMPUTED_VALUE"""),1.0)</f>
        <v>1</v>
      </c>
      <c r="K509" s="258">
        <f>IFERROR(__xludf.DUMMYFUNCTION("""COMPUTED_VALUE"""),400.0)</f>
        <v>400</v>
      </c>
      <c r="L509" s="258" t="str">
        <f>IFERROR(__xludf.DUMMYFUNCTION("""COMPUTED_VALUE"""),"")</f>
        <v/>
      </c>
      <c r="M509" s="261">
        <f>IFERROR(__xludf.DUMMYFUNCTION("""COMPUTED_VALUE"""),211.0)</f>
        <v>211</v>
      </c>
      <c r="N509" s="262" t="str">
        <f>IFERROR(__xludf.DUMMYFUNCTION("""COMPUTED_VALUE"""),"")</f>
        <v/>
      </c>
      <c r="O509" s="259" t="str">
        <f>IFERROR(__xludf.DUMMYFUNCTION("""COMPUTED_VALUE"""),"")</f>
        <v/>
      </c>
      <c r="P509" s="259">
        <f>IFERROR(__xludf.DUMMYFUNCTION("""COMPUTED_VALUE"""),42416.0)</f>
        <v>42416</v>
      </c>
      <c r="Q509" s="258">
        <f>IFERROR(__xludf.DUMMYFUNCTION("""COMPUTED_VALUE"""),155000.0)</f>
        <v>155000</v>
      </c>
      <c r="R509" s="261">
        <f>IFERROR(__xludf.DUMMYFUNCTION("""COMPUTED_VALUE"""),357.0)</f>
        <v>357</v>
      </c>
      <c r="S509" s="258">
        <v>395.0</v>
      </c>
      <c r="T509" s="263">
        <v>0.9037974683544304</v>
      </c>
      <c r="U509" s="264">
        <v>96313.0</v>
      </c>
      <c r="V509" s="265">
        <v>155000.0</v>
      </c>
      <c r="W509" s="264">
        <v>96313.0</v>
      </c>
      <c r="X509" s="266" t="str">
        <f>IFERROR(__xludf.DUMMYFUNCTION("""COMPUTED_VALUE"""),"Sometimes")</f>
        <v>Sometimes</v>
      </c>
      <c r="Y509" s="267">
        <v>-0.01</v>
      </c>
      <c r="Z509" s="267">
        <v>0.9338129226085995</v>
      </c>
      <c r="AA509" s="269"/>
      <c r="AB509" s="270"/>
      <c r="AC509" s="270"/>
      <c r="AD509" s="270"/>
      <c r="AE509" s="270"/>
    </row>
    <row r="510">
      <c r="A510" s="256">
        <f>IFERROR(__xludf.DUMMYFUNCTION("""COMPUTED_VALUE"""),42465.32152777778)</f>
        <v>42465.32153</v>
      </c>
      <c r="B510" s="257" t="str">
        <f>IFERROR(__xludf.DUMMYFUNCTION("""COMPUTED_VALUE"""),"Go4IT")</f>
        <v>Go4IT</v>
      </c>
      <c r="C510" s="258" t="str">
        <f>IFERROR(__xludf.DUMMYFUNCTION("""COMPUTED_VALUE"""),"Europe (excluding UK) &amp; Asia Pacific")</f>
        <v>Europe (excluding UK) &amp; Asia Pacific</v>
      </c>
      <c r="D510" s="258" t="str">
        <f>IFERROR(__xludf.DUMMYFUNCTION("""COMPUTED_VALUE"""),"km. My car displays range in kilometres and I will enter all range numbers in kilometres.")</f>
        <v>km. My car displays range in kilometres and I will enter all range numbers in kilometres.</v>
      </c>
      <c r="E510" s="259">
        <f>IFERROR(__xludf.DUMMYFUNCTION("""COMPUTED_VALUE"""),41527.0)</f>
        <v>41527</v>
      </c>
      <c r="F510" s="258" t="str">
        <f>IFERROR(__xludf.DUMMYFUNCTION("""COMPUTED_VALUE"""),"Model S P85")</f>
        <v>Model S P85</v>
      </c>
      <c r="G510" s="258" t="str">
        <f>IFERROR(__xludf.DUMMYFUNCTION("""COMPUTED_VALUE"""),"Twice a month")</f>
        <v>Twice a month</v>
      </c>
      <c r="H510" s="258" t="str">
        <f>IFERROR(__xludf.DUMMYFUNCTION("""COMPUTED_VALUE"""),"Daily")</f>
        <v>Daily</v>
      </c>
      <c r="I510" s="258" t="str">
        <f>IFERROR(__xludf.DUMMYFUNCTION("""COMPUTED_VALUE"""),"A few times a year")</f>
        <v>A few times a year</v>
      </c>
      <c r="J510" s="260">
        <f>IFERROR(__xludf.DUMMYFUNCTION("""COMPUTED_VALUE"""),1.0)</f>
        <v>1</v>
      </c>
      <c r="K510" s="258">
        <f>IFERROR(__xludf.DUMMYFUNCTION("""COMPUTED_VALUE"""),400.0)</f>
        <v>400</v>
      </c>
      <c r="L510" s="258" t="str">
        <f>IFERROR(__xludf.DUMMYFUNCTION("""COMPUTED_VALUE"""),"")</f>
        <v/>
      </c>
      <c r="M510" s="261">
        <f>IFERROR(__xludf.DUMMYFUNCTION("""COMPUTED_VALUE"""),211.0)</f>
        <v>211</v>
      </c>
      <c r="N510" s="262" t="str">
        <f>IFERROR(__xludf.DUMMYFUNCTION("""COMPUTED_VALUE"""),"")</f>
        <v/>
      </c>
      <c r="O510" s="259" t="str">
        <f>IFERROR(__xludf.DUMMYFUNCTION("""COMPUTED_VALUE"""),"")</f>
        <v/>
      </c>
      <c r="P510" s="259">
        <f>IFERROR(__xludf.DUMMYFUNCTION("""COMPUTED_VALUE"""),42465.0)</f>
        <v>42465</v>
      </c>
      <c r="Q510" s="258">
        <f>IFERROR(__xludf.DUMMYFUNCTION("""COMPUTED_VALUE"""),165000.0)</f>
        <v>165000</v>
      </c>
      <c r="R510" s="261">
        <f>IFERROR(__xludf.DUMMYFUNCTION("""COMPUTED_VALUE"""),366.0)</f>
        <v>366</v>
      </c>
      <c r="S510" s="258">
        <v>395.0</v>
      </c>
      <c r="T510" s="263">
        <v>0.9265822784810127</v>
      </c>
      <c r="U510" s="264">
        <v>102526.0</v>
      </c>
      <c r="V510" s="265">
        <v>165000.0</v>
      </c>
      <c r="W510" s="264">
        <v>102526.0</v>
      </c>
      <c r="X510" s="266" t="str">
        <f>IFERROR(__xludf.DUMMYFUNCTION("""COMPUTED_VALUE"""),"Spacklewoof")</f>
        <v>Spacklewoof</v>
      </c>
      <c r="Y510" s="267">
        <v>-0.01</v>
      </c>
      <c r="Z510" s="267">
        <v>0.9315048153916411</v>
      </c>
      <c r="AA510" s="269"/>
      <c r="AB510" s="270"/>
      <c r="AC510" s="270"/>
      <c r="AD510" s="270"/>
      <c r="AE510" s="270"/>
    </row>
    <row r="511">
      <c r="A511" s="256">
        <f>IFERROR(__xludf.DUMMYFUNCTION("""COMPUTED_VALUE"""),42508.3375)</f>
        <v>42508.3375</v>
      </c>
      <c r="B511" s="257" t="str">
        <f>IFERROR(__xludf.DUMMYFUNCTION("""COMPUTED_VALUE"""),"Go4IT")</f>
        <v>Go4IT</v>
      </c>
      <c r="C511" s="258" t="str">
        <f>IFERROR(__xludf.DUMMYFUNCTION("""COMPUTED_VALUE"""),"Europe (excluding UK) &amp; Asia Pacific")</f>
        <v>Europe (excluding UK) &amp; Asia Pacific</v>
      </c>
      <c r="D511" s="258" t="str">
        <f>IFERROR(__xludf.DUMMYFUNCTION("""COMPUTED_VALUE"""),"km. My car displays range in kilometres and I will enter all range numbers in kilometres.")</f>
        <v>km. My car displays range in kilometres and I will enter all range numbers in kilometres.</v>
      </c>
      <c r="E511" s="259">
        <f>IFERROR(__xludf.DUMMYFUNCTION("""COMPUTED_VALUE"""),41527.0)</f>
        <v>41527</v>
      </c>
      <c r="F511" s="258" t="str">
        <f>IFERROR(__xludf.DUMMYFUNCTION("""COMPUTED_VALUE"""),"Model S P85")</f>
        <v>Model S P85</v>
      </c>
      <c r="G511" s="258" t="str">
        <f>IFERROR(__xludf.DUMMYFUNCTION("""COMPUTED_VALUE"""),"Twice a month")</f>
        <v>Twice a month</v>
      </c>
      <c r="H511" s="258" t="str">
        <f>IFERROR(__xludf.DUMMYFUNCTION("""COMPUTED_VALUE"""),"Daily")</f>
        <v>Daily</v>
      </c>
      <c r="I511" s="258" t="str">
        <f>IFERROR(__xludf.DUMMYFUNCTION("""COMPUTED_VALUE"""),"A few times a year")</f>
        <v>A few times a year</v>
      </c>
      <c r="J511" s="260">
        <f>IFERROR(__xludf.DUMMYFUNCTION("""COMPUTED_VALUE"""),1.0)</f>
        <v>1</v>
      </c>
      <c r="K511" s="258">
        <f>IFERROR(__xludf.DUMMYFUNCTION("""COMPUTED_VALUE"""),400.0)</f>
        <v>400</v>
      </c>
      <c r="L511" s="258" t="str">
        <f>IFERROR(__xludf.DUMMYFUNCTION("""COMPUTED_VALUE"""),"")</f>
        <v/>
      </c>
      <c r="M511" s="261">
        <f>IFERROR(__xludf.DUMMYFUNCTION("""COMPUTED_VALUE"""),211.0)</f>
        <v>211</v>
      </c>
      <c r="N511" s="262" t="str">
        <f>IFERROR(__xludf.DUMMYFUNCTION("""COMPUTED_VALUE"""),"")</f>
        <v/>
      </c>
      <c r="O511" s="259" t="str">
        <f>IFERROR(__xludf.DUMMYFUNCTION("""COMPUTED_VALUE"""),"")</f>
        <v/>
      </c>
      <c r="P511" s="259">
        <f>IFERROR(__xludf.DUMMYFUNCTION("""COMPUTED_VALUE"""),42508.0)</f>
        <v>42508</v>
      </c>
      <c r="Q511" s="258">
        <f>IFERROR(__xludf.DUMMYFUNCTION("""COMPUTED_VALUE"""),172000.0)</f>
        <v>172000</v>
      </c>
      <c r="R511" s="261">
        <f>IFERROR(__xludf.DUMMYFUNCTION("""COMPUTED_VALUE"""),365.0)</f>
        <v>365</v>
      </c>
      <c r="S511" s="258">
        <v>395.0</v>
      </c>
      <c r="T511" s="263">
        <v>0.9240506329113924</v>
      </c>
      <c r="U511" s="264">
        <v>106876.0</v>
      </c>
      <c r="V511" s="265">
        <v>172000.0</v>
      </c>
      <c r="W511" s="264">
        <v>106876.0</v>
      </c>
      <c r="X511" s="266" t="str">
        <f>IFERROR(__xludf.DUMMYFUNCTION("""COMPUTED_VALUE"""),"Sparky")</f>
        <v>Sparky</v>
      </c>
      <c r="Y511" s="267">
        <v>-0.01</v>
      </c>
      <c r="Z511" s="267">
        <v>0.929889592172937</v>
      </c>
      <c r="AA511" s="269"/>
      <c r="AB511" s="270"/>
      <c r="AC511" s="270"/>
      <c r="AD511" s="270"/>
      <c r="AE511" s="270"/>
    </row>
    <row r="512">
      <c r="A512" s="256">
        <f>IFERROR(__xludf.DUMMYFUNCTION("""COMPUTED_VALUE"""),42562.36111111111)</f>
        <v>42562.36111</v>
      </c>
      <c r="B512" s="257" t="str">
        <f>IFERROR(__xludf.DUMMYFUNCTION("""COMPUTED_VALUE"""),"Go4IT")</f>
        <v>Go4IT</v>
      </c>
      <c r="C512" s="258" t="str">
        <f>IFERROR(__xludf.DUMMYFUNCTION("""COMPUTED_VALUE"""),"Europe (excluding UK) &amp; Asia Pacific")</f>
        <v>Europe (excluding UK) &amp; Asia Pacific</v>
      </c>
      <c r="D512" s="258" t="str">
        <f>IFERROR(__xludf.DUMMYFUNCTION("""COMPUTED_VALUE"""),"km. My car displays range in kilometres and I will enter all range numbers in kilometres.")</f>
        <v>km. My car displays range in kilometres and I will enter all range numbers in kilometres.</v>
      </c>
      <c r="E512" s="259">
        <f>IFERROR(__xludf.DUMMYFUNCTION("""COMPUTED_VALUE"""),41527.0)</f>
        <v>41527</v>
      </c>
      <c r="F512" s="258" t="str">
        <f>IFERROR(__xludf.DUMMYFUNCTION("""COMPUTED_VALUE"""),"Model S P85")</f>
        <v>Model S P85</v>
      </c>
      <c r="G512" s="258" t="str">
        <f>IFERROR(__xludf.DUMMYFUNCTION("""COMPUTED_VALUE"""),"Twice a month")</f>
        <v>Twice a month</v>
      </c>
      <c r="H512" s="258" t="str">
        <f>IFERROR(__xludf.DUMMYFUNCTION("""COMPUTED_VALUE"""),"Daily")</f>
        <v>Daily</v>
      </c>
      <c r="I512" s="258" t="str">
        <f>IFERROR(__xludf.DUMMYFUNCTION("""COMPUTED_VALUE"""),"A few times a year")</f>
        <v>A few times a year</v>
      </c>
      <c r="J512" s="260">
        <f>IFERROR(__xludf.DUMMYFUNCTION("""COMPUTED_VALUE"""),1.0)</f>
        <v>1</v>
      </c>
      <c r="K512" s="258">
        <f>IFERROR(__xludf.DUMMYFUNCTION("""COMPUTED_VALUE"""),400.0)</f>
        <v>400</v>
      </c>
      <c r="L512" s="258" t="str">
        <f>IFERROR(__xludf.DUMMYFUNCTION("""COMPUTED_VALUE"""),"")</f>
        <v/>
      </c>
      <c r="M512" s="261">
        <f>IFERROR(__xludf.DUMMYFUNCTION("""COMPUTED_VALUE"""),215.0)</f>
        <v>215</v>
      </c>
      <c r="N512" s="262" t="str">
        <f>IFERROR(__xludf.DUMMYFUNCTION("""COMPUTED_VALUE"""),"")</f>
        <v/>
      </c>
      <c r="O512" s="259" t="str">
        <f>IFERROR(__xludf.DUMMYFUNCTION("""COMPUTED_VALUE"""),"")</f>
        <v/>
      </c>
      <c r="P512" s="259">
        <f>IFERROR(__xludf.DUMMYFUNCTION("""COMPUTED_VALUE"""),42562.0)</f>
        <v>42562</v>
      </c>
      <c r="Q512" s="258">
        <f>IFERROR(__xludf.DUMMYFUNCTION("""COMPUTED_VALUE"""),183000.0)</f>
        <v>183000</v>
      </c>
      <c r="R512" s="261">
        <f>IFERROR(__xludf.DUMMYFUNCTION("""COMPUTED_VALUE"""),366.0)</f>
        <v>366</v>
      </c>
      <c r="S512" s="258">
        <v>395.0</v>
      </c>
      <c r="T512" s="263">
        <v>0.9265822784810127</v>
      </c>
      <c r="U512" s="264">
        <v>113711.0</v>
      </c>
      <c r="V512" s="265">
        <v>183000.0</v>
      </c>
      <c r="W512" s="264">
        <v>113711.0</v>
      </c>
      <c r="X512" s="266" t="str">
        <f>IFERROR(__xludf.DUMMYFUNCTION("""COMPUTED_VALUE"""),"Spence")</f>
        <v>Spence</v>
      </c>
      <c r="Y512" s="267">
        <v>-0.01</v>
      </c>
      <c r="Z512" s="267">
        <v>0.9273518220990719</v>
      </c>
      <c r="AA512" s="269"/>
      <c r="AB512" s="270"/>
      <c r="AC512" s="270"/>
      <c r="AD512" s="270"/>
      <c r="AE512" s="270"/>
    </row>
    <row r="513">
      <c r="A513" s="256">
        <f>IFERROR(__xludf.DUMMYFUNCTION("""COMPUTED_VALUE"""),42628.40277777778)</f>
        <v>42628.40278</v>
      </c>
      <c r="B513" s="257" t="str">
        <f>IFERROR(__xludf.DUMMYFUNCTION("""COMPUTED_VALUE"""),"Go4IT")</f>
        <v>Go4IT</v>
      </c>
      <c r="C513" s="258" t="str">
        <f>IFERROR(__xludf.DUMMYFUNCTION("""COMPUTED_VALUE"""),"Europe (excluding UK) &amp; Asia Pacific")</f>
        <v>Europe (excluding UK) &amp; Asia Pacific</v>
      </c>
      <c r="D513" s="258" t="str">
        <f>IFERROR(__xludf.DUMMYFUNCTION("""COMPUTED_VALUE"""),"km. My car displays range in kilometres and I will enter all range numbers in kilometres.")</f>
        <v>km. My car displays range in kilometres and I will enter all range numbers in kilometres.</v>
      </c>
      <c r="E513" s="259">
        <f>IFERROR(__xludf.DUMMYFUNCTION("""COMPUTED_VALUE"""),41527.0)</f>
        <v>41527</v>
      </c>
      <c r="F513" s="258" t="str">
        <f>IFERROR(__xludf.DUMMYFUNCTION("""COMPUTED_VALUE"""),"Model S P85")</f>
        <v>Model S P85</v>
      </c>
      <c r="G513" s="258" t="str">
        <f>IFERROR(__xludf.DUMMYFUNCTION("""COMPUTED_VALUE"""),"Twice a month")</f>
        <v>Twice a month</v>
      </c>
      <c r="H513" s="258" t="str">
        <f>IFERROR(__xludf.DUMMYFUNCTION("""COMPUTED_VALUE"""),"Daily")</f>
        <v>Daily</v>
      </c>
      <c r="I513" s="258" t="str">
        <f>IFERROR(__xludf.DUMMYFUNCTION("""COMPUTED_VALUE"""),"A few times a year")</f>
        <v>A few times a year</v>
      </c>
      <c r="J513" s="260">
        <f>IFERROR(__xludf.DUMMYFUNCTION("""COMPUTED_VALUE"""),1.0)</f>
        <v>1</v>
      </c>
      <c r="K513" s="258">
        <f>IFERROR(__xludf.DUMMYFUNCTION("""COMPUTED_VALUE"""),400.0)</f>
        <v>400</v>
      </c>
      <c r="L513" s="258" t="str">
        <f>IFERROR(__xludf.DUMMYFUNCTION("""COMPUTED_VALUE"""),"")</f>
        <v/>
      </c>
      <c r="M513" s="261">
        <f>IFERROR(__xludf.DUMMYFUNCTION("""COMPUTED_VALUE"""),212.0)</f>
        <v>212</v>
      </c>
      <c r="N513" s="262" t="str">
        <f>IFERROR(__xludf.DUMMYFUNCTION("""COMPUTED_VALUE"""),"")</f>
        <v/>
      </c>
      <c r="O513" s="259" t="str">
        <f>IFERROR(__xludf.DUMMYFUNCTION("""COMPUTED_VALUE"""),"")</f>
        <v/>
      </c>
      <c r="P513" s="259">
        <f>IFERROR(__xludf.DUMMYFUNCTION("""COMPUTED_VALUE"""),42628.0)</f>
        <v>42628</v>
      </c>
      <c r="Q513" s="258">
        <f>IFERROR(__xludf.DUMMYFUNCTION("""COMPUTED_VALUE"""),200000.0)</f>
        <v>200000</v>
      </c>
      <c r="R513" s="261">
        <f>IFERROR(__xludf.DUMMYFUNCTION("""COMPUTED_VALUE"""),366.0)</f>
        <v>366</v>
      </c>
      <c r="S513" s="258">
        <v>395.0</v>
      </c>
      <c r="T513" s="263">
        <v>0.9265822784810127</v>
      </c>
      <c r="U513" s="264">
        <v>124274.0</v>
      </c>
      <c r="V513" s="265">
        <v>200000.0</v>
      </c>
      <c r="W513" s="264">
        <v>124274.0</v>
      </c>
      <c r="X513" s="266" t="str">
        <f>IFERROR(__xludf.DUMMYFUNCTION("""COMPUTED_VALUE"""),"SS")</f>
        <v>SS</v>
      </c>
      <c r="Y513" s="267">
        <v>-0.01</v>
      </c>
      <c r="Z513" s="267">
        <v>0.923430365180149</v>
      </c>
      <c r="AA513" s="269"/>
      <c r="AB513" s="270"/>
      <c r="AC513" s="270"/>
      <c r="AD513" s="270"/>
      <c r="AE513" s="270"/>
    </row>
    <row r="514">
      <c r="A514" s="256">
        <f>IFERROR(__xludf.DUMMYFUNCTION("""COMPUTED_VALUE"""),42702.464583333334)</f>
        <v>42702.46458</v>
      </c>
      <c r="B514" s="257" t="str">
        <f>IFERROR(__xludf.DUMMYFUNCTION("""COMPUTED_VALUE"""),"Go4IT")</f>
        <v>Go4IT</v>
      </c>
      <c r="C514" s="258" t="str">
        <f>IFERROR(__xludf.DUMMYFUNCTION("""COMPUTED_VALUE"""),"Europe (excluding UK) &amp; Asia Pacific")</f>
        <v>Europe (excluding UK) &amp; Asia Pacific</v>
      </c>
      <c r="D514" s="258" t="str">
        <f>IFERROR(__xludf.DUMMYFUNCTION("""COMPUTED_VALUE"""),"km. My car displays range in kilometres and I will enter all range numbers in kilometres.")</f>
        <v>km. My car displays range in kilometres and I will enter all range numbers in kilometres.</v>
      </c>
      <c r="E514" s="259">
        <f>IFERROR(__xludf.DUMMYFUNCTION("""COMPUTED_VALUE"""),41527.0)</f>
        <v>41527</v>
      </c>
      <c r="F514" s="258" t="str">
        <f>IFERROR(__xludf.DUMMYFUNCTION("""COMPUTED_VALUE"""),"Model S P85")</f>
        <v>Model S P85</v>
      </c>
      <c r="G514" s="258" t="str">
        <f>IFERROR(__xludf.DUMMYFUNCTION("""COMPUTED_VALUE"""),"Twice a month")</f>
        <v>Twice a month</v>
      </c>
      <c r="H514" s="258" t="str">
        <f>IFERROR(__xludf.DUMMYFUNCTION("""COMPUTED_VALUE"""),"Daily")</f>
        <v>Daily</v>
      </c>
      <c r="I514" s="258" t="str">
        <f>IFERROR(__xludf.DUMMYFUNCTION("""COMPUTED_VALUE"""),"A few times a year")</f>
        <v>A few times a year</v>
      </c>
      <c r="J514" s="260">
        <f>IFERROR(__xludf.DUMMYFUNCTION("""COMPUTED_VALUE"""),1.0)</f>
        <v>1</v>
      </c>
      <c r="K514" s="258">
        <f>IFERROR(__xludf.DUMMYFUNCTION("""COMPUTED_VALUE"""),400.0)</f>
        <v>400</v>
      </c>
      <c r="L514" s="258" t="str">
        <f>IFERROR(__xludf.DUMMYFUNCTION("""COMPUTED_VALUE"""),"")</f>
        <v/>
      </c>
      <c r="M514" s="261">
        <f>IFERROR(__xludf.DUMMYFUNCTION("""COMPUTED_VALUE"""),212.0)</f>
        <v>212</v>
      </c>
      <c r="N514" s="262" t="str">
        <f>IFERROR(__xludf.DUMMYFUNCTION("""COMPUTED_VALUE"""),"")</f>
        <v/>
      </c>
      <c r="O514" s="259" t="str">
        <f>IFERROR(__xludf.DUMMYFUNCTION("""COMPUTED_VALUE"""),"")</f>
        <v/>
      </c>
      <c r="P514" s="259">
        <f>IFERROR(__xludf.DUMMYFUNCTION("""COMPUTED_VALUE"""),42702.0)</f>
        <v>42702</v>
      </c>
      <c r="Q514" s="258">
        <f>IFERROR(__xludf.DUMMYFUNCTION("""COMPUTED_VALUE"""),211500.0)</f>
        <v>211500</v>
      </c>
      <c r="R514" s="261">
        <f>IFERROR(__xludf.DUMMYFUNCTION("""COMPUTED_VALUE"""),358.0)</f>
        <v>358</v>
      </c>
      <c r="S514" s="258">
        <v>395.0</v>
      </c>
      <c r="T514" s="263">
        <v>0.9063291139240506</v>
      </c>
      <c r="U514" s="264">
        <v>131420.0</v>
      </c>
      <c r="V514" s="265">
        <v>211500.0</v>
      </c>
      <c r="W514" s="264">
        <v>131420.0</v>
      </c>
      <c r="X514" s="266" t="str">
        <f>IFERROR(__xludf.DUMMYFUNCTION("""COMPUTED_VALUE"""),"SSc3010")</f>
        <v>SSc3010</v>
      </c>
      <c r="Y514" s="267">
        <v>-0.01</v>
      </c>
      <c r="Z514" s="267">
        <v>0.9207777922417842</v>
      </c>
      <c r="AA514" s="269"/>
      <c r="AB514" s="270"/>
      <c r="AC514" s="270"/>
      <c r="AD514" s="270"/>
      <c r="AE514" s="270"/>
    </row>
    <row r="515">
      <c r="A515" s="256">
        <f>IFERROR(__xludf.DUMMYFUNCTION("""COMPUTED_VALUE"""),42752.49166666667)</f>
        <v>42752.49167</v>
      </c>
      <c r="B515" s="257" t="str">
        <f>IFERROR(__xludf.DUMMYFUNCTION("""COMPUTED_VALUE"""),"Go4IT")</f>
        <v>Go4IT</v>
      </c>
      <c r="C515" s="258" t="str">
        <f>IFERROR(__xludf.DUMMYFUNCTION("""COMPUTED_VALUE"""),"Europe (excluding UK) &amp; Asia Pacific")</f>
        <v>Europe (excluding UK) &amp; Asia Pacific</v>
      </c>
      <c r="D515" s="258" t="str">
        <f>IFERROR(__xludf.DUMMYFUNCTION("""COMPUTED_VALUE"""),"km. My car displays range in kilometres and I will enter all range numbers in kilometres.")</f>
        <v>km. My car displays range in kilometres and I will enter all range numbers in kilometres.</v>
      </c>
      <c r="E515" s="259">
        <f>IFERROR(__xludf.DUMMYFUNCTION("""COMPUTED_VALUE"""),41527.0)</f>
        <v>41527</v>
      </c>
      <c r="F515" s="258" t="str">
        <f>IFERROR(__xludf.DUMMYFUNCTION("""COMPUTED_VALUE"""),"Model S P85")</f>
        <v>Model S P85</v>
      </c>
      <c r="G515" s="258" t="str">
        <f>IFERROR(__xludf.DUMMYFUNCTION("""COMPUTED_VALUE"""),"Twice a week")</f>
        <v>Twice a week</v>
      </c>
      <c r="H515" s="258" t="str">
        <f>IFERROR(__xludf.DUMMYFUNCTION("""COMPUTED_VALUE"""),"Daily")</f>
        <v>Daily</v>
      </c>
      <c r="I515" s="258" t="str">
        <f>IFERROR(__xludf.DUMMYFUNCTION("""COMPUTED_VALUE"""),"Monthly")</f>
        <v>Monthly</v>
      </c>
      <c r="J515" s="260">
        <f>IFERROR(__xludf.DUMMYFUNCTION("""COMPUTED_VALUE"""),1.0)</f>
        <v>1</v>
      </c>
      <c r="K515" s="258">
        <f>IFERROR(__xludf.DUMMYFUNCTION("""COMPUTED_VALUE"""),400.0)</f>
        <v>400</v>
      </c>
      <c r="L515" s="258" t="str">
        <f>IFERROR(__xludf.DUMMYFUNCTION("""COMPUTED_VALUE"""),"")</f>
        <v/>
      </c>
      <c r="M515" s="261">
        <f>IFERROR(__xludf.DUMMYFUNCTION("""COMPUTED_VALUE"""),212.0)</f>
        <v>212</v>
      </c>
      <c r="N515" s="262" t="str">
        <f>IFERROR(__xludf.DUMMYFUNCTION("""COMPUTED_VALUE"""),"")</f>
        <v/>
      </c>
      <c r="O515" s="259" t="str">
        <f>IFERROR(__xludf.DUMMYFUNCTION("""COMPUTED_VALUE"""),"")</f>
        <v/>
      </c>
      <c r="P515" s="259">
        <f>IFERROR(__xludf.DUMMYFUNCTION("""COMPUTED_VALUE"""),42752.0)</f>
        <v>42752</v>
      </c>
      <c r="Q515" s="258">
        <f>IFERROR(__xludf.DUMMYFUNCTION("""COMPUTED_VALUE"""),222000.0)</f>
        <v>222000</v>
      </c>
      <c r="R515" s="261">
        <f>IFERROR(__xludf.DUMMYFUNCTION("""COMPUTED_VALUE"""),361.0)</f>
        <v>361</v>
      </c>
      <c r="S515" s="258">
        <v>395.0</v>
      </c>
      <c r="T515" s="263">
        <v>0.9139240506329114</v>
      </c>
      <c r="U515" s="264">
        <v>137944.0</v>
      </c>
      <c r="V515" s="265">
        <v>222000.0</v>
      </c>
      <c r="W515" s="264">
        <v>137944.0</v>
      </c>
      <c r="X515" s="266" t="str">
        <f>IFERROR(__xludf.DUMMYFUNCTION("""COMPUTED_VALUE"""),"SSChicken")</f>
        <v>SSChicken</v>
      </c>
      <c r="Y515" s="267">
        <v>-0.01</v>
      </c>
      <c r="Z515" s="267">
        <v>0.9183559350869066</v>
      </c>
      <c r="AA515" s="269"/>
      <c r="AB515" s="270"/>
      <c r="AC515" s="270"/>
      <c r="AD515" s="270"/>
      <c r="AE515" s="270"/>
    </row>
    <row r="516">
      <c r="A516" s="256">
        <f>IFERROR(__xludf.DUMMYFUNCTION("""COMPUTED_VALUE"""),42795.50555555556)</f>
        <v>42795.50556</v>
      </c>
      <c r="B516" s="257" t="str">
        <f>IFERROR(__xludf.DUMMYFUNCTION("""COMPUTED_VALUE"""),"Go4IT")</f>
        <v>Go4IT</v>
      </c>
      <c r="C516" s="258" t="str">
        <f>IFERROR(__xludf.DUMMYFUNCTION("""COMPUTED_VALUE"""),"Europe (excluding UK) &amp; Asia Pacific")</f>
        <v>Europe (excluding UK) &amp; Asia Pacific</v>
      </c>
      <c r="D516" s="258" t="str">
        <f>IFERROR(__xludf.DUMMYFUNCTION("""COMPUTED_VALUE"""),"km. My car displays range in kilometres and I will enter all range numbers in kilometres.")</f>
        <v>km. My car displays range in kilometres and I will enter all range numbers in kilometres.</v>
      </c>
      <c r="E516" s="259">
        <f>IFERROR(__xludf.DUMMYFUNCTION("""COMPUTED_VALUE"""),41527.0)</f>
        <v>41527</v>
      </c>
      <c r="F516" s="258" t="str">
        <f>IFERROR(__xludf.DUMMYFUNCTION("""COMPUTED_VALUE"""),"Model S P85")</f>
        <v>Model S P85</v>
      </c>
      <c r="G516" s="258" t="str">
        <f>IFERROR(__xludf.DUMMYFUNCTION("""COMPUTED_VALUE"""),"Twice a month")</f>
        <v>Twice a month</v>
      </c>
      <c r="H516" s="258" t="str">
        <f>IFERROR(__xludf.DUMMYFUNCTION("""COMPUTED_VALUE"""),"Daily")</f>
        <v>Daily</v>
      </c>
      <c r="I516" s="258" t="str">
        <f>IFERROR(__xludf.DUMMYFUNCTION("""COMPUTED_VALUE"""),"A few times a year")</f>
        <v>A few times a year</v>
      </c>
      <c r="J516" s="260">
        <f>IFERROR(__xludf.DUMMYFUNCTION("""COMPUTED_VALUE"""),1.0)</f>
        <v>1</v>
      </c>
      <c r="K516" s="258">
        <f>IFERROR(__xludf.DUMMYFUNCTION("""COMPUTED_VALUE"""),400.0)</f>
        <v>400</v>
      </c>
      <c r="L516" s="258" t="str">
        <f>IFERROR(__xludf.DUMMYFUNCTION("""COMPUTED_VALUE"""),"")</f>
        <v/>
      </c>
      <c r="M516" s="261">
        <f>IFERROR(__xludf.DUMMYFUNCTION("""COMPUTED_VALUE"""),212.0)</f>
        <v>212</v>
      </c>
      <c r="N516" s="262" t="str">
        <f>IFERROR(__xludf.DUMMYFUNCTION("""COMPUTED_VALUE"""),"")</f>
        <v/>
      </c>
      <c r="O516" s="259" t="str">
        <f>IFERROR(__xludf.DUMMYFUNCTION("""COMPUTED_VALUE"""),"")</f>
        <v/>
      </c>
      <c r="P516" s="259">
        <f>IFERROR(__xludf.DUMMYFUNCTION("""COMPUTED_VALUE"""),42795.0)</f>
        <v>42795</v>
      </c>
      <c r="Q516" s="258">
        <f>IFERROR(__xludf.DUMMYFUNCTION("""COMPUTED_VALUE"""),230000.0)</f>
        <v>230000</v>
      </c>
      <c r="R516" s="261">
        <f>IFERROR(__xludf.DUMMYFUNCTION("""COMPUTED_VALUE"""),360.0)</f>
        <v>360</v>
      </c>
      <c r="S516" s="258">
        <v>395.0</v>
      </c>
      <c r="T516" s="263">
        <v>0.9113924050632911</v>
      </c>
      <c r="U516" s="264">
        <v>142915.0</v>
      </c>
      <c r="V516" s="265">
        <v>230000.0</v>
      </c>
      <c r="W516" s="264">
        <v>142915.0</v>
      </c>
      <c r="X516" s="266" t="str">
        <f>IFERROR(__xludf.DUMMYFUNCTION("""COMPUTED_VALUE"""),"StefanSarzio")</f>
        <v>StefanSarzio</v>
      </c>
      <c r="Y516" s="267">
        <v>-0.01</v>
      </c>
      <c r="Z516" s="267">
        <v>0.9165107309042666</v>
      </c>
      <c r="AA516" s="269"/>
      <c r="AB516" s="270"/>
      <c r="AC516" s="270"/>
      <c r="AD516" s="270"/>
      <c r="AE516" s="270"/>
    </row>
    <row r="517">
      <c r="A517" s="256">
        <f>IFERROR(__xludf.DUMMYFUNCTION("""COMPUTED_VALUE"""),42817.51527777778)</f>
        <v>42817.51528</v>
      </c>
      <c r="B517" s="257" t="str">
        <f>IFERROR(__xludf.DUMMYFUNCTION("""COMPUTED_VALUE"""),"Go4IT")</f>
        <v>Go4IT</v>
      </c>
      <c r="C517" s="258" t="str">
        <f>IFERROR(__xludf.DUMMYFUNCTION("""COMPUTED_VALUE"""),"Europe (excluding UK) &amp; Asia Pacific")</f>
        <v>Europe (excluding UK) &amp; Asia Pacific</v>
      </c>
      <c r="D517" s="258" t="str">
        <f>IFERROR(__xludf.DUMMYFUNCTION("""COMPUTED_VALUE"""),"km. My car displays range in kilometres and I will enter all range numbers in kilometres.")</f>
        <v>km. My car displays range in kilometres and I will enter all range numbers in kilometres.</v>
      </c>
      <c r="E517" s="259">
        <f>IFERROR(__xludf.DUMMYFUNCTION("""COMPUTED_VALUE"""),41527.0)</f>
        <v>41527</v>
      </c>
      <c r="F517" s="258" t="str">
        <f>IFERROR(__xludf.DUMMYFUNCTION("""COMPUTED_VALUE"""),"Model S P85")</f>
        <v>Model S P85</v>
      </c>
      <c r="G517" s="258" t="str">
        <f>IFERROR(__xludf.DUMMYFUNCTION("""COMPUTED_VALUE"""),"Twice a month")</f>
        <v>Twice a month</v>
      </c>
      <c r="H517" s="258" t="str">
        <f>IFERROR(__xludf.DUMMYFUNCTION("""COMPUTED_VALUE"""),"Daily")</f>
        <v>Daily</v>
      </c>
      <c r="I517" s="258" t="str">
        <f>IFERROR(__xludf.DUMMYFUNCTION("""COMPUTED_VALUE"""),"A few times a year")</f>
        <v>A few times a year</v>
      </c>
      <c r="J517" s="260">
        <f>IFERROR(__xludf.DUMMYFUNCTION("""COMPUTED_VALUE"""),1.0)</f>
        <v>1</v>
      </c>
      <c r="K517" s="258">
        <f>IFERROR(__xludf.DUMMYFUNCTION("""COMPUTED_VALUE"""),400.0)</f>
        <v>400</v>
      </c>
      <c r="L517" s="258" t="str">
        <f>IFERROR(__xludf.DUMMYFUNCTION("""COMPUTED_VALUE"""),"")</f>
        <v/>
      </c>
      <c r="M517" s="261">
        <f>IFERROR(__xludf.DUMMYFUNCTION("""COMPUTED_VALUE"""),212.0)</f>
        <v>212</v>
      </c>
      <c r="N517" s="262" t="str">
        <f>IFERROR(__xludf.DUMMYFUNCTION("""COMPUTED_VALUE"""),"")</f>
        <v/>
      </c>
      <c r="O517" s="259" t="str">
        <f>IFERROR(__xludf.DUMMYFUNCTION("""COMPUTED_VALUE"""),"")</f>
        <v/>
      </c>
      <c r="P517" s="259">
        <f>IFERROR(__xludf.DUMMYFUNCTION("""COMPUTED_VALUE"""),42817.0)</f>
        <v>42817</v>
      </c>
      <c r="Q517" s="258">
        <f>IFERROR(__xludf.DUMMYFUNCTION("""COMPUTED_VALUE"""),235000.0)</f>
        <v>235000</v>
      </c>
      <c r="R517" s="261">
        <f>IFERROR(__xludf.DUMMYFUNCTION("""COMPUTED_VALUE"""),362.0)</f>
        <v>362</v>
      </c>
      <c r="S517" s="258">
        <v>395.0</v>
      </c>
      <c r="T517" s="263">
        <v>0.9164556962025316</v>
      </c>
      <c r="U517" s="264">
        <v>146022.0</v>
      </c>
      <c r="V517" s="265">
        <v>235000.0</v>
      </c>
      <c r="W517" s="264">
        <v>146022.0</v>
      </c>
      <c r="X517" s="266" t="str">
        <f>IFERROR(__xludf.DUMMYFUNCTION("""COMPUTED_VALUE"""),"Steinar")</f>
        <v>Steinar</v>
      </c>
      <c r="Y517" s="267">
        <v>-0.01</v>
      </c>
      <c r="Z517" s="267">
        <v>0.9153574838801604</v>
      </c>
      <c r="AA517" s="269"/>
      <c r="AB517" s="270"/>
      <c r="AC517" s="270"/>
      <c r="AD517" s="270"/>
      <c r="AE517" s="270"/>
    </row>
    <row r="518">
      <c r="A518" s="256">
        <f>IFERROR(__xludf.DUMMYFUNCTION("""COMPUTED_VALUE"""),42864.53194444445)</f>
        <v>42864.53194</v>
      </c>
      <c r="B518" s="257" t="str">
        <f>IFERROR(__xludf.DUMMYFUNCTION("""COMPUTED_VALUE"""),"Go4IT")</f>
        <v>Go4IT</v>
      </c>
      <c r="C518" s="258" t="str">
        <f>IFERROR(__xludf.DUMMYFUNCTION("""COMPUTED_VALUE"""),"Europe (excluding UK) &amp; Asia Pacific")</f>
        <v>Europe (excluding UK) &amp; Asia Pacific</v>
      </c>
      <c r="D518" s="258" t="str">
        <f>IFERROR(__xludf.DUMMYFUNCTION("""COMPUTED_VALUE"""),"km. My car displays range in kilometres and I will enter all range numbers in kilometres.")</f>
        <v>km. My car displays range in kilometres and I will enter all range numbers in kilometres.</v>
      </c>
      <c r="E518" s="259">
        <f>IFERROR(__xludf.DUMMYFUNCTION("""COMPUTED_VALUE"""),41527.0)</f>
        <v>41527</v>
      </c>
      <c r="F518" s="258" t="str">
        <f>IFERROR(__xludf.DUMMYFUNCTION("""COMPUTED_VALUE"""),"Model S P85")</f>
        <v>Model S P85</v>
      </c>
      <c r="G518" s="258" t="str">
        <f>IFERROR(__xludf.DUMMYFUNCTION("""COMPUTED_VALUE"""),"Twice a month")</f>
        <v>Twice a month</v>
      </c>
      <c r="H518" s="258" t="str">
        <f>IFERROR(__xludf.DUMMYFUNCTION("""COMPUTED_VALUE"""),"Daily")</f>
        <v>Daily</v>
      </c>
      <c r="I518" s="258" t="str">
        <f>IFERROR(__xludf.DUMMYFUNCTION("""COMPUTED_VALUE"""),"A few times a year")</f>
        <v>A few times a year</v>
      </c>
      <c r="J518" s="260">
        <f>IFERROR(__xludf.DUMMYFUNCTION("""COMPUTED_VALUE"""),1.0)</f>
        <v>1</v>
      </c>
      <c r="K518" s="258">
        <f>IFERROR(__xludf.DUMMYFUNCTION("""COMPUTED_VALUE"""),400.0)</f>
        <v>400</v>
      </c>
      <c r="L518" s="258" t="str">
        <f>IFERROR(__xludf.DUMMYFUNCTION("""COMPUTED_VALUE"""),"")</f>
        <v/>
      </c>
      <c r="M518" s="261">
        <f>IFERROR(__xludf.DUMMYFUNCTION("""COMPUTED_VALUE"""),212.0)</f>
        <v>212</v>
      </c>
      <c r="N518" s="262" t="str">
        <f>IFERROR(__xludf.DUMMYFUNCTION("""COMPUTED_VALUE"""),"")</f>
        <v/>
      </c>
      <c r="O518" s="259" t="str">
        <f>IFERROR(__xludf.DUMMYFUNCTION("""COMPUTED_VALUE"""),"")</f>
        <v/>
      </c>
      <c r="P518" s="259">
        <f>IFERROR(__xludf.DUMMYFUNCTION("""COMPUTED_VALUE"""),42864.0)</f>
        <v>42864</v>
      </c>
      <c r="Q518" s="258">
        <f>IFERROR(__xludf.DUMMYFUNCTION("""COMPUTED_VALUE"""),240000.0)</f>
        <v>240000</v>
      </c>
      <c r="R518" s="261">
        <f>IFERROR(__xludf.DUMMYFUNCTION("""COMPUTED_VALUE"""),366.0)</f>
        <v>366</v>
      </c>
      <c r="S518" s="258">
        <v>395.0</v>
      </c>
      <c r="T518" s="263">
        <v>0.9265822784810127</v>
      </c>
      <c r="U518" s="264">
        <v>149129.0</v>
      </c>
      <c r="V518" s="265">
        <v>240000.0</v>
      </c>
      <c r="W518" s="264">
        <v>149129.0</v>
      </c>
      <c r="X518" s="266" t="str">
        <f>IFERROR(__xludf.DUMMYFUNCTION("""COMPUTED_VALUE"""),"Stickybit")</f>
        <v>Stickybit</v>
      </c>
      <c r="Y518" s="267">
        <v>-0.01</v>
      </c>
      <c r="Z518" s="267">
        <v>0.9142042398740353</v>
      </c>
      <c r="AA518" s="269"/>
      <c r="AB518" s="270"/>
      <c r="AC518" s="270"/>
      <c r="AD518" s="270"/>
      <c r="AE518" s="270"/>
    </row>
    <row r="519">
      <c r="A519" s="256">
        <f>IFERROR(__xludf.DUMMYFUNCTION("""COMPUTED_VALUE"""),42895.54513888889)</f>
        <v>42895.54514</v>
      </c>
      <c r="B519" s="257" t="str">
        <f>IFERROR(__xludf.DUMMYFUNCTION("""COMPUTED_VALUE"""),"Go4IT")</f>
        <v>Go4IT</v>
      </c>
      <c r="C519" s="258" t="str">
        <f>IFERROR(__xludf.DUMMYFUNCTION("""COMPUTED_VALUE"""),"Europe (excluding UK) &amp; Asia Pacific")</f>
        <v>Europe (excluding UK) &amp; Asia Pacific</v>
      </c>
      <c r="D519" s="258" t="str">
        <f>IFERROR(__xludf.DUMMYFUNCTION("""COMPUTED_VALUE"""),"km. My car displays range in kilometres and I will enter all range numbers in kilometres.")</f>
        <v>km. My car displays range in kilometres and I will enter all range numbers in kilometres.</v>
      </c>
      <c r="E519" s="259">
        <f>IFERROR(__xludf.DUMMYFUNCTION("""COMPUTED_VALUE"""),41527.0)</f>
        <v>41527</v>
      </c>
      <c r="F519" s="258" t="str">
        <f>IFERROR(__xludf.DUMMYFUNCTION("""COMPUTED_VALUE"""),"Model S P85")</f>
        <v>Model S P85</v>
      </c>
      <c r="G519" s="258" t="str">
        <f>IFERROR(__xludf.DUMMYFUNCTION("""COMPUTED_VALUE"""),"Twice a month")</f>
        <v>Twice a month</v>
      </c>
      <c r="H519" s="258" t="str">
        <f>IFERROR(__xludf.DUMMYFUNCTION("""COMPUTED_VALUE"""),"Daily")</f>
        <v>Daily</v>
      </c>
      <c r="I519" s="258" t="str">
        <f>IFERROR(__xludf.DUMMYFUNCTION("""COMPUTED_VALUE"""),"A few times a year")</f>
        <v>A few times a year</v>
      </c>
      <c r="J519" s="260">
        <f>IFERROR(__xludf.DUMMYFUNCTION("""COMPUTED_VALUE"""),1.0)</f>
        <v>1</v>
      </c>
      <c r="K519" s="258">
        <f>IFERROR(__xludf.DUMMYFUNCTION("""COMPUTED_VALUE"""),400.0)</f>
        <v>400</v>
      </c>
      <c r="L519" s="258" t="str">
        <f>IFERROR(__xludf.DUMMYFUNCTION("""COMPUTED_VALUE"""),"")</f>
        <v/>
      </c>
      <c r="M519" s="261">
        <f>IFERROR(__xludf.DUMMYFUNCTION("""COMPUTED_VALUE"""),212.0)</f>
        <v>212</v>
      </c>
      <c r="N519" s="262" t="str">
        <f>IFERROR(__xludf.DUMMYFUNCTION("""COMPUTED_VALUE"""),"")</f>
        <v/>
      </c>
      <c r="O519" s="259" t="str">
        <f>IFERROR(__xludf.DUMMYFUNCTION("""COMPUTED_VALUE"""),"")</f>
        <v/>
      </c>
      <c r="P519" s="259">
        <f>IFERROR(__xludf.DUMMYFUNCTION("""COMPUTED_VALUE"""),42895.0)</f>
        <v>42895</v>
      </c>
      <c r="Q519" s="258">
        <f>IFERROR(__xludf.DUMMYFUNCTION("""COMPUTED_VALUE"""),246000.0)</f>
        <v>246000</v>
      </c>
      <c r="R519" s="261">
        <f>IFERROR(__xludf.DUMMYFUNCTION("""COMPUTED_VALUE"""),367.0)</f>
        <v>367</v>
      </c>
      <c r="S519" s="258">
        <v>395.0</v>
      </c>
      <c r="T519" s="263">
        <v>0.9291139240506329</v>
      </c>
      <c r="U519" s="264">
        <v>152857.0</v>
      </c>
      <c r="V519" s="265">
        <v>246000.0</v>
      </c>
      <c r="W519" s="264">
        <v>152857.0</v>
      </c>
      <c r="X519" s="266" t="str">
        <f>IFERROR(__xludf.DUMMYFUNCTION("""COMPUTED_VALUE"""),"Stuke")</f>
        <v>Stuke</v>
      </c>
      <c r="Y519" s="267">
        <v>-0.01</v>
      </c>
      <c r="Z519" s="267">
        <v>0.9128203499926066</v>
      </c>
      <c r="AA519" s="269"/>
      <c r="AB519" s="270"/>
      <c r="AC519" s="270"/>
      <c r="AD519" s="270"/>
      <c r="AE519" s="270"/>
    </row>
    <row r="520">
      <c r="A520" s="256">
        <f>IFERROR(__xludf.DUMMYFUNCTION("""COMPUTED_VALUE"""),42928.55763888889)</f>
        <v>42928.55764</v>
      </c>
      <c r="B520" s="257" t="str">
        <f>IFERROR(__xludf.DUMMYFUNCTION("""COMPUTED_VALUE"""),"Go4IT")</f>
        <v>Go4IT</v>
      </c>
      <c r="C520" s="258" t="str">
        <f>IFERROR(__xludf.DUMMYFUNCTION("""COMPUTED_VALUE"""),"Europe (excluding UK) &amp; Asia Pacific")</f>
        <v>Europe (excluding UK) &amp; Asia Pacific</v>
      </c>
      <c r="D520" s="258" t="str">
        <f>IFERROR(__xludf.DUMMYFUNCTION("""COMPUTED_VALUE"""),"km. My car displays range in kilometres and I will enter all range numbers in kilometres.")</f>
        <v>km. My car displays range in kilometres and I will enter all range numbers in kilometres.</v>
      </c>
      <c r="E520" s="259">
        <f>IFERROR(__xludf.DUMMYFUNCTION("""COMPUTED_VALUE"""),41527.0)</f>
        <v>41527</v>
      </c>
      <c r="F520" s="258" t="str">
        <f>IFERROR(__xludf.DUMMYFUNCTION("""COMPUTED_VALUE"""),"Model S P85")</f>
        <v>Model S P85</v>
      </c>
      <c r="G520" s="258" t="str">
        <f>IFERROR(__xludf.DUMMYFUNCTION("""COMPUTED_VALUE"""),"Twice a month")</f>
        <v>Twice a month</v>
      </c>
      <c r="H520" s="258" t="str">
        <f>IFERROR(__xludf.DUMMYFUNCTION("""COMPUTED_VALUE"""),"Daily")</f>
        <v>Daily</v>
      </c>
      <c r="I520" s="258" t="str">
        <f>IFERROR(__xludf.DUMMYFUNCTION("""COMPUTED_VALUE"""),"A few times a year")</f>
        <v>A few times a year</v>
      </c>
      <c r="J520" s="260">
        <f>IFERROR(__xludf.DUMMYFUNCTION("""COMPUTED_VALUE"""),1.0)</f>
        <v>1</v>
      </c>
      <c r="K520" s="258">
        <f>IFERROR(__xludf.DUMMYFUNCTION("""COMPUTED_VALUE"""),400.0)</f>
        <v>400</v>
      </c>
      <c r="L520" s="258" t="str">
        <f>IFERROR(__xludf.DUMMYFUNCTION("""COMPUTED_VALUE"""),"")</f>
        <v/>
      </c>
      <c r="M520" s="261">
        <f>IFERROR(__xludf.DUMMYFUNCTION("""COMPUTED_VALUE"""),212.0)</f>
        <v>212</v>
      </c>
      <c r="N520" s="262" t="str">
        <f>IFERROR(__xludf.DUMMYFUNCTION("""COMPUTED_VALUE"""),"")</f>
        <v/>
      </c>
      <c r="O520" s="259" t="str">
        <f>IFERROR(__xludf.DUMMYFUNCTION("""COMPUTED_VALUE"""),"")</f>
        <v/>
      </c>
      <c r="P520" s="259">
        <f>IFERROR(__xludf.DUMMYFUNCTION("""COMPUTED_VALUE"""),42928.0)</f>
        <v>42928</v>
      </c>
      <c r="Q520" s="258">
        <f>IFERROR(__xludf.DUMMYFUNCTION("""COMPUTED_VALUE"""),251000.0)</f>
        <v>251000</v>
      </c>
      <c r="R520" s="261">
        <f>IFERROR(__xludf.DUMMYFUNCTION("""COMPUTED_VALUE"""),369.0)</f>
        <v>369</v>
      </c>
      <c r="S520" s="258">
        <v>395.0</v>
      </c>
      <c r="T520" s="263">
        <v>0.9341772151898734</v>
      </c>
      <c r="U520" s="264">
        <v>155964.0</v>
      </c>
      <c r="V520" s="265">
        <v>251000.0</v>
      </c>
      <c r="W520" s="264">
        <v>155964.0</v>
      </c>
      <c r="X520" s="266" t="str">
        <f>IFERROR(__xludf.DUMMYFUNCTION("""COMPUTED_VALUE"""),"Sues")</f>
        <v>Sues</v>
      </c>
      <c r="Y520" s="267">
        <v>-0.01</v>
      </c>
      <c r="Z520" s="267">
        <v>0.9116671102130686</v>
      </c>
      <c r="AA520" s="269"/>
      <c r="AB520" s="270"/>
      <c r="AC520" s="270"/>
      <c r="AD520" s="270"/>
      <c r="AE520" s="270"/>
    </row>
    <row r="521">
      <c r="A521" s="256">
        <f>IFERROR(__xludf.DUMMYFUNCTION("""COMPUTED_VALUE"""),42929.558333333334)</f>
        <v>42929.55833</v>
      </c>
      <c r="B521" s="257" t="str">
        <f>IFERROR(__xludf.DUMMYFUNCTION("""COMPUTED_VALUE"""),"Go4IT")</f>
        <v>Go4IT</v>
      </c>
      <c r="C521" s="258" t="str">
        <f>IFERROR(__xludf.DUMMYFUNCTION("""COMPUTED_VALUE"""),"Europe (excluding UK) &amp; Asia Pacific")</f>
        <v>Europe (excluding UK) &amp; Asia Pacific</v>
      </c>
      <c r="D521" s="258" t="str">
        <f>IFERROR(__xludf.DUMMYFUNCTION("""COMPUTED_VALUE"""),"km. My car displays range in kilometres and I will enter all range numbers in kilometres.")</f>
        <v>km. My car displays range in kilometres and I will enter all range numbers in kilometres.</v>
      </c>
      <c r="E521" s="259">
        <f>IFERROR(__xludf.DUMMYFUNCTION("""COMPUTED_VALUE"""),41527.0)</f>
        <v>41527</v>
      </c>
      <c r="F521" s="258" t="str">
        <f>IFERROR(__xludf.DUMMYFUNCTION("""COMPUTED_VALUE"""),"Model S P85")</f>
        <v>Model S P85</v>
      </c>
      <c r="G521" s="258" t="str">
        <f>IFERROR(__xludf.DUMMYFUNCTION("""COMPUTED_VALUE"""),"Twice a month")</f>
        <v>Twice a month</v>
      </c>
      <c r="H521" s="258" t="str">
        <f>IFERROR(__xludf.DUMMYFUNCTION("""COMPUTED_VALUE"""),"Daily")</f>
        <v>Daily</v>
      </c>
      <c r="I521" s="258" t="str">
        <f>IFERROR(__xludf.DUMMYFUNCTION("""COMPUTED_VALUE"""),"A few times a year")</f>
        <v>A few times a year</v>
      </c>
      <c r="J521" s="260">
        <f>IFERROR(__xludf.DUMMYFUNCTION("""COMPUTED_VALUE"""),1.0)</f>
        <v>1</v>
      </c>
      <c r="K521" s="258">
        <f>IFERROR(__xludf.DUMMYFUNCTION("""COMPUTED_VALUE"""),400.0)</f>
        <v>400</v>
      </c>
      <c r="L521" s="258" t="str">
        <f>IFERROR(__xludf.DUMMYFUNCTION("""COMPUTED_VALUE"""),"")</f>
        <v/>
      </c>
      <c r="M521" s="261">
        <f>IFERROR(__xludf.DUMMYFUNCTION("""COMPUTED_VALUE"""),212.0)</f>
        <v>212</v>
      </c>
      <c r="N521" s="262" t="str">
        <f>IFERROR(__xludf.DUMMYFUNCTION("""COMPUTED_VALUE"""),"")</f>
        <v/>
      </c>
      <c r="O521" s="259" t="str">
        <f>IFERROR(__xludf.DUMMYFUNCTION("""COMPUTED_VALUE"""),"")</f>
        <v/>
      </c>
      <c r="P521" s="259">
        <f>IFERROR(__xludf.DUMMYFUNCTION("""COMPUTED_VALUE"""),42929.0)</f>
        <v>42929</v>
      </c>
      <c r="Q521" s="258">
        <f>IFERROR(__xludf.DUMMYFUNCTION("""COMPUTED_VALUE"""),251200.0)</f>
        <v>251200</v>
      </c>
      <c r="R521" s="261">
        <f>IFERROR(__xludf.DUMMYFUNCTION("""COMPUTED_VALUE"""),369.0)</f>
        <v>369</v>
      </c>
      <c r="S521" s="258">
        <v>395.0</v>
      </c>
      <c r="T521" s="263">
        <v>0.9341772151898734</v>
      </c>
      <c r="U521" s="264">
        <v>156088.0</v>
      </c>
      <c r="V521" s="265">
        <v>251200.0</v>
      </c>
      <c r="W521" s="264">
        <v>156088.0</v>
      </c>
      <c r="X521" s="266" t="str">
        <f>IFERROR(__xludf.DUMMYFUNCTION("""COMPUTED_VALUE"""),"sunday")</f>
        <v>sunday</v>
      </c>
      <c r="Y521" s="267">
        <v>-0.01</v>
      </c>
      <c r="Z521" s="267">
        <v>0.9116209806489394</v>
      </c>
      <c r="AA521" s="269"/>
      <c r="AB521" s="270"/>
      <c r="AC521" s="270"/>
      <c r="AD521" s="270"/>
      <c r="AE521" s="270"/>
    </row>
    <row r="522">
      <c r="A522" s="256">
        <f>IFERROR(__xludf.DUMMYFUNCTION("""COMPUTED_VALUE"""),42975.59305555555)</f>
        <v>42975.59306</v>
      </c>
      <c r="B522" s="257" t="str">
        <f>IFERROR(__xludf.DUMMYFUNCTION("""COMPUTED_VALUE"""),"Go4IT")</f>
        <v>Go4IT</v>
      </c>
      <c r="C522" s="258" t="str">
        <f>IFERROR(__xludf.DUMMYFUNCTION("""COMPUTED_VALUE"""),"Europe (excluding UK) &amp; Asia Pacific")</f>
        <v>Europe (excluding UK) &amp; Asia Pacific</v>
      </c>
      <c r="D522" s="258" t="str">
        <f>IFERROR(__xludf.DUMMYFUNCTION("""COMPUTED_VALUE"""),"km. My car displays range in kilometres and I will enter all range numbers in kilometres.")</f>
        <v>km. My car displays range in kilometres and I will enter all range numbers in kilometres.</v>
      </c>
      <c r="E522" s="259">
        <f>IFERROR(__xludf.DUMMYFUNCTION("""COMPUTED_VALUE"""),41527.0)</f>
        <v>41527</v>
      </c>
      <c r="F522" s="258" t="str">
        <f>IFERROR(__xludf.DUMMYFUNCTION("""COMPUTED_VALUE"""),"Model S P85")</f>
        <v>Model S P85</v>
      </c>
      <c r="G522" s="258" t="str">
        <f>IFERROR(__xludf.DUMMYFUNCTION("""COMPUTED_VALUE"""),"Twice a month")</f>
        <v>Twice a month</v>
      </c>
      <c r="H522" s="258" t="str">
        <f>IFERROR(__xludf.DUMMYFUNCTION("""COMPUTED_VALUE"""),"Daily")</f>
        <v>Daily</v>
      </c>
      <c r="I522" s="258" t="str">
        <f>IFERROR(__xludf.DUMMYFUNCTION("""COMPUTED_VALUE"""),"A few times a year")</f>
        <v>A few times a year</v>
      </c>
      <c r="J522" s="260">
        <f>IFERROR(__xludf.DUMMYFUNCTION("""COMPUTED_VALUE"""),1.0)</f>
        <v>1</v>
      </c>
      <c r="K522" s="258">
        <f>IFERROR(__xludf.DUMMYFUNCTION("""COMPUTED_VALUE"""),400.0)</f>
        <v>400</v>
      </c>
      <c r="L522" s="258" t="str">
        <f>IFERROR(__xludf.DUMMYFUNCTION("""COMPUTED_VALUE"""),"")</f>
        <v/>
      </c>
      <c r="M522" s="261">
        <f>IFERROR(__xludf.DUMMYFUNCTION("""COMPUTED_VALUE"""),212.0)</f>
        <v>212</v>
      </c>
      <c r="N522" s="262" t="str">
        <f>IFERROR(__xludf.DUMMYFUNCTION("""COMPUTED_VALUE"""),"")</f>
        <v/>
      </c>
      <c r="O522" s="259" t="str">
        <f>IFERROR(__xludf.DUMMYFUNCTION("""COMPUTED_VALUE"""),"")</f>
        <v/>
      </c>
      <c r="P522" s="259">
        <f>IFERROR(__xludf.DUMMYFUNCTION("""COMPUTED_VALUE"""),42975.0)</f>
        <v>42975</v>
      </c>
      <c r="Q522" s="258">
        <f>IFERROR(__xludf.DUMMYFUNCTION("""COMPUTED_VALUE"""),269000.0)</f>
        <v>269000</v>
      </c>
      <c r="R522" s="261">
        <f>IFERROR(__xludf.DUMMYFUNCTION("""COMPUTED_VALUE"""),363.0)</f>
        <v>363</v>
      </c>
      <c r="S522" s="258">
        <v>395.0</v>
      </c>
      <c r="T522" s="263">
        <v>0.9189873417721519</v>
      </c>
      <c r="U522" s="264">
        <v>167149.0</v>
      </c>
      <c r="V522" s="265">
        <v>269000.0</v>
      </c>
      <c r="W522" s="264">
        <v>167149.0</v>
      </c>
      <c r="X522" s="266" t="str">
        <f>IFERROR(__xludf.DUMMYFUNCTION("""COMPUTED_VALUE"""),"Surfi")</f>
        <v>Surfi</v>
      </c>
      <c r="Y522" s="267">
        <v>-0.01</v>
      </c>
      <c r="Z522" s="267">
        <v>0.9075154549196334</v>
      </c>
      <c r="AA522" s="269"/>
      <c r="AB522" s="270"/>
      <c r="AC522" s="270"/>
      <c r="AD522" s="270"/>
      <c r="AE522" s="270"/>
    </row>
    <row r="523">
      <c r="A523" s="256">
        <f>IFERROR(__xludf.DUMMYFUNCTION("""COMPUTED_VALUE"""),43048.632638888885)</f>
        <v>43048.63264</v>
      </c>
      <c r="B523" s="257" t="str">
        <f>IFERROR(__xludf.DUMMYFUNCTION("""COMPUTED_VALUE"""),"Go4IT")</f>
        <v>Go4IT</v>
      </c>
      <c r="C523" s="258" t="str">
        <f>IFERROR(__xludf.DUMMYFUNCTION("""COMPUTED_VALUE"""),"Europe (excluding UK) &amp; Asia Pacific")</f>
        <v>Europe (excluding UK) &amp; Asia Pacific</v>
      </c>
      <c r="D523" s="258" t="str">
        <f>IFERROR(__xludf.DUMMYFUNCTION("""COMPUTED_VALUE"""),"km. My car displays range in kilometres and I will enter all range numbers in kilometres.")</f>
        <v>km. My car displays range in kilometres and I will enter all range numbers in kilometres.</v>
      </c>
      <c r="E523" s="259">
        <f>IFERROR(__xludf.DUMMYFUNCTION("""COMPUTED_VALUE"""),41527.0)</f>
        <v>41527</v>
      </c>
      <c r="F523" s="258" t="str">
        <f>IFERROR(__xludf.DUMMYFUNCTION("""COMPUTED_VALUE"""),"Model S P85")</f>
        <v>Model S P85</v>
      </c>
      <c r="G523" s="258" t="str">
        <f>IFERROR(__xludf.DUMMYFUNCTION("""COMPUTED_VALUE"""),"Twice a month")</f>
        <v>Twice a month</v>
      </c>
      <c r="H523" s="258" t="str">
        <f>IFERROR(__xludf.DUMMYFUNCTION("""COMPUTED_VALUE"""),"Daily")</f>
        <v>Daily</v>
      </c>
      <c r="I523" s="258" t="str">
        <f>IFERROR(__xludf.DUMMYFUNCTION("""COMPUTED_VALUE"""),"A few times a year")</f>
        <v>A few times a year</v>
      </c>
      <c r="J523" s="260">
        <f>IFERROR(__xludf.DUMMYFUNCTION("""COMPUTED_VALUE"""),1.0)</f>
        <v>1</v>
      </c>
      <c r="K523" s="258">
        <f>IFERROR(__xludf.DUMMYFUNCTION("""COMPUTED_VALUE"""),400.0)</f>
        <v>400</v>
      </c>
      <c r="L523" s="258" t="str">
        <f>IFERROR(__xludf.DUMMYFUNCTION("""COMPUTED_VALUE"""),"")</f>
        <v/>
      </c>
      <c r="M523" s="261">
        <f>IFERROR(__xludf.DUMMYFUNCTION("""COMPUTED_VALUE"""),212.0)</f>
        <v>212</v>
      </c>
      <c r="N523" s="262" t="str">
        <f>IFERROR(__xludf.DUMMYFUNCTION("""COMPUTED_VALUE"""),"")</f>
        <v/>
      </c>
      <c r="O523" s="259" t="str">
        <f>IFERROR(__xludf.DUMMYFUNCTION("""COMPUTED_VALUE"""),"")</f>
        <v/>
      </c>
      <c r="P523" s="259">
        <f>IFERROR(__xludf.DUMMYFUNCTION("""COMPUTED_VALUE"""),43048.0)</f>
        <v>43048</v>
      </c>
      <c r="Q523" s="258">
        <f>IFERROR(__xludf.DUMMYFUNCTION("""COMPUTED_VALUE"""),276500.0)</f>
        <v>276500</v>
      </c>
      <c r="R523" s="261">
        <f>IFERROR(__xludf.DUMMYFUNCTION("""COMPUTED_VALUE"""),355.0)</f>
        <v>355</v>
      </c>
      <c r="S523" s="258">
        <v>395.0</v>
      </c>
      <c r="T523" s="263">
        <v>0.8987341772151899</v>
      </c>
      <c r="U523" s="264">
        <v>171809.0</v>
      </c>
      <c r="V523" s="265">
        <v>276500.0</v>
      </c>
      <c r="W523" s="264">
        <v>171809.0</v>
      </c>
      <c r="X523" s="266" t="str">
        <f>IFERROR(__xludf.DUMMYFUNCTION("""COMPUTED_VALUE"""),"svimtapp")</f>
        <v>svimtapp</v>
      </c>
      <c r="Y523" s="267">
        <v>-0.01</v>
      </c>
      <c r="Z523" s="267">
        <v>0.9057856005931735</v>
      </c>
      <c r="AA523" s="269"/>
      <c r="AB523" s="270"/>
      <c r="AC523" s="270"/>
      <c r="AD523" s="270"/>
      <c r="AE523" s="270"/>
    </row>
    <row r="524">
      <c r="A524" s="256">
        <f>IFERROR(__xludf.DUMMYFUNCTION("""COMPUTED_VALUE"""),43776.970104328706)</f>
        <v>43776.9701</v>
      </c>
      <c r="B524" s="257" t="str">
        <f>IFERROR(__xludf.DUMMYFUNCTION("""COMPUTED_VALUE"""),"Go4IT")</f>
        <v>Go4IT</v>
      </c>
      <c r="C524" s="258" t="str">
        <f>IFERROR(__xludf.DUMMYFUNCTION("""COMPUTED_VALUE"""),"Europe (excluding UK) &amp; Asia Pacific")</f>
        <v>Europe (excluding UK) &amp; Asia Pacific</v>
      </c>
      <c r="D524" s="258" t="str">
        <f>IFERROR(__xludf.DUMMYFUNCTION("""COMPUTED_VALUE"""),"km. My car displays range in kilometres and I will enter all range numbers in kilometres.")</f>
        <v>km. My car displays range in kilometres and I will enter all range numbers in kilometres.</v>
      </c>
      <c r="E524" s="259">
        <f>IFERROR(__xludf.DUMMYFUNCTION("""COMPUTED_VALUE"""),43647.0)</f>
        <v>43647</v>
      </c>
      <c r="F524" s="258" t="str">
        <f>IFERROR(__xludf.DUMMYFUNCTION("""COMPUTED_VALUE"""),"Model S P85")</f>
        <v>Model S P85</v>
      </c>
      <c r="G524" s="258" t="str">
        <f>IFERROR(__xludf.DUMMYFUNCTION("""COMPUTED_VALUE"""),"Monthly")</f>
        <v>Monthly</v>
      </c>
      <c r="H524" s="258" t="str">
        <f>IFERROR(__xludf.DUMMYFUNCTION("""COMPUTED_VALUE"""),"Weekly")</f>
        <v>Weekly</v>
      </c>
      <c r="I524" s="258" t="str">
        <f>IFERROR(__xludf.DUMMYFUNCTION("""COMPUTED_VALUE"""),"Monthly")</f>
        <v>Monthly</v>
      </c>
      <c r="J524" s="260">
        <f>IFERROR(__xludf.DUMMYFUNCTION("""COMPUTED_VALUE"""),0.9)</f>
        <v>0.9</v>
      </c>
      <c r="K524" s="258">
        <f>IFERROR(__xludf.DUMMYFUNCTION("""COMPUTED_VALUE"""),400.0)</f>
        <v>400</v>
      </c>
      <c r="L524" s="258">
        <f>IFERROR(__xludf.DUMMYFUNCTION("""COMPUTED_VALUE"""),189.0)</f>
        <v>189</v>
      </c>
      <c r="M524" s="261">
        <f>IFERROR(__xludf.DUMMYFUNCTION("""COMPUTED_VALUE"""),202.0)</f>
        <v>202</v>
      </c>
      <c r="N524" s="262">
        <f>IFERROR(__xludf.DUMMYFUNCTION("""COMPUTED_VALUE"""),320000.0)</f>
        <v>320000</v>
      </c>
      <c r="O524" s="259" t="str">
        <f>IFERROR(__xludf.DUMMYFUNCTION("""COMPUTED_VALUE"""),"It didn't change")</f>
        <v>It didn't change</v>
      </c>
      <c r="P524" s="259">
        <f>IFERROR(__xludf.DUMMYFUNCTION("""COMPUTED_VALUE"""),43770.0)</f>
        <v>43770</v>
      </c>
      <c r="Q524" s="258">
        <f>IFERROR(__xludf.DUMMYFUNCTION("""COMPUTED_VALUE"""),375000.0)</f>
        <v>375000</v>
      </c>
      <c r="R524" s="261">
        <f>IFERROR(__xludf.DUMMYFUNCTION("""COMPUTED_VALUE"""),354.0)</f>
        <v>354</v>
      </c>
      <c r="S524" s="258">
        <v>395.0</v>
      </c>
      <c r="T524" s="263">
        <v>0.8962025316455696</v>
      </c>
      <c r="U524" s="264">
        <v>233014.0</v>
      </c>
      <c r="V524" s="265">
        <v>375000.0</v>
      </c>
      <c r="W524" s="264">
        <v>233014.0</v>
      </c>
      <c r="X524" s="266" t="str">
        <f>IFERROR(__xludf.DUMMYFUNCTION("""COMPUTED_VALUE"""),"Swissojourners")</f>
        <v>Swissojourners</v>
      </c>
      <c r="Y524" s="267">
        <v>-0.01</v>
      </c>
      <c r="Z524" s="267">
        <v>0.8830668667402802</v>
      </c>
      <c r="AA524" s="269"/>
      <c r="AB524" s="270"/>
      <c r="AC524" s="270"/>
      <c r="AD524" s="270"/>
      <c r="AE524" s="270"/>
    </row>
    <row r="525">
      <c r="A525" s="256">
        <f>IFERROR(__xludf.DUMMYFUNCTION("""COMPUTED_VALUE"""),43680.654242962955)</f>
        <v>43680.65424</v>
      </c>
      <c r="B525" s="257" t="str">
        <f>IFERROR(__xludf.DUMMYFUNCTION("""COMPUTED_VALUE"""),"GoChaddy")</f>
        <v>GoChaddy</v>
      </c>
      <c r="C525" s="258" t="str">
        <f>IFERROR(__xludf.DUMMYFUNCTION("""COMPUTED_VALUE"""),"USA")</f>
        <v>USA</v>
      </c>
      <c r="D525" s="258" t="str">
        <f>IFERROR(__xludf.DUMMYFUNCTION("""COMPUTED_VALUE"""),"mi. My car displays range in miles and I will enter all range numbers in miles.")</f>
        <v>mi. My car displays range in miles and I will enter all range numbers in miles.</v>
      </c>
      <c r="E525" s="259">
        <f>IFERROR(__xludf.DUMMYFUNCTION("""COMPUTED_VALUE"""),42217.0)</f>
        <v>42217</v>
      </c>
      <c r="F525" s="258" t="str">
        <f>IFERROR(__xludf.DUMMYFUNCTION("""COMPUTED_VALUE"""),"Model S 70D")</f>
        <v>Model S 70D</v>
      </c>
      <c r="G525" s="258" t="str">
        <f>IFERROR(__xludf.DUMMYFUNCTION("""COMPUTED_VALUE"""),"Weekly")</f>
        <v>Weekly</v>
      </c>
      <c r="H525" s="258" t="str">
        <f>IFERROR(__xludf.DUMMYFUNCTION("""COMPUTED_VALUE"""),"Monthly")</f>
        <v>Monthly</v>
      </c>
      <c r="I525" s="258" t="str">
        <f>IFERROR(__xludf.DUMMYFUNCTION("""COMPUTED_VALUE"""),"")</f>
        <v/>
      </c>
      <c r="J525" s="260">
        <f>IFERROR(__xludf.DUMMYFUNCTION("""COMPUTED_VALUE"""),0.8)</f>
        <v>0.8</v>
      </c>
      <c r="K525" s="258">
        <f>IFERROR(__xludf.DUMMYFUNCTION("""COMPUTED_VALUE"""),230.0)</f>
        <v>230</v>
      </c>
      <c r="L525" s="258" t="str">
        <f>IFERROR(__xludf.DUMMYFUNCTION("""COMPUTED_VALUE"""),"")</f>
        <v/>
      </c>
      <c r="M525" s="261" t="str">
        <f>IFERROR(__xludf.DUMMYFUNCTION("""COMPUTED_VALUE"""),"")</f>
        <v/>
      </c>
      <c r="N525" s="262" t="str">
        <f>IFERROR(__xludf.DUMMYFUNCTION("""COMPUTED_VALUE"""),"")</f>
        <v/>
      </c>
      <c r="O525" s="259" t="str">
        <f>IFERROR(__xludf.DUMMYFUNCTION("""COMPUTED_VALUE"""),"")</f>
        <v/>
      </c>
      <c r="P525" s="259">
        <f>IFERROR(__xludf.DUMMYFUNCTION("""COMPUTED_VALUE"""),43511.0)</f>
        <v>43511</v>
      </c>
      <c r="Q525" s="258">
        <f>IFERROR(__xludf.DUMMYFUNCTION("""COMPUTED_VALUE"""),33500.0)</f>
        <v>33500</v>
      </c>
      <c r="R525" s="261">
        <f>IFERROR(__xludf.DUMMYFUNCTION("""COMPUTED_VALUE"""),221.0)</f>
        <v>221</v>
      </c>
      <c r="S525" s="258">
        <v>240.0</v>
      </c>
      <c r="T525" s="263">
        <v>0.9208333333333333</v>
      </c>
      <c r="U525" s="264">
        <v>33500.0</v>
      </c>
      <c r="V525" s="265">
        <v>53913.0</v>
      </c>
      <c r="W525" s="264">
        <v>33500.0</v>
      </c>
      <c r="X525" s="266" t="str">
        <f>IFERROR(__xludf.DUMMYFUNCTION("""COMPUTED_VALUE"""),"Sylvia")</f>
        <v>Sylvia</v>
      </c>
      <c r="Y525" s="267">
        <v>-0.01</v>
      </c>
      <c r="Z525" s="267">
        <v>0.9584494713606411</v>
      </c>
      <c r="AA525" s="269"/>
      <c r="AB525" s="270"/>
      <c r="AC525" s="270"/>
      <c r="AD525" s="270"/>
      <c r="AE525" s="270"/>
    </row>
    <row r="526">
      <c r="A526" s="256">
        <f>IFERROR(__xludf.DUMMYFUNCTION("""COMPUTED_VALUE"""),43680.654242962955)</f>
        <v>43680.65424</v>
      </c>
      <c r="B526" s="257" t="str">
        <f>IFERROR(__xludf.DUMMYFUNCTION("""COMPUTED_VALUE"""),"GoChaddy")</f>
        <v>GoChaddy</v>
      </c>
      <c r="C526" s="258" t="str">
        <f>IFERROR(__xludf.DUMMYFUNCTION("""COMPUTED_VALUE"""),"USA")</f>
        <v>USA</v>
      </c>
      <c r="D526" s="258" t="str">
        <f>IFERROR(__xludf.DUMMYFUNCTION("""COMPUTED_VALUE"""),"mi. My car displays range in miles and I will enter all range numbers in miles.")</f>
        <v>mi. My car displays range in miles and I will enter all range numbers in miles.</v>
      </c>
      <c r="E526" s="259">
        <f>IFERROR(__xludf.DUMMYFUNCTION("""COMPUTED_VALUE"""),42217.0)</f>
        <v>42217</v>
      </c>
      <c r="F526" s="258" t="str">
        <f>IFERROR(__xludf.DUMMYFUNCTION("""COMPUTED_VALUE"""),"Model S 70D")</f>
        <v>Model S 70D</v>
      </c>
      <c r="G526" s="258" t="str">
        <f>IFERROR(__xludf.DUMMYFUNCTION("""COMPUTED_VALUE"""),"Weekly")</f>
        <v>Weekly</v>
      </c>
      <c r="H526" s="258" t="str">
        <f>IFERROR(__xludf.DUMMYFUNCTION("""COMPUTED_VALUE"""),"Monthly")</f>
        <v>Monthly</v>
      </c>
      <c r="I526" s="258" t="str">
        <f>IFERROR(__xludf.DUMMYFUNCTION("""COMPUTED_VALUE"""),"")</f>
        <v/>
      </c>
      <c r="J526" s="260">
        <f>IFERROR(__xludf.DUMMYFUNCTION("""COMPUTED_VALUE"""),0.8)</f>
        <v>0.8</v>
      </c>
      <c r="K526" s="258">
        <f>IFERROR(__xludf.DUMMYFUNCTION("""COMPUTED_VALUE"""),230.0)</f>
        <v>230</v>
      </c>
      <c r="L526" s="258" t="str">
        <f>IFERROR(__xludf.DUMMYFUNCTION("""COMPUTED_VALUE"""),"")</f>
        <v/>
      </c>
      <c r="M526" s="261" t="str">
        <f>IFERROR(__xludf.DUMMYFUNCTION("""COMPUTED_VALUE"""),"")</f>
        <v/>
      </c>
      <c r="N526" s="262" t="str">
        <f>IFERROR(__xludf.DUMMYFUNCTION("""COMPUTED_VALUE"""),"")</f>
        <v/>
      </c>
      <c r="O526" s="259" t="str">
        <f>IFERROR(__xludf.DUMMYFUNCTION("""COMPUTED_VALUE"""),"")</f>
        <v/>
      </c>
      <c r="P526" s="259">
        <f>IFERROR(__xludf.DUMMYFUNCTION("""COMPUTED_VALUE"""),43678.0)</f>
        <v>43678</v>
      </c>
      <c r="Q526" s="258">
        <f>IFERROR(__xludf.DUMMYFUNCTION("""COMPUTED_VALUE"""),39500.0)</f>
        <v>39500</v>
      </c>
      <c r="R526" s="261">
        <f>IFERROR(__xludf.DUMMYFUNCTION("""COMPUTED_VALUE"""),203.0)</f>
        <v>203</v>
      </c>
      <c r="S526" s="258">
        <v>240.0</v>
      </c>
      <c r="T526" s="263">
        <v>0.8458333333333333</v>
      </c>
      <c r="U526" s="264">
        <v>39500.0</v>
      </c>
      <c r="V526" s="265">
        <v>63569.0</v>
      </c>
      <c r="W526" s="264">
        <v>39500.0</v>
      </c>
      <c r="X526" s="266" t="str">
        <f>IFERROR(__xludf.DUMMYFUNCTION("""COMPUTED_VALUE"""),"Sébastien")</f>
        <v>Sébastien</v>
      </c>
      <c r="Y526" s="267">
        <v>-0.01</v>
      </c>
      <c r="Z526" s="267">
        <v>0.9556532060096912</v>
      </c>
      <c r="AA526" s="269"/>
      <c r="AB526" s="270"/>
      <c r="AC526" s="270"/>
      <c r="AD526" s="270"/>
      <c r="AE526" s="270"/>
    </row>
    <row r="527">
      <c r="A527" s="256">
        <f>IFERROR(__xludf.DUMMYFUNCTION("""COMPUTED_VALUE"""),43675.52585538194)</f>
        <v>43675.52586</v>
      </c>
      <c r="B527" s="257" t="str">
        <f>IFERROR(__xludf.DUMMYFUNCTION("""COMPUTED_VALUE"""),"goetzingert")</f>
        <v>goetzingert</v>
      </c>
      <c r="C527" s="258" t="str">
        <f>IFERROR(__xludf.DUMMYFUNCTION("""COMPUTED_VALUE"""),"Europe (excluding UK) &amp; Asia Pacific")</f>
        <v>Europe (excluding UK) &amp; Asia Pacific</v>
      </c>
      <c r="D527" s="258" t="str">
        <f>IFERROR(__xludf.DUMMYFUNCTION("""COMPUTED_VALUE"""),"km. My car displays range in kilometres and I will enter all range numbers in kilometres.")</f>
        <v>km. My car displays range in kilometres and I will enter all range numbers in kilometres.</v>
      </c>
      <c r="E527" s="259">
        <f>IFERROR(__xludf.DUMMYFUNCTION("""COMPUTED_VALUE"""),43115.0)</f>
        <v>43115</v>
      </c>
      <c r="F527" s="258" t="str">
        <f>IFERROR(__xludf.DUMMYFUNCTION("""COMPUTED_VALUE"""),"Model S 75D")</f>
        <v>Model S 75D</v>
      </c>
      <c r="G527" s="258" t="str">
        <f>IFERROR(__xludf.DUMMYFUNCTION("""COMPUTED_VALUE"""),"A few times a year")</f>
        <v>A few times a year</v>
      </c>
      <c r="H527" s="258" t="str">
        <f>IFERROR(__xludf.DUMMYFUNCTION("""COMPUTED_VALUE"""),"A few times a year")</f>
        <v>A few times a year</v>
      </c>
      <c r="I527" s="258" t="str">
        <f>IFERROR(__xludf.DUMMYFUNCTION("""COMPUTED_VALUE"""),"A few times a year")</f>
        <v>A few times a year</v>
      </c>
      <c r="J527" s="260">
        <f>IFERROR(__xludf.DUMMYFUNCTION("""COMPUTED_VALUE"""),0.9)</f>
        <v>0.9</v>
      </c>
      <c r="K527" s="258">
        <f>IFERROR(__xludf.DUMMYFUNCTION("""COMPUTED_VALUE"""),390.0)</f>
        <v>390</v>
      </c>
      <c r="L527" s="258" t="str">
        <f>IFERROR(__xludf.DUMMYFUNCTION("""COMPUTED_VALUE"""),"")</f>
        <v/>
      </c>
      <c r="M527" s="261">
        <f>IFERROR(__xludf.DUMMYFUNCTION("""COMPUTED_VALUE"""),193.0)</f>
        <v>193</v>
      </c>
      <c r="N527" s="262" t="str">
        <f>IFERROR(__xludf.DUMMYFUNCTION("""COMPUTED_VALUE"""),"")</f>
        <v/>
      </c>
      <c r="O527" s="259" t="str">
        <f>IFERROR(__xludf.DUMMYFUNCTION("""COMPUTED_VALUE"""),"")</f>
        <v/>
      </c>
      <c r="P527" s="259">
        <f>IFERROR(__xludf.DUMMYFUNCTION("""COMPUTED_VALUE"""),43675.0)</f>
        <v>43675</v>
      </c>
      <c r="Q527" s="258">
        <f>IFERROR(__xludf.DUMMYFUNCTION("""COMPUTED_VALUE"""),45000.0)</f>
        <v>45000</v>
      </c>
      <c r="R527" s="261">
        <f>IFERROR(__xludf.DUMMYFUNCTION("""COMPUTED_VALUE"""),373.0)</f>
        <v>373</v>
      </c>
      <c r="S527" s="258">
        <v>384.0</v>
      </c>
      <c r="T527" s="263">
        <v>0.9713541666666666</v>
      </c>
      <c r="U527" s="264">
        <v>27962.0</v>
      </c>
      <c r="V527" s="265">
        <v>45000.0</v>
      </c>
      <c r="W527" s="264">
        <v>27962.0</v>
      </c>
      <c r="X527" s="266" t="str">
        <f>IFERROR(__xludf.DUMMYFUNCTION("""COMPUTED_VALUE"""),"T-Drive")</f>
        <v>T-Drive</v>
      </c>
      <c r="Y527" s="267">
        <v>-0.01</v>
      </c>
      <c r="Z527" s="267">
        <v>0.961404798047548</v>
      </c>
      <c r="AA527" s="269"/>
      <c r="AB527" s="270"/>
      <c r="AC527" s="270"/>
      <c r="AD527" s="270"/>
      <c r="AE527" s="270"/>
    </row>
    <row r="528">
      <c r="A528" s="256">
        <f>IFERROR(__xludf.DUMMYFUNCTION("""COMPUTED_VALUE"""),43873.18536074074)</f>
        <v>43873.18536</v>
      </c>
      <c r="B528" s="257" t="str">
        <f>IFERROR(__xludf.DUMMYFUNCTION("""COMPUTED_VALUE"""),"golfleep")</f>
        <v>golfleep</v>
      </c>
      <c r="C528" s="258" t="str">
        <f>IFERROR(__xludf.DUMMYFUNCTION("""COMPUTED_VALUE"""),"USA")</f>
        <v>USA</v>
      </c>
      <c r="D528" s="258" t="str">
        <f>IFERROR(__xludf.DUMMYFUNCTION("""COMPUTED_VALUE"""),"mi. My car displays range in miles and I will enter all range numbers in miles.")</f>
        <v>mi. My car displays range in miles and I will enter all range numbers in miles.</v>
      </c>
      <c r="E528" s="259">
        <f>IFERROR(__xludf.DUMMYFUNCTION("""COMPUTED_VALUE"""),43709.0)</f>
        <v>43709</v>
      </c>
      <c r="F528" s="258" t="str">
        <f>IFERROR(__xludf.DUMMYFUNCTION("""COMPUTED_VALUE"""),"Model 3 LR AWD")</f>
        <v>Model 3 LR AWD</v>
      </c>
      <c r="G528" s="258" t="str">
        <f>IFERROR(__xludf.DUMMYFUNCTION("""COMPUTED_VALUE"""),"A few times a year")</f>
        <v>A few times a year</v>
      </c>
      <c r="H528" s="258" t="str">
        <f>IFERROR(__xludf.DUMMYFUNCTION("""COMPUTED_VALUE"""),"Never")</f>
        <v>Never</v>
      </c>
      <c r="I528" s="258" t="str">
        <f>IFERROR(__xludf.DUMMYFUNCTION("""COMPUTED_VALUE"""),"Never")</f>
        <v>Never</v>
      </c>
      <c r="J528" s="260">
        <f>IFERROR(__xludf.DUMMYFUNCTION("""COMPUTED_VALUE"""),0.8)</f>
        <v>0.8</v>
      </c>
      <c r="K528" s="258">
        <f>IFERROR(__xludf.DUMMYFUNCTION("""COMPUTED_VALUE"""),310.0)</f>
        <v>310</v>
      </c>
      <c r="L528" s="258" t="str">
        <f>IFERROR(__xludf.DUMMYFUNCTION("""COMPUTED_VALUE"""),"")</f>
        <v/>
      </c>
      <c r="M528" s="261">
        <f>IFERROR(__xludf.DUMMYFUNCTION("""COMPUTED_VALUE"""),260.0)</f>
        <v>260</v>
      </c>
      <c r="N528" s="262" t="str">
        <f>IFERROR(__xludf.DUMMYFUNCTION("""COMPUTED_VALUE"""),"")</f>
        <v/>
      </c>
      <c r="O528" s="259" t="str">
        <f>IFERROR(__xludf.DUMMYFUNCTION("""COMPUTED_VALUE"""),"")</f>
        <v/>
      </c>
      <c r="P528" s="259">
        <f>IFERROR(__xludf.DUMMYFUNCTION("""COMPUTED_VALUE"""),43484.0)</f>
        <v>43484</v>
      </c>
      <c r="Q528" s="258">
        <f>IFERROR(__xludf.DUMMYFUNCTION("""COMPUTED_VALUE"""),4462.0)</f>
        <v>4462</v>
      </c>
      <c r="R528" s="261">
        <f>IFERROR(__xludf.DUMMYFUNCTION("""COMPUTED_VALUE"""),298.0)</f>
        <v>298</v>
      </c>
      <c r="S528" s="258">
        <v>310.0</v>
      </c>
      <c r="T528" s="263">
        <v>0.9612903225806452</v>
      </c>
      <c r="U528" s="264">
        <v>4462.0</v>
      </c>
      <c r="V528" s="265">
        <v>7181.0</v>
      </c>
      <c r="W528" s="264">
        <v>4462.0</v>
      </c>
      <c r="X528" s="266" t="str">
        <f>IFERROR(__xludf.DUMMYFUNCTION("""COMPUTED_VALUE"""),"T. Johnson")</f>
        <v>T. Johnson</v>
      </c>
      <c r="Y528" s="267">
        <v>-0.01</v>
      </c>
      <c r="Z528" s="267">
        <v>0.9879541208837851</v>
      </c>
      <c r="AA528" s="269"/>
      <c r="AB528" s="270"/>
      <c r="AC528" s="270"/>
      <c r="AD528" s="270"/>
      <c r="AE528" s="270"/>
    </row>
    <row r="529">
      <c r="A529" s="256">
        <f>IFERROR(__xludf.DUMMYFUNCTION("""COMPUTED_VALUE"""),43186.72361111111)</f>
        <v>43186.72361</v>
      </c>
      <c r="B529" s="257" t="str">
        <f>IFERROR(__xludf.DUMMYFUNCTION("""COMPUTED_VALUE"""),"gollum123")</f>
        <v>gollum123</v>
      </c>
      <c r="C529" s="258" t="str">
        <f>IFERROR(__xludf.DUMMYFUNCTION("""COMPUTED_VALUE"""),"Europe (excluding UK) &amp; Asia Pacific")</f>
        <v>Europe (excluding UK) &amp; Asia Pacific</v>
      </c>
      <c r="D529" s="258" t="str">
        <f>IFERROR(__xludf.DUMMYFUNCTION("""COMPUTED_VALUE"""),"km. My car displays range in kilometres and I will enter all range numbers in kilometres.")</f>
        <v>km. My car displays range in kilometres and I will enter all range numbers in kilometres.</v>
      </c>
      <c r="E529" s="259">
        <f>IFERROR(__xludf.DUMMYFUNCTION("""COMPUTED_VALUE"""),42460.0)</f>
        <v>42460</v>
      </c>
      <c r="F529" s="258" t="str">
        <f>IFERROR(__xludf.DUMMYFUNCTION("""COMPUTED_VALUE"""),"Model S 90D")</f>
        <v>Model S 90D</v>
      </c>
      <c r="G529" s="258" t="str">
        <f>IFERROR(__xludf.DUMMYFUNCTION("""COMPUTED_VALUE"""),"Monthly")</f>
        <v>Monthly</v>
      </c>
      <c r="H529" s="258" t="str">
        <f>IFERROR(__xludf.DUMMYFUNCTION("""COMPUTED_VALUE"""),"Monthly")</f>
        <v>Monthly</v>
      </c>
      <c r="I529" s="258" t="str">
        <f>IFERROR(__xludf.DUMMYFUNCTION("""COMPUTED_VALUE"""),"A few times a year")</f>
        <v>A few times a year</v>
      </c>
      <c r="J529" s="260">
        <f>IFERROR(__xludf.DUMMYFUNCTION("""COMPUTED_VALUE"""),0.9)</f>
        <v>0.9</v>
      </c>
      <c r="K529" s="258" t="str">
        <f>IFERROR(__xludf.DUMMYFUNCTION("""COMPUTED_VALUE"""),"")</f>
        <v/>
      </c>
      <c r="L529" s="258" t="str">
        <f>IFERROR(__xludf.DUMMYFUNCTION("""COMPUTED_VALUE"""),"")</f>
        <v/>
      </c>
      <c r="M529" s="261">
        <f>IFERROR(__xludf.DUMMYFUNCTION("""COMPUTED_VALUE"""),214.0)</f>
        <v>214</v>
      </c>
      <c r="N529" s="262" t="str">
        <f>IFERROR(__xludf.DUMMYFUNCTION("""COMPUTED_VALUE"""),"")</f>
        <v/>
      </c>
      <c r="O529" s="259" t="str">
        <f>IFERROR(__xludf.DUMMYFUNCTION("""COMPUTED_VALUE"""),"")</f>
        <v/>
      </c>
      <c r="P529" s="259">
        <f>IFERROR(__xludf.DUMMYFUNCTION("""COMPUTED_VALUE"""),43186.0)</f>
        <v>43186</v>
      </c>
      <c r="Q529" s="258">
        <f>IFERROR(__xludf.DUMMYFUNCTION("""COMPUTED_VALUE"""),37740.0)</f>
        <v>37740</v>
      </c>
      <c r="R529" s="261">
        <f>IFERROR(__xludf.DUMMYFUNCTION("""COMPUTED_VALUE"""),432.0)</f>
        <v>432</v>
      </c>
      <c r="S529" s="258">
        <v>447.0</v>
      </c>
      <c r="T529" s="263">
        <v>0.9664429530201343</v>
      </c>
      <c r="U529" s="264">
        <v>23451.0</v>
      </c>
      <c r="V529" s="265">
        <v>37740.0</v>
      </c>
      <c r="W529" s="264">
        <v>23451.0</v>
      </c>
      <c r="X529" s="266" t="str">
        <f>IFERROR(__xludf.DUMMYFUNCTION("""COMPUTED_VALUE"""),"Taurusking")</f>
        <v>Taurusking</v>
      </c>
      <c r="Y529" s="267">
        <v>-0.01</v>
      </c>
      <c r="Z529" s="267">
        <v>0.9642474489947903</v>
      </c>
      <c r="AA529" s="269"/>
      <c r="AB529" s="270"/>
      <c r="AC529" s="270"/>
      <c r="AD529" s="270"/>
      <c r="AE529" s="270"/>
    </row>
    <row r="530">
      <c r="A530" s="256">
        <f>IFERROR(__xludf.DUMMYFUNCTION("""COMPUTED_VALUE"""),42251.194444444445)</f>
        <v>42251.19444</v>
      </c>
      <c r="B530" s="257" t="str">
        <f>IFERROR(__xludf.DUMMYFUNCTION("""COMPUTED_VALUE"""),"GOS")</f>
        <v>GOS</v>
      </c>
      <c r="C530" s="258" t="str">
        <f>IFERROR(__xludf.DUMMYFUNCTION("""COMPUTED_VALUE"""),"Europe (excluding UK) &amp; Asia Pacific")</f>
        <v>Europe (excluding UK) &amp; Asia Pacific</v>
      </c>
      <c r="D530" s="258" t="str">
        <f>IFERROR(__xludf.DUMMYFUNCTION("""COMPUTED_VALUE"""),"km. My car displays range in kilometres and I will enter all range numbers in kilometres.")</f>
        <v>km. My car displays range in kilometres and I will enter all range numbers in kilometres.</v>
      </c>
      <c r="E530" s="259">
        <f>IFERROR(__xludf.DUMMYFUNCTION("""COMPUTED_VALUE"""),41757.0)</f>
        <v>41757</v>
      </c>
      <c r="F530" s="258" t="str">
        <f>IFERROR(__xludf.DUMMYFUNCTION("""COMPUTED_VALUE"""),"Model S 85")</f>
        <v>Model S 85</v>
      </c>
      <c r="G530" s="258" t="str">
        <f>IFERROR(__xludf.DUMMYFUNCTION("""COMPUTED_VALUE"""),"A few times a year")</f>
        <v>A few times a year</v>
      </c>
      <c r="H530" s="258" t="str">
        <f>IFERROR(__xludf.DUMMYFUNCTION("""COMPUTED_VALUE"""),"A few times a year")</f>
        <v>A few times a year</v>
      </c>
      <c r="I530" s="258" t="str">
        <f>IFERROR(__xludf.DUMMYFUNCTION("""COMPUTED_VALUE"""),"Once or twice a year")</f>
        <v>Once or twice a year</v>
      </c>
      <c r="J530" s="260">
        <f>IFERROR(__xludf.DUMMYFUNCTION("""COMPUTED_VALUE"""),0.8)</f>
        <v>0.8</v>
      </c>
      <c r="K530" s="258">
        <f>IFERROR(__xludf.DUMMYFUNCTION("""COMPUTED_VALUE"""),395.0)</f>
        <v>395</v>
      </c>
      <c r="L530" s="258" t="str">
        <f>IFERROR(__xludf.DUMMYFUNCTION("""COMPUTED_VALUE"""),"")</f>
        <v/>
      </c>
      <c r="M530" s="261">
        <f>IFERROR(__xludf.DUMMYFUNCTION("""COMPUTED_VALUE"""),195.0)</f>
        <v>195</v>
      </c>
      <c r="N530" s="262" t="str">
        <f>IFERROR(__xludf.DUMMYFUNCTION("""COMPUTED_VALUE"""),"")</f>
        <v/>
      </c>
      <c r="O530" s="259" t="str">
        <f>IFERROR(__xludf.DUMMYFUNCTION("""COMPUTED_VALUE"""),"")</f>
        <v/>
      </c>
      <c r="P530" s="259">
        <f>IFERROR(__xludf.DUMMYFUNCTION("""COMPUTED_VALUE"""),42251.0)</f>
        <v>42251</v>
      </c>
      <c r="Q530" s="258">
        <f>IFERROR(__xludf.DUMMYFUNCTION("""COMPUTED_VALUE"""),19000.0)</f>
        <v>19000</v>
      </c>
      <c r="R530" s="261">
        <f>IFERROR(__xludf.DUMMYFUNCTION("""COMPUTED_VALUE"""),388.0)</f>
        <v>388</v>
      </c>
      <c r="S530" s="258">
        <v>395.0</v>
      </c>
      <c r="T530" s="263">
        <v>0.9822784810126582</v>
      </c>
      <c r="U530" s="264">
        <v>11806.0</v>
      </c>
      <c r="V530" s="265">
        <v>19000.0</v>
      </c>
      <c r="W530" s="264">
        <v>11806.0</v>
      </c>
      <c r="X530" s="266" t="str">
        <f>IFERROR(__xludf.DUMMYFUNCTION("""COMPUTED_VALUE"""),"Tazmanian")</f>
        <v>Tazmanian</v>
      </c>
      <c r="Y530" s="267">
        <v>-0.01</v>
      </c>
      <c r="Z530" s="267">
        <v>0.9752629467923648</v>
      </c>
      <c r="AA530" s="269"/>
      <c r="AB530" s="270"/>
      <c r="AC530" s="270"/>
      <c r="AD530" s="270"/>
      <c r="AE530" s="270"/>
    </row>
    <row r="531">
      <c r="A531" s="256">
        <f>IFERROR(__xludf.DUMMYFUNCTION("""COMPUTED_VALUE"""),42842.523611111115)</f>
        <v>42842.52361</v>
      </c>
      <c r="B531" s="257" t="str">
        <f>IFERROR(__xludf.DUMMYFUNCTION("""COMPUTED_VALUE"""),"gr8boy")</f>
        <v>gr8boy</v>
      </c>
      <c r="C531" s="258" t="str">
        <f>IFERROR(__xludf.DUMMYFUNCTION("""COMPUTED_VALUE"""),"Europe (excluding UK) &amp; Asia Pacific")</f>
        <v>Europe (excluding UK) &amp; Asia Pacific</v>
      </c>
      <c r="D531" s="258" t="str">
        <f>IFERROR(__xludf.DUMMYFUNCTION("""COMPUTED_VALUE"""),"km. My car displays range in kilometres and I will enter all range numbers in kilometres.")</f>
        <v>km. My car displays range in kilometres and I will enter all range numbers in kilometres.</v>
      </c>
      <c r="E531" s="259">
        <f>IFERROR(__xludf.DUMMYFUNCTION("""COMPUTED_VALUE"""),42323.0)</f>
        <v>42323</v>
      </c>
      <c r="F531" s="258" t="str">
        <f>IFERROR(__xludf.DUMMYFUNCTION("""COMPUTED_VALUE"""),"Model S 90D")</f>
        <v>Model S 90D</v>
      </c>
      <c r="G531" s="258" t="str">
        <f>IFERROR(__xludf.DUMMYFUNCTION("""COMPUTED_VALUE"""),"Twice a month")</f>
        <v>Twice a month</v>
      </c>
      <c r="H531" s="258" t="str">
        <f>IFERROR(__xludf.DUMMYFUNCTION("""COMPUTED_VALUE"""),"Monthly")</f>
        <v>Monthly</v>
      </c>
      <c r="I531" s="258" t="str">
        <f>IFERROR(__xludf.DUMMYFUNCTION("""COMPUTED_VALUE"""),"Monthly")</f>
        <v>Monthly</v>
      </c>
      <c r="J531" s="260">
        <f>IFERROR(__xludf.DUMMYFUNCTION("""COMPUTED_VALUE"""),0.8)</f>
        <v>0.8</v>
      </c>
      <c r="K531" s="258">
        <f>IFERROR(__xludf.DUMMYFUNCTION("""COMPUTED_VALUE"""),446.0)</f>
        <v>446</v>
      </c>
      <c r="L531" s="258" t="str">
        <f>IFERROR(__xludf.DUMMYFUNCTION("""COMPUTED_VALUE"""),"")</f>
        <v/>
      </c>
      <c r="M531" s="261">
        <f>IFERROR(__xludf.DUMMYFUNCTION("""COMPUTED_VALUE"""),218.0)</f>
        <v>218</v>
      </c>
      <c r="N531" s="262" t="str">
        <f>IFERROR(__xludf.DUMMYFUNCTION("""COMPUTED_VALUE"""),"")</f>
        <v/>
      </c>
      <c r="O531" s="259" t="str">
        <f>IFERROR(__xludf.DUMMYFUNCTION("""COMPUTED_VALUE"""),"")</f>
        <v/>
      </c>
      <c r="P531" s="259">
        <f>IFERROR(__xludf.DUMMYFUNCTION("""COMPUTED_VALUE"""),42842.0)</f>
        <v>42842</v>
      </c>
      <c r="Q531" s="258">
        <f>IFERROR(__xludf.DUMMYFUNCTION("""COMPUTED_VALUE"""),51342.0)</f>
        <v>51342</v>
      </c>
      <c r="R531" s="261">
        <f>IFERROR(__xludf.DUMMYFUNCTION("""COMPUTED_VALUE"""),431.0)</f>
        <v>431</v>
      </c>
      <c r="S531" s="258">
        <v>447.0</v>
      </c>
      <c r="T531" s="263">
        <v>0.9642058165548099</v>
      </c>
      <c r="U531" s="264">
        <v>31902.0</v>
      </c>
      <c r="V531" s="265">
        <v>51342.0</v>
      </c>
      <c r="W531" s="264">
        <v>31902.0</v>
      </c>
      <c r="X531" s="266" t="str">
        <f>IFERROR(__xludf.DUMMYFUNCTION("""COMPUTED_VALUE"""),"tdriver")</f>
        <v>tdriver</v>
      </c>
      <c r="Y531" s="267">
        <v>-0.01</v>
      </c>
      <c r="Z531" s="267">
        <v>0.9592560653035718</v>
      </c>
      <c r="AA531" s="269"/>
      <c r="AB531" s="270"/>
      <c r="AC531" s="270"/>
      <c r="AD531" s="270"/>
      <c r="AE531" s="270"/>
    </row>
    <row r="532">
      <c r="A532" s="256">
        <f>IFERROR(__xludf.DUMMYFUNCTION("""COMPUTED_VALUE"""),42167.43680555555)</f>
        <v>42167.43681</v>
      </c>
      <c r="B532" s="257" t="str">
        <f>IFERROR(__xludf.DUMMYFUNCTION("""COMPUTED_VALUE"""),"Greenstorm")</f>
        <v>Greenstorm</v>
      </c>
      <c r="C532" s="258" t="str">
        <f>IFERROR(__xludf.DUMMYFUNCTION("""COMPUTED_VALUE"""),"Europe (excluding UK) &amp; Asia Pacific")</f>
        <v>Europe (excluding UK) &amp; Asia Pacific</v>
      </c>
      <c r="D532" s="258" t="str">
        <f>IFERROR(__xludf.DUMMYFUNCTION("""COMPUTED_VALUE"""),"km. My car displays range in kilometres and I will enter all range numbers in kilometres.")</f>
        <v>km. My car displays range in kilometres and I will enter all range numbers in kilometres.</v>
      </c>
      <c r="E532" s="259">
        <f>IFERROR(__xludf.DUMMYFUNCTION("""COMPUTED_VALUE"""),42165.0)</f>
        <v>42165</v>
      </c>
      <c r="F532" s="258" t="str">
        <f>IFERROR(__xludf.DUMMYFUNCTION("""COMPUTED_VALUE"""),"Model S 85D")</f>
        <v>Model S 85D</v>
      </c>
      <c r="G532" s="258" t="str">
        <f>IFERROR(__xludf.DUMMYFUNCTION("""COMPUTED_VALUE"""),"Twice a month")</f>
        <v>Twice a month</v>
      </c>
      <c r="H532" s="258" t="str">
        <f>IFERROR(__xludf.DUMMYFUNCTION("""COMPUTED_VALUE"""),"Monthly")</f>
        <v>Monthly</v>
      </c>
      <c r="I532" s="258" t="str">
        <f>IFERROR(__xludf.DUMMYFUNCTION("""COMPUTED_VALUE"""),"Once or twice a year")</f>
        <v>Once or twice a year</v>
      </c>
      <c r="J532" s="260">
        <f>IFERROR(__xludf.DUMMYFUNCTION("""COMPUTED_VALUE"""),0.9)</f>
        <v>0.9</v>
      </c>
      <c r="K532" s="258" t="str">
        <f>IFERROR(__xludf.DUMMYFUNCTION("""COMPUTED_VALUE"""),"")</f>
        <v/>
      </c>
      <c r="L532" s="258" t="str">
        <f>IFERROR(__xludf.DUMMYFUNCTION("""COMPUTED_VALUE"""),"")</f>
        <v/>
      </c>
      <c r="M532" s="261">
        <f>IFERROR(__xludf.DUMMYFUNCTION("""COMPUTED_VALUE"""),205.0)</f>
        <v>205</v>
      </c>
      <c r="N532" s="262" t="str">
        <f>IFERROR(__xludf.DUMMYFUNCTION("""COMPUTED_VALUE"""),"")</f>
        <v/>
      </c>
      <c r="O532" s="259" t="str">
        <f>IFERROR(__xludf.DUMMYFUNCTION("""COMPUTED_VALUE"""),"")</f>
        <v/>
      </c>
      <c r="P532" s="259">
        <f>IFERROR(__xludf.DUMMYFUNCTION("""COMPUTED_VALUE"""),42167.0)</f>
        <v>42167</v>
      </c>
      <c r="Q532" s="258">
        <f>IFERROR(__xludf.DUMMYFUNCTION("""COMPUTED_VALUE"""),744.0)</f>
        <v>744</v>
      </c>
      <c r="R532" s="261">
        <f>IFERROR(__xludf.DUMMYFUNCTION("""COMPUTED_VALUE"""),406.0)</f>
        <v>406</v>
      </c>
      <c r="S532" s="258">
        <v>425.0</v>
      </c>
      <c r="T532" s="263">
        <v>0.9552941176470588</v>
      </c>
      <c r="U532" s="264">
        <v>462.0</v>
      </c>
      <c r="V532" s="265">
        <v>744.0</v>
      </c>
      <c r="W532" s="264">
        <v>462.0</v>
      </c>
      <c r="X532" s="266" t="str">
        <f>IFERROR(__xludf.DUMMYFUNCTION("""COMPUTED_VALUE"""),"techmaven")</f>
        <v>techmaven</v>
      </c>
      <c r="Y532" s="267">
        <v>-0.01</v>
      </c>
      <c r="Z532" s="267">
        <v>0.998539741731354</v>
      </c>
      <c r="AA532" s="269"/>
      <c r="AB532" s="270"/>
      <c r="AC532" s="270"/>
      <c r="AD532" s="270"/>
      <c r="AE532" s="270"/>
    </row>
    <row r="533">
      <c r="A533" s="256">
        <f>IFERROR(__xludf.DUMMYFUNCTION("""COMPUTED_VALUE"""),42180.4375)</f>
        <v>42180.4375</v>
      </c>
      <c r="B533" s="257" t="str">
        <f>IFERROR(__xludf.DUMMYFUNCTION("""COMPUTED_VALUE"""),"Greenstorm")</f>
        <v>Greenstorm</v>
      </c>
      <c r="C533" s="258" t="str">
        <f>IFERROR(__xludf.DUMMYFUNCTION("""COMPUTED_VALUE"""),"Europe (excluding UK) &amp; Asia Pacific")</f>
        <v>Europe (excluding UK) &amp; Asia Pacific</v>
      </c>
      <c r="D533" s="258" t="str">
        <f>IFERROR(__xludf.DUMMYFUNCTION("""COMPUTED_VALUE"""),"km. My car displays range in kilometres and I will enter all range numbers in kilometres.")</f>
        <v>km. My car displays range in kilometres and I will enter all range numbers in kilometres.</v>
      </c>
      <c r="E533" s="259">
        <f>IFERROR(__xludf.DUMMYFUNCTION("""COMPUTED_VALUE"""),42165.0)</f>
        <v>42165</v>
      </c>
      <c r="F533" s="258" t="str">
        <f>IFERROR(__xludf.DUMMYFUNCTION("""COMPUTED_VALUE"""),"Model S 85D")</f>
        <v>Model S 85D</v>
      </c>
      <c r="G533" s="258" t="str">
        <f>IFERROR(__xludf.DUMMYFUNCTION("""COMPUTED_VALUE"""),"Twice a month")</f>
        <v>Twice a month</v>
      </c>
      <c r="H533" s="258" t="str">
        <f>IFERROR(__xludf.DUMMYFUNCTION("""COMPUTED_VALUE"""),"Monthly")</f>
        <v>Monthly</v>
      </c>
      <c r="I533" s="258" t="str">
        <f>IFERROR(__xludf.DUMMYFUNCTION("""COMPUTED_VALUE"""),"Once or twice a year")</f>
        <v>Once or twice a year</v>
      </c>
      <c r="J533" s="260">
        <f>IFERROR(__xludf.DUMMYFUNCTION("""COMPUTED_VALUE"""),0.9)</f>
        <v>0.9</v>
      </c>
      <c r="K533" s="258" t="str">
        <f>IFERROR(__xludf.DUMMYFUNCTION("""COMPUTED_VALUE"""),"")</f>
        <v/>
      </c>
      <c r="L533" s="258" t="str">
        <f>IFERROR(__xludf.DUMMYFUNCTION("""COMPUTED_VALUE"""),"")</f>
        <v/>
      </c>
      <c r="M533" s="261">
        <f>IFERROR(__xludf.DUMMYFUNCTION("""COMPUTED_VALUE"""),205.0)</f>
        <v>205</v>
      </c>
      <c r="N533" s="262" t="str">
        <f>IFERROR(__xludf.DUMMYFUNCTION("""COMPUTED_VALUE"""),"")</f>
        <v/>
      </c>
      <c r="O533" s="259" t="str">
        <f>IFERROR(__xludf.DUMMYFUNCTION("""COMPUTED_VALUE"""),"")</f>
        <v/>
      </c>
      <c r="P533" s="259">
        <f>IFERROR(__xludf.DUMMYFUNCTION("""COMPUTED_VALUE"""),42180.0)</f>
        <v>42180</v>
      </c>
      <c r="Q533" s="258">
        <f>IFERROR(__xludf.DUMMYFUNCTION("""COMPUTED_VALUE"""),2908.0)</f>
        <v>2908</v>
      </c>
      <c r="R533" s="261">
        <f>IFERROR(__xludf.DUMMYFUNCTION("""COMPUTED_VALUE"""),406.0)</f>
        <v>406</v>
      </c>
      <c r="S533" s="258">
        <v>425.0</v>
      </c>
      <c r="T533" s="263">
        <v>0.9552941176470588</v>
      </c>
      <c r="U533" s="264">
        <v>1807.0</v>
      </c>
      <c r="V533" s="265">
        <v>2908.0</v>
      </c>
      <c r="W533" s="264">
        <v>1807.0</v>
      </c>
      <c r="X533" s="266" t="str">
        <f>IFERROR(__xludf.DUMMYFUNCTION("""COMPUTED_VALUE"""),"tehjimos")</f>
        <v>tehjimos</v>
      </c>
      <c r="Y533" s="267">
        <v>-0.01</v>
      </c>
      <c r="Z533" s="267">
        <v>0.9945942577108671</v>
      </c>
      <c r="AA533" s="269"/>
      <c r="AB533" s="270"/>
      <c r="AC533" s="270"/>
      <c r="AD533" s="270"/>
      <c r="AE533" s="270"/>
    </row>
    <row r="534">
      <c r="A534" s="256">
        <f>IFERROR(__xludf.DUMMYFUNCTION("""COMPUTED_VALUE"""),42185.43819444445)</f>
        <v>42185.43819</v>
      </c>
      <c r="B534" s="257" t="str">
        <f>IFERROR(__xludf.DUMMYFUNCTION("""COMPUTED_VALUE"""),"Greenstorm")</f>
        <v>Greenstorm</v>
      </c>
      <c r="C534" s="258" t="str">
        <f>IFERROR(__xludf.DUMMYFUNCTION("""COMPUTED_VALUE"""),"Europe (excluding UK) &amp; Asia Pacific")</f>
        <v>Europe (excluding UK) &amp; Asia Pacific</v>
      </c>
      <c r="D534" s="258" t="str">
        <f>IFERROR(__xludf.DUMMYFUNCTION("""COMPUTED_VALUE"""),"km. My car displays range in kilometres and I will enter all range numbers in kilometres.")</f>
        <v>km. My car displays range in kilometres and I will enter all range numbers in kilometres.</v>
      </c>
      <c r="E534" s="259">
        <f>IFERROR(__xludf.DUMMYFUNCTION("""COMPUTED_VALUE"""),42165.0)</f>
        <v>42165</v>
      </c>
      <c r="F534" s="258" t="str">
        <f>IFERROR(__xludf.DUMMYFUNCTION("""COMPUTED_VALUE"""),"Model S 85D")</f>
        <v>Model S 85D</v>
      </c>
      <c r="G534" s="258" t="str">
        <f>IFERROR(__xludf.DUMMYFUNCTION("""COMPUTED_VALUE"""),"Twice a month")</f>
        <v>Twice a month</v>
      </c>
      <c r="H534" s="258" t="str">
        <f>IFERROR(__xludf.DUMMYFUNCTION("""COMPUTED_VALUE"""),"Monthly")</f>
        <v>Monthly</v>
      </c>
      <c r="I534" s="258" t="str">
        <f>IFERROR(__xludf.DUMMYFUNCTION("""COMPUTED_VALUE"""),"Once or twice a year")</f>
        <v>Once or twice a year</v>
      </c>
      <c r="J534" s="260">
        <f>IFERROR(__xludf.DUMMYFUNCTION("""COMPUTED_VALUE"""),0.9)</f>
        <v>0.9</v>
      </c>
      <c r="K534" s="258" t="str">
        <f>IFERROR(__xludf.DUMMYFUNCTION("""COMPUTED_VALUE"""),"")</f>
        <v/>
      </c>
      <c r="L534" s="258" t="str">
        <f>IFERROR(__xludf.DUMMYFUNCTION("""COMPUTED_VALUE"""),"")</f>
        <v/>
      </c>
      <c r="M534" s="261">
        <f>IFERROR(__xludf.DUMMYFUNCTION("""COMPUTED_VALUE"""),205.0)</f>
        <v>205</v>
      </c>
      <c r="N534" s="262" t="str">
        <f>IFERROR(__xludf.DUMMYFUNCTION("""COMPUTED_VALUE"""),"")</f>
        <v/>
      </c>
      <c r="O534" s="259" t="str">
        <f>IFERROR(__xludf.DUMMYFUNCTION("""COMPUTED_VALUE"""),"")</f>
        <v/>
      </c>
      <c r="P534" s="259">
        <f>IFERROR(__xludf.DUMMYFUNCTION("""COMPUTED_VALUE"""),42185.0)</f>
        <v>42185</v>
      </c>
      <c r="Q534" s="258">
        <f>IFERROR(__xludf.DUMMYFUNCTION("""COMPUTED_VALUE"""),4021.0)</f>
        <v>4021</v>
      </c>
      <c r="R534" s="261">
        <f>IFERROR(__xludf.DUMMYFUNCTION("""COMPUTED_VALUE"""),407.0)</f>
        <v>407</v>
      </c>
      <c r="S534" s="258">
        <v>425.0</v>
      </c>
      <c r="T534" s="263">
        <v>0.9576470588235294</v>
      </c>
      <c r="U534" s="264">
        <v>2499.0</v>
      </c>
      <c r="V534" s="265">
        <v>4021.0</v>
      </c>
      <c r="W534" s="264">
        <v>2499.0</v>
      </c>
      <c r="X534" s="266" t="str">
        <f>IFERROR(__xludf.DUMMYFUNCTION("""COMPUTED_VALUE"""),"terrymisu")</f>
        <v>terrymisu</v>
      </c>
      <c r="Y534" s="267">
        <v>-0.01</v>
      </c>
      <c r="Z534" s="267">
        <v>0.9927268396149458</v>
      </c>
      <c r="AA534" s="269"/>
      <c r="AB534" s="270"/>
      <c r="AC534" s="270"/>
      <c r="AD534" s="270"/>
      <c r="AE534" s="270"/>
    </row>
    <row r="535">
      <c r="A535" s="256">
        <f>IFERROR(__xludf.DUMMYFUNCTION("""COMPUTED_VALUE"""),42194.43888888889)</f>
        <v>42194.43889</v>
      </c>
      <c r="B535" s="257" t="str">
        <f>IFERROR(__xludf.DUMMYFUNCTION("""COMPUTED_VALUE"""),"Greenstorm")</f>
        <v>Greenstorm</v>
      </c>
      <c r="C535" s="258" t="str">
        <f>IFERROR(__xludf.DUMMYFUNCTION("""COMPUTED_VALUE"""),"Europe (excluding UK) &amp; Asia Pacific")</f>
        <v>Europe (excluding UK) &amp; Asia Pacific</v>
      </c>
      <c r="D535" s="258" t="str">
        <f>IFERROR(__xludf.DUMMYFUNCTION("""COMPUTED_VALUE"""),"km. My car displays range in kilometres and I will enter all range numbers in kilometres.")</f>
        <v>km. My car displays range in kilometres and I will enter all range numbers in kilometres.</v>
      </c>
      <c r="E535" s="259">
        <f>IFERROR(__xludf.DUMMYFUNCTION("""COMPUTED_VALUE"""),42165.0)</f>
        <v>42165</v>
      </c>
      <c r="F535" s="258" t="str">
        <f>IFERROR(__xludf.DUMMYFUNCTION("""COMPUTED_VALUE"""),"Model S 85D")</f>
        <v>Model S 85D</v>
      </c>
      <c r="G535" s="258" t="str">
        <f>IFERROR(__xludf.DUMMYFUNCTION("""COMPUTED_VALUE"""),"Twice a month")</f>
        <v>Twice a month</v>
      </c>
      <c r="H535" s="258" t="str">
        <f>IFERROR(__xludf.DUMMYFUNCTION("""COMPUTED_VALUE"""),"Monthly")</f>
        <v>Monthly</v>
      </c>
      <c r="I535" s="258" t="str">
        <f>IFERROR(__xludf.DUMMYFUNCTION("""COMPUTED_VALUE"""),"Once or twice a year")</f>
        <v>Once or twice a year</v>
      </c>
      <c r="J535" s="260">
        <f>IFERROR(__xludf.DUMMYFUNCTION("""COMPUTED_VALUE"""),0.9)</f>
        <v>0.9</v>
      </c>
      <c r="K535" s="258" t="str">
        <f>IFERROR(__xludf.DUMMYFUNCTION("""COMPUTED_VALUE"""),"")</f>
        <v/>
      </c>
      <c r="L535" s="258" t="str">
        <f>IFERROR(__xludf.DUMMYFUNCTION("""COMPUTED_VALUE"""),"")</f>
        <v/>
      </c>
      <c r="M535" s="261">
        <f>IFERROR(__xludf.DUMMYFUNCTION("""COMPUTED_VALUE"""),205.0)</f>
        <v>205</v>
      </c>
      <c r="N535" s="262" t="str">
        <f>IFERROR(__xludf.DUMMYFUNCTION("""COMPUTED_VALUE"""),"")</f>
        <v/>
      </c>
      <c r="O535" s="259" t="str">
        <f>IFERROR(__xludf.DUMMYFUNCTION("""COMPUTED_VALUE"""),"")</f>
        <v/>
      </c>
      <c r="P535" s="259">
        <f>IFERROR(__xludf.DUMMYFUNCTION("""COMPUTED_VALUE"""),42194.0)</f>
        <v>42194</v>
      </c>
      <c r="Q535" s="258">
        <f>IFERROR(__xludf.DUMMYFUNCTION("""COMPUTED_VALUE"""),5488.0)</f>
        <v>5488</v>
      </c>
      <c r="R535" s="261">
        <f>IFERROR(__xludf.DUMMYFUNCTION("""COMPUTED_VALUE"""),405.0)</f>
        <v>405</v>
      </c>
      <c r="S535" s="258">
        <v>425.0</v>
      </c>
      <c r="T535" s="263">
        <v>0.9529411764705882</v>
      </c>
      <c r="U535" s="264">
        <v>3410.0</v>
      </c>
      <c r="V535" s="265">
        <v>5488.0</v>
      </c>
      <c r="W535" s="264">
        <v>3410.0</v>
      </c>
      <c r="X535" s="266" t="str">
        <f>IFERROR(__xludf.DUMMYFUNCTION("""COMPUTED_VALUE"""),"tes")</f>
        <v>tes</v>
      </c>
      <c r="Y535" s="267">
        <v>-0.01</v>
      </c>
      <c r="Z535" s="267">
        <v>0.9904186196794957</v>
      </c>
      <c r="AA535" s="269"/>
      <c r="AB535" s="270"/>
      <c r="AC535" s="270"/>
      <c r="AD535" s="270"/>
      <c r="AE535" s="270"/>
    </row>
    <row r="536">
      <c r="A536" s="256">
        <f>IFERROR(__xludf.DUMMYFUNCTION("""COMPUTED_VALUE"""),42199.43958333333)</f>
        <v>42199.43958</v>
      </c>
      <c r="B536" s="257" t="str">
        <f>IFERROR(__xludf.DUMMYFUNCTION("""COMPUTED_VALUE"""),"Greenstorm")</f>
        <v>Greenstorm</v>
      </c>
      <c r="C536" s="258" t="str">
        <f>IFERROR(__xludf.DUMMYFUNCTION("""COMPUTED_VALUE"""),"Europe (excluding UK) &amp; Asia Pacific")</f>
        <v>Europe (excluding UK) &amp; Asia Pacific</v>
      </c>
      <c r="D536" s="258" t="str">
        <f>IFERROR(__xludf.DUMMYFUNCTION("""COMPUTED_VALUE"""),"km. My car displays range in kilometres and I will enter all range numbers in kilometres.")</f>
        <v>km. My car displays range in kilometres and I will enter all range numbers in kilometres.</v>
      </c>
      <c r="E536" s="259">
        <f>IFERROR(__xludf.DUMMYFUNCTION("""COMPUTED_VALUE"""),42165.0)</f>
        <v>42165</v>
      </c>
      <c r="F536" s="258" t="str">
        <f>IFERROR(__xludf.DUMMYFUNCTION("""COMPUTED_VALUE"""),"Model S 85D")</f>
        <v>Model S 85D</v>
      </c>
      <c r="G536" s="258" t="str">
        <f>IFERROR(__xludf.DUMMYFUNCTION("""COMPUTED_VALUE"""),"Twice a month")</f>
        <v>Twice a month</v>
      </c>
      <c r="H536" s="258" t="str">
        <f>IFERROR(__xludf.DUMMYFUNCTION("""COMPUTED_VALUE"""),"Monthly")</f>
        <v>Monthly</v>
      </c>
      <c r="I536" s="258" t="str">
        <f>IFERROR(__xludf.DUMMYFUNCTION("""COMPUTED_VALUE"""),"Once or twice a year")</f>
        <v>Once or twice a year</v>
      </c>
      <c r="J536" s="260">
        <f>IFERROR(__xludf.DUMMYFUNCTION("""COMPUTED_VALUE"""),0.9)</f>
        <v>0.9</v>
      </c>
      <c r="K536" s="258" t="str">
        <f>IFERROR(__xludf.DUMMYFUNCTION("""COMPUTED_VALUE"""),"")</f>
        <v/>
      </c>
      <c r="L536" s="258" t="str">
        <f>IFERROR(__xludf.DUMMYFUNCTION("""COMPUTED_VALUE"""),"")</f>
        <v/>
      </c>
      <c r="M536" s="261">
        <f>IFERROR(__xludf.DUMMYFUNCTION("""COMPUTED_VALUE"""),205.0)</f>
        <v>205</v>
      </c>
      <c r="N536" s="262" t="str">
        <f>IFERROR(__xludf.DUMMYFUNCTION("""COMPUTED_VALUE"""),"")</f>
        <v/>
      </c>
      <c r="O536" s="259" t="str">
        <f>IFERROR(__xludf.DUMMYFUNCTION("""COMPUTED_VALUE"""),"")</f>
        <v/>
      </c>
      <c r="P536" s="259">
        <f>IFERROR(__xludf.DUMMYFUNCTION("""COMPUTED_VALUE"""),42199.0)</f>
        <v>42199</v>
      </c>
      <c r="Q536" s="258">
        <f>IFERROR(__xludf.DUMMYFUNCTION("""COMPUTED_VALUE"""),6204.0)</f>
        <v>6204</v>
      </c>
      <c r="R536" s="261">
        <f>IFERROR(__xludf.DUMMYFUNCTION("""COMPUTED_VALUE"""),404.0)</f>
        <v>404</v>
      </c>
      <c r="S536" s="258">
        <v>425.0</v>
      </c>
      <c r="T536" s="263">
        <v>0.9505882352941176</v>
      </c>
      <c r="U536" s="264">
        <v>3855.0</v>
      </c>
      <c r="V536" s="265">
        <v>6204.0</v>
      </c>
      <c r="W536" s="264">
        <v>3855.0</v>
      </c>
      <c r="X536" s="266" t="str">
        <f>IFERROR(__xludf.DUMMYFUNCTION("""COMPUTED_VALUE"""),"tes-s")</f>
        <v>tes-s</v>
      </c>
      <c r="Y536" s="267">
        <v>-0.01</v>
      </c>
      <c r="Z536" s="267">
        <v>0.9893513692310953</v>
      </c>
      <c r="AA536" s="269"/>
      <c r="AB536" s="270"/>
      <c r="AC536" s="270"/>
      <c r="AD536" s="270"/>
      <c r="AE536" s="270"/>
    </row>
    <row r="537">
      <c r="A537" s="256">
        <f>IFERROR(__xludf.DUMMYFUNCTION("""COMPUTED_VALUE"""),42225.44027777778)</f>
        <v>42225.44028</v>
      </c>
      <c r="B537" s="257" t="str">
        <f>IFERROR(__xludf.DUMMYFUNCTION("""COMPUTED_VALUE"""),"Greenstorm")</f>
        <v>Greenstorm</v>
      </c>
      <c r="C537" s="258" t="str">
        <f>IFERROR(__xludf.DUMMYFUNCTION("""COMPUTED_VALUE"""),"Europe (excluding UK) &amp; Asia Pacific")</f>
        <v>Europe (excluding UK) &amp; Asia Pacific</v>
      </c>
      <c r="D537" s="258" t="str">
        <f>IFERROR(__xludf.DUMMYFUNCTION("""COMPUTED_VALUE"""),"km. My car displays range in kilometres and I will enter all range numbers in kilometres.")</f>
        <v>km. My car displays range in kilometres and I will enter all range numbers in kilometres.</v>
      </c>
      <c r="E537" s="259">
        <f>IFERROR(__xludf.DUMMYFUNCTION("""COMPUTED_VALUE"""),42165.0)</f>
        <v>42165</v>
      </c>
      <c r="F537" s="258" t="str">
        <f>IFERROR(__xludf.DUMMYFUNCTION("""COMPUTED_VALUE"""),"Model S 85D")</f>
        <v>Model S 85D</v>
      </c>
      <c r="G537" s="258" t="str">
        <f>IFERROR(__xludf.DUMMYFUNCTION("""COMPUTED_VALUE"""),"Twice a month")</f>
        <v>Twice a month</v>
      </c>
      <c r="H537" s="258" t="str">
        <f>IFERROR(__xludf.DUMMYFUNCTION("""COMPUTED_VALUE"""),"Monthly")</f>
        <v>Monthly</v>
      </c>
      <c r="I537" s="258" t="str">
        <f>IFERROR(__xludf.DUMMYFUNCTION("""COMPUTED_VALUE"""),"Once or twice a year")</f>
        <v>Once or twice a year</v>
      </c>
      <c r="J537" s="260">
        <f>IFERROR(__xludf.DUMMYFUNCTION("""COMPUTED_VALUE"""),0.9)</f>
        <v>0.9</v>
      </c>
      <c r="K537" s="258" t="str">
        <f>IFERROR(__xludf.DUMMYFUNCTION("""COMPUTED_VALUE"""),"")</f>
        <v/>
      </c>
      <c r="L537" s="258" t="str">
        <f>IFERROR(__xludf.DUMMYFUNCTION("""COMPUTED_VALUE"""),"")</f>
        <v/>
      </c>
      <c r="M537" s="261">
        <f>IFERROR(__xludf.DUMMYFUNCTION("""COMPUTED_VALUE"""),205.0)</f>
        <v>205</v>
      </c>
      <c r="N537" s="262" t="str">
        <f>IFERROR(__xludf.DUMMYFUNCTION("""COMPUTED_VALUE"""),"")</f>
        <v/>
      </c>
      <c r="O537" s="259" t="str">
        <f>IFERROR(__xludf.DUMMYFUNCTION("""COMPUTED_VALUE"""),"")</f>
        <v/>
      </c>
      <c r="P537" s="259">
        <f>IFERROR(__xludf.DUMMYFUNCTION("""COMPUTED_VALUE"""),42225.0)</f>
        <v>42225</v>
      </c>
      <c r="Q537" s="258">
        <f>IFERROR(__xludf.DUMMYFUNCTION("""COMPUTED_VALUE"""),8626.0)</f>
        <v>8626</v>
      </c>
      <c r="R537" s="261">
        <f>IFERROR(__xludf.DUMMYFUNCTION("""COMPUTED_VALUE"""),404.0)</f>
        <v>404</v>
      </c>
      <c r="S537" s="258">
        <v>425.0</v>
      </c>
      <c r="T537" s="263">
        <v>0.9505882352941176</v>
      </c>
      <c r="U537" s="264">
        <v>5360.0</v>
      </c>
      <c r="V537" s="265">
        <v>8626.0</v>
      </c>
      <c r="W537" s="264">
        <v>5360.0</v>
      </c>
      <c r="X537" s="266" t="str">
        <f>IFERROR(__xludf.DUMMYFUNCTION("""COMPUTED_VALUE"""),"Tesla-SF")</f>
        <v>Tesla-SF</v>
      </c>
      <c r="Y537" s="267">
        <v>-0.01</v>
      </c>
      <c r="Z537" s="267">
        <v>0.9860051456933057</v>
      </c>
      <c r="AA537" s="269"/>
      <c r="AB537" s="270"/>
      <c r="AC537" s="270"/>
      <c r="AD537" s="270"/>
      <c r="AE537" s="270"/>
    </row>
    <row r="538">
      <c r="A538" s="256">
        <f>IFERROR(__xludf.DUMMYFUNCTION("""COMPUTED_VALUE"""),42233.44097222222)</f>
        <v>42233.44097</v>
      </c>
      <c r="B538" s="257" t="str">
        <f>IFERROR(__xludf.DUMMYFUNCTION("""COMPUTED_VALUE"""),"Greenstorm")</f>
        <v>Greenstorm</v>
      </c>
      <c r="C538" s="258" t="str">
        <f>IFERROR(__xludf.DUMMYFUNCTION("""COMPUTED_VALUE"""),"Europe (excluding UK) &amp; Asia Pacific")</f>
        <v>Europe (excluding UK) &amp; Asia Pacific</v>
      </c>
      <c r="D538" s="258" t="str">
        <f>IFERROR(__xludf.DUMMYFUNCTION("""COMPUTED_VALUE"""),"km. My car displays range in kilometres and I will enter all range numbers in kilometres.")</f>
        <v>km. My car displays range in kilometres and I will enter all range numbers in kilometres.</v>
      </c>
      <c r="E538" s="259">
        <f>IFERROR(__xludf.DUMMYFUNCTION("""COMPUTED_VALUE"""),42165.0)</f>
        <v>42165</v>
      </c>
      <c r="F538" s="258" t="str">
        <f>IFERROR(__xludf.DUMMYFUNCTION("""COMPUTED_VALUE"""),"Model S 85D")</f>
        <v>Model S 85D</v>
      </c>
      <c r="G538" s="258" t="str">
        <f>IFERROR(__xludf.DUMMYFUNCTION("""COMPUTED_VALUE"""),"Twice a month")</f>
        <v>Twice a month</v>
      </c>
      <c r="H538" s="258" t="str">
        <f>IFERROR(__xludf.DUMMYFUNCTION("""COMPUTED_VALUE"""),"Monthly")</f>
        <v>Monthly</v>
      </c>
      <c r="I538" s="258" t="str">
        <f>IFERROR(__xludf.DUMMYFUNCTION("""COMPUTED_VALUE"""),"Once or twice a year")</f>
        <v>Once or twice a year</v>
      </c>
      <c r="J538" s="260">
        <f>IFERROR(__xludf.DUMMYFUNCTION("""COMPUTED_VALUE"""),0.9)</f>
        <v>0.9</v>
      </c>
      <c r="K538" s="258" t="str">
        <f>IFERROR(__xludf.DUMMYFUNCTION("""COMPUTED_VALUE"""),"")</f>
        <v/>
      </c>
      <c r="L538" s="258" t="str">
        <f>IFERROR(__xludf.DUMMYFUNCTION("""COMPUTED_VALUE"""),"")</f>
        <v/>
      </c>
      <c r="M538" s="261">
        <f>IFERROR(__xludf.DUMMYFUNCTION("""COMPUTED_VALUE"""),205.0)</f>
        <v>205</v>
      </c>
      <c r="N538" s="262" t="str">
        <f>IFERROR(__xludf.DUMMYFUNCTION("""COMPUTED_VALUE"""),"")</f>
        <v/>
      </c>
      <c r="O538" s="259" t="str">
        <f>IFERROR(__xludf.DUMMYFUNCTION("""COMPUTED_VALUE"""),"")</f>
        <v/>
      </c>
      <c r="P538" s="259">
        <f>IFERROR(__xludf.DUMMYFUNCTION("""COMPUTED_VALUE"""),42233.0)</f>
        <v>42233</v>
      </c>
      <c r="Q538" s="258">
        <f>IFERROR(__xludf.DUMMYFUNCTION("""COMPUTED_VALUE"""),10762.0)</f>
        <v>10762</v>
      </c>
      <c r="R538" s="261">
        <f>IFERROR(__xludf.DUMMYFUNCTION("""COMPUTED_VALUE"""),403.0)</f>
        <v>403</v>
      </c>
      <c r="S538" s="258">
        <v>425.0</v>
      </c>
      <c r="T538" s="263">
        <v>0.9482352941176471</v>
      </c>
      <c r="U538" s="264">
        <v>6687.0</v>
      </c>
      <c r="V538" s="265">
        <v>10762.0</v>
      </c>
      <c r="W538" s="264">
        <v>6687.0</v>
      </c>
      <c r="X538" s="266" t="str">
        <f>IFERROR(__xludf.DUMMYFUNCTION("""COMPUTED_VALUE"""),"Tesla8")</f>
        <v>Tesla8</v>
      </c>
      <c r="Y538" s="267">
        <v>-0.01</v>
      </c>
      <c r="Z538" s="267">
        <v>0.983359536945294</v>
      </c>
      <c r="AA538" s="269"/>
      <c r="AB538" s="270"/>
      <c r="AC538" s="270"/>
      <c r="AD538" s="270"/>
      <c r="AE538" s="270"/>
    </row>
    <row r="539">
      <c r="A539" s="256">
        <f>IFERROR(__xludf.DUMMYFUNCTION("""COMPUTED_VALUE"""),42297.441666666666)</f>
        <v>42297.44167</v>
      </c>
      <c r="B539" s="257" t="str">
        <f>IFERROR(__xludf.DUMMYFUNCTION("""COMPUTED_VALUE"""),"Greenstorm")</f>
        <v>Greenstorm</v>
      </c>
      <c r="C539" s="258" t="str">
        <f>IFERROR(__xludf.DUMMYFUNCTION("""COMPUTED_VALUE"""),"Europe (excluding UK) &amp; Asia Pacific")</f>
        <v>Europe (excluding UK) &amp; Asia Pacific</v>
      </c>
      <c r="D539" s="258" t="str">
        <f>IFERROR(__xludf.DUMMYFUNCTION("""COMPUTED_VALUE"""),"km. My car displays range in kilometres and I will enter all range numbers in kilometres.")</f>
        <v>km. My car displays range in kilometres and I will enter all range numbers in kilometres.</v>
      </c>
      <c r="E539" s="259">
        <f>IFERROR(__xludf.DUMMYFUNCTION("""COMPUTED_VALUE"""),42165.0)</f>
        <v>42165</v>
      </c>
      <c r="F539" s="258" t="str">
        <f>IFERROR(__xludf.DUMMYFUNCTION("""COMPUTED_VALUE"""),"Model S 85D")</f>
        <v>Model S 85D</v>
      </c>
      <c r="G539" s="258" t="str">
        <f>IFERROR(__xludf.DUMMYFUNCTION("""COMPUTED_VALUE"""),"Twice a month")</f>
        <v>Twice a month</v>
      </c>
      <c r="H539" s="258" t="str">
        <f>IFERROR(__xludf.DUMMYFUNCTION("""COMPUTED_VALUE"""),"Monthly")</f>
        <v>Monthly</v>
      </c>
      <c r="I539" s="258" t="str">
        <f>IFERROR(__xludf.DUMMYFUNCTION("""COMPUTED_VALUE"""),"Once or twice a year")</f>
        <v>Once or twice a year</v>
      </c>
      <c r="J539" s="260">
        <f>IFERROR(__xludf.DUMMYFUNCTION("""COMPUTED_VALUE"""),0.8)</f>
        <v>0.8</v>
      </c>
      <c r="K539" s="258" t="str">
        <f>IFERROR(__xludf.DUMMYFUNCTION("""COMPUTED_VALUE"""),"")</f>
        <v/>
      </c>
      <c r="L539" s="258" t="str">
        <f>IFERROR(__xludf.DUMMYFUNCTION("""COMPUTED_VALUE"""),"")</f>
        <v/>
      </c>
      <c r="M539" s="261">
        <f>IFERROR(__xludf.DUMMYFUNCTION("""COMPUTED_VALUE"""),205.0)</f>
        <v>205</v>
      </c>
      <c r="N539" s="262" t="str">
        <f>IFERROR(__xludf.DUMMYFUNCTION("""COMPUTED_VALUE"""),"")</f>
        <v/>
      </c>
      <c r="O539" s="259" t="str">
        <f>IFERROR(__xludf.DUMMYFUNCTION("""COMPUTED_VALUE"""),"")</f>
        <v/>
      </c>
      <c r="P539" s="259">
        <f>IFERROR(__xludf.DUMMYFUNCTION("""COMPUTED_VALUE"""),42297.0)</f>
        <v>42297</v>
      </c>
      <c r="Q539" s="258">
        <f>IFERROR(__xludf.DUMMYFUNCTION("""COMPUTED_VALUE"""),18650.0)</f>
        <v>18650</v>
      </c>
      <c r="R539" s="261">
        <f>IFERROR(__xludf.DUMMYFUNCTION("""COMPUTED_VALUE"""),393.0)</f>
        <v>393</v>
      </c>
      <c r="S539" s="258">
        <v>425.0</v>
      </c>
      <c r="T539" s="263">
        <v>0.9247058823529412</v>
      </c>
      <c r="U539" s="264">
        <v>11589.0</v>
      </c>
      <c r="V539" s="265">
        <v>18650.0</v>
      </c>
      <c r="W539" s="264">
        <v>11589.0</v>
      </c>
      <c r="X539" s="266" t="str">
        <f>IFERROR(__xludf.DUMMYFUNCTION("""COMPUTED_VALUE"""),"teslabil")</f>
        <v>teslabil</v>
      </c>
      <c r="Y539" s="267">
        <v>-0.01</v>
      </c>
      <c r="Z539" s="267">
        <v>0.9755510087688118</v>
      </c>
      <c r="AA539" s="269"/>
      <c r="AB539" s="270"/>
      <c r="AC539" s="270"/>
      <c r="AD539" s="270"/>
      <c r="AE539" s="270"/>
    </row>
    <row r="540">
      <c r="A540" s="256">
        <f>IFERROR(__xludf.DUMMYFUNCTION("""COMPUTED_VALUE"""),42307.44236111111)</f>
        <v>42307.44236</v>
      </c>
      <c r="B540" s="257" t="str">
        <f>IFERROR(__xludf.DUMMYFUNCTION("""COMPUTED_VALUE"""),"Greenstorm")</f>
        <v>Greenstorm</v>
      </c>
      <c r="C540" s="258" t="str">
        <f>IFERROR(__xludf.DUMMYFUNCTION("""COMPUTED_VALUE"""),"Europe (excluding UK) &amp; Asia Pacific")</f>
        <v>Europe (excluding UK) &amp; Asia Pacific</v>
      </c>
      <c r="D540" s="258" t="str">
        <f>IFERROR(__xludf.DUMMYFUNCTION("""COMPUTED_VALUE"""),"km. My car displays range in kilometres and I will enter all range numbers in kilometres.")</f>
        <v>km. My car displays range in kilometres and I will enter all range numbers in kilometres.</v>
      </c>
      <c r="E540" s="259">
        <f>IFERROR(__xludf.DUMMYFUNCTION("""COMPUTED_VALUE"""),42165.0)</f>
        <v>42165</v>
      </c>
      <c r="F540" s="258" t="str">
        <f>IFERROR(__xludf.DUMMYFUNCTION("""COMPUTED_VALUE"""),"Model S 85D")</f>
        <v>Model S 85D</v>
      </c>
      <c r="G540" s="258" t="str">
        <f>IFERROR(__xludf.DUMMYFUNCTION("""COMPUTED_VALUE"""),"Twice a month")</f>
        <v>Twice a month</v>
      </c>
      <c r="H540" s="258" t="str">
        <f>IFERROR(__xludf.DUMMYFUNCTION("""COMPUTED_VALUE"""),"Monthly")</f>
        <v>Monthly</v>
      </c>
      <c r="I540" s="258" t="str">
        <f>IFERROR(__xludf.DUMMYFUNCTION("""COMPUTED_VALUE"""),"Once or twice a year")</f>
        <v>Once or twice a year</v>
      </c>
      <c r="J540" s="260">
        <f>IFERROR(__xludf.DUMMYFUNCTION("""COMPUTED_VALUE"""),0.8)</f>
        <v>0.8</v>
      </c>
      <c r="K540" s="258" t="str">
        <f>IFERROR(__xludf.DUMMYFUNCTION("""COMPUTED_VALUE"""),"")</f>
        <v/>
      </c>
      <c r="L540" s="258" t="str">
        <f>IFERROR(__xludf.DUMMYFUNCTION("""COMPUTED_VALUE"""),"")</f>
        <v/>
      </c>
      <c r="M540" s="261">
        <f>IFERROR(__xludf.DUMMYFUNCTION("""COMPUTED_VALUE"""),205.0)</f>
        <v>205</v>
      </c>
      <c r="N540" s="262" t="str">
        <f>IFERROR(__xludf.DUMMYFUNCTION("""COMPUTED_VALUE"""),"")</f>
        <v/>
      </c>
      <c r="O540" s="259" t="str">
        <f>IFERROR(__xludf.DUMMYFUNCTION("""COMPUTED_VALUE"""),"")</f>
        <v/>
      </c>
      <c r="P540" s="259">
        <f>IFERROR(__xludf.DUMMYFUNCTION("""COMPUTED_VALUE"""),42307.0)</f>
        <v>42307</v>
      </c>
      <c r="Q540" s="258">
        <f>IFERROR(__xludf.DUMMYFUNCTION("""COMPUTED_VALUE"""),26279.0)</f>
        <v>26279</v>
      </c>
      <c r="R540" s="261">
        <f>IFERROR(__xludf.DUMMYFUNCTION("""COMPUTED_VALUE"""),391.0)</f>
        <v>391</v>
      </c>
      <c r="S540" s="258">
        <v>425.0</v>
      </c>
      <c r="T540" s="263">
        <v>0.92</v>
      </c>
      <c r="U540" s="264">
        <v>16329.0</v>
      </c>
      <c r="V540" s="265">
        <v>26279.0</v>
      </c>
      <c r="W540" s="264">
        <v>16329.0</v>
      </c>
      <c r="X540" s="266" t="str">
        <f>IFERROR(__xludf.DUMMYFUNCTION("""COMPUTED_VALUE"""),"Teslatim")</f>
        <v>Teslatim</v>
      </c>
      <c r="Y540" s="267">
        <v>-0.01</v>
      </c>
      <c r="Z540" s="267">
        <v>0.9701039727666206</v>
      </c>
      <c r="AA540" s="269"/>
      <c r="AB540" s="270"/>
      <c r="AC540" s="270"/>
      <c r="AD540" s="270"/>
      <c r="AE540" s="270"/>
    </row>
    <row r="541">
      <c r="A541" s="256">
        <f>IFERROR(__xludf.DUMMYFUNCTION("""COMPUTED_VALUE"""),42438.44305555556)</f>
        <v>42438.44306</v>
      </c>
      <c r="B541" s="257" t="str">
        <f>IFERROR(__xludf.DUMMYFUNCTION("""COMPUTED_VALUE"""),"Greenstorm")</f>
        <v>Greenstorm</v>
      </c>
      <c r="C541" s="258" t="str">
        <f>IFERROR(__xludf.DUMMYFUNCTION("""COMPUTED_VALUE"""),"Europe (excluding UK) &amp; Asia Pacific")</f>
        <v>Europe (excluding UK) &amp; Asia Pacific</v>
      </c>
      <c r="D541" s="258" t="str">
        <f>IFERROR(__xludf.DUMMYFUNCTION("""COMPUTED_VALUE"""),"km. My car displays range in kilometres and I will enter all range numbers in kilometres.")</f>
        <v>km. My car displays range in kilometres and I will enter all range numbers in kilometres.</v>
      </c>
      <c r="E541" s="259">
        <f>IFERROR(__xludf.DUMMYFUNCTION("""COMPUTED_VALUE"""),42165.0)</f>
        <v>42165</v>
      </c>
      <c r="F541" s="258" t="str">
        <f>IFERROR(__xludf.DUMMYFUNCTION("""COMPUTED_VALUE"""),"Model S 85D")</f>
        <v>Model S 85D</v>
      </c>
      <c r="G541" s="258" t="str">
        <f>IFERROR(__xludf.DUMMYFUNCTION("""COMPUTED_VALUE"""),"Twice a month")</f>
        <v>Twice a month</v>
      </c>
      <c r="H541" s="258" t="str">
        <f>IFERROR(__xludf.DUMMYFUNCTION("""COMPUTED_VALUE"""),"Monthly")</f>
        <v>Monthly</v>
      </c>
      <c r="I541" s="258" t="str">
        <f>IFERROR(__xludf.DUMMYFUNCTION("""COMPUTED_VALUE"""),"Once or twice a year")</f>
        <v>Once or twice a year</v>
      </c>
      <c r="J541" s="260">
        <f>IFERROR(__xludf.DUMMYFUNCTION("""COMPUTED_VALUE"""),0.8)</f>
        <v>0.8</v>
      </c>
      <c r="K541" s="258" t="str">
        <f>IFERROR(__xludf.DUMMYFUNCTION("""COMPUTED_VALUE"""),"")</f>
        <v/>
      </c>
      <c r="L541" s="258" t="str">
        <f>IFERROR(__xludf.DUMMYFUNCTION("""COMPUTED_VALUE"""),"")</f>
        <v/>
      </c>
      <c r="M541" s="261">
        <f>IFERROR(__xludf.DUMMYFUNCTION("""COMPUTED_VALUE"""),205.0)</f>
        <v>205</v>
      </c>
      <c r="N541" s="262" t="str">
        <f>IFERROR(__xludf.DUMMYFUNCTION("""COMPUTED_VALUE"""),"")</f>
        <v/>
      </c>
      <c r="O541" s="259" t="str">
        <f>IFERROR(__xludf.DUMMYFUNCTION("""COMPUTED_VALUE"""),"")</f>
        <v/>
      </c>
      <c r="P541" s="259">
        <f>IFERROR(__xludf.DUMMYFUNCTION("""COMPUTED_VALUE"""),42438.0)</f>
        <v>42438</v>
      </c>
      <c r="Q541" s="258">
        <f>IFERROR(__xludf.DUMMYFUNCTION("""COMPUTED_VALUE"""),35030.0)</f>
        <v>35030</v>
      </c>
      <c r="R541" s="261">
        <f>IFERROR(__xludf.DUMMYFUNCTION("""COMPUTED_VALUE"""),401.0)</f>
        <v>401</v>
      </c>
      <c r="S541" s="258">
        <v>425.0</v>
      </c>
      <c r="T541" s="263">
        <v>0.9435294117647058</v>
      </c>
      <c r="U541" s="264">
        <v>21767.0</v>
      </c>
      <c r="V541" s="265">
        <v>35030.0</v>
      </c>
      <c r="W541" s="264">
        <v>21767.0</v>
      </c>
      <c r="X541" s="266" t="str">
        <f>IFERROR(__xludf.DUMMYFUNCTION("""COMPUTED_VALUE"""),"TG")</f>
        <v>TG</v>
      </c>
      <c r="Y541" s="267">
        <v>-0.01</v>
      </c>
      <c r="Z541" s="267">
        <v>0.9654514406218231</v>
      </c>
      <c r="AA541" s="269"/>
      <c r="AB541" s="270"/>
      <c r="AC541" s="270"/>
      <c r="AD541" s="270"/>
      <c r="AE541" s="270"/>
    </row>
    <row r="542">
      <c r="A542" s="256">
        <f>IFERROR(__xludf.DUMMYFUNCTION("""COMPUTED_VALUE"""),42472.44375)</f>
        <v>42472.44375</v>
      </c>
      <c r="B542" s="257" t="str">
        <f>IFERROR(__xludf.DUMMYFUNCTION("""COMPUTED_VALUE"""),"Greenstorm")</f>
        <v>Greenstorm</v>
      </c>
      <c r="C542" s="258" t="str">
        <f>IFERROR(__xludf.DUMMYFUNCTION("""COMPUTED_VALUE"""),"Europe (excluding UK) &amp; Asia Pacific")</f>
        <v>Europe (excluding UK) &amp; Asia Pacific</v>
      </c>
      <c r="D542" s="258" t="str">
        <f>IFERROR(__xludf.DUMMYFUNCTION("""COMPUTED_VALUE"""),"km. My car displays range in kilometres and I will enter all range numbers in kilometres.")</f>
        <v>km. My car displays range in kilometres and I will enter all range numbers in kilometres.</v>
      </c>
      <c r="E542" s="259">
        <f>IFERROR(__xludf.DUMMYFUNCTION("""COMPUTED_VALUE"""),42165.0)</f>
        <v>42165</v>
      </c>
      <c r="F542" s="258" t="str">
        <f>IFERROR(__xludf.DUMMYFUNCTION("""COMPUTED_VALUE"""),"Model S 85D")</f>
        <v>Model S 85D</v>
      </c>
      <c r="G542" s="258" t="str">
        <f>IFERROR(__xludf.DUMMYFUNCTION("""COMPUTED_VALUE"""),"Twice a month")</f>
        <v>Twice a month</v>
      </c>
      <c r="H542" s="258" t="str">
        <f>IFERROR(__xludf.DUMMYFUNCTION("""COMPUTED_VALUE"""),"Monthly")</f>
        <v>Monthly</v>
      </c>
      <c r="I542" s="258" t="str">
        <f>IFERROR(__xludf.DUMMYFUNCTION("""COMPUTED_VALUE"""),"Once or twice a year")</f>
        <v>Once or twice a year</v>
      </c>
      <c r="J542" s="260">
        <f>IFERROR(__xludf.DUMMYFUNCTION("""COMPUTED_VALUE"""),0.8)</f>
        <v>0.8</v>
      </c>
      <c r="K542" s="258" t="str">
        <f>IFERROR(__xludf.DUMMYFUNCTION("""COMPUTED_VALUE"""),"")</f>
        <v/>
      </c>
      <c r="L542" s="258" t="str">
        <f>IFERROR(__xludf.DUMMYFUNCTION("""COMPUTED_VALUE"""),"")</f>
        <v/>
      </c>
      <c r="M542" s="261">
        <f>IFERROR(__xludf.DUMMYFUNCTION("""COMPUTED_VALUE"""),205.0)</f>
        <v>205</v>
      </c>
      <c r="N542" s="262" t="str">
        <f>IFERROR(__xludf.DUMMYFUNCTION("""COMPUTED_VALUE"""),"")</f>
        <v/>
      </c>
      <c r="O542" s="259" t="str">
        <f>IFERROR(__xludf.DUMMYFUNCTION("""COMPUTED_VALUE"""),"")</f>
        <v/>
      </c>
      <c r="P542" s="259">
        <f>IFERROR(__xludf.DUMMYFUNCTION("""COMPUTED_VALUE"""),42472.0)</f>
        <v>42472</v>
      </c>
      <c r="Q542" s="258">
        <f>IFERROR(__xludf.DUMMYFUNCTION("""COMPUTED_VALUE"""),39966.0)</f>
        <v>39966</v>
      </c>
      <c r="R542" s="261">
        <f>IFERROR(__xludf.DUMMYFUNCTION("""COMPUTED_VALUE"""),405.0)</f>
        <v>405</v>
      </c>
      <c r="S542" s="258">
        <v>425.0</v>
      </c>
      <c r="T542" s="263">
        <v>0.9529411764705882</v>
      </c>
      <c r="U542" s="264">
        <v>24834.0</v>
      </c>
      <c r="V542" s="265">
        <v>39966.0</v>
      </c>
      <c r="W542" s="264">
        <v>24834.0</v>
      </c>
      <c r="X542" s="266" t="str">
        <f>IFERROR(__xludf.DUMMYFUNCTION("""COMPUTED_VALUE"""),"th0rsten")</f>
        <v>th0rsten</v>
      </c>
      <c r="Y542" s="267">
        <v>-0.01</v>
      </c>
      <c r="Z542" s="267">
        <v>0.9633221913234453</v>
      </c>
      <c r="AA542" s="269"/>
      <c r="AB542" s="270"/>
      <c r="AC542" s="270"/>
      <c r="AD542" s="270"/>
      <c r="AE542" s="270"/>
    </row>
    <row r="543">
      <c r="A543" s="256">
        <f>IFERROR(__xludf.DUMMYFUNCTION("""COMPUTED_VALUE"""),42488.444444444445)</f>
        <v>42488.44444</v>
      </c>
      <c r="B543" s="257" t="str">
        <f>IFERROR(__xludf.DUMMYFUNCTION("""COMPUTED_VALUE"""),"Greenstorm")</f>
        <v>Greenstorm</v>
      </c>
      <c r="C543" s="258" t="str">
        <f>IFERROR(__xludf.DUMMYFUNCTION("""COMPUTED_VALUE"""),"Europe (excluding UK) &amp; Asia Pacific")</f>
        <v>Europe (excluding UK) &amp; Asia Pacific</v>
      </c>
      <c r="D543" s="258" t="str">
        <f>IFERROR(__xludf.DUMMYFUNCTION("""COMPUTED_VALUE"""),"km. My car displays range in kilometres and I will enter all range numbers in kilometres.")</f>
        <v>km. My car displays range in kilometres and I will enter all range numbers in kilometres.</v>
      </c>
      <c r="E543" s="259">
        <f>IFERROR(__xludf.DUMMYFUNCTION("""COMPUTED_VALUE"""),42165.0)</f>
        <v>42165</v>
      </c>
      <c r="F543" s="258" t="str">
        <f>IFERROR(__xludf.DUMMYFUNCTION("""COMPUTED_VALUE"""),"Model S 85D")</f>
        <v>Model S 85D</v>
      </c>
      <c r="G543" s="258" t="str">
        <f>IFERROR(__xludf.DUMMYFUNCTION("""COMPUTED_VALUE"""),"Twice a month")</f>
        <v>Twice a month</v>
      </c>
      <c r="H543" s="258" t="str">
        <f>IFERROR(__xludf.DUMMYFUNCTION("""COMPUTED_VALUE"""),"Monthly")</f>
        <v>Monthly</v>
      </c>
      <c r="I543" s="258" t="str">
        <f>IFERROR(__xludf.DUMMYFUNCTION("""COMPUTED_VALUE"""),"Once or twice a year")</f>
        <v>Once or twice a year</v>
      </c>
      <c r="J543" s="260">
        <f>IFERROR(__xludf.DUMMYFUNCTION("""COMPUTED_VALUE"""),0.8)</f>
        <v>0.8</v>
      </c>
      <c r="K543" s="258" t="str">
        <f>IFERROR(__xludf.DUMMYFUNCTION("""COMPUTED_VALUE"""),"")</f>
        <v/>
      </c>
      <c r="L543" s="258" t="str">
        <f>IFERROR(__xludf.DUMMYFUNCTION("""COMPUTED_VALUE"""),"")</f>
        <v/>
      </c>
      <c r="M543" s="261">
        <f>IFERROR(__xludf.DUMMYFUNCTION("""COMPUTED_VALUE"""),205.0)</f>
        <v>205</v>
      </c>
      <c r="N543" s="262" t="str">
        <f>IFERROR(__xludf.DUMMYFUNCTION("""COMPUTED_VALUE"""),"")</f>
        <v/>
      </c>
      <c r="O543" s="259" t="str">
        <f>IFERROR(__xludf.DUMMYFUNCTION("""COMPUTED_VALUE"""),"")</f>
        <v/>
      </c>
      <c r="P543" s="259">
        <f>IFERROR(__xludf.DUMMYFUNCTION("""COMPUTED_VALUE"""),42488.0)</f>
        <v>42488</v>
      </c>
      <c r="Q543" s="258">
        <f>IFERROR(__xludf.DUMMYFUNCTION("""COMPUTED_VALUE"""),42641.0)</f>
        <v>42641</v>
      </c>
      <c r="R543" s="261">
        <f>IFERROR(__xludf.DUMMYFUNCTION("""COMPUTED_VALUE"""),404.0)</f>
        <v>404</v>
      </c>
      <c r="S543" s="258">
        <v>425.0</v>
      </c>
      <c r="T543" s="263">
        <v>0.9505882352941176</v>
      </c>
      <c r="U543" s="264">
        <v>26496.0</v>
      </c>
      <c r="V543" s="265">
        <v>42641.0</v>
      </c>
      <c r="W543" s="264">
        <v>26496.0</v>
      </c>
      <c r="X543" s="266" t="str">
        <f>IFERROR(__xludf.DUMMYFUNCTION("""COMPUTED_VALUE"""),"thelgeson")</f>
        <v>thelgeson</v>
      </c>
      <c r="Y543" s="267">
        <v>-0.01</v>
      </c>
      <c r="Z543" s="267">
        <v>0.9622758870777965</v>
      </c>
      <c r="AA543" s="269"/>
      <c r="AB543" s="270"/>
      <c r="AC543" s="270"/>
      <c r="AD543" s="270"/>
      <c r="AE543" s="270"/>
    </row>
    <row r="544">
      <c r="A544" s="256">
        <f>IFERROR(__xludf.DUMMYFUNCTION("""COMPUTED_VALUE"""),42502.445138888885)</f>
        <v>42502.44514</v>
      </c>
      <c r="B544" s="257" t="str">
        <f>IFERROR(__xludf.DUMMYFUNCTION("""COMPUTED_VALUE"""),"Greenstorm")</f>
        <v>Greenstorm</v>
      </c>
      <c r="C544" s="258" t="str">
        <f>IFERROR(__xludf.DUMMYFUNCTION("""COMPUTED_VALUE"""),"Europe (excluding UK) &amp; Asia Pacific")</f>
        <v>Europe (excluding UK) &amp; Asia Pacific</v>
      </c>
      <c r="D544" s="258" t="str">
        <f>IFERROR(__xludf.DUMMYFUNCTION("""COMPUTED_VALUE"""),"km. My car displays range in kilometres and I will enter all range numbers in kilometres.")</f>
        <v>km. My car displays range in kilometres and I will enter all range numbers in kilometres.</v>
      </c>
      <c r="E544" s="259">
        <f>IFERROR(__xludf.DUMMYFUNCTION("""COMPUTED_VALUE"""),42165.0)</f>
        <v>42165</v>
      </c>
      <c r="F544" s="258" t="str">
        <f>IFERROR(__xludf.DUMMYFUNCTION("""COMPUTED_VALUE"""),"Model S 85D")</f>
        <v>Model S 85D</v>
      </c>
      <c r="G544" s="258" t="str">
        <f>IFERROR(__xludf.DUMMYFUNCTION("""COMPUTED_VALUE"""),"Twice a month")</f>
        <v>Twice a month</v>
      </c>
      <c r="H544" s="258" t="str">
        <f>IFERROR(__xludf.DUMMYFUNCTION("""COMPUTED_VALUE"""),"Monthly")</f>
        <v>Monthly</v>
      </c>
      <c r="I544" s="258" t="str">
        <f>IFERROR(__xludf.DUMMYFUNCTION("""COMPUTED_VALUE"""),"Once or twice a year")</f>
        <v>Once or twice a year</v>
      </c>
      <c r="J544" s="260">
        <f>IFERROR(__xludf.DUMMYFUNCTION("""COMPUTED_VALUE"""),0.8)</f>
        <v>0.8</v>
      </c>
      <c r="K544" s="258" t="str">
        <f>IFERROR(__xludf.DUMMYFUNCTION("""COMPUTED_VALUE"""),"")</f>
        <v/>
      </c>
      <c r="L544" s="258" t="str">
        <f>IFERROR(__xludf.DUMMYFUNCTION("""COMPUTED_VALUE"""),"")</f>
        <v/>
      </c>
      <c r="M544" s="261">
        <f>IFERROR(__xludf.DUMMYFUNCTION("""COMPUTED_VALUE"""),205.0)</f>
        <v>205</v>
      </c>
      <c r="N544" s="262" t="str">
        <f>IFERROR(__xludf.DUMMYFUNCTION("""COMPUTED_VALUE"""),"")</f>
        <v/>
      </c>
      <c r="O544" s="259" t="str">
        <f>IFERROR(__xludf.DUMMYFUNCTION("""COMPUTED_VALUE"""),"")</f>
        <v/>
      </c>
      <c r="P544" s="259">
        <f>IFERROR(__xludf.DUMMYFUNCTION("""COMPUTED_VALUE"""),42502.0)</f>
        <v>42502</v>
      </c>
      <c r="Q544" s="258">
        <f>IFERROR(__xludf.DUMMYFUNCTION("""COMPUTED_VALUE"""),44051.0)</f>
        <v>44051</v>
      </c>
      <c r="R544" s="261">
        <f>IFERROR(__xludf.DUMMYFUNCTION("""COMPUTED_VALUE"""),408.0)</f>
        <v>408</v>
      </c>
      <c r="S544" s="258">
        <v>425.0</v>
      </c>
      <c r="T544" s="263">
        <v>0.96</v>
      </c>
      <c r="U544" s="264">
        <v>27372.0</v>
      </c>
      <c r="V544" s="265">
        <v>44051.0</v>
      </c>
      <c r="W544" s="264">
        <v>27372.0</v>
      </c>
      <c r="X544" s="266" t="str">
        <f>IFERROR(__xludf.DUMMYFUNCTION("""COMPUTED_VALUE"""),"Thepilo")</f>
        <v>Thepilo</v>
      </c>
      <c r="Y544" s="267">
        <v>-0.01</v>
      </c>
      <c r="Z544" s="267">
        <v>0.9617498619378683</v>
      </c>
      <c r="AA544" s="269"/>
      <c r="AB544" s="270"/>
      <c r="AC544" s="270"/>
      <c r="AD544" s="270"/>
      <c r="AE544" s="270"/>
    </row>
    <row r="545">
      <c r="A545" s="256">
        <f>IFERROR(__xludf.DUMMYFUNCTION("""COMPUTED_VALUE"""),42510.44583333333)</f>
        <v>42510.44583</v>
      </c>
      <c r="B545" s="257" t="str">
        <f>IFERROR(__xludf.DUMMYFUNCTION("""COMPUTED_VALUE"""),"Greenstorm")</f>
        <v>Greenstorm</v>
      </c>
      <c r="C545" s="258" t="str">
        <f>IFERROR(__xludf.DUMMYFUNCTION("""COMPUTED_VALUE"""),"Europe (excluding UK) &amp; Asia Pacific")</f>
        <v>Europe (excluding UK) &amp; Asia Pacific</v>
      </c>
      <c r="D545" s="258" t="str">
        <f>IFERROR(__xludf.DUMMYFUNCTION("""COMPUTED_VALUE"""),"km. My car displays range in kilometres and I will enter all range numbers in kilometres.")</f>
        <v>km. My car displays range in kilometres and I will enter all range numbers in kilometres.</v>
      </c>
      <c r="E545" s="259">
        <f>IFERROR(__xludf.DUMMYFUNCTION("""COMPUTED_VALUE"""),42165.0)</f>
        <v>42165</v>
      </c>
      <c r="F545" s="258" t="str">
        <f>IFERROR(__xludf.DUMMYFUNCTION("""COMPUTED_VALUE"""),"Model S 85D")</f>
        <v>Model S 85D</v>
      </c>
      <c r="G545" s="258" t="str">
        <f>IFERROR(__xludf.DUMMYFUNCTION("""COMPUTED_VALUE"""),"Twice a month")</f>
        <v>Twice a month</v>
      </c>
      <c r="H545" s="258" t="str">
        <f>IFERROR(__xludf.DUMMYFUNCTION("""COMPUTED_VALUE"""),"Monthly")</f>
        <v>Monthly</v>
      </c>
      <c r="I545" s="258" t="str">
        <f>IFERROR(__xludf.DUMMYFUNCTION("""COMPUTED_VALUE"""),"Once or twice a year")</f>
        <v>Once or twice a year</v>
      </c>
      <c r="J545" s="260">
        <f>IFERROR(__xludf.DUMMYFUNCTION("""COMPUTED_VALUE"""),0.8)</f>
        <v>0.8</v>
      </c>
      <c r="K545" s="258" t="str">
        <f>IFERROR(__xludf.DUMMYFUNCTION("""COMPUTED_VALUE"""),"")</f>
        <v/>
      </c>
      <c r="L545" s="258" t="str">
        <f>IFERROR(__xludf.DUMMYFUNCTION("""COMPUTED_VALUE"""),"")</f>
        <v/>
      </c>
      <c r="M545" s="261">
        <f>IFERROR(__xludf.DUMMYFUNCTION("""COMPUTED_VALUE"""),206.0)</f>
        <v>206</v>
      </c>
      <c r="N545" s="262" t="str">
        <f>IFERROR(__xludf.DUMMYFUNCTION("""COMPUTED_VALUE"""),"")</f>
        <v/>
      </c>
      <c r="O545" s="259" t="str">
        <f>IFERROR(__xludf.DUMMYFUNCTION("""COMPUTED_VALUE"""),"")</f>
        <v/>
      </c>
      <c r="P545" s="259">
        <f>IFERROR(__xludf.DUMMYFUNCTION("""COMPUTED_VALUE"""),42510.0)</f>
        <v>42510</v>
      </c>
      <c r="Q545" s="258">
        <f>IFERROR(__xludf.DUMMYFUNCTION("""COMPUTED_VALUE"""),45490.0)</f>
        <v>45490</v>
      </c>
      <c r="R545" s="261">
        <f>IFERROR(__xludf.DUMMYFUNCTION("""COMPUTED_VALUE"""),407.0)</f>
        <v>407</v>
      </c>
      <c r="S545" s="258">
        <v>425.0</v>
      </c>
      <c r="T545" s="263">
        <v>0.9576470588235294</v>
      </c>
      <c r="U545" s="264">
        <v>28266.0</v>
      </c>
      <c r="V545" s="265">
        <v>45490.0</v>
      </c>
      <c r="W545" s="264">
        <v>28266.0</v>
      </c>
      <c r="X545" s="266" t="str">
        <f>IFERROR(__xludf.DUMMYFUNCTION("""COMPUTED_VALUE"""),"thethe")</f>
        <v>thethe</v>
      </c>
      <c r="Y545" s="267">
        <v>-0.01</v>
      </c>
      <c r="Z545" s="267">
        <v>0.9612293051262099</v>
      </c>
      <c r="AA545" s="269"/>
      <c r="AB545" s="270"/>
      <c r="AC545" s="270"/>
      <c r="AD545" s="270"/>
      <c r="AE545" s="270"/>
    </row>
    <row r="546">
      <c r="A546" s="256">
        <f>IFERROR(__xludf.DUMMYFUNCTION("""COMPUTED_VALUE"""),42542.44652777778)</f>
        <v>42542.44653</v>
      </c>
      <c r="B546" s="257" t="str">
        <f>IFERROR(__xludf.DUMMYFUNCTION("""COMPUTED_VALUE"""),"Greenstorm")</f>
        <v>Greenstorm</v>
      </c>
      <c r="C546" s="258" t="str">
        <f>IFERROR(__xludf.DUMMYFUNCTION("""COMPUTED_VALUE"""),"Europe (excluding UK) &amp; Asia Pacific")</f>
        <v>Europe (excluding UK) &amp; Asia Pacific</v>
      </c>
      <c r="D546" s="258" t="str">
        <f>IFERROR(__xludf.DUMMYFUNCTION("""COMPUTED_VALUE"""),"km. My car displays range in kilometres and I will enter all range numbers in kilometres.")</f>
        <v>km. My car displays range in kilometres and I will enter all range numbers in kilometres.</v>
      </c>
      <c r="E546" s="259">
        <f>IFERROR(__xludf.DUMMYFUNCTION("""COMPUTED_VALUE"""),42165.0)</f>
        <v>42165</v>
      </c>
      <c r="F546" s="258" t="str">
        <f>IFERROR(__xludf.DUMMYFUNCTION("""COMPUTED_VALUE"""),"Model S 85D")</f>
        <v>Model S 85D</v>
      </c>
      <c r="G546" s="258" t="str">
        <f>IFERROR(__xludf.DUMMYFUNCTION("""COMPUTED_VALUE"""),"Twice a month")</f>
        <v>Twice a month</v>
      </c>
      <c r="H546" s="258" t="str">
        <f>IFERROR(__xludf.DUMMYFUNCTION("""COMPUTED_VALUE"""),"Monthly")</f>
        <v>Monthly</v>
      </c>
      <c r="I546" s="258" t="str">
        <f>IFERROR(__xludf.DUMMYFUNCTION("""COMPUTED_VALUE"""),"Once or twice a year")</f>
        <v>Once or twice a year</v>
      </c>
      <c r="J546" s="260">
        <f>IFERROR(__xludf.DUMMYFUNCTION("""COMPUTED_VALUE"""),0.8)</f>
        <v>0.8</v>
      </c>
      <c r="K546" s="258" t="str">
        <f>IFERROR(__xludf.DUMMYFUNCTION("""COMPUTED_VALUE"""),"")</f>
        <v/>
      </c>
      <c r="L546" s="258" t="str">
        <f>IFERROR(__xludf.DUMMYFUNCTION("""COMPUTED_VALUE"""),"")</f>
        <v/>
      </c>
      <c r="M546" s="261">
        <f>IFERROR(__xludf.DUMMYFUNCTION("""COMPUTED_VALUE"""),206.0)</f>
        <v>206</v>
      </c>
      <c r="N546" s="262" t="str">
        <f>IFERROR(__xludf.DUMMYFUNCTION("""COMPUTED_VALUE"""),"")</f>
        <v/>
      </c>
      <c r="O546" s="259" t="str">
        <f>IFERROR(__xludf.DUMMYFUNCTION("""COMPUTED_VALUE"""),"")</f>
        <v/>
      </c>
      <c r="P546" s="259">
        <f>IFERROR(__xludf.DUMMYFUNCTION("""COMPUTED_VALUE"""),42542.0)</f>
        <v>42542</v>
      </c>
      <c r="Q546" s="258">
        <f>IFERROR(__xludf.DUMMYFUNCTION("""COMPUTED_VALUE"""),49489.0)</f>
        <v>49489</v>
      </c>
      <c r="R546" s="261">
        <f>IFERROR(__xludf.DUMMYFUNCTION("""COMPUTED_VALUE"""),408.0)</f>
        <v>408</v>
      </c>
      <c r="S546" s="258">
        <v>425.0</v>
      </c>
      <c r="T546" s="263">
        <v>0.96</v>
      </c>
      <c r="U546" s="264">
        <v>30751.0</v>
      </c>
      <c r="V546" s="265">
        <v>49489.0</v>
      </c>
      <c r="W546" s="264">
        <v>30751.0</v>
      </c>
      <c r="X546" s="266" t="str">
        <f>IFERROR(__xludf.DUMMYFUNCTION("""COMPUTED_VALUE"""),"Thor")</f>
        <v>Thor</v>
      </c>
      <c r="Y546" s="267">
        <v>-0.01</v>
      </c>
      <c r="Z546" s="267">
        <v>0.9598584524281818</v>
      </c>
      <c r="AA546" s="269"/>
      <c r="AB546" s="270"/>
      <c r="AC546" s="270"/>
      <c r="AD546" s="270"/>
      <c r="AE546" s="270"/>
    </row>
    <row r="547">
      <c r="A547" s="256">
        <f>IFERROR(__xludf.DUMMYFUNCTION("""COMPUTED_VALUE"""),42549.447222222225)</f>
        <v>42549.44722</v>
      </c>
      <c r="B547" s="257" t="str">
        <f>IFERROR(__xludf.DUMMYFUNCTION("""COMPUTED_VALUE"""),"Greenstorm")</f>
        <v>Greenstorm</v>
      </c>
      <c r="C547" s="258" t="str">
        <f>IFERROR(__xludf.DUMMYFUNCTION("""COMPUTED_VALUE"""),"Europe (excluding UK) &amp; Asia Pacific")</f>
        <v>Europe (excluding UK) &amp; Asia Pacific</v>
      </c>
      <c r="D547" s="258" t="str">
        <f>IFERROR(__xludf.DUMMYFUNCTION("""COMPUTED_VALUE"""),"km. My car displays range in kilometres and I will enter all range numbers in kilometres.")</f>
        <v>km. My car displays range in kilometres and I will enter all range numbers in kilometres.</v>
      </c>
      <c r="E547" s="259">
        <f>IFERROR(__xludf.DUMMYFUNCTION("""COMPUTED_VALUE"""),42165.0)</f>
        <v>42165</v>
      </c>
      <c r="F547" s="258" t="str">
        <f>IFERROR(__xludf.DUMMYFUNCTION("""COMPUTED_VALUE"""),"Model S 85D")</f>
        <v>Model S 85D</v>
      </c>
      <c r="G547" s="258" t="str">
        <f>IFERROR(__xludf.DUMMYFUNCTION("""COMPUTED_VALUE"""),"Twice a month")</f>
        <v>Twice a month</v>
      </c>
      <c r="H547" s="258" t="str">
        <f>IFERROR(__xludf.DUMMYFUNCTION("""COMPUTED_VALUE"""),"Monthly")</f>
        <v>Monthly</v>
      </c>
      <c r="I547" s="258" t="str">
        <f>IFERROR(__xludf.DUMMYFUNCTION("""COMPUTED_VALUE"""),"Once or twice a year")</f>
        <v>Once or twice a year</v>
      </c>
      <c r="J547" s="260">
        <f>IFERROR(__xludf.DUMMYFUNCTION("""COMPUTED_VALUE"""),0.8)</f>
        <v>0.8</v>
      </c>
      <c r="K547" s="258" t="str">
        <f>IFERROR(__xludf.DUMMYFUNCTION("""COMPUTED_VALUE"""),"")</f>
        <v/>
      </c>
      <c r="L547" s="258" t="str">
        <f>IFERROR(__xludf.DUMMYFUNCTION("""COMPUTED_VALUE"""),"")</f>
        <v/>
      </c>
      <c r="M547" s="261">
        <f>IFERROR(__xludf.DUMMYFUNCTION("""COMPUTED_VALUE"""),206.0)</f>
        <v>206</v>
      </c>
      <c r="N547" s="262" t="str">
        <f>IFERROR(__xludf.DUMMYFUNCTION("""COMPUTED_VALUE"""),"")</f>
        <v/>
      </c>
      <c r="O547" s="259" t="str">
        <f>IFERROR(__xludf.DUMMYFUNCTION("""COMPUTED_VALUE"""),"")</f>
        <v/>
      </c>
      <c r="P547" s="259">
        <f>IFERROR(__xludf.DUMMYFUNCTION("""COMPUTED_VALUE"""),42549.0)</f>
        <v>42549</v>
      </c>
      <c r="Q547" s="258">
        <f>IFERROR(__xludf.DUMMYFUNCTION("""COMPUTED_VALUE"""),50600.0)</f>
        <v>50600</v>
      </c>
      <c r="R547" s="261">
        <f>IFERROR(__xludf.DUMMYFUNCTION("""COMPUTED_VALUE"""),409.0)</f>
        <v>409</v>
      </c>
      <c r="S547" s="258">
        <v>425.0</v>
      </c>
      <c r="T547" s="263">
        <v>0.9623529411764706</v>
      </c>
      <c r="U547" s="264">
        <v>31441.0</v>
      </c>
      <c r="V547" s="265">
        <v>50600.0</v>
      </c>
      <c r="W547" s="264">
        <v>31441.0</v>
      </c>
      <c r="X547" s="266" t="str">
        <f>IFERROR(__xludf.DUMMYFUNCTION("""COMPUTED_VALUE"""),"Thor2")</f>
        <v>Thor2</v>
      </c>
      <c r="Y547" s="267">
        <v>-0.01</v>
      </c>
      <c r="Z547" s="267">
        <v>0.9594950256654716</v>
      </c>
      <c r="AA547" s="269"/>
      <c r="AB547" s="270"/>
      <c r="AC547" s="270"/>
      <c r="AD547" s="270"/>
      <c r="AE547" s="270"/>
    </row>
    <row r="548">
      <c r="A548" s="256">
        <f>IFERROR(__xludf.DUMMYFUNCTION("""COMPUTED_VALUE"""),42582.44791666667)</f>
        <v>42582.44792</v>
      </c>
      <c r="B548" s="257" t="str">
        <f>IFERROR(__xludf.DUMMYFUNCTION("""COMPUTED_VALUE"""),"Greenstorm")</f>
        <v>Greenstorm</v>
      </c>
      <c r="C548" s="258" t="str">
        <f>IFERROR(__xludf.DUMMYFUNCTION("""COMPUTED_VALUE"""),"Europe (excluding UK) &amp; Asia Pacific")</f>
        <v>Europe (excluding UK) &amp; Asia Pacific</v>
      </c>
      <c r="D548" s="258" t="str">
        <f>IFERROR(__xludf.DUMMYFUNCTION("""COMPUTED_VALUE"""),"km. My car displays range in kilometres and I will enter all range numbers in kilometres.")</f>
        <v>km. My car displays range in kilometres and I will enter all range numbers in kilometres.</v>
      </c>
      <c r="E548" s="259">
        <f>IFERROR(__xludf.DUMMYFUNCTION("""COMPUTED_VALUE"""),42165.0)</f>
        <v>42165</v>
      </c>
      <c r="F548" s="258" t="str">
        <f>IFERROR(__xludf.DUMMYFUNCTION("""COMPUTED_VALUE"""),"Model S 85D")</f>
        <v>Model S 85D</v>
      </c>
      <c r="G548" s="258" t="str">
        <f>IFERROR(__xludf.DUMMYFUNCTION("""COMPUTED_VALUE"""),"Twice a month")</f>
        <v>Twice a month</v>
      </c>
      <c r="H548" s="258" t="str">
        <f>IFERROR(__xludf.DUMMYFUNCTION("""COMPUTED_VALUE"""),"Monthly")</f>
        <v>Monthly</v>
      </c>
      <c r="I548" s="258" t="str">
        <f>IFERROR(__xludf.DUMMYFUNCTION("""COMPUTED_VALUE"""),"Once or twice a year")</f>
        <v>Once or twice a year</v>
      </c>
      <c r="J548" s="260">
        <f>IFERROR(__xludf.DUMMYFUNCTION("""COMPUTED_VALUE"""),0.8)</f>
        <v>0.8</v>
      </c>
      <c r="K548" s="258" t="str">
        <f>IFERROR(__xludf.DUMMYFUNCTION("""COMPUTED_VALUE"""),"")</f>
        <v/>
      </c>
      <c r="L548" s="258" t="str">
        <f>IFERROR(__xludf.DUMMYFUNCTION("""COMPUTED_VALUE"""),"")</f>
        <v/>
      </c>
      <c r="M548" s="261">
        <f>IFERROR(__xludf.DUMMYFUNCTION("""COMPUTED_VALUE"""),206.0)</f>
        <v>206</v>
      </c>
      <c r="N548" s="262" t="str">
        <f>IFERROR(__xludf.DUMMYFUNCTION("""COMPUTED_VALUE"""),"")</f>
        <v/>
      </c>
      <c r="O548" s="259" t="str">
        <f>IFERROR(__xludf.DUMMYFUNCTION("""COMPUTED_VALUE"""),"")</f>
        <v/>
      </c>
      <c r="P548" s="259">
        <f>IFERROR(__xludf.DUMMYFUNCTION("""COMPUTED_VALUE"""),42582.0)</f>
        <v>42582</v>
      </c>
      <c r="Q548" s="258">
        <f>IFERROR(__xludf.DUMMYFUNCTION("""COMPUTED_VALUE"""),53720.0)</f>
        <v>53720</v>
      </c>
      <c r="R548" s="261">
        <f>IFERROR(__xludf.DUMMYFUNCTION("""COMPUTED_VALUE"""),411.0)</f>
        <v>411</v>
      </c>
      <c r="S548" s="258">
        <v>425.0</v>
      </c>
      <c r="T548" s="263">
        <v>0.9670588235294117</v>
      </c>
      <c r="U548" s="264">
        <v>33380.0</v>
      </c>
      <c r="V548" s="265">
        <v>53720.0</v>
      </c>
      <c r="W548" s="264">
        <v>33380.0</v>
      </c>
      <c r="X548" s="266" t="str">
        <f>IFERROR(__xludf.DUMMYFUNCTION("""COMPUTED_VALUE"""),"Thor3")</f>
        <v>Thor3</v>
      </c>
      <c r="Y548" s="267">
        <v>-0.01</v>
      </c>
      <c r="Z548" s="267">
        <v>0.958508935973155</v>
      </c>
      <c r="AA548" s="269"/>
      <c r="AB548" s="270"/>
      <c r="AC548" s="270"/>
      <c r="AD548" s="270"/>
      <c r="AE548" s="270"/>
    </row>
    <row r="549">
      <c r="A549" s="256">
        <f>IFERROR(__xludf.DUMMYFUNCTION("""COMPUTED_VALUE"""),42596.44861111111)</f>
        <v>42596.44861</v>
      </c>
      <c r="B549" s="257" t="str">
        <f>IFERROR(__xludf.DUMMYFUNCTION("""COMPUTED_VALUE"""),"Greenstorm")</f>
        <v>Greenstorm</v>
      </c>
      <c r="C549" s="258" t="str">
        <f>IFERROR(__xludf.DUMMYFUNCTION("""COMPUTED_VALUE"""),"Europe (excluding UK) &amp; Asia Pacific")</f>
        <v>Europe (excluding UK) &amp; Asia Pacific</v>
      </c>
      <c r="D549" s="258" t="str">
        <f>IFERROR(__xludf.DUMMYFUNCTION("""COMPUTED_VALUE"""),"km. My car displays range in kilometres and I will enter all range numbers in kilometres.")</f>
        <v>km. My car displays range in kilometres and I will enter all range numbers in kilometres.</v>
      </c>
      <c r="E549" s="259">
        <f>IFERROR(__xludf.DUMMYFUNCTION("""COMPUTED_VALUE"""),42165.0)</f>
        <v>42165</v>
      </c>
      <c r="F549" s="258" t="str">
        <f>IFERROR(__xludf.DUMMYFUNCTION("""COMPUTED_VALUE"""),"Model S 85D")</f>
        <v>Model S 85D</v>
      </c>
      <c r="G549" s="258" t="str">
        <f>IFERROR(__xludf.DUMMYFUNCTION("""COMPUTED_VALUE"""),"Twice a month")</f>
        <v>Twice a month</v>
      </c>
      <c r="H549" s="258" t="str">
        <f>IFERROR(__xludf.DUMMYFUNCTION("""COMPUTED_VALUE"""),"Monthly")</f>
        <v>Monthly</v>
      </c>
      <c r="I549" s="258" t="str">
        <f>IFERROR(__xludf.DUMMYFUNCTION("""COMPUTED_VALUE"""),"Once or twice a year")</f>
        <v>Once or twice a year</v>
      </c>
      <c r="J549" s="260">
        <f>IFERROR(__xludf.DUMMYFUNCTION("""COMPUTED_VALUE"""),0.8)</f>
        <v>0.8</v>
      </c>
      <c r="K549" s="258" t="str">
        <f>IFERROR(__xludf.DUMMYFUNCTION("""COMPUTED_VALUE"""),"")</f>
        <v/>
      </c>
      <c r="L549" s="258" t="str">
        <f>IFERROR(__xludf.DUMMYFUNCTION("""COMPUTED_VALUE"""),"")</f>
        <v/>
      </c>
      <c r="M549" s="261">
        <f>IFERROR(__xludf.DUMMYFUNCTION("""COMPUTED_VALUE"""),206.0)</f>
        <v>206</v>
      </c>
      <c r="N549" s="262" t="str">
        <f>IFERROR(__xludf.DUMMYFUNCTION("""COMPUTED_VALUE"""),"")</f>
        <v/>
      </c>
      <c r="O549" s="259" t="str">
        <f>IFERROR(__xludf.DUMMYFUNCTION("""COMPUTED_VALUE"""),"")</f>
        <v/>
      </c>
      <c r="P549" s="259">
        <f>IFERROR(__xludf.DUMMYFUNCTION("""COMPUTED_VALUE"""),42596.0)</f>
        <v>42596</v>
      </c>
      <c r="Q549" s="258">
        <f>IFERROR(__xludf.DUMMYFUNCTION("""COMPUTED_VALUE"""),56320.0)</f>
        <v>56320</v>
      </c>
      <c r="R549" s="261">
        <f>IFERROR(__xludf.DUMMYFUNCTION("""COMPUTED_VALUE"""),411.0)</f>
        <v>411</v>
      </c>
      <c r="S549" s="258">
        <v>425.0</v>
      </c>
      <c r="T549" s="263">
        <v>0.9670588235294117</v>
      </c>
      <c r="U549" s="264">
        <v>34996.0</v>
      </c>
      <c r="V549" s="265">
        <v>56320.0</v>
      </c>
      <c r="W549" s="264">
        <v>34996.0</v>
      </c>
      <c r="X549" s="266" t="str">
        <f>IFERROR(__xludf.DUMMYFUNCTION("""COMPUTED_VALUE"""),"Thor4")</f>
        <v>Thor4</v>
      </c>
      <c r="Y549" s="267">
        <v>-0.01</v>
      </c>
      <c r="Z549" s="267">
        <v>0.9577212905561592</v>
      </c>
      <c r="AA549" s="269"/>
      <c r="AB549" s="270"/>
      <c r="AC549" s="270"/>
      <c r="AD549" s="270"/>
      <c r="AE549" s="270"/>
    </row>
    <row r="550">
      <c r="A550" s="256">
        <f>IFERROR(__xludf.DUMMYFUNCTION("""COMPUTED_VALUE"""),42625.44930555555)</f>
        <v>42625.44931</v>
      </c>
      <c r="B550" s="257" t="str">
        <f>IFERROR(__xludf.DUMMYFUNCTION("""COMPUTED_VALUE"""),"Greenstorm")</f>
        <v>Greenstorm</v>
      </c>
      <c r="C550" s="258" t="str">
        <f>IFERROR(__xludf.DUMMYFUNCTION("""COMPUTED_VALUE"""),"Europe (excluding UK) &amp; Asia Pacific")</f>
        <v>Europe (excluding UK) &amp; Asia Pacific</v>
      </c>
      <c r="D550" s="258" t="str">
        <f>IFERROR(__xludf.DUMMYFUNCTION("""COMPUTED_VALUE"""),"km. My car displays range in kilometres and I will enter all range numbers in kilometres.")</f>
        <v>km. My car displays range in kilometres and I will enter all range numbers in kilometres.</v>
      </c>
      <c r="E550" s="259">
        <f>IFERROR(__xludf.DUMMYFUNCTION("""COMPUTED_VALUE"""),42165.0)</f>
        <v>42165</v>
      </c>
      <c r="F550" s="258" t="str">
        <f>IFERROR(__xludf.DUMMYFUNCTION("""COMPUTED_VALUE"""),"Model S 85D")</f>
        <v>Model S 85D</v>
      </c>
      <c r="G550" s="258" t="str">
        <f>IFERROR(__xludf.DUMMYFUNCTION("""COMPUTED_VALUE"""),"Twice a month")</f>
        <v>Twice a month</v>
      </c>
      <c r="H550" s="258" t="str">
        <f>IFERROR(__xludf.DUMMYFUNCTION("""COMPUTED_VALUE"""),"Monthly")</f>
        <v>Monthly</v>
      </c>
      <c r="I550" s="258" t="str">
        <f>IFERROR(__xludf.DUMMYFUNCTION("""COMPUTED_VALUE"""),"Once or twice a year")</f>
        <v>Once or twice a year</v>
      </c>
      <c r="J550" s="260">
        <f>IFERROR(__xludf.DUMMYFUNCTION("""COMPUTED_VALUE"""),0.8)</f>
        <v>0.8</v>
      </c>
      <c r="K550" s="258" t="str">
        <f>IFERROR(__xludf.DUMMYFUNCTION("""COMPUTED_VALUE"""),"")</f>
        <v/>
      </c>
      <c r="L550" s="258" t="str">
        <f>IFERROR(__xludf.DUMMYFUNCTION("""COMPUTED_VALUE"""),"")</f>
        <v/>
      </c>
      <c r="M550" s="261">
        <f>IFERROR(__xludf.DUMMYFUNCTION("""COMPUTED_VALUE"""),206.0)</f>
        <v>206</v>
      </c>
      <c r="N550" s="262" t="str">
        <f>IFERROR(__xludf.DUMMYFUNCTION("""COMPUTED_VALUE"""),"")</f>
        <v/>
      </c>
      <c r="O550" s="259" t="str">
        <f>IFERROR(__xludf.DUMMYFUNCTION("""COMPUTED_VALUE"""),"")</f>
        <v/>
      </c>
      <c r="P550" s="259">
        <f>IFERROR(__xludf.DUMMYFUNCTION("""COMPUTED_VALUE"""),42625.0)</f>
        <v>42625</v>
      </c>
      <c r="Q550" s="258">
        <f>IFERROR(__xludf.DUMMYFUNCTION("""COMPUTED_VALUE"""),61226.0)</f>
        <v>61226</v>
      </c>
      <c r="R550" s="261">
        <f>IFERROR(__xludf.DUMMYFUNCTION("""COMPUTED_VALUE"""),413.0)</f>
        <v>413</v>
      </c>
      <c r="S550" s="258">
        <v>425.0</v>
      </c>
      <c r="T550" s="263">
        <v>0.971764705882353</v>
      </c>
      <c r="U550" s="264">
        <v>38044.0</v>
      </c>
      <c r="V550" s="265">
        <v>61226.0</v>
      </c>
      <c r="W550" s="264">
        <v>38044.0</v>
      </c>
      <c r="X550" s="266" t="str">
        <f>IFERROR(__xludf.DUMMYFUNCTION("""COMPUTED_VALUE"""),"tice17")</f>
        <v>tice17</v>
      </c>
      <c r="Y550" s="267">
        <v>-0.01</v>
      </c>
      <c r="Z550" s="267">
        <v>0.9563038964777986</v>
      </c>
      <c r="AA550" s="269"/>
      <c r="AB550" s="270"/>
      <c r="AC550" s="270"/>
      <c r="AD550" s="270"/>
      <c r="AE550" s="270"/>
    </row>
    <row r="551">
      <c r="A551" s="256">
        <f>IFERROR(__xludf.DUMMYFUNCTION("""COMPUTED_VALUE"""),42634.45)</f>
        <v>42634.45</v>
      </c>
      <c r="B551" s="257" t="str">
        <f>IFERROR(__xludf.DUMMYFUNCTION("""COMPUTED_VALUE"""),"Greenstorm")</f>
        <v>Greenstorm</v>
      </c>
      <c r="C551" s="258" t="str">
        <f>IFERROR(__xludf.DUMMYFUNCTION("""COMPUTED_VALUE"""),"Europe (excluding UK) &amp; Asia Pacific")</f>
        <v>Europe (excluding UK) &amp; Asia Pacific</v>
      </c>
      <c r="D551" s="258" t="str">
        <f>IFERROR(__xludf.DUMMYFUNCTION("""COMPUTED_VALUE"""),"km. My car displays range in kilometres and I will enter all range numbers in kilometres.")</f>
        <v>km. My car displays range in kilometres and I will enter all range numbers in kilometres.</v>
      </c>
      <c r="E551" s="259">
        <f>IFERROR(__xludf.DUMMYFUNCTION("""COMPUTED_VALUE"""),42165.0)</f>
        <v>42165</v>
      </c>
      <c r="F551" s="258" t="str">
        <f>IFERROR(__xludf.DUMMYFUNCTION("""COMPUTED_VALUE"""),"Model S 85D")</f>
        <v>Model S 85D</v>
      </c>
      <c r="G551" s="258" t="str">
        <f>IFERROR(__xludf.DUMMYFUNCTION("""COMPUTED_VALUE"""),"Twice a month")</f>
        <v>Twice a month</v>
      </c>
      <c r="H551" s="258" t="str">
        <f>IFERROR(__xludf.DUMMYFUNCTION("""COMPUTED_VALUE"""),"Monthly")</f>
        <v>Monthly</v>
      </c>
      <c r="I551" s="258" t="str">
        <f>IFERROR(__xludf.DUMMYFUNCTION("""COMPUTED_VALUE"""),"Once or twice a year")</f>
        <v>Once or twice a year</v>
      </c>
      <c r="J551" s="260">
        <f>IFERROR(__xludf.DUMMYFUNCTION("""COMPUTED_VALUE"""),0.8)</f>
        <v>0.8</v>
      </c>
      <c r="K551" s="258" t="str">
        <f>IFERROR(__xludf.DUMMYFUNCTION("""COMPUTED_VALUE"""),"")</f>
        <v/>
      </c>
      <c r="L551" s="258" t="str">
        <f>IFERROR(__xludf.DUMMYFUNCTION("""COMPUTED_VALUE"""),"")</f>
        <v/>
      </c>
      <c r="M551" s="261">
        <f>IFERROR(__xludf.DUMMYFUNCTION("""COMPUTED_VALUE"""),206.0)</f>
        <v>206</v>
      </c>
      <c r="N551" s="262" t="str">
        <f>IFERROR(__xludf.DUMMYFUNCTION("""COMPUTED_VALUE"""),"")</f>
        <v/>
      </c>
      <c r="O551" s="259" t="str">
        <f>IFERROR(__xludf.DUMMYFUNCTION("""COMPUTED_VALUE"""),"")</f>
        <v/>
      </c>
      <c r="P551" s="259">
        <f>IFERROR(__xludf.DUMMYFUNCTION("""COMPUTED_VALUE"""),42634.0)</f>
        <v>42634</v>
      </c>
      <c r="Q551" s="258">
        <f>IFERROR(__xludf.DUMMYFUNCTION("""COMPUTED_VALUE"""),63010.0)</f>
        <v>63010</v>
      </c>
      <c r="R551" s="261">
        <f>IFERROR(__xludf.DUMMYFUNCTION("""COMPUTED_VALUE"""),414.0)</f>
        <v>414</v>
      </c>
      <c r="S551" s="258">
        <v>425.0</v>
      </c>
      <c r="T551" s="263">
        <v>0.9741176470588235</v>
      </c>
      <c r="U551" s="264">
        <v>39153.0</v>
      </c>
      <c r="V551" s="265">
        <v>63010.0</v>
      </c>
      <c r="W551" s="264">
        <v>39153.0</v>
      </c>
      <c r="X551" s="266" t="str">
        <f>IFERROR(__xludf.DUMMYFUNCTION("""COMPUTED_VALUE"""),"ticketchu")</f>
        <v>ticketchu</v>
      </c>
      <c r="Y551" s="267">
        <v>-0.01</v>
      </c>
      <c r="Z551" s="267">
        <v>0.9558071017219084</v>
      </c>
      <c r="AA551" s="269"/>
      <c r="AB551" s="270"/>
      <c r="AC551" s="270"/>
      <c r="AD551" s="270"/>
      <c r="AE551" s="270"/>
    </row>
    <row r="552">
      <c r="A552" s="256">
        <f>IFERROR(__xludf.DUMMYFUNCTION("""COMPUTED_VALUE"""),42653.450694444444)</f>
        <v>42653.45069</v>
      </c>
      <c r="B552" s="257" t="str">
        <f>IFERROR(__xludf.DUMMYFUNCTION("""COMPUTED_VALUE"""),"Greenstorm")</f>
        <v>Greenstorm</v>
      </c>
      <c r="C552" s="258" t="str">
        <f>IFERROR(__xludf.DUMMYFUNCTION("""COMPUTED_VALUE"""),"Europe (excluding UK) &amp; Asia Pacific")</f>
        <v>Europe (excluding UK) &amp; Asia Pacific</v>
      </c>
      <c r="D552" s="258" t="str">
        <f>IFERROR(__xludf.DUMMYFUNCTION("""COMPUTED_VALUE"""),"km. My car displays range in kilometres and I will enter all range numbers in kilometres.")</f>
        <v>km. My car displays range in kilometres and I will enter all range numbers in kilometres.</v>
      </c>
      <c r="E552" s="259">
        <f>IFERROR(__xludf.DUMMYFUNCTION("""COMPUTED_VALUE"""),42165.0)</f>
        <v>42165</v>
      </c>
      <c r="F552" s="258" t="str">
        <f>IFERROR(__xludf.DUMMYFUNCTION("""COMPUTED_VALUE"""),"Model S 85D")</f>
        <v>Model S 85D</v>
      </c>
      <c r="G552" s="258" t="str">
        <f>IFERROR(__xludf.DUMMYFUNCTION("""COMPUTED_VALUE"""),"Twice a month")</f>
        <v>Twice a month</v>
      </c>
      <c r="H552" s="258" t="str">
        <f>IFERROR(__xludf.DUMMYFUNCTION("""COMPUTED_VALUE"""),"Monthly")</f>
        <v>Monthly</v>
      </c>
      <c r="I552" s="258" t="str">
        <f>IFERROR(__xludf.DUMMYFUNCTION("""COMPUTED_VALUE"""),"Once or twice a year")</f>
        <v>Once or twice a year</v>
      </c>
      <c r="J552" s="260">
        <f>IFERROR(__xludf.DUMMYFUNCTION("""COMPUTED_VALUE"""),0.8)</f>
        <v>0.8</v>
      </c>
      <c r="K552" s="258" t="str">
        <f>IFERROR(__xludf.DUMMYFUNCTION("""COMPUTED_VALUE"""),"")</f>
        <v/>
      </c>
      <c r="L552" s="258" t="str">
        <f>IFERROR(__xludf.DUMMYFUNCTION("""COMPUTED_VALUE"""),"")</f>
        <v/>
      </c>
      <c r="M552" s="261">
        <f>IFERROR(__xludf.DUMMYFUNCTION("""COMPUTED_VALUE"""),206.0)</f>
        <v>206</v>
      </c>
      <c r="N552" s="262" t="str">
        <f>IFERROR(__xludf.DUMMYFUNCTION("""COMPUTED_VALUE"""),"")</f>
        <v/>
      </c>
      <c r="O552" s="259" t="str">
        <f>IFERROR(__xludf.DUMMYFUNCTION("""COMPUTED_VALUE"""),"")</f>
        <v/>
      </c>
      <c r="P552" s="259">
        <f>IFERROR(__xludf.DUMMYFUNCTION("""COMPUTED_VALUE"""),42653.0)</f>
        <v>42653</v>
      </c>
      <c r="Q552" s="258">
        <f>IFERROR(__xludf.DUMMYFUNCTION("""COMPUTED_VALUE"""),64468.0)</f>
        <v>64468</v>
      </c>
      <c r="R552" s="261">
        <f>IFERROR(__xludf.DUMMYFUNCTION("""COMPUTED_VALUE"""),415.0)</f>
        <v>415</v>
      </c>
      <c r="S552" s="258">
        <v>425.0</v>
      </c>
      <c r="T552" s="263">
        <v>0.9764705882352941</v>
      </c>
      <c r="U552" s="264">
        <v>40059.0</v>
      </c>
      <c r="V552" s="265">
        <v>64468.0</v>
      </c>
      <c r="W552" s="264">
        <v>40059.0</v>
      </c>
      <c r="X552" s="266" t="str">
        <f>IFERROR(__xludf.DUMMYFUNCTION("""COMPUTED_VALUE"""),"ticobird")</f>
        <v>ticobird</v>
      </c>
      <c r="Y552" s="267">
        <v>-0.01</v>
      </c>
      <c r="Z552" s="267">
        <v>0.9554073698388655</v>
      </c>
      <c r="AA552" s="269"/>
      <c r="AB552" s="270"/>
      <c r="AC552" s="270"/>
      <c r="AD552" s="270"/>
      <c r="AE552" s="270"/>
    </row>
    <row r="553">
      <c r="A553" s="256">
        <f>IFERROR(__xludf.DUMMYFUNCTION("""COMPUTED_VALUE"""),42654.45138888889)</f>
        <v>42654.45139</v>
      </c>
      <c r="B553" s="257" t="str">
        <f>IFERROR(__xludf.DUMMYFUNCTION("""COMPUTED_VALUE"""),"Greenstorm")</f>
        <v>Greenstorm</v>
      </c>
      <c r="C553" s="258" t="str">
        <f>IFERROR(__xludf.DUMMYFUNCTION("""COMPUTED_VALUE"""),"Europe (excluding UK) &amp; Asia Pacific")</f>
        <v>Europe (excluding UK) &amp; Asia Pacific</v>
      </c>
      <c r="D553" s="258" t="str">
        <f>IFERROR(__xludf.DUMMYFUNCTION("""COMPUTED_VALUE"""),"km. My car displays range in kilometres and I will enter all range numbers in kilometres.")</f>
        <v>km. My car displays range in kilometres and I will enter all range numbers in kilometres.</v>
      </c>
      <c r="E553" s="259">
        <f>IFERROR(__xludf.DUMMYFUNCTION("""COMPUTED_VALUE"""),42165.0)</f>
        <v>42165</v>
      </c>
      <c r="F553" s="258" t="str">
        <f>IFERROR(__xludf.DUMMYFUNCTION("""COMPUTED_VALUE"""),"Model S 85D")</f>
        <v>Model S 85D</v>
      </c>
      <c r="G553" s="258" t="str">
        <f>IFERROR(__xludf.DUMMYFUNCTION("""COMPUTED_VALUE"""),"Twice a month")</f>
        <v>Twice a month</v>
      </c>
      <c r="H553" s="258" t="str">
        <f>IFERROR(__xludf.DUMMYFUNCTION("""COMPUTED_VALUE"""),"Monthly")</f>
        <v>Monthly</v>
      </c>
      <c r="I553" s="258" t="str">
        <f>IFERROR(__xludf.DUMMYFUNCTION("""COMPUTED_VALUE"""),"Once or twice a year")</f>
        <v>Once or twice a year</v>
      </c>
      <c r="J553" s="260">
        <f>IFERROR(__xludf.DUMMYFUNCTION("""COMPUTED_VALUE"""),0.8)</f>
        <v>0.8</v>
      </c>
      <c r="K553" s="258" t="str">
        <f>IFERROR(__xludf.DUMMYFUNCTION("""COMPUTED_VALUE"""),"")</f>
        <v/>
      </c>
      <c r="L553" s="258" t="str">
        <f>IFERROR(__xludf.DUMMYFUNCTION("""COMPUTED_VALUE"""),"")</f>
        <v/>
      </c>
      <c r="M553" s="261">
        <f>IFERROR(__xludf.DUMMYFUNCTION("""COMPUTED_VALUE"""),206.0)</f>
        <v>206</v>
      </c>
      <c r="N553" s="262" t="str">
        <f>IFERROR(__xludf.DUMMYFUNCTION("""COMPUTED_VALUE"""),"")</f>
        <v/>
      </c>
      <c r="O553" s="259" t="str">
        <f>IFERROR(__xludf.DUMMYFUNCTION("""COMPUTED_VALUE"""),"")</f>
        <v/>
      </c>
      <c r="P553" s="259">
        <f>IFERROR(__xludf.DUMMYFUNCTION("""COMPUTED_VALUE"""),42654.0)</f>
        <v>42654</v>
      </c>
      <c r="Q553" s="258">
        <f>IFERROR(__xludf.DUMMYFUNCTION("""COMPUTED_VALUE"""),65086.0)</f>
        <v>65086</v>
      </c>
      <c r="R553" s="261">
        <f>IFERROR(__xludf.DUMMYFUNCTION("""COMPUTED_VALUE"""),416.0)</f>
        <v>416</v>
      </c>
      <c r="S553" s="258">
        <v>425.0</v>
      </c>
      <c r="T553" s="263">
        <v>0.9788235294117648</v>
      </c>
      <c r="U553" s="264">
        <v>40443.0</v>
      </c>
      <c r="V553" s="265">
        <v>65086.0</v>
      </c>
      <c r="W553" s="264">
        <v>40443.0</v>
      </c>
      <c r="X553" s="266" t="str">
        <f>IFERROR(__xludf.DUMMYFUNCTION("""COMPUTED_VALUE"""),"Tintorera")</f>
        <v>Tintorera</v>
      </c>
      <c r="Y553" s="267">
        <v>-0.01</v>
      </c>
      <c r="Z553" s="267">
        <v>0.9552395173854396</v>
      </c>
      <c r="AA553" s="269"/>
      <c r="AB553" s="270"/>
      <c r="AC553" s="270"/>
      <c r="AD553" s="270"/>
      <c r="AE553" s="270"/>
    </row>
    <row r="554">
      <c r="A554" s="256">
        <f>IFERROR(__xludf.DUMMYFUNCTION("""COMPUTED_VALUE"""),42655.45208333334)</f>
        <v>42655.45208</v>
      </c>
      <c r="B554" s="257" t="str">
        <f>IFERROR(__xludf.DUMMYFUNCTION("""COMPUTED_VALUE"""),"Greenstorm")</f>
        <v>Greenstorm</v>
      </c>
      <c r="C554" s="258" t="str">
        <f>IFERROR(__xludf.DUMMYFUNCTION("""COMPUTED_VALUE"""),"Europe (excluding UK) &amp; Asia Pacific")</f>
        <v>Europe (excluding UK) &amp; Asia Pacific</v>
      </c>
      <c r="D554" s="258" t="str">
        <f>IFERROR(__xludf.DUMMYFUNCTION("""COMPUTED_VALUE"""),"km. My car displays range in kilometres and I will enter all range numbers in kilometres.")</f>
        <v>km. My car displays range in kilometres and I will enter all range numbers in kilometres.</v>
      </c>
      <c r="E554" s="259">
        <f>IFERROR(__xludf.DUMMYFUNCTION("""COMPUTED_VALUE"""),42165.0)</f>
        <v>42165</v>
      </c>
      <c r="F554" s="258" t="str">
        <f>IFERROR(__xludf.DUMMYFUNCTION("""COMPUTED_VALUE"""),"Model S 85D")</f>
        <v>Model S 85D</v>
      </c>
      <c r="G554" s="258" t="str">
        <f>IFERROR(__xludf.DUMMYFUNCTION("""COMPUTED_VALUE"""),"Twice a month")</f>
        <v>Twice a month</v>
      </c>
      <c r="H554" s="258" t="str">
        <f>IFERROR(__xludf.DUMMYFUNCTION("""COMPUTED_VALUE"""),"Monthly")</f>
        <v>Monthly</v>
      </c>
      <c r="I554" s="258" t="str">
        <f>IFERROR(__xludf.DUMMYFUNCTION("""COMPUTED_VALUE"""),"Once or twice a year")</f>
        <v>Once or twice a year</v>
      </c>
      <c r="J554" s="260">
        <f>IFERROR(__xludf.DUMMYFUNCTION("""COMPUTED_VALUE"""),0.8)</f>
        <v>0.8</v>
      </c>
      <c r="K554" s="258" t="str">
        <f>IFERROR(__xludf.DUMMYFUNCTION("""COMPUTED_VALUE"""),"")</f>
        <v/>
      </c>
      <c r="L554" s="258" t="str">
        <f>IFERROR(__xludf.DUMMYFUNCTION("""COMPUTED_VALUE"""),"")</f>
        <v/>
      </c>
      <c r="M554" s="261">
        <f>IFERROR(__xludf.DUMMYFUNCTION("""COMPUTED_VALUE"""),206.0)</f>
        <v>206</v>
      </c>
      <c r="N554" s="262" t="str">
        <f>IFERROR(__xludf.DUMMYFUNCTION("""COMPUTED_VALUE"""),"")</f>
        <v/>
      </c>
      <c r="O554" s="259" t="str">
        <f>IFERROR(__xludf.DUMMYFUNCTION("""COMPUTED_VALUE"""),"")</f>
        <v/>
      </c>
      <c r="P554" s="259">
        <f>IFERROR(__xludf.DUMMYFUNCTION("""COMPUTED_VALUE"""),42655.0)</f>
        <v>42655</v>
      </c>
      <c r="Q554" s="258">
        <f>IFERROR(__xludf.DUMMYFUNCTION("""COMPUTED_VALUE"""),65739.0)</f>
        <v>65739</v>
      </c>
      <c r="R554" s="261">
        <f>IFERROR(__xludf.DUMMYFUNCTION("""COMPUTED_VALUE"""),414.0)</f>
        <v>414</v>
      </c>
      <c r="S554" s="258">
        <v>425.0</v>
      </c>
      <c r="T554" s="263">
        <v>0.9741176470588235</v>
      </c>
      <c r="U554" s="264">
        <v>40848.0</v>
      </c>
      <c r="V554" s="265">
        <v>65739.0</v>
      </c>
      <c r="W554" s="264">
        <v>40848.0</v>
      </c>
      <c r="X554" s="266" t="str">
        <f>IFERROR(__xludf.DUMMYFUNCTION("""COMPUTED_VALUE"""),"TJPDX")</f>
        <v>TJPDX</v>
      </c>
      <c r="Y554" s="267">
        <v>-0.01</v>
      </c>
      <c r="Z554" s="267">
        <v>0.9550631287388526</v>
      </c>
      <c r="AA554" s="269"/>
      <c r="AB554" s="270"/>
      <c r="AC554" s="270"/>
      <c r="AD554" s="270"/>
      <c r="AE554" s="270"/>
    </row>
    <row r="555">
      <c r="A555" s="256">
        <f>IFERROR(__xludf.DUMMYFUNCTION("""COMPUTED_VALUE"""),42661.45277777778)</f>
        <v>42661.45278</v>
      </c>
      <c r="B555" s="257" t="str">
        <f>IFERROR(__xludf.DUMMYFUNCTION("""COMPUTED_VALUE"""),"Greenstorm")</f>
        <v>Greenstorm</v>
      </c>
      <c r="C555" s="258" t="str">
        <f>IFERROR(__xludf.DUMMYFUNCTION("""COMPUTED_VALUE"""),"Europe (excluding UK) &amp; Asia Pacific")</f>
        <v>Europe (excluding UK) &amp; Asia Pacific</v>
      </c>
      <c r="D555" s="258" t="str">
        <f>IFERROR(__xludf.DUMMYFUNCTION("""COMPUTED_VALUE"""),"km. My car displays range in kilometres and I will enter all range numbers in kilometres.")</f>
        <v>km. My car displays range in kilometres and I will enter all range numbers in kilometres.</v>
      </c>
      <c r="E555" s="259">
        <f>IFERROR(__xludf.DUMMYFUNCTION("""COMPUTED_VALUE"""),42165.0)</f>
        <v>42165</v>
      </c>
      <c r="F555" s="258" t="str">
        <f>IFERROR(__xludf.DUMMYFUNCTION("""COMPUTED_VALUE"""),"Model S 85D")</f>
        <v>Model S 85D</v>
      </c>
      <c r="G555" s="258" t="str">
        <f>IFERROR(__xludf.DUMMYFUNCTION("""COMPUTED_VALUE"""),"Twice a month")</f>
        <v>Twice a month</v>
      </c>
      <c r="H555" s="258" t="str">
        <f>IFERROR(__xludf.DUMMYFUNCTION("""COMPUTED_VALUE"""),"Monthly")</f>
        <v>Monthly</v>
      </c>
      <c r="I555" s="258" t="str">
        <f>IFERROR(__xludf.DUMMYFUNCTION("""COMPUTED_VALUE"""),"Once or twice a year")</f>
        <v>Once or twice a year</v>
      </c>
      <c r="J555" s="260">
        <f>IFERROR(__xludf.DUMMYFUNCTION("""COMPUTED_VALUE"""),0.8)</f>
        <v>0.8</v>
      </c>
      <c r="K555" s="258" t="str">
        <f>IFERROR(__xludf.DUMMYFUNCTION("""COMPUTED_VALUE"""),"")</f>
        <v/>
      </c>
      <c r="L555" s="258" t="str">
        <f>IFERROR(__xludf.DUMMYFUNCTION("""COMPUTED_VALUE"""),"")</f>
        <v/>
      </c>
      <c r="M555" s="261">
        <f>IFERROR(__xludf.DUMMYFUNCTION("""COMPUTED_VALUE"""),206.0)</f>
        <v>206</v>
      </c>
      <c r="N555" s="262" t="str">
        <f>IFERROR(__xludf.DUMMYFUNCTION("""COMPUTED_VALUE"""),"")</f>
        <v/>
      </c>
      <c r="O555" s="259" t="str">
        <f>IFERROR(__xludf.DUMMYFUNCTION("""COMPUTED_VALUE"""),"")</f>
        <v/>
      </c>
      <c r="P555" s="259">
        <f>IFERROR(__xludf.DUMMYFUNCTION("""COMPUTED_VALUE"""),42661.0)</f>
        <v>42661</v>
      </c>
      <c r="Q555" s="258">
        <f>IFERROR(__xludf.DUMMYFUNCTION("""COMPUTED_VALUE"""),66604.0)</f>
        <v>66604</v>
      </c>
      <c r="R555" s="261">
        <f>IFERROR(__xludf.DUMMYFUNCTION("""COMPUTED_VALUE"""),417.0)</f>
        <v>417</v>
      </c>
      <c r="S555" s="258">
        <v>425.0</v>
      </c>
      <c r="T555" s="263">
        <v>0.9811764705882353</v>
      </c>
      <c r="U555" s="264">
        <v>41386.0</v>
      </c>
      <c r="V555" s="265">
        <v>66604.0</v>
      </c>
      <c r="W555" s="264">
        <v>41386.0</v>
      </c>
      <c r="X555" s="266" t="str">
        <f>IFERROR(__xludf.DUMMYFUNCTION("""COMPUTED_VALUE"""),"tliviuc")</f>
        <v>tliviuc</v>
      </c>
      <c r="Y555" s="267">
        <v>-0.01</v>
      </c>
      <c r="Z555" s="267">
        <v>0.9548309470437097</v>
      </c>
      <c r="AA555" s="269"/>
      <c r="AB555" s="270"/>
      <c r="AC555" s="270"/>
      <c r="AD555" s="270"/>
      <c r="AE555" s="270"/>
    </row>
    <row r="556">
      <c r="A556" s="256">
        <f>IFERROR(__xludf.DUMMYFUNCTION("""COMPUTED_VALUE"""),42668.45347222222)</f>
        <v>42668.45347</v>
      </c>
      <c r="B556" s="257" t="str">
        <f>IFERROR(__xludf.DUMMYFUNCTION("""COMPUTED_VALUE"""),"Greenstorm")</f>
        <v>Greenstorm</v>
      </c>
      <c r="C556" s="258" t="str">
        <f>IFERROR(__xludf.DUMMYFUNCTION("""COMPUTED_VALUE"""),"Europe (excluding UK) &amp; Asia Pacific")</f>
        <v>Europe (excluding UK) &amp; Asia Pacific</v>
      </c>
      <c r="D556" s="258" t="str">
        <f>IFERROR(__xludf.DUMMYFUNCTION("""COMPUTED_VALUE"""),"km. My car displays range in kilometres and I will enter all range numbers in kilometres.")</f>
        <v>km. My car displays range in kilometres and I will enter all range numbers in kilometres.</v>
      </c>
      <c r="E556" s="259">
        <f>IFERROR(__xludf.DUMMYFUNCTION("""COMPUTED_VALUE"""),42165.0)</f>
        <v>42165</v>
      </c>
      <c r="F556" s="258" t="str">
        <f>IFERROR(__xludf.DUMMYFUNCTION("""COMPUTED_VALUE"""),"Model S 85D")</f>
        <v>Model S 85D</v>
      </c>
      <c r="G556" s="258" t="str">
        <f>IFERROR(__xludf.DUMMYFUNCTION("""COMPUTED_VALUE"""),"Twice a month")</f>
        <v>Twice a month</v>
      </c>
      <c r="H556" s="258" t="str">
        <f>IFERROR(__xludf.DUMMYFUNCTION("""COMPUTED_VALUE"""),"Monthly")</f>
        <v>Monthly</v>
      </c>
      <c r="I556" s="258" t="str">
        <f>IFERROR(__xludf.DUMMYFUNCTION("""COMPUTED_VALUE"""),"Once or twice a year")</f>
        <v>Once or twice a year</v>
      </c>
      <c r="J556" s="260">
        <f>IFERROR(__xludf.DUMMYFUNCTION("""COMPUTED_VALUE"""),0.8)</f>
        <v>0.8</v>
      </c>
      <c r="K556" s="258" t="str">
        <f>IFERROR(__xludf.DUMMYFUNCTION("""COMPUTED_VALUE"""),"")</f>
        <v/>
      </c>
      <c r="L556" s="258" t="str">
        <f>IFERROR(__xludf.DUMMYFUNCTION("""COMPUTED_VALUE"""),"")</f>
        <v/>
      </c>
      <c r="M556" s="261">
        <f>IFERROR(__xludf.DUMMYFUNCTION("""COMPUTED_VALUE"""),206.0)</f>
        <v>206</v>
      </c>
      <c r="N556" s="262" t="str">
        <f>IFERROR(__xludf.DUMMYFUNCTION("""COMPUTED_VALUE"""),"")</f>
        <v/>
      </c>
      <c r="O556" s="259" t="str">
        <f>IFERROR(__xludf.DUMMYFUNCTION("""COMPUTED_VALUE"""),"")</f>
        <v/>
      </c>
      <c r="P556" s="259">
        <f>IFERROR(__xludf.DUMMYFUNCTION("""COMPUTED_VALUE"""),42668.0)</f>
        <v>42668</v>
      </c>
      <c r="Q556" s="258">
        <f>IFERROR(__xludf.DUMMYFUNCTION("""COMPUTED_VALUE"""),67245.0)</f>
        <v>67245</v>
      </c>
      <c r="R556" s="261">
        <f>IFERROR(__xludf.DUMMYFUNCTION("""COMPUTED_VALUE"""),415.0)</f>
        <v>415</v>
      </c>
      <c r="S556" s="258">
        <v>425.0</v>
      </c>
      <c r="T556" s="263">
        <v>0.9764705882352941</v>
      </c>
      <c r="U556" s="264">
        <v>41784.0</v>
      </c>
      <c r="V556" s="265">
        <v>67245.0</v>
      </c>
      <c r="W556" s="264">
        <v>41784.0</v>
      </c>
      <c r="X556" s="266" t="str">
        <f>IFERROR(__xludf.DUMMYFUNCTION("""COMPUTED_VALUE"""),"TMiller")</f>
        <v>TMiller</v>
      </c>
      <c r="Y556" s="267">
        <v>-0.01</v>
      </c>
      <c r="Z556" s="267">
        <v>0.9546599291951274</v>
      </c>
      <c r="AA556" s="269"/>
      <c r="AB556" s="270"/>
      <c r="AC556" s="270"/>
      <c r="AD556" s="270"/>
      <c r="AE556" s="270"/>
    </row>
    <row r="557">
      <c r="A557" s="256">
        <f>IFERROR(__xludf.DUMMYFUNCTION("""COMPUTED_VALUE"""),42670.45416666666)</f>
        <v>42670.45417</v>
      </c>
      <c r="B557" s="257" t="str">
        <f>IFERROR(__xludf.DUMMYFUNCTION("""COMPUTED_VALUE"""),"Greenstorm")</f>
        <v>Greenstorm</v>
      </c>
      <c r="C557" s="258" t="str">
        <f>IFERROR(__xludf.DUMMYFUNCTION("""COMPUTED_VALUE"""),"Europe (excluding UK) &amp; Asia Pacific")</f>
        <v>Europe (excluding UK) &amp; Asia Pacific</v>
      </c>
      <c r="D557" s="258" t="str">
        <f>IFERROR(__xludf.DUMMYFUNCTION("""COMPUTED_VALUE"""),"km. My car displays range in kilometres and I will enter all range numbers in kilometres.")</f>
        <v>km. My car displays range in kilometres and I will enter all range numbers in kilometres.</v>
      </c>
      <c r="E557" s="259">
        <f>IFERROR(__xludf.DUMMYFUNCTION("""COMPUTED_VALUE"""),42165.0)</f>
        <v>42165</v>
      </c>
      <c r="F557" s="258" t="str">
        <f>IFERROR(__xludf.DUMMYFUNCTION("""COMPUTED_VALUE"""),"Model S 85D")</f>
        <v>Model S 85D</v>
      </c>
      <c r="G557" s="258" t="str">
        <f>IFERROR(__xludf.DUMMYFUNCTION("""COMPUTED_VALUE"""),"Twice a month")</f>
        <v>Twice a month</v>
      </c>
      <c r="H557" s="258" t="str">
        <f>IFERROR(__xludf.DUMMYFUNCTION("""COMPUTED_VALUE"""),"Monthly")</f>
        <v>Monthly</v>
      </c>
      <c r="I557" s="258" t="str">
        <f>IFERROR(__xludf.DUMMYFUNCTION("""COMPUTED_VALUE"""),"Once or twice a year")</f>
        <v>Once or twice a year</v>
      </c>
      <c r="J557" s="260">
        <f>IFERROR(__xludf.DUMMYFUNCTION("""COMPUTED_VALUE"""),0.8)</f>
        <v>0.8</v>
      </c>
      <c r="K557" s="258" t="str">
        <f>IFERROR(__xludf.DUMMYFUNCTION("""COMPUTED_VALUE"""),"")</f>
        <v/>
      </c>
      <c r="L557" s="258" t="str">
        <f>IFERROR(__xludf.DUMMYFUNCTION("""COMPUTED_VALUE"""),"")</f>
        <v/>
      </c>
      <c r="M557" s="261">
        <f>IFERROR(__xludf.DUMMYFUNCTION("""COMPUTED_VALUE"""),206.0)</f>
        <v>206</v>
      </c>
      <c r="N557" s="262" t="str">
        <f>IFERROR(__xludf.DUMMYFUNCTION("""COMPUTED_VALUE"""),"")</f>
        <v/>
      </c>
      <c r="O557" s="259" t="str">
        <f>IFERROR(__xludf.DUMMYFUNCTION("""COMPUTED_VALUE"""),"")</f>
        <v/>
      </c>
      <c r="P557" s="259">
        <f>IFERROR(__xludf.DUMMYFUNCTION("""COMPUTED_VALUE"""),42670.0)</f>
        <v>42670</v>
      </c>
      <c r="Q557" s="258">
        <f>IFERROR(__xludf.DUMMYFUNCTION("""COMPUTED_VALUE"""),68687.0)</f>
        <v>68687</v>
      </c>
      <c r="R557" s="261">
        <f>IFERROR(__xludf.DUMMYFUNCTION("""COMPUTED_VALUE"""),415.0)</f>
        <v>415</v>
      </c>
      <c r="S557" s="258">
        <v>425.0</v>
      </c>
      <c r="T557" s="263">
        <v>0.9764705882352941</v>
      </c>
      <c r="U557" s="264">
        <v>42680.0</v>
      </c>
      <c r="V557" s="265">
        <v>68687.0</v>
      </c>
      <c r="W557" s="264">
        <v>42680.0</v>
      </c>
      <c r="X557" s="266" t="str">
        <f>IFERROR(__xludf.DUMMYFUNCTION("""COMPUTED_VALUE"""),"tnt369")</f>
        <v>tnt369</v>
      </c>
      <c r="Y557" s="267">
        <v>-0.01</v>
      </c>
      <c r="Z557" s="267">
        <v>0.9542782571552781</v>
      </c>
      <c r="AA557" s="269"/>
      <c r="AB557" s="270"/>
      <c r="AC557" s="270"/>
      <c r="AD557" s="270"/>
      <c r="AE557" s="270"/>
    </row>
    <row r="558">
      <c r="A558" s="256">
        <f>IFERROR(__xludf.DUMMYFUNCTION("""COMPUTED_VALUE"""),42692.48263888889)</f>
        <v>42692.48264</v>
      </c>
      <c r="B558" s="257" t="str">
        <f>IFERROR(__xludf.DUMMYFUNCTION("""COMPUTED_VALUE"""),"Greenstorm")</f>
        <v>Greenstorm</v>
      </c>
      <c r="C558" s="258" t="str">
        <f>IFERROR(__xludf.DUMMYFUNCTION("""COMPUTED_VALUE"""),"Europe (excluding UK) &amp; Asia Pacific")</f>
        <v>Europe (excluding UK) &amp; Asia Pacific</v>
      </c>
      <c r="D558" s="258" t="str">
        <f>IFERROR(__xludf.DUMMYFUNCTION("""COMPUTED_VALUE"""),"km. My car displays range in kilometres and I will enter all range numbers in kilometres.")</f>
        <v>km. My car displays range in kilometres and I will enter all range numbers in kilometres.</v>
      </c>
      <c r="E558" s="259">
        <f>IFERROR(__xludf.DUMMYFUNCTION("""COMPUTED_VALUE"""),42165.0)</f>
        <v>42165</v>
      </c>
      <c r="F558" s="258" t="str">
        <f>IFERROR(__xludf.DUMMYFUNCTION("""COMPUTED_VALUE"""),"Model S 85D")</f>
        <v>Model S 85D</v>
      </c>
      <c r="G558" s="258" t="str">
        <f>IFERROR(__xludf.DUMMYFUNCTION("""COMPUTED_VALUE"""),"Twice a month")</f>
        <v>Twice a month</v>
      </c>
      <c r="H558" s="258" t="str">
        <f>IFERROR(__xludf.DUMMYFUNCTION("""COMPUTED_VALUE"""),"Monthly")</f>
        <v>Monthly</v>
      </c>
      <c r="I558" s="258" t="str">
        <f>IFERROR(__xludf.DUMMYFUNCTION("""COMPUTED_VALUE"""),"Once or twice a year")</f>
        <v>Once or twice a year</v>
      </c>
      <c r="J558" s="260">
        <f>IFERROR(__xludf.DUMMYFUNCTION("""COMPUTED_VALUE"""),0.8)</f>
        <v>0.8</v>
      </c>
      <c r="K558" s="258" t="str">
        <f>IFERROR(__xludf.DUMMYFUNCTION("""COMPUTED_VALUE"""),"")</f>
        <v/>
      </c>
      <c r="L558" s="258" t="str">
        <f>IFERROR(__xludf.DUMMYFUNCTION("""COMPUTED_VALUE"""),"")</f>
        <v/>
      </c>
      <c r="M558" s="261">
        <f>IFERROR(__xludf.DUMMYFUNCTION("""COMPUTED_VALUE"""),206.0)</f>
        <v>206</v>
      </c>
      <c r="N558" s="262" t="str">
        <f>IFERROR(__xludf.DUMMYFUNCTION("""COMPUTED_VALUE"""),"")</f>
        <v/>
      </c>
      <c r="O558" s="259" t="str">
        <f>IFERROR(__xludf.DUMMYFUNCTION("""COMPUTED_VALUE"""),"")</f>
        <v/>
      </c>
      <c r="P558" s="259">
        <f>IFERROR(__xludf.DUMMYFUNCTION("""COMPUTED_VALUE"""),42692.0)</f>
        <v>42692</v>
      </c>
      <c r="Q558" s="258">
        <f>IFERROR(__xludf.DUMMYFUNCTION("""COMPUTED_VALUE"""),70532.0)</f>
        <v>70532</v>
      </c>
      <c r="R558" s="261">
        <f>IFERROR(__xludf.DUMMYFUNCTION("""COMPUTED_VALUE"""),415.0)</f>
        <v>415</v>
      </c>
      <c r="S558" s="258">
        <v>425.0</v>
      </c>
      <c r="T558" s="263">
        <v>0.9764705882352941</v>
      </c>
      <c r="U558" s="264">
        <v>43827.0</v>
      </c>
      <c r="V558" s="265">
        <v>70532.0</v>
      </c>
      <c r="W558" s="264">
        <v>43827.0</v>
      </c>
      <c r="X558" s="266" t="str">
        <f>IFERROR(__xludf.DUMMYFUNCTION("""COMPUTED_VALUE"""),"tnt71")</f>
        <v>tnt71</v>
      </c>
      <c r="Y558" s="267">
        <v>-0.01</v>
      </c>
      <c r="Z558" s="267">
        <v>0.9537956299422365</v>
      </c>
      <c r="AA558" s="269"/>
      <c r="AB558" s="270"/>
      <c r="AC558" s="270"/>
      <c r="AD558" s="270"/>
      <c r="AE558" s="270"/>
    </row>
    <row r="559">
      <c r="A559" s="256">
        <f>IFERROR(__xludf.DUMMYFUNCTION("""COMPUTED_VALUE"""),42702.48333333334)</f>
        <v>42702.48333</v>
      </c>
      <c r="B559" s="257" t="str">
        <f>IFERROR(__xludf.DUMMYFUNCTION("""COMPUTED_VALUE"""),"Greenstorm")</f>
        <v>Greenstorm</v>
      </c>
      <c r="C559" s="258" t="str">
        <f>IFERROR(__xludf.DUMMYFUNCTION("""COMPUTED_VALUE"""),"Europe (excluding UK) &amp; Asia Pacific")</f>
        <v>Europe (excluding UK) &amp; Asia Pacific</v>
      </c>
      <c r="D559" s="258" t="str">
        <f>IFERROR(__xludf.DUMMYFUNCTION("""COMPUTED_VALUE"""),"km. My car displays range in kilometres and I will enter all range numbers in kilometres.")</f>
        <v>km. My car displays range in kilometres and I will enter all range numbers in kilometres.</v>
      </c>
      <c r="E559" s="259">
        <f>IFERROR(__xludf.DUMMYFUNCTION("""COMPUTED_VALUE"""),42165.0)</f>
        <v>42165</v>
      </c>
      <c r="F559" s="258" t="str">
        <f>IFERROR(__xludf.DUMMYFUNCTION("""COMPUTED_VALUE"""),"Model S 85D")</f>
        <v>Model S 85D</v>
      </c>
      <c r="G559" s="258" t="str">
        <f>IFERROR(__xludf.DUMMYFUNCTION("""COMPUTED_VALUE"""),"Twice a month")</f>
        <v>Twice a month</v>
      </c>
      <c r="H559" s="258" t="str">
        <f>IFERROR(__xludf.DUMMYFUNCTION("""COMPUTED_VALUE"""),"Monthly")</f>
        <v>Monthly</v>
      </c>
      <c r="I559" s="258" t="str">
        <f>IFERROR(__xludf.DUMMYFUNCTION("""COMPUTED_VALUE"""),"Once or twice a year")</f>
        <v>Once or twice a year</v>
      </c>
      <c r="J559" s="260">
        <f>IFERROR(__xludf.DUMMYFUNCTION("""COMPUTED_VALUE"""),0.8)</f>
        <v>0.8</v>
      </c>
      <c r="K559" s="258" t="str">
        <f>IFERROR(__xludf.DUMMYFUNCTION("""COMPUTED_VALUE"""),"")</f>
        <v/>
      </c>
      <c r="L559" s="258" t="str">
        <f>IFERROR(__xludf.DUMMYFUNCTION("""COMPUTED_VALUE"""),"")</f>
        <v/>
      </c>
      <c r="M559" s="261">
        <f>IFERROR(__xludf.DUMMYFUNCTION("""COMPUTED_VALUE"""),206.0)</f>
        <v>206</v>
      </c>
      <c r="N559" s="262" t="str">
        <f>IFERROR(__xludf.DUMMYFUNCTION("""COMPUTED_VALUE"""),"")</f>
        <v/>
      </c>
      <c r="O559" s="259" t="str">
        <f>IFERROR(__xludf.DUMMYFUNCTION("""COMPUTED_VALUE"""),"")</f>
        <v/>
      </c>
      <c r="P559" s="259">
        <f>IFERROR(__xludf.DUMMYFUNCTION("""COMPUTED_VALUE"""),42702.0)</f>
        <v>42702</v>
      </c>
      <c r="Q559" s="258">
        <f>IFERROR(__xludf.DUMMYFUNCTION("""COMPUTED_VALUE"""),71619.0)</f>
        <v>71619</v>
      </c>
      <c r="R559" s="261">
        <f>IFERROR(__xludf.DUMMYFUNCTION("""COMPUTED_VALUE"""),410.0)</f>
        <v>410</v>
      </c>
      <c r="S559" s="258">
        <v>425.0</v>
      </c>
      <c r="T559" s="263">
        <v>0.9647058823529412</v>
      </c>
      <c r="U559" s="264">
        <v>44502.0</v>
      </c>
      <c r="V559" s="265">
        <v>71619.0</v>
      </c>
      <c r="W559" s="264">
        <v>44502.0</v>
      </c>
      <c r="X559" s="266" t="str">
        <f>IFERROR(__xludf.DUMMYFUNCTION("""COMPUTED_VALUE"""),"Todd Burch")</f>
        <v>Todd Burch</v>
      </c>
      <c r="Y559" s="267">
        <v>-0.01</v>
      </c>
      <c r="Z559" s="267">
        <v>0.9535140427303933</v>
      </c>
      <c r="AA559" s="269"/>
      <c r="AB559" s="270"/>
      <c r="AC559" s="270"/>
      <c r="AD559" s="270"/>
      <c r="AE559" s="270"/>
    </row>
    <row r="560">
      <c r="A560" s="256">
        <f>IFERROR(__xludf.DUMMYFUNCTION("""COMPUTED_VALUE"""),42716.48472222222)</f>
        <v>42716.48472</v>
      </c>
      <c r="B560" s="257" t="str">
        <f>IFERROR(__xludf.DUMMYFUNCTION("""COMPUTED_VALUE"""),"Greenstorm")</f>
        <v>Greenstorm</v>
      </c>
      <c r="C560" s="258" t="str">
        <f>IFERROR(__xludf.DUMMYFUNCTION("""COMPUTED_VALUE"""),"Europe (excluding UK) &amp; Asia Pacific")</f>
        <v>Europe (excluding UK) &amp; Asia Pacific</v>
      </c>
      <c r="D560" s="258" t="str">
        <f>IFERROR(__xludf.DUMMYFUNCTION("""COMPUTED_VALUE"""),"km. My car displays range in kilometres and I will enter all range numbers in kilometres.")</f>
        <v>km. My car displays range in kilometres and I will enter all range numbers in kilometres.</v>
      </c>
      <c r="E560" s="259">
        <f>IFERROR(__xludf.DUMMYFUNCTION("""COMPUTED_VALUE"""),42165.0)</f>
        <v>42165</v>
      </c>
      <c r="F560" s="258" t="str">
        <f>IFERROR(__xludf.DUMMYFUNCTION("""COMPUTED_VALUE"""),"Model S 85D")</f>
        <v>Model S 85D</v>
      </c>
      <c r="G560" s="258" t="str">
        <f>IFERROR(__xludf.DUMMYFUNCTION("""COMPUTED_VALUE"""),"Twice a month")</f>
        <v>Twice a month</v>
      </c>
      <c r="H560" s="258" t="str">
        <f>IFERROR(__xludf.DUMMYFUNCTION("""COMPUTED_VALUE"""),"Monthly")</f>
        <v>Monthly</v>
      </c>
      <c r="I560" s="258" t="str">
        <f>IFERROR(__xludf.DUMMYFUNCTION("""COMPUTED_VALUE"""),"Once or twice a year")</f>
        <v>Once or twice a year</v>
      </c>
      <c r="J560" s="260">
        <f>IFERROR(__xludf.DUMMYFUNCTION("""COMPUTED_VALUE"""),0.8)</f>
        <v>0.8</v>
      </c>
      <c r="K560" s="258" t="str">
        <f>IFERROR(__xludf.DUMMYFUNCTION("""COMPUTED_VALUE"""),"")</f>
        <v/>
      </c>
      <c r="L560" s="258" t="str">
        <f>IFERROR(__xludf.DUMMYFUNCTION("""COMPUTED_VALUE"""),"")</f>
        <v/>
      </c>
      <c r="M560" s="261">
        <f>IFERROR(__xludf.DUMMYFUNCTION("""COMPUTED_VALUE"""),206.0)</f>
        <v>206</v>
      </c>
      <c r="N560" s="262" t="str">
        <f>IFERROR(__xludf.DUMMYFUNCTION("""COMPUTED_VALUE"""),"")</f>
        <v/>
      </c>
      <c r="O560" s="259" t="str">
        <f>IFERROR(__xludf.DUMMYFUNCTION("""COMPUTED_VALUE"""),"")</f>
        <v/>
      </c>
      <c r="P560" s="259">
        <f>IFERROR(__xludf.DUMMYFUNCTION("""COMPUTED_VALUE"""),42716.0)</f>
        <v>42716</v>
      </c>
      <c r="Q560" s="258">
        <f>IFERROR(__xludf.DUMMYFUNCTION("""COMPUTED_VALUE"""),72843.0)</f>
        <v>72843</v>
      </c>
      <c r="R560" s="261">
        <f>IFERROR(__xludf.DUMMYFUNCTION("""COMPUTED_VALUE"""),410.0)</f>
        <v>410</v>
      </c>
      <c r="S560" s="258">
        <v>425.0</v>
      </c>
      <c r="T560" s="263">
        <v>0.9647058823529412</v>
      </c>
      <c r="U560" s="264">
        <v>45263.0</v>
      </c>
      <c r="V560" s="265">
        <v>72843.0</v>
      </c>
      <c r="W560" s="264">
        <v>45263.0</v>
      </c>
      <c r="X560" s="266" t="str">
        <f>IFERROR(__xludf.DUMMYFUNCTION("""COMPUTED_VALUE"""),"Tom Pot")</f>
        <v>Tom Pot</v>
      </c>
      <c r="Y560" s="267">
        <v>-0.01</v>
      </c>
      <c r="Z560" s="267">
        <v>0.9531992230411702</v>
      </c>
      <c r="AA560" s="269"/>
      <c r="AB560" s="270"/>
      <c r="AC560" s="270"/>
      <c r="AD560" s="270"/>
      <c r="AE560" s="270"/>
    </row>
    <row r="561">
      <c r="A561" s="256">
        <f>IFERROR(__xludf.DUMMYFUNCTION("""COMPUTED_VALUE"""),42718.48541666666)</f>
        <v>42718.48542</v>
      </c>
      <c r="B561" s="257" t="str">
        <f>IFERROR(__xludf.DUMMYFUNCTION("""COMPUTED_VALUE"""),"Greenstorm")</f>
        <v>Greenstorm</v>
      </c>
      <c r="C561" s="258" t="str">
        <f>IFERROR(__xludf.DUMMYFUNCTION("""COMPUTED_VALUE"""),"Europe (excluding UK) &amp; Asia Pacific")</f>
        <v>Europe (excluding UK) &amp; Asia Pacific</v>
      </c>
      <c r="D561" s="258" t="str">
        <f>IFERROR(__xludf.DUMMYFUNCTION("""COMPUTED_VALUE"""),"km. My car displays range in kilometres and I will enter all range numbers in kilometres.")</f>
        <v>km. My car displays range in kilometres and I will enter all range numbers in kilometres.</v>
      </c>
      <c r="E561" s="259">
        <f>IFERROR(__xludf.DUMMYFUNCTION("""COMPUTED_VALUE"""),42165.0)</f>
        <v>42165</v>
      </c>
      <c r="F561" s="258" t="str">
        <f>IFERROR(__xludf.DUMMYFUNCTION("""COMPUTED_VALUE"""),"Model S 85D")</f>
        <v>Model S 85D</v>
      </c>
      <c r="G561" s="258" t="str">
        <f>IFERROR(__xludf.DUMMYFUNCTION("""COMPUTED_VALUE"""),"Twice a month")</f>
        <v>Twice a month</v>
      </c>
      <c r="H561" s="258" t="str">
        <f>IFERROR(__xludf.DUMMYFUNCTION("""COMPUTED_VALUE"""),"Monthly")</f>
        <v>Monthly</v>
      </c>
      <c r="I561" s="258" t="str">
        <f>IFERROR(__xludf.DUMMYFUNCTION("""COMPUTED_VALUE"""),"Once or twice a year")</f>
        <v>Once or twice a year</v>
      </c>
      <c r="J561" s="260">
        <f>IFERROR(__xludf.DUMMYFUNCTION("""COMPUTED_VALUE"""),0.8)</f>
        <v>0.8</v>
      </c>
      <c r="K561" s="258" t="str">
        <f>IFERROR(__xludf.DUMMYFUNCTION("""COMPUTED_VALUE"""),"")</f>
        <v/>
      </c>
      <c r="L561" s="258" t="str">
        <f>IFERROR(__xludf.DUMMYFUNCTION("""COMPUTED_VALUE"""),"")</f>
        <v/>
      </c>
      <c r="M561" s="261">
        <f>IFERROR(__xludf.DUMMYFUNCTION("""COMPUTED_VALUE"""),206.0)</f>
        <v>206</v>
      </c>
      <c r="N561" s="262" t="str">
        <f>IFERROR(__xludf.DUMMYFUNCTION("""COMPUTED_VALUE"""),"")</f>
        <v/>
      </c>
      <c r="O561" s="259" t="str">
        <f>IFERROR(__xludf.DUMMYFUNCTION("""COMPUTED_VALUE"""),"")</f>
        <v/>
      </c>
      <c r="P561" s="259">
        <f>IFERROR(__xludf.DUMMYFUNCTION("""COMPUTED_VALUE"""),42718.0)</f>
        <v>42718</v>
      </c>
      <c r="Q561" s="258">
        <f>IFERROR(__xludf.DUMMYFUNCTION("""COMPUTED_VALUE"""),73770.0)</f>
        <v>73770</v>
      </c>
      <c r="R561" s="261">
        <f>IFERROR(__xludf.DUMMYFUNCTION("""COMPUTED_VALUE"""),408.0)</f>
        <v>408</v>
      </c>
      <c r="S561" s="258">
        <v>425.0</v>
      </c>
      <c r="T561" s="263">
        <v>0.96</v>
      </c>
      <c r="U561" s="264">
        <v>45839.0</v>
      </c>
      <c r="V561" s="265">
        <v>73770.0</v>
      </c>
      <c r="W561" s="264">
        <v>45839.0</v>
      </c>
      <c r="X561" s="266" t="str">
        <f>IFERROR(__xludf.DUMMYFUNCTION("""COMPUTED_VALUE"""),"tom8oe")</f>
        <v>tom8oe</v>
      </c>
      <c r="Y561" s="267">
        <v>-0.01</v>
      </c>
      <c r="Z561" s="267">
        <v>0.9529622878171607</v>
      </c>
      <c r="AA561" s="269"/>
      <c r="AB561" s="270"/>
      <c r="AC561" s="270"/>
      <c r="AD561" s="270"/>
      <c r="AE561" s="270"/>
    </row>
    <row r="562">
      <c r="A562" s="256">
        <f>IFERROR(__xludf.DUMMYFUNCTION("""COMPUTED_VALUE"""),42731.48611111111)</f>
        <v>42731.48611</v>
      </c>
      <c r="B562" s="257" t="str">
        <f>IFERROR(__xludf.DUMMYFUNCTION("""COMPUTED_VALUE"""),"Greenstorm")</f>
        <v>Greenstorm</v>
      </c>
      <c r="C562" s="258" t="str">
        <f>IFERROR(__xludf.DUMMYFUNCTION("""COMPUTED_VALUE"""),"Europe (excluding UK) &amp; Asia Pacific")</f>
        <v>Europe (excluding UK) &amp; Asia Pacific</v>
      </c>
      <c r="D562" s="258" t="str">
        <f>IFERROR(__xludf.DUMMYFUNCTION("""COMPUTED_VALUE"""),"km. My car displays range in kilometres and I will enter all range numbers in kilometres.")</f>
        <v>km. My car displays range in kilometres and I will enter all range numbers in kilometres.</v>
      </c>
      <c r="E562" s="259">
        <f>IFERROR(__xludf.DUMMYFUNCTION("""COMPUTED_VALUE"""),42165.0)</f>
        <v>42165</v>
      </c>
      <c r="F562" s="258" t="str">
        <f>IFERROR(__xludf.DUMMYFUNCTION("""COMPUTED_VALUE"""),"Model S 85D")</f>
        <v>Model S 85D</v>
      </c>
      <c r="G562" s="258" t="str">
        <f>IFERROR(__xludf.DUMMYFUNCTION("""COMPUTED_VALUE"""),"Twice a month")</f>
        <v>Twice a month</v>
      </c>
      <c r="H562" s="258" t="str">
        <f>IFERROR(__xludf.DUMMYFUNCTION("""COMPUTED_VALUE"""),"Monthly")</f>
        <v>Monthly</v>
      </c>
      <c r="I562" s="258" t="str">
        <f>IFERROR(__xludf.DUMMYFUNCTION("""COMPUTED_VALUE"""),"Once or twice a year")</f>
        <v>Once or twice a year</v>
      </c>
      <c r="J562" s="260">
        <f>IFERROR(__xludf.DUMMYFUNCTION("""COMPUTED_VALUE"""),0.8)</f>
        <v>0.8</v>
      </c>
      <c r="K562" s="258" t="str">
        <f>IFERROR(__xludf.DUMMYFUNCTION("""COMPUTED_VALUE"""),"")</f>
        <v/>
      </c>
      <c r="L562" s="258" t="str">
        <f>IFERROR(__xludf.DUMMYFUNCTION("""COMPUTED_VALUE"""),"")</f>
        <v/>
      </c>
      <c r="M562" s="261">
        <f>IFERROR(__xludf.DUMMYFUNCTION("""COMPUTED_VALUE"""),206.0)</f>
        <v>206</v>
      </c>
      <c r="N562" s="262" t="str">
        <f>IFERROR(__xludf.DUMMYFUNCTION("""COMPUTED_VALUE"""),"")</f>
        <v/>
      </c>
      <c r="O562" s="259" t="str">
        <f>IFERROR(__xludf.DUMMYFUNCTION("""COMPUTED_VALUE"""),"")</f>
        <v/>
      </c>
      <c r="P562" s="259">
        <f>IFERROR(__xludf.DUMMYFUNCTION("""COMPUTED_VALUE"""),42731.0)</f>
        <v>42731</v>
      </c>
      <c r="Q562" s="258">
        <f>IFERROR(__xludf.DUMMYFUNCTION("""COMPUTED_VALUE"""),74611.0)</f>
        <v>74611</v>
      </c>
      <c r="R562" s="261">
        <f>IFERROR(__xludf.DUMMYFUNCTION("""COMPUTED_VALUE"""),413.0)</f>
        <v>413</v>
      </c>
      <c r="S562" s="258">
        <v>425.0</v>
      </c>
      <c r="T562" s="263">
        <v>0.971764705882353</v>
      </c>
      <c r="U562" s="264">
        <v>46361.0</v>
      </c>
      <c r="V562" s="265">
        <v>74611.0</v>
      </c>
      <c r="W562" s="264">
        <v>46361.0</v>
      </c>
      <c r="X562" s="266" t="str">
        <f>IFERROR(__xludf.DUMMYFUNCTION("""COMPUTED_VALUE"""),"Top")</f>
        <v>Top</v>
      </c>
      <c r="Y562" s="267">
        <v>-0.01</v>
      </c>
      <c r="Z562" s="267">
        <v>0.9527483851015068</v>
      </c>
      <c r="AA562" s="269"/>
      <c r="AB562" s="270"/>
      <c r="AC562" s="270"/>
      <c r="AD562" s="270"/>
      <c r="AE562" s="270"/>
    </row>
    <row r="563">
      <c r="A563" s="256">
        <f>IFERROR(__xludf.DUMMYFUNCTION("""COMPUTED_VALUE"""),42731.486805555556)</f>
        <v>42731.48681</v>
      </c>
      <c r="B563" s="257" t="str">
        <f>IFERROR(__xludf.DUMMYFUNCTION("""COMPUTED_VALUE"""),"Greenstorm")</f>
        <v>Greenstorm</v>
      </c>
      <c r="C563" s="258" t="str">
        <f>IFERROR(__xludf.DUMMYFUNCTION("""COMPUTED_VALUE"""),"Europe (excluding UK) &amp; Asia Pacific")</f>
        <v>Europe (excluding UK) &amp; Asia Pacific</v>
      </c>
      <c r="D563" s="258" t="str">
        <f>IFERROR(__xludf.DUMMYFUNCTION("""COMPUTED_VALUE"""),"km. My car displays range in kilometres and I will enter all range numbers in kilometres.")</f>
        <v>km. My car displays range in kilometres and I will enter all range numbers in kilometres.</v>
      </c>
      <c r="E563" s="259">
        <f>IFERROR(__xludf.DUMMYFUNCTION("""COMPUTED_VALUE"""),42165.0)</f>
        <v>42165</v>
      </c>
      <c r="F563" s="258" t="str">
        <f>IFERROR(__xludf.DUMMYFUNCTION("""COMPUTED_VALUE"""),"Model S 85D")</f>
        <v>Model S 85D</v>
      </c>
      <c r="G563" s="258" t="str">
        <f>IFERROR(__xludf.DUMMYFUNCTION("""COMPUTED_VALUE"""),"Twice a month")</f>
        <v>Twice a month</v>
      </c>
      <c r="H563" s="258" t="str">
        <f>IFERROR(__xludf.DUMMYFUNCTION("""COMPUTED_VALUE"""),"Monthly")</f>
        <v>Monthly</v>
      </c>
      <c r="I563" s="258" t="str">
        <f>IFERROR(__xludf.DUMMYFUNCTION("""COMPUTED_VALUE"""),"Once or twice a year")</f>
        <v>Once or twice a year</v>
      </c>
      <c r="J563" s="260">
        <f>IFERROR(__xludf.DUMMYFUNCTION("""COMPUTED_VALUE"""),0.8)</f>
        <v>0.8</v>
      </c>
      <c r="K563" s="258" t="str">
        <f>IFERROR(__xludf.DUMMYFUNCTION("""COMPUTED_VALUE"""),"")</f>
        <v/>
      </c>
      <c r="L563" s="258" t="str">
        <f>IFERROR(__xludf.DUMMYFUNCTION("""COMPUTED_VALUE"""),"")</f>
        <v/>
      </c>
      <c r="M563" s="261">
        <f>IFERROR(__xludf.DUMMYFUNCTION("""COMPUTED_VALUE"""),206.0)</f>
        <v>206</v>
      </c>
      <c r="N563" s="262" t="str">
        <f>IFERROR(__xludf.DUMMYFUNCTION("""COMPUTED_VALUE"""),"")</f>
        <v/>
      </c>
      <c r="O563" s="259" t="str">
        <f>IFERROR(__xludf.DUMMYFUNCTION("""COMPUTED_VALUE"""),"")</f>
        <v/>
      </c>
      <c r="P563" s="259">
        <f>IFERROR(__xludf.DUMMYFUNCTION("""COMPUTED_VALUE"""),42731.0)</f>
        <v>42731</v>
      </c>
      <c r="Q563" s="258">
        <f>IFERROR(__xludf.DUMMYFUNCTION("""COMPUTED_VALUE"""),74973.0)</f>
        <v>74973</v>
      </c>
      <c r="R563" s="261">
        <f>IFERROR(__xludf.DUMMYFUNCTION("""COMPUTED_VALUE"""),417.0)</f>
        <v>417</v>
      </c>
      <c r="S563" s="258">
        <v>425.0</v>
      </c>
      <c r="T563" s="263">
        <v>0.9811764705882353</v>
      </c>
      <c r="U563" s="264">
        <v>46586.0</v>
      </c>
      <c r="V563" s="265">
        <v>74973.0</v>
      </c>
      <c r="W563" s="264">
        <v>46586.0</v>
      </c>
      <c r="X563" s="266" t="str">
        <f>IFERROR(__xludf.DUMMYFUNCTION("""COMPUTED_VALUE"""),"TR")</f>
        <v>TR</v>
      </c>
      <c r="Y563" s="267">
        <v>-0.01</v>
      </c>
      <c r="Z563" s="267">
        <v>0.9526566082968566</v>
      </c>
      <c r="AA563" s="269"/>
      <c r="AB563" s="270"/>
      <c r="AC563" s="270"/>
      <c r="AD563" s="270"/>
      <c r="AE563" s="270"/>
    </row>
    <row r="564">
      <c r="A564" s="256">
        <f>IFERROR(__xludf.DUMMYFUNCTION("""COMPUTED_VALUE"""),42872.5375)</f>
        <v>42872.5375</v>
      </c>
      <c r="B564" s="257" t="str">
        <f>IFERROR(__xludf.DUMMYFUNCTION("""COMPUTED_VALUE"""),"Gretsch")</f>
        <v>Gretsch</v>
      </c>
      <c r="C564" s="258" t="str">
        <f>IFERROR(__xludf.DUMMYFUNCTION("""COMPUTED_VALUE"""),"Europe (excluding UK) &amp; Asia Pacific")</f>
        <v>Europe (excluding UK) &amp; Asia Pacific</v>
      </c>
      <c r="D564" s="258" t="str">
        <f>IFERROR(__xludf.DUMMYFUNCTION("""COMPUTED_VALUE"""),"km. My car displays range in kilometres and I will enter all range numbers in kilometres.")</f>
        <v>km. My car displays range in kilometres and I will enter all range numbers in kilometres.</v>
      </c>
      <c r="E564" s="259">
        <f>IFERROR(__xludf.DUMMYFUNCTION("""COMPUTED_VALUE"""),42297.0)</f>
        <v>42297</v>
      </c>
      <c r="F564" s="258" t="str">
        <f>IFERROR(__xludf.DUMMYFUNCTION("""COMPUTED_VALUE"""),"Model S 85D")</f>
        <v>Model S 85D</v>
      </c>
      <c r="G564" s="258" t="str">
        <f>IFERROR(__xludf.DUMMYFUNCTION("""COMPUTED_VALUE"""),"Twice a month")</f>
        <v>Twice a month</v>
      </c>
      <c r="H564" s="258" t="str">
        <f>IFERROR(__xludf.DUMMYFUNCTION("""COMPUTED_VALUE"""),"A few times a year")</f>
        <v>A few times a year</v>
      </c>
      <c r="I564" s="258" t="str">
        <f>IFERROR(__xludf.DUMMYFUNCTION("""COMPUTED_VALUE"""),"Once or twice a year")</f>
        <v>Once or twice a year</v>
      </c>
      <c r="J564" s="260">
        <f>IFERROR(__xludf.DUMMYFUNCTION("""COMPUTED_VALUE"""),0.7)</f>
        <v>0.7</v>
      </c>
      <c r="K564" s="258" t="str">
        <f>IFERROR(__xludf.DUMMYFUNCTION("""COMPUTED_VALUE"""),"")</f>
        <v/>
      </c>
      <c r="L564" s="258" t="str">
        <f>IFERROR(__xludf.DUMMYFUNCTION("""COMPUTED_VALUE"""),"")</f>
        <v/>
      </c>
      <c r="M564" s="261">
        <f>IFERROR(__xludf.DUMMYFUNCTION("""COMPUTED_VALUE"""),218.0)</f>
        <v>218</v>
      </c>
      <c r="N564" s="262" t="str">
        <f>IFERROR(__xludf.DUMMYFUNCTION("""COMPUTED_VALUE"""),"")</f>
        <v/>
      </c>
      <c r="O564" s="259" t="str">
        <f>IFERROR(__xludf.DUMMYFUNCTION("""COMPUTED_VALUE"""),"")</f>
        <v/>
      </c>
      <c r="P564" s="259">
        <f>IFERROR(__xludf.DUMMYFUNCTION("""COMPUTED_VALUE"""),42872.0)</f>
        <v>42872</v>
      </c>
      <c r="Q564" s="258">
        <f>IFERROR(__xludf.DUMMYFUNCTION("""COMPUTED_VALUE"""),47834.0)</f>
        <v>47834</v>
      </c>
      <c r="R564" s="261">
        <f>IFERROR(__xludf.DUMMYFUNCTION("""COMPUTED_VALUE"""),420.0)</f>
        <v>420</v>
      </c>
      <c r="S564" s="258">
        <v>425.0</v>
      </c>
      <c r="T564" s="263">
        <v>0.9882352941176471</v>
      </c>
      <c r="U564" s="264">
        <v>29723.0</v>
      </c>
      <c r="V564" s="265">
        <v>47834.0</v>
      </c>
      <c r="W564" s="264">
        <v>29723.0</v>
      </c>
      <c r="X564" s="266" t="str">
        <f>IFERROR(__xludf.DUMMYFUNCTION("""COMPUTED_VALUE"""),"triprip")</f>
        <v>triprip</v>
      </c>
      <c r="Y564" s="267">
        <v>-0.01</v>
      </c>
      <c r="Z564" s="267">
        <v>0.9604132352049177</v>
      </c>
      <c r="AA564" s="269"/>
      <c r="AB564" s="270"/>
      <c r="AC564" s="270"/>
      <c r="AD564" s="270"/>
      <c r="AE564" s="270"/>
    </row>
    <row r="565">
      <c r="A565" s="256">
        <f>IFERROR(__xludf.DUMMYFUNCTION("""COMPUTED_VALUE"""),43115.66527777778)</f>
        <v>43115.66528</v>
      </c>
      <c r="B565" s="257" t="str">
        <f>IFERROR(__xludf.DUMMYFUNCTION("""COMPUTED_VALUE"""),"Gretsch")</f>
        <v>Gretsch</v>
      </c>
      <c r="C565" s="258" t="str">
        <f>IFERROR(__xludf.DUMMYFUNCTION("""COMPUTED_VALUE"""),"Europe (excluding UK) &amp; Asia Pacific")</f>
        <v>Europe (excluding UK) &amp; Asia Pacific</v>
      </c>
      <c r="D565" s="258" t="str">
        <f>IFERROR(__xludf.DUMMYFUNCTION("""COMPUTED_VALUE"""),"km. My car displays range in kilometres and I will enter all range numbers in kilometres.")</f>
        <v>km. My car displays range in kilometres and I will enter all range numbers in kilometres.</v>
      </c>
      <c r="E565" s="259">
        <f>IFERROR(__xludf.DUMMYFUNCTION("""COMPUTED_VALUE"""),42297.0)</f>
        <v>42297</v>
      </c>
      <c r="F565" s="258" t="str">
        <f>IFERROR(__xludf.DUMMYFUNCTION("""COMPUTED_VALUE"""),"Model S 85D")</f>
        <v>Model S 85D</v>
      </c>
      <c r="G565" s="258" t="str">
        <f>IFERROR(__xludf.DUMMYFUNCTION("""COMPUTED_VALUE"""),"Twice a month")</f>
        <v>Twice a month</v>
      </c>
      <c r="H565" s="258" t="str">
        <f>IFERROR(__xludf.DUMMYFUNCTION("""COMPUTED_VALUE"""),"A few times a year")</f>
        <v>A few times a year</v>
      </c>
      <c r="I565" s="258" t="str">
        <f>IFERROR(__xludf.DUMMYFUNCTION("""COMPUTED_VALUE"""),"Once or twice a year")</f>
        <v>Once or twice a year</v>
      </c>
      <c r="J565" s="260">
        <f>IFERROR(__xludf.DUMMYFUNCTION("""COMPUTED_VALUE"""),0.7)</f>
        <v>0.7</v>
      </c>
      <c r="K565" s="258" t="str">
        <f>IFERROR(__xludf.DUMMYFUNCTION("""COMPUTED_VALUE"""),"")</f>
        <v/>
      </c>
      <c r="L565" s="258" t="str">
        <f>IFERROR(__xludf.DUMMYFUNCTION("""COMPUTED_VALUE"""),"")</f>
        <v/>
      </c>
      <c r="M565" s="261">
        <f>IFERROR(__xludf.DUMMYFUNCTION("""COMPUTED_VALUE"""),218.0)</f>
        <v>218</v>
      </c>
      <c r="N565" s="262" t="str">
        <f>IFERROR(__xludf.DUMMYFUNCTION("""COMPUTED_VALUE"""),"")</f>
        <v/>
      </c>
      <c r="O565" s="259" t="str">
        <f>IFERROR(__xludf.DUMMYFUNCTION("""COMPUTED_VALUE"""),"")</f>
        <v/>
      </c>
      <c r="P565" s="259">
        <f>IFERROR(__xludf.DUMMYFUNCTION("""COMPUTED_VALUE"""),43115.0)</f>
        <v>43115</v>
      </c>
      <c r="Q565" s="258">
        <f>IFERROR(__xludf.DUMMYFUNCTION("""COMPUTED_VALUE"""),64476.0)</f>
        <v>64476</v>
      </c>
      <c r="R565" s="261">
        <f>IFERROR(__xludf.DUMMYFUNCTION("""COMPUTED_VALUE"""),422.0)</f>
        <v>422</v>
      </c>
      <c r="S565" s="258">
        <v>425.0</v>
      </c>
      <c r="T565" s="263">
        <v>0.9929411764705882</v>
      </c>
      <c r="U565" s="264">
        <v>40064.0</v>
      </c>
      <c r="V565" s="265">
        <v>64476.0</v>
      </c>
      <c r="W565" s="264">
        <v>40064.0</v>
      </c>
      <c r="X565" s="266" t="str">
        <f>IFERROR(__xludf.DUMMYFUNCTION("""COMPUTED_VALUE"""),"trou")</f>
        <v>trou</v>
      </c>
      <c r="Y565" s="267">
        <v>-0.01</v>
      </c>
      <c r="Z565" s="267">
        <v>0.955405191147238</v>
      </c>
      <c r="AA565" s="269"/>
      <c r="AB565" s="270"/>
      <c r="AC565" s="270"/>
      <c r="AD565" s="270"/>
      <c r="AE565" s="270"/>
    </row>
    <row r="566">
      <c r="A566" s="256">
        <f>IFERROR(__xludf.DUMMYFUNCTION("""COMPUTED_VALUE"""),42160.743055555555)</f>
        <v>42160.74306</v>
      </c>
      <c r="B566" s="257" t="str">
        <f>IFERROR(__xludf.DUMMYFUNCTION("""COMPUTED_VALUE"""),"Groeneweg1")</f>
        <v>Groeneweg1</v>
      </c>
      <c r="C566" s="258" t="str">
        <f>IFERROR(__xludf.DUMMYFUNCTION("""COMPUTED_VALUE"""),"USA")</f>
        <v>USA</v>
      </c>
      <c r="D566" s="258" t="str">
        <f>IFERROR(__xludf.DUMMYFUNCTION("""COMPUTED_VALUE"""),"mi. My car displays range in miles and I will enter all range numbers in miles.")</f>
        <v>mi. My car displays range in miles and I will enter all range numbers in miles.</v>
      </c>
      <c r="E566" s="259">
        <f>IFERROR(__xludf.DUMMYFUNCTION("""COMPUTED_VALUE"""),41332.0)</f>
        <v>41332</v>
      </c>
      <c r="F566" s="258" t="str">
        <f>IFERROR(__xludf.DUMMYFUNCTION("""COMPUTED_VALUE"""),"Model S 60")</f>
        <v>Model S 60</v>
      </c>
      <c r="G566" s="258" t="str">
        <f>IFERROR(__xludf.DUMMYFUNCTION("""COMPUTED_VALUE"""),"Twice a month")</f>
        <v>Twice a month</v>
      </c>
      <c r="H566" s="258" t="str">
        <f>IFERROR(__xludf.DUMMYFUNCTION("""COMPUTED_VALUE"""),"Twice a month")</f>
        <v>Twice a month</v>
      </c>
      <c r="I566" s="258" t="str">
        <f>IFERROR(__xludf.DUMMYFUNCTION("""COMPUTED_VALUE"""),"Once or twice a year")</f>
        <v>Once or twice a year</v>
      </c>
      <c r="J566" s="260">
        <f>IFERROR(__xludf.DUMMYFUNCTION("""COMPUTED_VALUE"""),0.8)</f>
        <v>0.8</v>
      </c>
      <c r="K566" s="258" t="str">
        <f>IFERROR(__xludf.DUMMYFUNCTION("""COMPUTED_VALUE"""),"")</f>
        <v/>
      </c>
      <c r="L566" s="258" t="str">
        <f>IFERROR(__xludf.DUMMYFUNCTION("""COMPUTED_VALUE"""),"")</f>
        <v/>
      </c>
      <c r="M566" s="261">
        <f>IFERROR(__xludf.DUMMYFUNCTION("""COMPUTED_VALUE"""),298.0)</f>
        <v>298</v>
      </c>
      <c r="N566" s="262" t="str">
        <f>IFERROR(__xludf.DUMMYFUNCTION("""COMPUTED_VALUE"""),"")</f>
        <v/>
      </c>
      <c r="O566" s="259" t="str">
        <f>IFERROR(__xludf.DUMMYFUNCTION("""COMPUTED_VALUE"""),"")</f>
        <v/>
      </c>
      <c r="P566" s="259">
        <f>IFERROR(__xludf.DUMMYFUNCTION("""COMPUTED_VALUE"""),42160.0)</f>
        <v>42160</v>
      </c>
      <c r="Q566" s="258">
        <f>IFERROR(__xludf.DUMMYFUNCTION("""COMPUTED_VALUE"""),50300.0)</f>
        <v>50300</v>
      </c>
      <c r="R566" s="261">
        <f>IFERROR(__xludf.DUMMYFUNCTION("""COMPUTED_VALUE"""),199.0)</f>
        <v>199</v>
      </c>
      <c r="S566" s="258">
        <v>207.0</v>
      </c>
      <c r="T566" s="263">
        <v>0.961352657004831</v>
      </c>
      <c r="U566" s="264">
        <v>50300.0</v>
      </c>
      <c r="V566" s="265">
        <v>80950.0</v>
      </c>
      <c r="W566" s="264">
        <v>50300.0</v>
      </c>
      <c r="X566" s="266" t="str">
        <f>IFERROR(__xludf.DUMMYFUNCTION("""COMPUTED_VALUE"""),"trygvelo")</f>
        <v>trygvelo</v>
      </c>
      <c r="Y566" s="267">
        <v>-0.01</v>
      </c>
      <c r="Z566" s="267">
        <v>0.9511637204429616</v>
      </c>
      <c r="AA566" s="269"/>
      <c r="AB566" s="270"/>
      <c r="AC566" s="270"/>
      <c r="AD566" s="270"/>
      <c r="AE566" s="270"/>
    </row>
    <row r="567">
      <c r="A567" s="256">
        <f>IFERROR(__xludf.DUMMYFUNCTION("""COMPUTED_VALUE"""),42160.74375)</f>
        <v>42160.74375</v>
      </c>
      <c r="B567" s="257" t="str">
        <f>IFERROR(__xludf.DUMMYFUNCTION("""COMPUTED_VALUE"""),"Groeneweg2")</f>
        <v>Groeneweg2</v>
      </c>
      <c r="C567" s="258" t="str">
        <f>IFERROR(__xludf.DUMMYFUNCTION("""COMPUTED_VALUE"""),"USA")</f>
        <v>USA</v>
      </c>
      <c r="D567" s="258" t="str">
        <f>IFERROR(__xludf.DUMMYFUNCTION("""COMPUTED_VALUE"""),"mi. My car displays range in miles and I will enter all range numbers in miles.")</f>
        <v>mi. My car displays range in miles and I will enter all range numbers in miles.</v>
      </c>
      <c r="E567" s="259">
        <f>IFERROR(__xludf.DUMMYFUNCTION("""COMPUTED_VALUE"""),41726.0)</f>
        <v>41726</v>
      </c>
      <c r="F567" s="258" t="str">
        <f>IFERROR(__xludf.DUMMYFUNCTION("""COMPUTED_VALUE"""),"Model S 60")</f>
        <v>Model S 60</v>
      </c>
      <c r="G567" s="258" t="str">
        <f>IFERROR(__xludf.DUMMYFUNCTION("""COMPUTED_VALUE"""),"Monthly")</f>
        <v>Monthly</v>
      </c>
      <c r="H567" s="258" t="str">
        <f>IFERROR(__xludf.DUMMYFUNCTION("""COMPUTED_VALUE"""),"Weekly")</f>
        <v>Weekly</v>
      </c>
      <c r="I567" s="258" t="str">
        <f>IFERROR(__xludf.DUMMYFUNCTION("""COMPUTED_VALUE"""),"A few times a year")</f>
        <v>A few times a year</v>
      </c>
      <c r="J567" s="260">
        <f>IFERROR(__xludf.DUMMYFUNCTION("""COMPUTED_VALUE"""),0.9)</f>
        <v>0.9</v>
      </c>
      <c r="K567" s="258" t="str">
        <f>IFERROR(__xludf.DUMMYFUNCTION("""COMPUTED_VALUE"""),"")</f>
        <v/>
      </c>
      <c r="L567" s="258" t="str">
        <f>IFERROR(__xludf.DUMMYFUNCTION("""COMPUTED_VALUE"""),"")</f>
        <v/>
      </c>
      <c r="M567" s="261">
        <f>IFERROR(__xludf.DUMMYFUNCTION("""COMPUTED_VALUE"""),300.0)</f>
        <v>300</v>
      </c>
      <c r="N567" s="262" t="str">
        <f>IFERROR(__xludf.DUMMYFUNCTION("""COMPUTED_VALUE"""),"")</f>
        <v/>
      </c>
      <c r="O567" s="259" t="str">
        <f>IFERROR(__xludf.DUMMYFUNCTION("""COMPUTED_VALUE"""),"")</f>
        <v/>
      </c>
      <c r="P567" s="259">
        <f>IFERROR(__xludf.DUMMYFUNCTION("""COMPUTED_VALUE"""),42160.0)</f>
        <v>42160</v>
      </c>
      <c r="Q567" s="258">
        <f>IFERROR(__xludf.DUMMYFUNCTION("""COMPUTED_VALUE"""),36800.0)</f>
        <v>36800</v>
      </c>
      <c r="R567" s="261">
        <f>IFERROR(__xludf.DUMMYFUNCTION("""COMPUTED_VALUE"""),178.0)</f>
        <v>178</v>
      </c>
      <c r="S567" s="258">
        <v>207.0</v>
      </c>
      <c r="T567" s="263">
        <v>0.8599033816425121</v>
      </c>
      <c r="U567" s="264">
        <v>36800.0</v>
      </c>
      <c r="V567" s="265">
        <v>59224.0</v>
      </c>
      <c r="W567" s="264">
        <v>36800.0</v>
      </c>
      <c r="X567" s="266" t="str">
        <f>IFERROR(__xludf.DUMMYFUNCTION("""COMPUTED_VALUE"""),"TStolz")</f>
        <v>TStolz</v>
      </c>
      <c r="Y567" s="267">
        <v>-0.01</v>
      </c>
      <c r="Z567" s="267">
        <v>0.9568725500623043</v>
      </c>
      <c r="AA567" s="269"/>
      <c r="AB567" s="270"/>
      <c r="AC567" s="270"/>
      <c r="AD567" s="270"/>
      <c r="AE567" s="270"/>
    </row>
    <row r="568">
      <c r="A568" s="256">
        <f>IFERROR(__xludf.DUMMYFUNCTION("""COMPUTED_VALUE"""),42353.24791666667)</f>
        <v>42353.24792</v>
      </c>
      <c r="B568" s="257" t="str">
        <f>IFERROR(__xludf.DUMMYFUNCTION("""COMPUTED_VALUE"""),"Grotebeer")</f>
        <v>Grotebeer</v>
      </c>
      <c r="C568" s="258" t="str">
        <f>IFERROR(__xludf.DUMMYFUNCTION("""COMPUTED_VALUE"""),"Europe (excluding UK) &amp; Asia Pacific")</f>
        <v>Europe (excluding UK) &amp; Asia Pacific</v>
      </c>
      <c r="D568" s="258" t="str">
        <f>IFERROR(__xludf.DUMMYFUNCTION("""COMPUTED_VALUE"""),"km. My car displays range in kilometres and I will enter all range numbers in kilometres.")</f>
        <v>km. My car displays range in kilometres and I will enter all range numbers in kilometres.</v>
      </c>
      <c r="E568" s="259">
        <f>IFERROR(__xludf.DUMMYFUNCTION("""COMPUTED_VALUE"""),41612.0)</f>
        <v>41612</v>
      </c>
      <c r="F568" s="258" t="str">
        <f>IFERROR(__xludf.DUMMYFUNCTION("""COMPUTED_VALUE"""),"Model S 85")</f>
        <v>Model S 85</v>
      </c>
      <c r="G568" s="258" t="str">
        <f>IFERROR(__xludf.DUMMYFUNCTION("""COMPUTED_VALUE"""),"Twice a month")</f>
        <v>Twice a month</v>
      </c>
      <c r="H568" s="258" t="str">
        <f>IFERROR(__xludf.DUMMYFUNCTION("""COMPUTED_VALUE"""),"Twice a month")</f>
        <v>Twice a month</v>
      </c>
      <c r="I568" s="258" t="str">
        <f>IFERROR(__xludf.DUMMYFUNCTION("""COMPUTED_VALUE"""),"A few times a year")</f>
        <v>A few times a year</v>
      </c>
      <c r="J568" s="260">
        <f>IFERROR(__xludf.DUMMYFUNCTION("""COMPUTED_VALUE"""),0.9)</f>
        <v>0.9</v>
      </c>
      <c r="K568" s="258">
        <f>IFERROR(__xludf.DUMMYFUNCTION("""COMPUTED_VALUE"""),395.0)</f>
        <v>395</v>
      </c>
      <c r="L568" s="258" t="str">
        <f>IFERROR(__xludf.DUMMYFUNCTION("""COMPUTED_VALUE"""),"")</f>
        <v/>
      </c>
      <c r="M568" s="261">
        <f>IFERROR(__xludf.DUMMYFUNCTION("""COMPUTED_VALUE"""),222.0)</f>
        <v>222</v>
      </c>
      <c r="N568" s="262" t="str">
        <f>IFERROR(__xludf.DUMMYFUNCTION("""COMPUTED_VALUE"""),"")</f>
        <v/>
      </c>
      <c r="O568" s="259" t="str">
        <f>IFERROR(__xludf.DUMMYFUNCTION("""COMPUTED_VALUE"""),"")</f>
        <v/>
      </c>
      <c r="P568" s="259">
        <f>IFERROR(__xludf.DUMMYFUNCTION("""COMPUTED_VALUE"""),42353.0)</f>
        <v>42353</v>
      </c>
      <c r="Q568" s="258">
        <f>IFERROR(__xludf.DUMMYFUNCTION("""COMPUTED_VALUE"""),89867.0)</f>
        <v>89867</v>
      </c>
      <c r="R568" s="261">
        <f>IFERROR(__xludf.DUMMYFUNCTION("""COMPUTED_VALUE"""),374.0)</f>
        <v>374</v>
      </c>
      <c r="S568" s="258">
        <v>395.0</v>
      </c>
      <c r="T568" s="263">
        <v>0.9468354430379747</v>
      </c>
      <c r="U568" s="264">
        <v>55841.0</v>
      </c>
      <c r="V568" s="265">
        <v>89867.0</v>
      </c>
      <c r="W568" s="264">
        <v>55841.0</v>
      </c>
      <c r="X568" s="266" t="str">
        <f>IFERROR(__xludf.DUMMYFUNCTION("""COMPUTED_VALUE"""),"TTheo")</f>
        <v>TTheo</v>
      </c>
      <c r="Y568" s="267">
        <v>-0.01</v>
      </c>
      <c r="Z568" s="267">
        <v>0.9489957506534202</v>
      </c>
      <c r="AA568" s="269"/>
      <c r="AB568" s="270"/>
      <c r="AC568" s="270"/>
      <c r="AD568" s="270"/>
      <c r="AE568" s="270"/>
    </row>
    <row r="569">
      <c r="A569" s="256">
        <f>IFERROR(__xludf.DUMMYFUNCTION("""COMPUTED_VALUE"""),42717.47361111111)</f>
        <v>42717.47361</v>
      </c>
      <c r="B569" s="257" t="str">
        <f>IFERROR(__xludf.DUMMYFUNCTION("""COMPUTED_VALUE"""),"Grotebeer")</f>
        <v>Grotebeer</v>
      </c>
      <c r="C569" s="258" t="str">
        <f>IFERROR(__xludf.DUMMYFUNCTION("""COMPUTED_VALUE"""),"Europe (excluding UK) &amp; Asia Pacific")</f>
        <v>Europe (excluding UK) &amp; Asia Pacific</v>
      </c>
      <c r="D569" s="258" t="str">
        <f>IFERROR(__xludf.DUMMYFUNCTION("""COMPUTED_VALUE"""),"km. My car displays range in kilometres and I will enter all range numbers in kilometres.")</f>
        <v>km. My car displays range in kilometres and I will enter all range numbers in kilometres.</v>
      </c>
      <c r="E569" s="259">
        <f>IFERROR(__xludf.DUMMYFUNCTION("""COMPUTED_VALUE"""),41579.0)</f>
        <v>41579</v>
      </c>
      <c r="F569" s="258" t="str">
        <f>IFERROR(__xludf.DUMMYFUNCTION("""COMPUTED_VALUE"""),"Model S 85")</f>
        <v>Model S 85</v>
      </c>
      <c r="G569" s="258" t="str">
        <f>IFERROR(__xludf.DUMMYFUNCTION("""COMPUTED_VALUE"""),"")</f>
        <v/>
      </c>
      <c r="H569" s="258" t="str">
        <f>IFERROR(__xludf.DUMMYFUNCTION("""COMPUTED_VALUE"""),"")</f>
        <v/>
      </c>
      <c r="I569" s="258" t="str">
        <f>IFERROR(__xludf.DUMMYFUNCTION("""COMPUTED_VALUE"""),"")</f>
        <v/>
      </c>
      <c r="J569" s="260" t="str">
        <f>IFERROR(__xludf.DUMMYFUNCTION("""COMPUTED_VALUE"""),"")</f>
        <v/>
      </c>
      <c r="K569" s="258" t="str">
        <f>IFERROR(__xludf.DUMMYFUNCTION("""COMPUTED_VALUE"""),"")</f>
        <v/>
      </c>
      <c r="L569" s="258" t="str">
        <f>IFERROR(__xludf.DUMMYFUNCTION("""COMPUTED_VALUE"""),"")</f>
        <v/>
      </c>
      <c r="M569" s="261">
        <f>IFERROR(__xludf.DUMMYFUNCTION("""COMPUTED_VALUE"""),212.0)</f>
        <v>212</v>
      </c>
      <c r="N569" s="262" t="str">
        <f>IFERROR(__xludf.DUMMYFUNCTION("""COMPUTED_VALUE"""),"")</f>
        <v/>
      </c>
      <c r="O569" s="259" t="str">
        <f>IFERROR(__xludf.DUMMYFUNCTION("""COMPUTED_VALUE"""),"")</f>
        <v/>
      </c>
      <c r="P569" s="259">
        <f>IFERROR(__xludf.DUMMYFUNCTION("""COMPUTED_VALUE"""),42717.0)</f>
        <v>42717</v>
      </c>
      <c r="Q569" s="258">
        <f>IFERROR(__xludf.DUMMYFUNCTION("""COMPUTED_VALUE"""),128000.0)</f>
        <v>128000</v>
      </c>
      <c r="R569" s="261">
        <f>IFERROR(__xludf.DUMMYFUNCTION("""COMPUTED_VALUE"""),371.0)</f>
        <v>371</v>
      </c>
      <c r="S569" s="258">
        <v>395.0</v>
      </c>
      <c r="T569" s="263">
        <v>0.9392405063291139</v>
      </c>
      <c r="U569" s="264">
        <v>79536.0</v>
      </c>
      <c r="V569" s="265">
        <v>128000.0</v>
      </c>
      <c r="W569" s="264">
        <v>79536.0</v>
      </c>
      <c r="X569" s="266" t="str">
        <f>IFERROR(__xludf.DUMMYFUNCTION("""COMPUTED_VALUE"""),"twall-e")</f>
        <v>twall-e</v>
      </c>
      <c r="Y569" s="267">
        <v>-0.01</v>
      </c>
      <c r="Z569" s="267">
        <v>0.9400545227345969</v>
      </c>
      <c r="AA569" s="269"/>
      <c r="AB569" s="270"/>
      <c r="AC569" s="270"/>
      <c r="AD569" s="270"/>
      <c r="AE569" s="270"/>
    </row>
    <row r="570">
      <c r="A570" s="256">
        <f>IFERROR(__xludf.DUMMYFUNCTION("""COMPUTED_VALUE"""),43151.69791666667)</f>
        <v>43151.69792</v>
      </c>
      <c r="B570" s="257" t="str">
        <f>IFERROR(__xludf.DUMMYFUNCTION("""COMPUTED_VALUE"""),"Guillaume")</f>
        <v>Guillaume</v>
      </c>
      <c r="C570" s="258" t="str">
        <f>IFERROR(__xludf.DUMMYFUNCTION("""COMPUTED_VALUE"""),"Europe (excluding UK) &amp; Asia Pacific")</f>
        <v>Europe (excluding UK) &amp; Asia Pacific</v>
      </c>
      <c r="D570" s="258" t="str">
        <f>IFERROR(__xludf.DUMMYFUNCTION("""COMPUTED_VALUE"""),"km. My car displays range in kilometres and I will enter all range numbers in kilometres.")</f>
        <v>km. My car displays range in kilometres and I will enter all range numbers in kilometres.</v>
      </c>
      <c r="E570" s="259">
        <f>IFERROR(__xludf.DUMMYFUNCTION("""COMPUTED_VALUE"""),41971.0)</f>
        <v>41971</v>
      </c>
      <c r="F570" s="258" t="str">
        <f>IFERROR(__xludf.DUMMYFUNCTION("""COMPUTED_VALUE"""),"Model S 85")</f>
        <v>Model S 85</v>
      </c>
      <c r="G570" s="258" t="str">
        <f>IFERROR(__xludf.DUMMYFUNCTION("""COMPUTED_VALUE"""),"Daily")</f>
        <v>Daily</v>
      </c>
      <c r="H570" s="258" t="str">
        <f>IFERROR(__xludf.DUMMYFUNCTION("""COMPUTED_VALUE"""),"A few times a year")</f>
        <v>A few times a year</v>
      </c>
      <c r="I570" s="258" t="str">
        <f>IFERROR(__xludf.DUMMYFUNCTION("""COMPUTED_VALUE"""),"Monthly")</f>
        <v>Monthly</v>
      </c>
      <c r="J570" s="260">
        <f>IFERROR(__xludf.DUMMYFUNCTION("""COMPUTED_VALUE"""),0.5)</f>
        <v>0.5</v>
      </c>
      <c r="K570" s="258" t="str">
        <f>IFERROR(__xludf.DUMMYFUNCTION("""COMPUTED_VALUE"""),"")</f>
        <v/>
      </c>
      <c r="L570" s="258" t="str">
        <f>IFERROR(__xludf.DUMMYFUNCTION("""COMPUTED_VALUE"""),"")</f>
        <v/>
      </c>
      <c r="M570" s="261">
        <f>IFERROR(__xludf.DUMMYFUNCTION("""COMPUTED_VALUE"""),213.0)</f>
        <v>213</v>
      </c>
      <c r="N570" s="262" t="str">
        <f>IFERROR(__xludf.DUMMYFUNCTION("""COMPUTED_VALUE"""),"")</f>
        <v/>
      </c>
      <c r="O570" s="259" t="str">
        <f>IFERROR(__xludf.DUMMYFUNCTION("""COMPUTED_VALUE"""),"")</f>
        <v/>
      </c>
      <c r="P570" s="259">
        <f>IFERROR(__xludf.DUMMYFUNCTION("""COMPUTED_VALUE"""),43151.0)</f>
        <v>43151</v>
      </c>
      <c r="Q570" s="258">
        <f>IFERROR(__xludf.DUMMYFUNCTION("""COMPUTED_VALUE"""),178000.0)</f>
        <v>178000</v>
      </c>
      <c r="R570" s="261">
        <f>IFERROR(__xludf.DUMMYFUNCTION("""COMPUTED_VALUE"""),381.0)</f>
        <v>381</v>
      </c>
      <c r="S570" s="258">
        <v>395.0</v>
      </c>
      <c r="T570" s="263">
        <v>0.9645569620253165</v>
      </c>
      <c r="U570" s="264">
        <v>110604.0</v>
      </c>
      <c r="V570" s="265">
        <v>178000.0</v>
      </c>
      <c r="W570" s="264">
        <v>110604.0</v>
      </c>
      <c r="X570" s="266" t="str">
        <f>IFERROR(__xludf.DUMMYFUNCTION("""COMPUTED_VALUE"""),"txakoli")</f>
        <v>txakoli</v>
      </c>
      <c r="Y570" s="267">
        <v>-0.01</v>
      </c>
      <c r="Z570" s="267">
        <v>0.9285053031136117</v>
      </c>
      <c r="AA570" s="269"/>
      <c r="AB570" s="270"/>
      <c r="AC570" s="270"/>
      <c r="AD570" s="270"/>
      <c r="AE570" s="270"/>
    </row>
    <row r="571">
      <c r="A571" s="256">
        <f>IFERROR(__xludf.DUMMYFUNCTION("""COMPUTED_VALUE"""),43602.5497028125)</f>
        <v>43602.5497</v>
      </c>
      <c r="B571" s="257" t="str">
        <f>IFERROR(__xludf.DUMMYFUNCTION("""COMPUTED_VALUE"""),"Guillaume")</f>
        <v>Guillaume</v>
      </c>
      <c r="C571" s="258" t="str">
        <f>IFERROR(__xludf.DUMMYFUNCTION("""COMPUTED_VALUE"""),"Europe (excluding UK) &amp; Asia Pacific")</f>
        <v>Europe (excluding UK) &amp; Asia Pacific</v>
      </c>
      <c r="D571" s="258" t="str">
        <f>IFERROR(__xludf.DUMMYFUNCTION("""COMPUTED_VALUE"""),"km. My car displays range in kilometres and I will enter all range numbers in kilometres.")</f>
        <v>km. My car displays range in kilometres and I will enter all range numbers in kilometres.</v>
      </c>
      <c r="E571" s="259">
        <f>IFERROR(__xludf.DUMMYFUNCTION("""COMPUTED_VALUE"""),41971.0)</f>
        <v>41971</v>
      </c>
      <c r="F571" s="258" t="str">
        <f>IFERROR(__xludf.DUMMYFUNCTION("""COMPUTED_VALUE"""),"Model S 85")</f>
        <v>Model S 85</v>
      </c>
      <c r="G571" s="258" t="str">
        <f>IFERROR(__xludf.DUMMYFUNCTION("""COMPUTED_VALUE"""),"Twice a week")</f>
        <v>Twice a week</v>
      </c>
      <c r="H571" s="258" t="str">
        <f>IFERROR(__xludf.DUMMYFUNCTION("""COMPUTED_VALUE"""),"A few times a year")</f>
        <v>A few times a year</v>
      </c>
      <c r="I571" s="258" t="str">
        <f>IFERROR(__xludf.DUMMYFUNCTION("""COMPUTED_VALUE"""),"Twice a month")</f>
        <v>Twice a month</v>
      </c>
      <c r="J571" s="260">
        <f>IFERROR(__xludf.DUMMYFUNCTION("""COMPUTED_VALUE"""),0.5)</f>
        <v>0.5</v>
      </c>
      <c r="K571" s="258">
        <f>IFERROR(__xludf.DUMMYFUNCTION("""COMPUTED_VALUE"""),400.0)</f>
        <v>400</v>
      </c>
      <c r="L571" s="258" t="str">
        <f>IFERROR(__xludf.DUMMYFUNCTION("""COMPUTED_VALUE"""),"")</f>
        <v/>
      </c>
      <c r="M571" s="261">
        <f>IFERROR(__xludf.DUMMYFUNCTION("""COMPUTED_VALUE"""),214.0)</f>
        <v>214</v>
      </c>
      <c r="N571" s="262" t="str">
        <f>IFERROR(__xludf.DUMMYFUNCTION("""COMPUTED_VALUE"""),"")</f>
        <v/>
      </c>
      <c r="O571" s="259" t="str">
        <f>IFERROR(__xludf.DUMMYFUNCTION("""COMPUTED_VALUE"""),"")</f>
        <v/>
      </c>
      <c r="P571" s="259">
        <f>IFERROR(__xludf.DUMMYFUNCTION("""COMPUTED_VALUE"""),43597.0)</f>
        <v>43597</v>
      </c>
      <c r="Q571" s="258">
        <f>IFERROR(__xludf.DUMMYFUNCTION("""COMPUTED_VALUE"""),246902.0)</f>
        <v>246902</v>
      </c>
      <c r="R571" s="261">
        <f>IFERROR(__xludf.DUMMYFUNCTION("""COMPUTED_VALUE"""),363.0)</f>
        <v>363</v>
      </c>
      <c r="S571" s="258">
        <v>395.0</v>
      </c>
      <c r="T571" s="263">
        <v>0.9189873417721519</v>
      </c>
      <c r="U571" s="264">
        <v>153418.0</v>
      </c>
      <c r="V571" s="265">
        <v>246902.0</v>
      </c>
      <c r="W571" s="264">
        <v>153418.0</v>
      </c>
      <c r="X571" s="266" t="str">
        <f>IFERROR(__xludf.DUMMYFUNCTION("""COMPUTED_VALUE"""),"u00mem9")</f>
        <v>u00mem9</v>
      </c>
      <c r="Y571" s="267">
        <v>-0.01</v>
      </c>
      <c r="Z571" s="267">
        <v>0.9126123054319283</v>
      </c>
      <c r="AA571" s="269"/>
      <c r="AB571" s="270"/>
      <c r="AC571" s="270"/>
      <c r="AD571" s="270"/>
      <c r="AE571" s="270"/>
    </row>
    <row r="572">
      <c r="A572" s="256">
        <f>IFERROR(__xludf.DUMMYFUNCTION("""COMPUTED_VALUE"""),43602.5497028125)</f>
        <v>43602.5497</v>
      </c>
      <c r="B572" s="257" t="str">
        <f>IFERROR(__xludf.DUMMYFUNCTION("""COMPUTED_VALUE"""),"Guillaume")</f>
        <v>Guillaume</v>
      </c>
      <c r="C572" s="258" t="str">
        <f>IFERROR(__xludf.DUMMYFUNCTION("""COMPUTED_VALUE"""),"Europe (excluding UK) &amp; Asia Pacific")</f>
        <v>Europe (excluding UK) &amp; Asia Pacific</v>
      </c>
      <c r="D572" s="258" t="str">
        <f>IFERROR(__xludf.DUMMYFUNCTION("""COMPUTED_VALUE"""),"km. My car displays range in kilometres and I will enter all range numbers in kilometres.")</f>
        <v>km. My car displays range in kilometres and I will enter all range numbers in kilometres.</v>
      </c>
      <c r="E572" s="259">
        <f>IFERROR(__xludf.DUMMYFUNCTION("""COMPUTED_VALUE"""),41971.0)</f>
        <v>41971</v>
      </c>
      <c r="F572" s="258" t="str">
        <f>IFERROR(__xludf.DUMMYFUNCTION("""COMPUTED_VALUE"""),"Model S 85")</f>
        <v>Model S 85</v>
      </c>
      <c r="G572" s="258" t="str">
        <f>IFERROR(__xludf.DUMMYFUNCTION("""COMPUTED_VALUE"""),"Twice a week")</f>
        <v>Twice a week</v>
      </c>
      <c r="H572" s="258" t="str">
        <f>IFERROR(__xludf.DUMMYFUNCTION("""COMPUTED_VALUE"""),"A few times a year")</f>
        <v>A few times a year</v>
      </c>
      <c r="I572" s="258" t="str">
        <f>IFERROR(__xludf.DUMMYFUNCTION("""COMPUTED_VALUE"""),"Twice a month")</f>
        <v>Twice a month</v>
      </c>
      <c r="J572" s="260">
        <f>IFERROR(__xludf.DUMMYFUNCTION("""COMPUTED_VALUE"""),0.5)</f>
        <v>0.5</v>
      </c>
      <c r="K572" s="258">
        <f>IFERROR(__xludf.DUMMYFUNCTION("""COMPUTED_VALUE"""),400.0)</f>
        <v>400</v>
      </c>
      <c r="L572" s="258" t="str">
        <f>IFERROR(__xludf.DUMMYFUNCTION("""COMPUTED_VALUE"""),"")</f>
        <v/>
      </c>
      <c r="M572" s="261">
        <f>IFERROR(__xludf.DUMMYFUNCTION("""COMPUTED_VALUE"""),214.0)</f>
        <v>214</v>
      </c>
      <c r="N572" s="262" t="str">
        <f>IFERROR(__xludf.DUMMYFUNCTION("""COMPUTED_VALUE"""),"")</f>
        <v/>
      </c>
      <c r="O572" s="259" t="str">
        <f>IFERROR(__xludf.DUMMYFUNCTION("""COMPUTED_VALUE"""),"")</f>
        <v/>
      </c>
      <c r="P572" s="259">
        <f>IFERROR(__xludf.DUMMYFUNCTION("""COMPUTED_VALUE"""),43347.0)</f>
        <v>43347</v>
      </c>
      <c r="Q572" s="258">
        <f>IFERROR(__xludf.DUMMYFUNCTION("""COMPUTED_VALUE"""),209618.0)</f>
        <v>209618</v>
      </c>
      <c r="R572" s="261">
        <f>IFERROR(__xludf.DUMMYFUNCTION("""COMPUTED_VALUE"""),370.0)</f>
        <v>370</v>
      </c>
      <c r="S572" s="258">
        <v>395.0</v>
      </c>
      <c r="T572" s="263">
        <v>0.9367088607594937</v>
      </c>
      <c r="U572" s="264">
        <v>130251.0</v>
      </c>
      <c r="V572" s="265">
        <v>209618.0</v>
      </c>
      <c r="W572" s="264">
        <v>130251.0</v>
      </c>
      <c r="X572" s="266" t="str">
        <f>IFERROR(__xludf.DUMMYFUNCTION("""COMPUTED_VALUE"""),"ucmndd")</f>
        <v>ucmndd</v>
      </c>
      <c r="Y572" s="267">
        <v>-0.01</v>
      </c>
      <c r="Z572" s="267">
        <v>0.9212118859957383</v>
      </c>
      <c r="AA572" s="269"/>
      <c r="AB572" s="270"/>
      <c r="AC572" s="270"/>
      <c r="AD572" s="270"/>
      <c r="AE572" s="270"/>
    </row>
    <row r="573">
      <c r="A573" s="256">
        <f>IFERROR(__xludf.DUMMYFUNCTION("""COMPUTED_VALUE"""),42393.277083333334)</f>
        <v>42393.27708</v>
      </c>
      <c r="B573" s="257" t="str">
        <f>IFERROR(__xludf.DUMMYFUNCTION("""COMPUTED_VALUE"""),"Gunjanov")</f>
        <v>Gunjanov</v>
      </c>
      <c r="C573" s="258" t="str">
        <f>IFERROR(__xludf.DUMMYFUNCTION("""COMPUTED_VALUE"""),"Europe (excluding UK) &amp; Asia Pacific")</f>
        <v>Europe (excluding UK) &amp; Asia Pacific</v>
      </c>
      <c r="D573" s="258" t="str">
        <f>IFERROR(__xludf.DUMMYFUNCTION("""COMPUTED_VALUE"""),"km. My car displays range in kilometres and I will enter all range numbers in kilometres.")</f>
        <v>km. My car displays range in kilometres and I will enter all range numbers in kilometres.</v>
      </c>
      <c r="E573" s="259">
        <f>IFERROR(__xludf.DUMMYFUNCTION("""COMPUTED_VALUE"""),42130.0)</f>
        <v>42130</v>
      </c>
      <c r="F573" s="258" t="str">
        <f>IFERROR(__xludf.DUMMYFUNCTION("""COMPUTED_VALUE"""),"Model S 85D")</f>
        <v>Model S 85D</v>
      </c>
      <c r="G573" s="258" t="str">
        <f>IFERROR(__xludf.DUMMYFUNCTION("""COMPUTED_VALUE"""),"Twice a month")</f>
        <v>Twice a month</v>
      </c>
      <c r="H573" s="258" t="str">
        <f>IFERROR(__xludf.DUMMYFUNCTION("""COMPUTED_VALUE"""),"Monthly")</f>
        <v>Monthly</v>
      </c>
      <c r="I573" s="258" t="str">
        <f>IFERROR(__xludf.DUMMYFUNCTION("""COMPUTED_VALUE"""),"Monthly")</f>
        <v>Monthly</v>
      </c>
      <c r="J573" s="260">
        <f>IFERROR(__xludf.DUMMYFUNCTION("""COMPUTED_VALUE"""),0.8)</f>
        <v>0.8</v>
      </c>
      <c r="K573" s="258" t="str">
        <f>IFERROR(__xludf.DUMMYFUNCTION("""COMPUTED_VALUE"""),"")</f>
        <v/>
      </c>
      <c r="L573" s="258" t="str">
        <f>IFERROR(__xludf.DUMMYFUNCTION("""COMPUTED_VALUE"""),"")</f>
        <v/>
      </c>
      <c r="M573" s="261">
        <f>IFERROR(__xludf.DUMMYFUNCTION("""COMPUTED_VALUE"""),222.0)</f>
        <v>222</v>
      </c>
      <c r="N573" s="262" t="str">
        <f>IFERROR(__xludf.DUMMYFUNCTION("""COMPUTED_VALUE"""),"")</f>
        <v/>
      </c>
      <c r="O573" s="259" t="str">
        <f>IFERROR(__xludf.DUMMYFUNCTION("""COMPUTED_VALUE"""),"")</f>
        <v/>
      </c>
      <c r="P573" s="259">
        <f>IFERROR(__xludf.DUMMYFUNCTION("""COMPUTED_VALUE"""),42393.0)</f>
        <v>42393</v>
      </c>
      <c r="Q573" s="258">
        <f>IFERROR(__xludf.DUMMYFUNCTION("""COMPUTED_VALUE"""),20000.0)</f>
        <v>20000</v>
      </c>
      <c r="R573" s="261">
        <f>IFERROR(__xludf.DUMMYFUNCTION("""COMPUTED_VALUE"""),415.0)</f>
        <v>415</v>
      </c>
      <c r="S573" s="258">
        <v>425.0</v>
      </c>
      <c r="T573" s="263">
        <v>0.9764705882352941</v>
      </c>
      <c r="U573" s="264">
        <v>12427.0</v>
      </c>
      <c r="V573" s="265">
        <v>20000.0</v>
      </c>
      <c r="W573" s="264">
        <v>12427.0</v>
      </c>
      <c r="X573" s="266" t="str">
        <f>IFERROR(__xludf.DUMMYFUNCTION("""COMPUTED_VALUE"""),"Ugliest1")</f>
        <v>Ugliest1</v>
      </c>
      <c r="Y573" s="267">
        <v>-0.01</v>
      </c>
      <c r="Z573" s="267">
        <v>0.9744626396703288</v>
      </c>
      <c r="AA573" s="269"/>
      <c r="AB573" s="270"/>
      <c r="AC573" s="270"/>
      <c r="AD573" s="270"/>
      <c r="AE573" s="270"/>
    </row>
    <row r="574">
      <c r="A574" s="256">
        <f>IFERROR(__xludf.DUMMYFUNCTION("""COMPUTED_VALUE"""),42232.16111111111)</f>
        <v>42232.16111</v>
      </c>
      <c r="B574" s="257" t="str">
        <f>IFERROR(__xludf.DUMMYFUNCTION("""COMPUTED_VALUE"""),"Guten")</f>
        <v>Guten</v>
      </c>
      <c r="C574" s="258" t="str">
        <f>IFERROR(__xludf.DUMMYFUNCTION("""COMPUTED_VALUE"""),"Europe (excluding UK) &amp; Asia Pacific")</f>
        <v>Europe (excluding UK) &amp; Asia Pacific</v>
      </c>
      <c r="D574" s="258" t="str">
        <f>IFERROR(__xludf.DUMMYFUNCTION("""COMPUTED_VALUE"""),"km. My car displays range in kilometres and I will enter all range numbers in kilometres.")</f>
        <v>km. My car displays range in kilometres and I will enter all range numbers in kilometres.</v>
      </c>
      <c r="E574" s="259">
        <f>IFERROR(__xludf.DUMMYFUNCTION("""COMPUTED_VALUE"""),42231.0)</f>
        <v>42231</v>
      </c>
      <c r="F574" s="258" t="str">
        <f>IFERROR(__xludf.DUMMYFUNCTION("""COMPUTED_VALUE"""),"Model S 70D")</f>
        <v>Model S 70D</v>
      </c>
      <c r="G574" s="258" t="str">
        <f>IFERROR(__xludf.DUMMYFUNCTION("""COMPUTED_VALUE"""),"")</f>
        <v/>
      </c>
      <c r="H574" s="258" t="str">
        <f>IFERROR(__xludf.DUMMYFUNCTION("""COMPUTED_VALUE"""),"")</f>
        <v/>
      </c>
      <c r="I574" s="258" t="str">
        <f>IFERROR(__xludf.DUMMYFUNCTION("""COMPUTED_VALUE"""),"")</f>
        <v/>
      </c>
      <c r="J574" s="260" t="str">
        <f>IFERROR(__xludf.DUMMYFUNCTION("""COMPUTED_VALUE"""),"")</f>
        <v/>
      </c>
      <c r="K574" s="258" t="str">
        <f>IFERROR(__xludf.DUMMYFUNCTION("""COMPUTED_VALUE"""),"")</f>
        <v/>
      </c>
      <c r="L574" s="258" t="str">
        <f>IFERROR(__xludf.DUMMYFUNCTION("""COMPUTED_VALUE"""),"")</f>
        <v/>
      </c>
      <c r="M574" s="261">
        <f>IFERROR(__xludf.DUMMYFUNCTION("""COMPUTED_VALUE"""),208.0)</f>
        <v>208</v>
      </c>
      <c r="N574" s="262" t="str">
        <f>IFERROR(__xludf.DUMMYFUNCTION("""COMPUTED_VALUE"""),"")</f>
        <v/>
      </c>
      <c r="O574" s="259" t="str">
        <f>IFERROR(__xludf.DUMMYFUNCTION("""COMPUTED_VALUE"""),"")</f>
        <v/>
      </c>
      <c r="P574" s="259">
        <f>IFERROR(__xludf.DUMMYFUNCTION("""COMPUTED_VALUE"""),42232.0)</f>
        <v>42232</v>
      </c>
      <c r="Q574" s="258">
        <f>IFERROR(__xludf.DUMMYFUNCTION("""COMPUTED_VALUE"""),130.0)</f>
        <v>130</v>
      </c>
      <c r="R574" s="261">
        <f>IFERROR(__xludf.DUMMYFUNCTION("""COMPUTED_VALUE"""),336.0)</f>
        <v>336</v>
      </c>
      <c r="S574" s="258">
        <v>360.0</v>
      </c>
      <c r="T574" s="263">
        <v>0.9333333333333333</v>
      </c>
      <c r="U574" s="264">
        <v>81.0</v>
      </c>
      <c r="V574" s="265">
        <v>130.0</v>
      </c>
      <c r="W574" s="264">
        <v>81.0</v>
      </c>
      <c r="X574" s="266" t="str">
        <f>IFERROR(__xludf.DUMMYFUNCTION("""COMPUTED_VALUE"""),"UlrA")</f>
        <v>UlrA</v>
      </c>
      <c r="Y574" s="267">
        <v>-0.01</v>
      </c>
      <c r="Z574" s="267">
        <v>0.9997408095912841</v>
      </c>
      <c r="AA574" s="269"/>
      <c r="AB574" s="270"/>
      <c r="AC574" s="270"/>
      <c r="AD574" s="270"/>
      <c r="AE574" s="270"/>
    </row>
    <row r="575">
      <c r="A575" s="256">
        <f>IFERROR(__xludf.DUMMYFUNCTION("""COMPUTED_VALUE"""),42797.509722222225)</f>
        <v>42797.50972</v>
      </c>
      <c r="B575" s="257" t="str">
        <f>IFERROR(__xludf.DUMMYFUNCTION("""COMPUTED_VALUE"""),"gvveen")</f>
        <v>gvveen</v>
      </c>
      <c r="C575" s="258" t="str">
        <f>IFERROR(__xludf.DUMMYFUNCTION("""COMPUTED_VALUE"""),"Europe (excluding UK) &amp; Asia Pacific")</f>
        <v>Europe (excluding UK) &amp; Asia Pacific</v>
      </c>
      <c r="D575" s="258" t="str">
        <f>IFERROR(__xludf.DUMMYFUNCTION("""COMPUTED_VALUE"""),"km. My car displays range in kilometres and I will enter all range numbers in kilometres.")</f>
        <v>km. My car displays range in kilometres and I will enter all range numbers in kilometres.</v>
      </c>
      <c r="E575" s="259">
        <f>IFERROR(__xludf.DUMMYFUNCTION("""COMPUTED_VALUE"""),42628.0)</f>
        <v>42628</v>
      </c>
      <c r="F575" s="258" t="str">
        <f>IFERROR(__xludf.DUMMYFUNCTION("""COMPUTED_VALUE"""),"Model S 75")</f>
        <v>Model S 75</v>
      </c>
      <c r="G575" s="258" t="str">
        <f>IFERROR(__xludf.DUMMYFUNCTION("""COMPUTED_VALUE"""),"")</f>
        <v/>
      </c>
      <c r="H575" s="258" t="str">
        <f>IFERROR(__xludf.DUMMYFUNCTION("""COMPUTED_VALUE"""),"")</f>
        <v/>
      </c>
      <c r="I575" s="258" t="str">
        <f>IFERROR(__xludf.DUMMYFUNCTION("""COMPUTED_VALUE"""),"")</f>
        <v/>
      </c>
      <c r="J575" s="260" t="str">
        <f>IFERROR(__xludf.DUMMYFUNCTION("""COMPUTED_VALUE"""),"")</f>
        <v/>
      </c>
      <c r="K575" s="258" t="str">
        <f>IFERROR(__xludf.DUMMYFUNCTION("""COMPUTED_VALUE"""),"")</f>
        <v/>
      </c>
      <c r="L575" s="258" t="str">
        <f>IFERROR(__xludf.DUMMYFUNCTION("""COMPUTED_VALUE"""),"")</f>
        <v/>
      </c>
      <c r="M575" s="261">
        <f>IFERROR(__xludf.DUMMYFUNCTION("""COMPUTED_VALUE"""),198.0)</f>
        <v>198</v>
      </c>
      <c r="N575" s="262" t="str">
        <f>IFERROR(__xludf.DUMMYFUNCTION("""COMPUTED_VALUE"""),"")</f>
        <v/>
      </c>
      <c r="O575" s="259" t="str">
        <f>IFERROR(__xludf.DUMMYFUNCTION("""COMPUTED_VALUE"""),"")</f>
        <v/>
      </c>
      <c r="P575" s="259">
        <f>IFERROR(__xludf.DUMMYFUNCTION("""COMPUTED_VALUE"""),42797.0)</f>
        <v>42797</v>
      </c>
      <c r="Q575" s="258">
        <f>IFERROR(__xludf.DUMMYFUNCTION("""COMPUTED_VALUE"""),28385.0)</f>
        <v>28385</v>
      </c>
      <c r="R575" s="261">
        <f>IFERROR(__xludf.DUMMYFUNCTION("""COMPUTED_VALUE"""),373.0)</f>
        <v>373</v>
      </c>
      <c r="S575" s="258">
        <v>375.0</v>
      </c>
      <c r="T575" s="263">
        <v>0.9946666666666667</v>
      </c>
      <c r="U575" s="264">
        <v>17638.0</v>
      </c>
      <c r="V575" s="265">
        <v>28385.0</v>
      </c>
      <c r="W575" s="264">
        <v>17638.0</v>
      </c>
      <c r="X575" s="266" t="str">
        <f>IFERROR(__xludf.DUMMYFUNCTION("""COMPUTED_VALUE"""),"univ")</f>
        <v>univ</v>
      </c>
      <c r="Y575" s="267">
        <v>-0.01</v>
      </c>
      <c r="Z575" s="267">
        <v>0.9688569775761061</v>
      </c>
      <c r="AA575" s="269"/>
      <c r="AB575" s="270"/>
      <c r="AC575" s="270"/>
      <c r="AD575" s="270"/>
      <c r="AE575" s="270"/>
    </row>
    <row r="576">
      <c r="A576" s="256">
        <f>IFERROR(__xludf.DUMMYFUNCTION("""COMPUTED_VALUE"""),42803.82083333333)</f>
        <v>42803.82083</v>
      </c>
      <c r="B576" s="257" t="str">
        <f>IFERROR(__xludf.DUMMYFUNCTION("""COMPUTED_VALUE"""),"GW")</f>
        <v>GW</v>
      </c>
      <c r="C576" s="258" t="str">
        <f>IFERROR(__xludf.DUMMYFUNCTION("""COMPUTED_VALUE"""),"USA")</f>
        <v>USA</v>
      </c>
      <c r="D576" s="258" t="str">
        <f>IFERROR(__xludf.DUMMYFUNCTION("""COMPUTED_VALUE"""),"mi. My car displays range in miles and I will enter all range numbers in miles.")</f>
        <v>mi. My car displays range in miles and I will enter all range numbers in miles.</v>
      </c>
      <c r="E576" s="259">
        <f>IFERROR(__xludf.DUMMYFUNCTION("""COMPUTED_VALUE"""),42601.0)</f>
        <v>42601</v>
      </c>
      <c r="F576" s="258" t="str">
        <f>IFERROR(__xludf.DUMMYFUNCTION("""COMPUTED_VALUE"""),"Model S P90D")</f>
        <v>Model S P90D</v>
      </c>
      <c r="G576" s="258" t="str">
        <f>IFERROR(__xludf.DUMMYFUNCTION("""COMPUTED_VALUE"""),"A few times a year")</f>
        <v>A few times a year</v>
      </c>
      <c r="H576" s="258" t="str">
        <f>IFERROR(__xludf.DUMMYFUNCTION("""COMPUTED_VALUE"""),"Once or twice a year")</f>
        <v>Once or twice a year</v>
      </c>
      <c r="I576" s="258" t="str">
        <f>IFERROR(__xludf.DUMMYFUNCTION("""COMPUTED_VALUE"""),"Never")</f>
        <v>Never</v>
      </c>
      <c r="J576" s="260">
        <f>IFERROR(__xludf.DUMMYFUNCTION("""COMPUTED_VALUE"""),0.8)</f>
        <v>0.8</v>
      </c>
      <c r="K576" s="258">
        <f>IFERROR(__xludf.DUMMYFUNCTION("""COMPUTED_VALUE"""),271.0)</f>
        <v>271</v>
      </c>
      <c r="L576" s="258" t="str">
        <f>IFERROR(__xludf.DUMMYFUNCTION("""COMPUTED_VALUE"""),"")</f>
        <v/>
      </c>
      <c r="M576" s="261">
        <f>IFERROR(__xludf.DUMMYFUNCTION("""COMPUTED_VALUE"""),281.0)</f>
        <v>281</v>
      </c>
      <c r="N576" s="262" t="str">
        <f>IFERROR(__xludf.DUMMYFUNCTION("""COMPUTED_VALUE"""),"")</f>
        <v/>
      </c>
      <c r="O576" s="259" t="str">
        <f>IFERROR(__xludf.DUMMYFUNCTION("""COMPUTED_VALUE"""),"")</f>
        <v/>
      </c>
      <c r="P576" s="259">
        <f>IFERROR(__xludf.DUMMYFUNCTION("""COMPUTED_VALUE"""),42803.0)</f>
        <v>42803</v>
      </c>
      <c r="Q576" s="258">
        <f>IFERROR(__xludf.DUMMYFUNCTION("""COMPUTED_VALUE"""),10877.0)</f>
        <v>10877</v>
      </c>
      <c r="R576" s="261">
        <f>IFERROR(__xludf.DUMMYFUNCTION("""COMPUTED_VALUE"""),267.0)</f>
        <v>267</v>
      </c>
      <c r="S576" s="258">
        <v>271.0</v>
      </c>
      <c r="T576" s="263">
        <v>0.985239852398524</v>
      </c>
      <c r="U576" s="264">
        <v>10877.0</v>
      </c>
      <c r="V576" s="265">
        <v>17505.0</v>
      </c>
      <c r="W576" s="264">
        <v>10877.0</v>
      </c>
      <c r="X576" s="266" t="str">
        <f>IFERROR(__xludf.DUMMYFUNCTION("""COMPUTED_VALUE"""),"VBRaj")</f>
        <v>VBRaj</v>
      </c>
      <c r="Y576" s="267">
        <v>-0.01</v>
      </c>
      <c r="Z576" s="267">
        <v>0.9765236291805451</v>
      </c>
      <c r="AA576" s="269"/>
      <c r="AB576" s="270"/>
      <c r="AC576" s="270"/>
      <c r="AD576" s="270"/>
      <c r="AE576" s="270"/>
    </row>
    <row r="577">
      <c r="A577" s="256">
        <f>IFERROR(__xludf.DUMMYFUNCTION("""COMPUTED_VALUE"""),43182.88055555556)</f>
        <v>43182.88056</v>
      </c>
      <c r="B577" s="257" t="str">
        <f>IFERROR(__xludf.DUMMYFUNCTION("""COMPUTED_VALUE"""),"GW")</f>
        <v>GW</v>
      </c>
      <c r="C577" s="258" t="str">
        <f>IFERROR(__xludf.DUMMYFUNCTION("""COMPUTED_VALUE"""),"USA")</f>
        <v>USA</v>
      </c>
      <c r="D577" s="258" t="str">
        <f>IFERROR(__xludf.DUMMYFUNCTION("""COMPUTED_VALUE"""),"mi. My car displays range in miles and I will enter all range numbers in miles.")</f>
        <v>mi. My car displays range in miles and I will enter all range numbers in miles.</v>
      </c>
      <c r="E577" s="259">
        <f>IFERROR(__xludf.DUMMYFUNCTION("""COMPUTED_VALUE"""),42601.0)</f>
        <v>42601</v>
      </c>
      <c r="F577" s="258" t="str">
        <f>IFERROR(__xludf.DUMMYFUNCTION("""COMPUTED_VALUE"""),"Model S P90D")</f>
        <v>Model S P90D</v>
      </c>
      <c r="G577" s="258" t="str">
        <f>IFERROR(__xludf.DUMMYFUNCTION("""COMPUTED_VALUE"""),"A few times a year")</f>
        <v>A few times a year</v>
      </c>
      <c r="H577" s="258" t="str">
        <f>IFERROR(__xludf.DUMMYFUNCTION("""COMPUTED_VALUE"""),"A few times a year")</f>
        <v>A few times a year</v>
      </c>
      <c r="I577" s="258" t="str">
        <f>IFERROR(__xludf.DUMMYFUNCTION("""COMPUTED_VALUE"""),"Once or twice a year")</f>
        <v>Once or twice a year</v>
      </c>
      <c r="J577" s="260">
        <f>IFERROR(__xludf.DUMMYFUNCTION("""COMPUTED_VALUE"""),0.7)</f>
        <v>0.7</v>
      </c>
      <c r="K577" s="258">
        <f>IFERROR(__xludf.DUMMYFUNCTION("""COMPUTED_VALUE"""),271.0)</f>
        <v>271</v>
      </c>
      <c r="L577" s="258" t="str">
        <f>IFERROR(__xludf.DUMMYFUNCTION("""COMPUTED_VALUE"""),"")</f>
        <v/>
      </c>
      <c r="M577" s="261">
        <f>IFERROR(__xludf.DUMMYFUNCTION("""COMPUTED_VALUE"""),284.0)</f>
        <v>284</v>
      </c>
      <c r="N577" s="262" t="str">
        <f>IFERROR(__xludf.DUMMYFUNCTION("""COMPUTED_VALUE"""),"")</f>
        <v/>
      </c>
      <c r="O577" s="259" t="str">
        <f>IFERROR(__xludf.DUMMYFUNCTION("""COMPUTED_VALUE"""),"")</f>
        <v/>
      </c>
      <c r="P577" s="259">
        <f>IFERROR(__xludf.DUMMYFUNCTION("""COMPUTED_VALUE"""),43182.0)</f>
        <v>43182</v>
      </c>
      <c r="Q577" s="258">
        <f>IFERROR(__xludf.DUMMYFUNCTION("""COMPUTED_VALUE"""),26434.0)</f>
        <v>26434</v>
      </c>
      <c r="R577" s="261">
        <f>IFERROR(__xludf.DUMMYFUNCTION("""COMPUTED_VALUE"""),253.0)</f>
        <v>253</v>
      </c>
      <c r="S577" s="258">
        <v>271.0</v>
      </c>
      <c r="T577" s="263">
        <v>0.933579335793358</v>
      </c>
      <c r="U577" s="264">
        <v>26434.0</v>
      </c>
      <c r="V577" s="265">
        <v>42541.0</v>
      </c>
      <c r="W577" s="264">
        <v>26434.0</v>
      </c>
      <c r="X577" s="266" t="str">
        <f>IFERROR(__xludf.DUMMYFUNCTION("""COMPUTED_VALUE"""),"vdiv")</f>
        <v>vdiv</v>
      </c>
      <c r="Y577" s="267">
        <v>-0.01</v>
      </c>
      <c r="Z577" s="267">
        <v>0.9623138287636192</v>
      </c>
      <c r="AA577" s="269"/>
      <c r="AB577" s="270"/>
      <c r="AC577" s="270"/>
      <c r="AD577" s="270"/>
      <c r="AE577" s="270"/>
    </row>
    <row r="578">
      <c r="A578" s="256">
        <f>IFERROR(__xludf.DUMMYFUNCTION("""COMPUTED_VALUE"""),42427.29652777778)</f>
        <v>42427.29653</v>
      </c>
      <c r="B578" s="257" t="str">
        <f>IFERROR(__xludf.DUMMYFUNCTION("""COMPUTED_VALUE"""),"gyapi")</f>
        <v>gyapi</v>
      </c>
      <c r="C578" s="258" t="str">
        <f>IFERROR(__xludf.DUMMYFUNCTION("""COMPUTED_VALUE"""),"Europe (excluding UK) &amp; Asia Pacific")</f>
        <v>Europe (excluding UK) &amp; Asia Pacific</v>
      </c>
      <c r="D578" s="258" t="str">
        <f>IFERROR(__xludf.DUMMYFUNCTION("""COMPUTED_VALUE"""),"km. My car displays range in kilometres and I will enter all range numbers in kilometres.")</f>
        <v>km. My car displays range in kilometres and I will enter all range numbers in kilometres.</v>
      </c>
      <c r="E578" s="259">
        <f>IFERROR(__xludf.DUMMYFUNCTION("""COMPUTED_VALUE"""),41804.0)</f>
        <v>41804</v>
      </c>
      <c r="F578" s="258" t="str">
        <f>IFERROR(__xludf.DUMMYFUNCTION("""COMPUTED_VALUE"""),"Model S 85")</f>
        <v>Model S 85</v>
      </c>
      <c r="G578" s="258" t="str">
        <f>IFERROR(__xludf.DUMMYFUNCTION("""COMPUTED_VALUE"""),"A few times a year")</f>
        <v>A few times a year</v>
      </c>
      <c r="H578" s="258" t="str">
        <f>IFERROR(__xludf.DUMMYFUNCTION("""COMPUTED_VALUE"""),"Monthly")</f>
        <v>Monthly</v>
      </c>
      <c r="I578" s="258" t="str">
        <f>IFERROR(__xludf.DUMMYFUNCTION("""COMPUTED_VALUE"""),"Never")</f>
        <v>Never</v>
      </c>
      <c r="J578" s="260">
        <f>IFERROR(__xludf.DUMMYFUNCTION("""COMPUTED_VALUE"""),0.8)</f>
        <v>0.8</v>
      </c>
      <c r="K578" s="258" t="str">
        <f>IFERROR(__xludf.DUMMYFUNCTION("""COMPUTED_VALUE"""),"")</f>
        <v/>
      </c>
      <c r="L578" s="258" t="str">
        <f>IFERROR(__xludf.DUMMYFUNCTION("""COMPUTED_VALUE"""),"")</f>
        <v/>
      </c>
      <c r="M578" s="261">
        <f>IFERROR(__xludf.DUMMYFUNCTION("""COMPUTED_VALUE"""),227.0)</f>
        <v>227</v>
      </c>
      <c r="N578" s="262" t="str">
        <f>IFERROR(__xludf.DUMMYFUNCTION("""COMPUTED_VALUE"""),"")</f>
        <v/>
      </c>
      <c r="O578" s="259" t="str">
        <f>IFERROR(__xludf.DUMMYFUNCTION("""COMPUTED_VALUE"""),"")</f>
        <v/>
      </c>
      <c r="P578" s="259">
        <f>IFERROR(__xludf.DUMMYFUNCTION("""COMPUTED_VALUE"""),42427.0)</f>
        <v>42427</v>
      </c>
      <c r="Q578" s="258">
        <f>IFERROR(__xludf.DUMMYFUNCTION("""COMPUTED_VALUE"""),37000.0)</f>
        <v>37000</v>
      </c>
      <c r="R578" s="261">
        <f>IFERROR(__xludf.DUMMYFUNCTION("""COMPUTED_VALUE"""),377.0)</f>
        <v>377</v>
      </c>
      <c r="S578" s="258">
        <v>395.0</v>
      </c>
      <c r="T578" s="263">
        <v>0.9544303797468354</v>
      </c>
      <c r="U578" s="264">
        <v>22991.0</v>
      </c>
      <c r="V578" s="265">
        <v>37000.0</v>
      </c>
      <c r="W578" s="264">
        <v>22991.0</v>
      </c>
      <c r="X578" s="266" t="str">
        <f>IFERROR(__xludf.DUMMYFUNCTION("""COMPUTED_VALUE"""),"velociped77")</f>
        <v>velociped77</v>
      </c>
      <c r="Y578" s="267">
        <v>-0.01</v>
      </c>
      <c r="Z578" s="267">
        <v>0.9645672725752551</v>
      </c>
      <c r="AA578" s="269"/>
      <c r="AB578" s="270"/>
      <c r="AC578" s="270"/>
      <c r="AD578" s="270"/>
      <c r="AE578" s="270"/>
    </row>
    <row r="579">
      <c r="A579" s="256">
        <f>IFERROR(__xludf.DUMMYFUNCTION("""COMPUTED_VALUE"""),42694.89236111111)</f>
        <v>42694.89236</v>
      </c>
      <c r="B579" s="257" t="str">
        <f>IFERROR(__xludf.DUMMYFUNCTION("""COMPUTED_VALUE"""),"gyroscope")</f>
        <v>gyroscope</v>
      </c>
      <c r="C579" s="258" t="str">
        <f>IFERROR(__xludf.DUMMYFUNCTION("""COMPUTED_VALUE"""),"UK")</f>
        <v>UK</v>
      </c>
      <c r="D579" s="258" t="str">
        <f>IFERROR(__xludf.DUMMYFUNCTION("""COMPUTED_VALUE"""),"mi. My car displays range in miles and I will enter all range numbers in miles.")</f>
        <v>mi. My car displays range in miles and I will enter all range numbers in miles.</v>
      </c>
      <c r="E579" s="259">
        <f>IFERROR(__xludf.DUMMYFUNCTION("""COMPUTED_VALUE"""),42138.0)</f>
        <v>42138</v>
      </c>
      <c r="F579" s="258" t="str">
        <f>IFERROR(__xludf.DUMMYFUNCTION("""COMPUTED_VALUE"""),"Model S 85")</f>
        <v>Model S 85</v>
      </c>
      <c r="G579" s="258" t="str">
        <f>IFERROR(__xludf.DUMMYFUNCTION("""COMPUTED_VALUE"""),"Weekly")</f>
        <v>Weekly</v>
      </c>
      <c r="H579" s="258" t="str">
        <f>IFERROR(__xludf.DUMMYFUNCTION("""COMPUTED_VALUE"""),"Once or twice a year")</f>
        <v>Once or twice a year</v>
      </c>
      <c r="I579" s="258" t="str">
        <f>IFERROR(__xludf.DUMMYFUNCTION("""COMPUTED_VALUE"""),"Never")</f>
        <v>Never</v>
      </c>
      <c r="J579" s="260">
        <f>IFERROR(__xludf.DUMMYFUNCTION("""COMPUTED_VALUE"""),0.7)</f>
        <v>0.7</v>
      </c>
      <c r="K579" s="258" t="str">
        <f>IFERROR(__xludf.DUMMYFUNCTION("""COMPUTED_VALUE"""),"")</f>
        <v/>
      </c>
      <c r="L579" s="258" t="str">
        <f>IFERROR(__xludf.DUMMYFUNCTION("""COMPUTED_VALUE"""),"")</f>
        <v/>
      </c>
      <c r="M579" s="261">
        <f>IFERROR(__xludf.DUMMYFUNCTION("""COMPUTED_VALUE"""),379.0)</f>
        <v>379</v>
      </c>
      <c r="N579" s="262" t="str">
        <f>IFERROR(__xludf.DUMMYFUNCTION("""COMPUTED_VALUE"""),"")</f>
        <v/>
      </c>
      <c r="O579" s="259" t="str">
        <f>IFERROR(__xludf.DUMMYFUNCTION("""COMPUTED_VALUE"""),"")</f>
        <v/>
      </c>
      <c r="P579" s="259">
        <f>IFERROR(__xludf.DUMMYFUNCTION("""COMPUTED_VALUE"""),42694.0)</f>
        <v>42694</v>
      </c>
      <c r="Q579" s="258">
        <f>IFERROR(__xludf.DUMMYFUNCTION("""COMPUTED_VALUE"""),45959.0)</f>
        <v>45959</v>
      </c>
      <c r="R579" s="261">
        <f>IFERROR(__xludf.DUMMYFUNCTION("""COMPUTED_VALUE"""),231.0)</f>
        <v>231</v>
      </c>
      <c r="S579" s="258">
        <v>245.0</v>
      </c>
      <c r="T579" s="263">
        <v>0.9428571428571428</v>
      </c>
      <c r="U579" s="264">
        <v>45959.0</v>
      </c>
      <c r="V579" s="265">
        <v>73964.0</v>
      </c>
      <c r="W579" s="264">
        <v>45959.0</v>
      </c>
      <c r="X579" s="266" t="str">
        <f>IFERROR(__xludf.DUMMYFUNCTION("""COMPUTED_VALUE"""),"Verdi")</f>
        <v>Verdi</v>
      </c>
      <c r="Y579" s="267">
        <v>-0.01</v>
      </c>
      <c r="Z579" s="267">
        <v>0.952912858377908</v>
      </c>
      <c r="AA579" s="269"/>
      <c r="AB579" s="270"/>
      <c r="AC579" s="270"/>
      <c r="AD579" s="270"/>
      <c r="AE579" s="270"/>
    </row>
    <row r="580">
      <c r="A580" s="256">
        <f>IFERROR(__xludf.DUMMYFUNCTION("""COMPUTED_VALUE"""),42278.205555555556)</f>
        <v>42278.20556</v>
      </c>
      <c r="B580" s="257" t="str">
        <f>IFERROR(__xludf.DUMMYFUNCTION("""COMPUTED_VALUE"""),"Haa")</f>
        <v>Haa</v>
      </c>
      <c r="C580" s="258" t="str">
        <f>IFERROR(__xludf.DUMMYFUNCTION("""COMPUTED_VALUE"""),"Europe (excluding UK) &amp; Asia Pacific")</f>
        <v>Europe (excluding UK) &amp; Asia Pacific</v>
      </c>
      <c r="D580" s="258" t="str">
        <f>IFERROR(__xludf.DUMMYFUNCTION("""COMPUTED_VALUE"""),"km. My car displays range in kilometres and I will enter all range numbers in kilometres.")</f>
        <v>km. My car displays range in kilometres and I will enter all range numbers in kilometres.</v>
      </c>
      <c r="E580" s="259">
        <f>IFERROR(__xludf.DUMMYFUNCTION("""COMPUTED_VALUE"""),41708.0)</f>
        <v>41708</v>
      </c>
      <c r="F580" s="258" t="str">
        <f>IFERROR(__xludf.DUMMYFUNCTION("""COMPUTED_VALUE"""),"Model S 85")</f>
        <v>Model S 85</v>
      </c>
      <c r="G580" s="258" t="str">
        <f>IFERROR(__xludf.DUMMYFUNCTION("""COMPUTED_VALUE"""),"Twice a month")</f>
        <v>Twice a month</v>
      </c>
      <c r="H580" s="258" t="str">
        <f>IFERROR(__xludf.DUMMYFUNCTION("""COMPUTED_VALUE"""),"Once or twice a year")</f>
        <v>Once or twice a year</v>
      </c>
      <c r="I580" s="258" t="str">
        <f>IFERROR(__xludf.DUMMYFUNCTION("""COMPUTED_VALUE"""),"Never")</f>
        <v>Never</v>
      </c>
      <c r="J580" s="260">
        <f>IFERROR(__xludf.DUMMYFUNCTION("""COMPUTED_VALUE"""),0.9)</f>
        <v>0.9</v>
      </c>
      <c r="K580" s="258">
        <f>IFERROR(__xludf.DUMMYFUNCTION("""COMPUTED_VALUE"""),404.0)</f>
        <v>404</v>
      </c>
      <c r="L580" s="258" t="str">
        <f>IFERROR(__xludf.DUMMYFUNCTION("""COMPUTED_VALUE"""),"")</f>
        <v/>
      </c>
      <c r="M580" s="261">
        <f>IFERROR(__xludf.DUMMYFUNCTION("""COMPUTED_VALUE"""),225.0)</f>
        <v>225</v>
      </c>
      <c r="N580" s="262" t="str">
        <f>IFERROR(__xludf.DUMMYFUNCTION("""COMPUTED_VALUE"""),"")</f>
        <v/>
      </c>
      <c r="O580" s="259" t="str">
        <f>IFERROR(__xludf.DUMMYFUNCTION("""COMPUTED_VALUE"""),"")</f>
        <v/>
      </c>
      <c r="P580" s="259">
        <f>IFERROR(__xludf.DUMMYFUNCTION("""COMPUTED_VALUE"""),42278.0)</f>
        <v>42278</v>
      </c>
      <c r="Q580" s="258">
        <f>IFERROR(__xludf.DUMMYFUNCTION("""COMPUTED_VALUE"""),43800.0)</f>
        <v>43800</v>
      </c>
      <c r="R580" s="261">
        <f>IFERROR(__xludf.DUMMYFUNCTION("""COMPUTED_VALUE"""),379.0)</f>
        <v>379</v>
      </c>
      <c r="S580" s="258">
        <v>395.0</v>
      </c>
      <c r="T580" s="263">
        <v>0.959493670886076</v>
      </c>
      <c r="U580" s="264">
        <v>27216.0</v>
      </c>
      <c r="V580" s="265">
        <v>43800.0</v>
      </c>
      <c r="W580" s="264">
        <v>27216.0</v>
      </c>
      <c r="X580" s="266" t="str">
        <f>IFERROR(__xludf.DUMMYFUNCTION("""COMPUTED_VALUE"""),"Viking")</f>
        <v>Viking</v>
      </c>
      <c r="Y580" s="267">
        <v>-0.01</v>
      </c>
      <c r="Z580" s="267">
        <v>0.9618423081669558</v>
      </c>
      <c r="AA580" s="269"/>
      <c r="AB580" s="270"/>
      <c r="AC580" s="270"/>
      <c r="AD580" s="270"/>
      <c r="AE580" s="270"/>
    </row>
    <row r="581">
      <c r="A581" s="256">
        <f>IFERROR(__xludf.DUMMYFUNCTION("""COMPUTED_VALUE"""),43117.66736111111)</f>
        <v>43117.66736</v>
      </c>
      <c r="B581" s="257" t="str">
        <f>IFERROR(__xludf.DUMMYFUNCTION("""COMPUTED_VALUE"""),"Haalie")</f>
        <v>Haalie</v>
      </c>
      <c r="C581" s="258" t="str">
        <f>IFERROR(__xludf.DUMMYFUNCTION("""COMPUTED_VALUE"""),"Europe (excluding UK) &amp; Asia Pacific")</f>
        <v>Europe (excluding UK) &amp; Asia Pacific</v>
      </c>
      <c r="D581" s="258" t="str">
        <f>IFERROR(__xludf.DUMMYFUNCTION("""COMPUTED_VALUE"""),"km. My car displays range in kilometres and I will enter all range numbers in kilometres.")</f>
        <v>km. My car displays range in kilometres and I will enter all range numbers in kilometres.</v>
      </c>
      <c r="E581" s="259">
        <f>IFERROR(__xludf.DUMMYFUNCTION("""COMPUTED_VALUE"""),42697.0)</f>
        <v>42697</v>
      </c>
      <c r="F581" s="258" t="str">
        <f>IFERROR(__xludf.DUMMYFUNCTION("""COMPUTED_VALUE"""),"Model S 90D")</f>
        <v>Model S 90D</v>
      </c>
      <c r="G581" s="258" t="str">
        <f>IFERROR(__xludf.DUMMYFUNCTION("""COMPUTED_VALUE"""),"Twice a month")</f>
        <v>Twice a month</v>
      </c>
      <c r="H581" s="258" t="str">
        <f>IFERROR(__xludf.DUMMYFUNCTION("""COMPUTED_VALUE"""),"Once or twice a year")</f>
        <v>Once or twice a year</v>
      </c>
      <c r="I581" s="258" t="str">
        <f>IFERROR(__xludf.DUMMYFUNCTION("""COMPUTED_VALUE"""),"A few times a year")</f>
        <v>A few times a year</v>
      </c>
      <c r="J581" s="260" t="str">
        <f>IFERROR(__xludf.DUMMYFUNCTION("""COMPUTED_VALUE"""),"")</f>
        <v/>
      </c>
      <c r="K581" s="258">
        <f>IFERROR(__xludf.DUMMYFUNCTION("""COMPUTED_VALUE"""),463.0)</f>
        <v>463</v>
      </c>
      <c r="L581" s="258" t="str">
        <f>IFERROR(__xludf.DUMMYFUNCTION("""COMPUTED_VALUE"""),"")</f>
        <v/>
      </c>
      <c r="M581" s="261">
        <f>IFERROR(__xludf.DUMMYFUNCTION("""COMPUTED_VALUE"""),225.0)</f>
        <v>225</v>
      </c>
      <c r="N581" s="262" t="str">
        <f>IFERROR(__xludf.DUMMYFUNCTION("""COMPUTED_VALUE"""),"")</f>
        <v/>
      </c>
      <c r="O581" s="259" t="str">
        <f>IFERROR(__xludf.DUMMYFUNCTION("""COMPUTED_VALUE"""),"")</f>
        <v/>
      </c>
      <c r="P581" s="259">
        <f>IFERROR(__xludf.DUMMYFUNCTION("""COMPUTED_VALUE"""),43117.0)</f>
        <v>43117</v>
      </c>
      <c r="Q581" s="258">
        <f>IFERROR(__xludf.DUMMYFUNCTION("""COMPUTED_VALUE"""),34000.0)</f>
        <v>34000</v>
      </c>
      <c r="R581" s="261">
        <f>IFERROR(__xludf.DUMMYFUNCTION("""COMPUTED_VALUE"""),432.0)</f>
        <v>432</v>
      </c>
      <c r="S581" s="258">
        <v>447.0</v>
      </c>
      <c r="T581" s="263">
        <v>0.9664429530201343</v>
      </c>
      <c r="U581" s="264">
        <v>21127.0</v>
      </c>
      <c r="V581" s="265">
        <v>34000.0</v>
      </c>
      <c r="W581" s="264">
        <v>21127.0</v>
      </c>
      <c r="X581" s="266" t="str">
        <f>IFERROR(__xludf.DUMMYFUNCTION("""COMPUTED_VALUE"""),"VikingC")</f>
        <v>VikingC</v>
      </c>
      <c r="Y581" s="267">
        <v>-0.01</v>
      </c>
      <c r="Z581" s="267">
        <v>0.9659341011268335</v>
      </c>
      <c r="AA581" s="269"/>
      <c r="AB581" s="270"/>
      <c r="AC581" s="270"/>
      <c r="AD581" s="270"/>
      <c r="AE581" s="270"/>
    </row>
    <row r="582">
      <c r="A582" s="256">
        <f>IFERROR(__xludf.DUMMYFUNCTION("""COMPUTED_VALUE"""),43205.725694444445)</f>
        <v>43205.72569</v>
      </c>
      <c r="B582" s="257" t="str">
        <f>IFERROR(__xludf.DUMMYFUNCTION("""COMPUTED_VALUE"""),"Hammer")</f>
        <v>Hammer</v>
      </c>
      <c r="C582" s="258" t="str">
        <f>IFERROR(__xludf.DUMMYFUNCTION("""COMPUTED_VALUE"""),"Europe (excluding UK) &amp; Asia Pacific")</f>
        <v>Europe (excluding UK) &amp; Asia Pacific</v>
      </c>
      <c r="D582" s="258" t="str">
        <f>IFERROR(__xludf.DUMMYFUNCTION("""COMPUTED_VALUE"""),"km. My car displays range in kilometres and I will enter all range numbers in kilometres.")</f>
        <v>km. My car displays range in kilometres and I will enter all range numbers in kilometres.</v>
      </c>
      <c r="E582" s="259">
        <f>IFERROR(__xludf.DUMMYFUNCTION("""COMPUTED_VALUE"""),41727.0)</f>
        <v>41727</v>
      </c>
      <c r="F582" s="258" t="str">
        <f>IFERROR(__xludf.DUMMYFUNCTION("""COMPUTED_VALUE"""),"Model S 85")</f>
        <v>Model S 85</v>
      </c>
      <c r="G582" s="258" t="str">
        <f>IFERROR(__xludf.DUMMYFUNCTION("""COMPUTED_VALUE"""),"A few times a year")</f>
        <v>A few times a year</v>
      </c>
      <c r="H582" s="258" t="str">
        <f>IFERROR(__xludf.DUMMYFUNCTION("""COMPUTED_VALUE"""),"A few times a year")</f>
        <v>A few times a year</v>
      </c>
      <c r="I582" s="258" t="str">
        <f>IFERROR(__xludf.DUMMYFUNCTION("""COMPUTED_VALUE"""),"Never")</f>
        <v>Never</v>
      </c>
      <c r="J582" s="260">
        <f>IFERROR(__xludf.DUMMYFUNCTION("""COMPUTED_VALUE"""),0.9)</f>
        <v>0.9</v>
      </c>
      <c r="K582" s="258">
        <f>IFERROR(__xludf.DUMMYFUNCTION("""COMPUTED_VALUE"""),394.0)</f>
        <v>394</v>
      </c>
      <c r="L582" s="258" t="str">
        <f>IFERROR(__xludf.DUMMYFUNCTION("""COMPUTED_VALUE"""),"")</f>
        <v/>
      </c>
      <c r="M582" s="261">
        <f>IFERROR(__xludf.DUMMYFUNCTION("""COMPUTED_VALUE"""),211.0)</f>
        <v>211</v>
      </c>
      <c r="N582" s="262" t="str">
        <f>IFERROR(__xludf.DUMMYFUNCTION("""COMPUTED_VALUE"""),"")</f>
        <v/>
      </c>
      <c r="O582" s="259" t="str">
        <f>IFERROR(__xludf.DUMMYFUNCTION("""COMPUTED_VALUE"""),"")</f>
        <v/>
      </c>
      <c r="P582" s="259">
        <f>IFERROR(__xludf.DUMMYFUNCTION("""COMPUTED_VALUE"""),43205.0)</f>
        <v>43205</v>
      </c>
      <c r="Q582" s="258">
        <f>IFERROR(__xludf.DUMMYFUNCTION("""COMPUTED_VALUE"""),110150.0)</f>
        <v>110150</v>
      </c>
      <c r="R582" s="261">
        <f>IFERROR(__xludf.DUMMYFUNCTION("""COMPUTED_VALUE"""),362.0)</f>
        <v>362</v>
      </c>
      <c r="S582" s="258">
        <v>395.0</v>
      </c>
      <c r="T582" s="263">
        <v>0.9164556962025316</v>
      </c>
      <c r="U582" s="264">
        <v>68444.0</v>
      </c>
      <c r="V582" s="265">
        <v>110150.0</v>
      </c>
      <c r="W582" s="264">
        <v>68444.0</v>
      </c>
      <c r="X582" s="266" t="str">
        <f>IFERROR(__xludf.DUMMYFUNCTION("""COMPUTED_VALUE"""),"villena")</f>
        <v>villena</v>
      </c>
      <c r="Y582" s="267">
        <v>-0.01</v>
      </c>
      <c r="Z582" s="267">
        <v>0.9442041010869365</v>
      </c>
      <c r="AA582" s="269"/>
      <c r="AB582" s="270"/>
      <c r="AC582" s="270"/>
      <c r="AD582" s="270"/>
      <c r="AE582" s="270"/>
    </row>
    <row r="583">
      <c r="A583" s="256">
        <f>IFERROR(__xludf.DUMMYFUNCTION("""COMPUTED_VALUE"""),41908.01944444444)</f>
        <v>41908.01944</v>
      </c>
      <c r="B583" s="257" t="str">
        <f>IFERROR(__xludf.DUMMYFUNCTION("""COMPUTED_VALUE"""),"Hans (Amsterdam)")</f>
        <v>Hans (Amsterdam)</v>
      </c>
      <c r="C583" s="258" t="str">
        <f>IFERROR(__xludf.DUMMYFUNCTION("""COMPUTED_VALUE"""),"Europe (excluding UK) &amp; Asia Pacific")</f>
        <v>Europe (excluding UK) &amp; Asia Pacific</v>
      </c>
      <c r="D583" s="258" t="str">
        <f>IFERROR(__xludf.DUMMYFUNCTION("""COMPUTED_VALUE"""),"km. My car displays range in kilometres and I will enter all range numbers in kilometres.")</f>
        <v>km. My car displays range in kilometres and I will enter all range numbers in kilometres.</v>
      </c>
      <c r="E583" s="259">
        <f>IFERROR(__xludf.DUMMYFUNCTION("""COMPUTED_VALUE"""),41612.0)</f>
        <v>41612</v>
      </c>
      <c r="F583" s="258" t="str">
        <f>IFERROR(__xludf.DUMMYFUNCTION("""COMPUTED_VALUE"""),"Unspecified 85 kWh")</f>
        <v>Unspecified 85 kWh</v>
      </c>
      <c r="G583" s="258" t="str">
        <f>IFERROR(__xludf.DUMMYFUNCTION("""COMPUTED_VALUE"""),"Monthly")</f>
        <v>Monthly</v>
      </c>
      <c r="H583" s="258" t="str">
        <f>IFERROR(__xludf.DUMMYFUNCTION("""COMPUTED_VALUE"""),"Monthly")</f>
        <v>Monthly</v>
      </c>
      <c r="I583" s="258" t="str">
        <f>IFERROR(__xludf.DUMMYFUNCTION("""COMPUTED_VALUE"""),"A few times a year")</f>
        <v>A few times a year</v>
      </c>
      <c r="J583" s="260" t="str">
        <f>IFERROR(__xludf.DUMMYFUNCTION("""COMPUTED_VALUE"""),"")</f>
        <v/>
      </c>
      <c r="K583" s="258" t="str">
        <f>IFERROR(__xludf.DUMMYFUNCTION("""COMPUTED_VALUE"""),"")</f>
        <v/>
      </c>
      <c r="L583" s="258" t="str">
        <f>IFERROR(__xludf.DUMMYFUNCTION("""COMPUTED_VALUE"""),"")</f>
        <v/>
      </c>
      <c r="M583" s="261">
        <f>IFERROR(__xludf.DUMMYFUNCTION("""COMPUTED_VALUE"""),207.0)</f>
        <v>207</v>
      </c>
      <c r="N583" s="262" t="str">
        <f>IFERROR(__xludf.DUMMYFUNCTION("""COMPUTED_VALUE"""),"")</f>
        <v/>
      </c>
      <c r="O583" s="259" t="str">
        <f>IFERROR(__xludf.DUMMYFUNCTION("""COMPUTED_VALUE"""),"")</f>
        <v/>
      </c>
      <c r="P583" s="259">
        <f>IFERROR(__xludf.DUMMYFUNCTION("""COMPUTED_VALUE"""),41908.0)</f>
        <v>41908</v>
      </c>
      <c r="Q583" s="258">
        <f>IFERROR(__xludf.DUMMYFUNCTION("""COMPUTED_VALUE"""),24000.0)</f>
        <v>24000</v>
      </c>
      <c r="R583" s="261">
        <f>IFERROR(__xludf.DUMMYFUNCTION("""COMPUTED_VALUE"""),382.0)</f>
        <v>382</v>
      </c>
      <c r="S583" s="258">
        <v>395.0</v>
      </c>
      <c r="T583" s="263">
        <v>0.9670886075949368</v>
      </c>
      <c r="U583" s="264">
        <v>14913.0</v>
      </c>
      <c r="V583" s="265">
        <v>24000.0</v>
      </c>
      <c r="W583" s="264">
        <v>14913.0</v>
      </c>
      <c r="X583" s="266" t="str">
        <f>IFERROR(__xludf.DUMMYFUNCTION("""COMPUTED_VALUE"""),"vmbert")</f>
        <v>vmbert</v>
      </c>
      <c r="Y583" s="267">
        <v>-0.01</v>
      </c>
      <c r="Z583" s="267">
        <v>0.9715654992072524</v>
      </c>
      <c r="AA583" s="269"/>
      <c r="AB583" s="270"/>
      <c r="AC583" s="270"/>
      <c r="AD583" s="270"/>
      <c r="AE583" s="270"/>
    </row>
    <row r="584">
      <c r="A584" s="256">
        <f>IFERROR(__xludf.DUMMYFUNCTION("""COMPUTED_VALUE"""),41900.00208333333)</f>
        <v>41900.00208</v>
      </c>
      <c r="B584" s="257" t="str">
        <f>IFERROR(__xludf.DUMMYFUNCTION("""COMPUTED_VALUE"""),"Hans Noordsij")</f>
        <v>Hans Noordsij</v>
      </c>
      <c r="C584" s="258" t="str">
        <f>IFERROR(__xludf.DUMMYFUNCTION("""COMPUTED_VALUE"""),"Europe (excluding UK) &amp; Asia Pacific")</f>
        <v>Europe (excluding UK) &amp; Asia Pacific</v>
      </c>
      <c r="D584" s="258" t="str">
        <f>IFERROR(__xludf.DUMMYFUNCTION("""COMPUTED_VALUE"""),"km. My car displays range in kilometres and I will enter all range numbers in kilometres.")</f>
        <v>km. My car displays range in kilometres and I will enter all range numbers in kilometres.</v>
      </c>
      <c r="E584" s="259">
        <f>IFERROR(__xludf.DUMMYFUNCTION("""COMPUTED_VALUE"""),41727.0)</f>
        <v>41727</v>
      </c>
      <c r="F584" s="258" t="str">
        <f>IFERROR(__xludf.DUMMYFUNCTION("""COMPUTED_VALUE"""),"Model S 85")</f>
        <v>Model S 85</v>
      </c>
      <c r="G584" s="258" t="str">
        <f>IFERROR(__xludf.DUMMYFUNCTION("""COMPUTED_VALUE"""),"Twice a week")</f>
        <v>Twice a week</v>
      </c>
      <c r="H584" s="258" t="str">
        <f>IFERROR(__xludf.DUMMYFUNCTION("""COMPUTED_VALUE"""),"Twice a month")</f>
        <v>Twice a month</v>
      </c>
      <c r="I584" s="258" t="str">
        <f>IFERROR(__xludf.DUMMYFUNCTION("""COMPUTED_VALUE"""),"Never")</f>
        <v>Never</v>
      </c>
      <c r="J584" s="260" t="str">
        <f>IFERROR(__xludf.DUMMYFUNCTION("""COMPUTED_VALUE"""),"")</f>
        <v/>
      </c>
      <c r="K584" s="258" t="str">
        <f>IFERROR(__xludf.DUMMYFUNCTION("""COMPUTED_VALUE"""),"")</f>
        <v/>
      </c>
      <c r="L584" s="258" t="str">
        <f>IFERROR(__xludf.DUMMYFUNCTION("""COMPUTED_VALUE"""),"")</f>
        <v/>
      </c>
      <c r="M584" s="261">
        <f>IFERROR(__xludf.DUMMYFUNCTION("""COMPUTED_VALUE"""),218.0)</f>
        <v>218</v>
      </c>
      <c r="N584" s="262" t="str">
        <f>IFERROR(__xludf.DUMMYFUNCTION("""COMPUTED_VALUE"""),"")</f>
        <v/>
      </c>
      <c r="O584" s="259" t="str">
        <f>IFERROR(__xludf.DUMMYFUNCTION("""COMPUTED_VALUE"""),"")</f>
        <v/>
      </c>
      <c r="P584" s="259">
        <f>IFERROR(__xludf.DUMMYFUNCTION("""COMPUTED_VALUE"""),41900.0)</f>
        <v>41900</v>
      </c>
      <c r="Q584" s="258">
        <f>IFERROR(__xludf.DUMMYFUNCTION("""COMPUTED_VALUE"""),32000.0)</f>
        <v>32000</v>
      </c>
      <c r="R584" s="261">
        <f>IFERROR(__xludf.DUMMYFUNCTION("""COMPUTED_VALUE"""),392.0)</f>
        <v>392</v>
      </c>
      <c r="S584" s="258">
        <v>395.0</v>
      </c>
      <c r="T584" s="263">
        <v>0.9924050632911392</v>
      </c>
      <c r="U584" s="264">
        <v>19884.0</v>
      </c>
      <c r="V584" s="265">
        <v>32000.0</v>
      </c>
      <c r="W584" s="264">
        <v>19884.0</v>
      </c>
      <c r="X584" s="266" t="str">
        <f>IFERROR(__xludf.DUMMYFUNCTION("""COMPUTED_VALUE"""),"Volker.Berlin")</f>
        <v>Volker.Berlin</v>
      </c>
      <c r="Y584" s="267">
        <v>-0.01</v>
      </c>
      <c r="Z584" s="267">
        <v>0.9669153415931462</v>
      </c>
      <c r="AA584" s="269"/>
      <c r="AB584" s="270"/>
      <c r="AC584" s="270"/>
      <c r="AD584" s="270"/>
      <c r="AE584" s="270"/>
    </row>
    <row r="585">
      <c r="A585" s="256">
        <f>IFERROR(__xludf.DUMMYFUNCTION("""COMPUTED_VALUE"""),42023.05972222222)</f>
        <v>42023.05972</v>
      </c>
      <c r="B585" s="257" t="str">
        <f>IFERROR(__xludf.DUMMYFUNCTION("""COMPUTED_VALUE"""),"Hans Noordsij")</f>
        <v>Hans Noordsij</v>
      </c>
      <c r="C585" s="258" t="str">
        <f>IFERROR(__xludf.DUMMYFUNCTION("""COMPUTED_VALUE"""),"Europe (excluding UK) &amp; Asia Pacific")</f>
        <v>Europe (excluding UK) &amp; Asia Pacific</v>
      </c>
      <c r="D585" s="258" t="str">
        <f>IFERROR(__xludf.DUMMYFUNCTION("""COMPUTED_VALUE"""),"km. My car displays range in kilometres and I will enter all range numbers in kilometres.")</f>
        <v>km. My car displays range in kilometres and I will enter all range numbers in kilometres.</v>
      </c>
      <c r="E585" s="259">
        <f>IFERROR(__xludf.DUMMYFUNCTION("""COMPUTED_VALUE"""),41727.0)</f>
        <v>41727</v>
      </c>
      <c r="F585" s="258" t="str">
        <f>IFERROR(__xludf.DUMMYFUNCTION("""COMPUTED_VALUE"""),"Model S 85")</f>
        <v>Model S 85</v>
      </c>
      <c r="G585" s="258" t="str">
        <f>IFERROR(__xludf.DUMMYFUNCTION("""COMPUTED_VALUE"""),"Weekly")</f>
        <v>Weekly</v>
      </c>
      <c r="H585" s="258" t="str">
        <f>IFERROR(__xludf.DUMMYFUNCTION("""COMPUTED_VALUE"""),"Never")</f>
        <v>Never</v>
      </c>
      <c r="I585" s="258" t="str">
        <f>IFERROR(__xludf.DUMMYFUNCTION("""COMPUTED_VALUE"""),"Never")</f>
        <v>Never</v>
      </c>
      <c r="J585" s="260" t="str">
        <f>IFERROR(__xludf.DUMMYFUNCTION("""COMPUTED_VALUE"""),"")</f>
        <v/>
      </c>
      <c r="K585" s="258" t="str">
        <f>IFERROR(__xludf.DUMMYFUNCTION("""COMPUTED_VALUE"""),"")</f>
        <v/>
      </c>
      <c r="L585" s="258" t="str">
        <f>IFERROR(__xludf.DUMMYFUNCTION("""COMPUTED_VALUE"""),"")</f>
        <v/>
      </c>
      <c r="M585" s="261">
        <f>IFERROR(__xludf.DUMMYFUNCTION("""COMPUTED_VALUE"""),218.0)</f>
        <v>218</v>
      </c>
      <c r="N585" s="262" t="str">
        <f>IFERROR(__xludf.DUMMYFUNCTION("""COMPUTED_VALUE"""),"")</f>
        <v/>
      </c>
      <c r="O585" s="259" t="str">
        <f>IFERROR(__xludf.DUMMYFUNCTION("""COMPUTED_VALUE"""),"")</f>
        <v/>
      </c>
      <c r="P585" s="259">
        <f>IFERROR(__xludf.DUMMYFUNCTION("""COMPUTED_VALUE"""),42023.0)</f>
        <v>42023</v>
      </c>
      <c r="Q585" s="258">
        <f>IFERROR(__xludf.DUMMYFUNCTION("""COMPUTED_VALUE"""),40670.0)</f>
        <v>40670</v>
      </c>
      <c r="R585" s="261">
        <f>IFERROR(__xludf.DUMMYFUNCTION("""COMPUTED_VALUE"""),385.0)</f>
        <v>385</v>
      </c>
      <c r="S585" s="258">
        <v>395.0</v>
      </c>
      <c r="T585" s="263">
        <v>0.9746835443037974</v>
      </c>
      <c r="U585" s="264">
        <v>25271.0</v>
      </c>
      <c r="V585" s="265">
        <v>40670.0</v>
      </c>
      <c r="W585" s="264">
        <v>25271.0</v>
      </c>
      <c r="X585" s="266" t="str">
        <f>IFERROR(__xludf.DUMMYFUNCTION("""COMPUTED_VALUE"""),"voll1")</f>
        <v>voll1</v>
      </c>
      <c r="Y585" s="267">
        <v>-0.01</v>
      </c>
      <c r="Z585" s="267">
        <v>0.9630402767777951</v>
      </c>
      <c r="AA585" s="269"/>
      <c r="AB585" s="270"/>
      <c r="AC585" s="270"/>
      <c r="AD585" s="270"/>
      <c r="AE585" s="270"/>
    </row>
    <row r="586">
      <c r="A586" s="256">
        <f>IFERROR(__xludf.DUMMYFUNCTION("""COMPUTED_VALUE"""),42065.07986111111)</f>
        <v>42065.07986</v>
      </c>
      <c r="B586" s="257" t="str">
        <f>IFERROR(__xludf.DUMMYFUNCTION("""COMPUTED_VALUE"""),"Hans Noordsij")</f>
        <v>Hans Noordsij</v>
      </c>
      <c r="C586" s="258" t="str">
        <f>IFERROR(__xludf.DUMMYFUNCTION("""COMPUTED_VALUE"""),"Europe (excluding UK) &amp; Asia Pacific")</f>
        <v>Europe (excluding UK) &amp; Asia Pacific</v>
      </c>
      <c r="D586" s="258" t="str">
        <f>IFERROR(__xludf.DUMMYFUNCTION("""COMPUTED_VALUE"""),"km. My car displays range in kilometres and I will enter all range numbers in kilometres.")</f>
        <v>km. My car displays range in kilometres and I will enter all range numbers in kilometres.</v>
      </c>
      <c r="E586" s="259">
        <f>IFERROR(__xludf.DUMMYFUNCTION("""COMPUTED_VALUE"""),41727.0)</f>
        <v>41727</v>
      </c>
      <c r="F586" s="258" t="str">
        <f>IFERROR(__xludf.DUMMYFUNCTION("""COMPUTED_VALUE"""),"Model S 85")</f>
        <v>Model S 85</v>
      </c>
      <c r="G586" s="258" t="str">
        <f>IFERROR(__xludf.DUMMYFUNCTION("""COMPUTED_VALUE"""),"Weekly")</f>
        <v>Weekly</v>
      </c>
      <c r="H586" s="258" t="str">
        <f>IFERROR(__xludf.DUMMYFUNCTION("""COMPUTED_VALUE"""),"Twice a month")</f>
        <v>Twice a month</v>
      </c>
      <c r="I586" s="258" t="str">
        <f>IFERROR(__xludf.DUMMYFUNCTION("""COMPUTED_VALUE"""),"Never")</f>
        <v>Never</v>
      </c>
      <c r="J586" s="260" t="str">
        <f>IFERROR(__xludf.DUMMYFUNCTION("""COMPUTED_VALUE"""),"")</f>
        <v/>
      </c>
      <c r="K586" s="258" t="str">
        <f>IFERROR(__xludf.DUMMYFUNCTION("""COMPUTED_VALUE"""),"")</f>
        <v/>
      </c>
      <c r="L586" s="258" t="str">
        <f>IFERROR(__xludf.DUMMYFUNCTION("""COMPUTED_VALUE"""),"")</f>
        <v/>
      </c>
      <c r="M586" s="261">
        <f>IFERROR(__xludf.DUMMYFUNCTION("""COMPUTED_VALUE"""),218.0)</f>
        <v>218</v>
      </c>
      <c r="N586" s="262" t="str">
        <f>IFERROR(__xludf.DUMMYFUNCTION("""COMPUTED_VALUE"""),"")</f>
        <v/>
      </c>
      <c r="O586" s="259" t="str">
        <f>IFERROR(__xludf.DUMMYFUNCTION("""COMPUTED_VALUE"""),"")</f>
        <v/>
      </c>
      <c r="P586" s="259">
        <f>IFERROR(__xludf.DUMMYFUNCTION("""COMPUTED_VALUE"""),42065.0)</f>
        <v>42065</v>
      </c>
      <c r="Q586" s="258">
        <f>IFERROR(__xludf.DUMMYFUNCTION("""COMPUTED_VALUE"""),45650.0)</f>
        <v>45650</v>
      </c>
      <c r="R586" s="261">
        <f>IFERROR(__xludf.DUMMYFUNCTION("""COMPUTED_VALUE"""),385.0)</f>
        <v>385</v>
      </c>
      <c r="S586" s="258">
        <v>395.0</v>
      </c>
      <c r="T586" s="263">
        <v>0.9746835443037974</v>
      </c>
      <c r="U586" s="264">
        <v>28366.0</v>
      </c>
      <c r="V586" s="265">
        <v>45650.0</v>
      </c>
      <c r="W586" s="264">
        <v>28366.0</v>
      </c>
      <c r="X586" s="266" t="str">
        <f>IFERROR(__xludf.DUMMYFUNCTION("""COMPUTED_VALUE"""),"Wannes")</f>
        <v>Wannes</v>
      </c>
      <c r="Y586" s="267">
        <v>-0.01</v>
      </c>
      <c r="Z586" s="267">
        <v>0.9611723837715244</v>
      </c>
      <c r="AA586" s="269"/>
      <c r="AB586" s="270"/>
      <c r="AC586" s="270"/>
      <c r="AD586" s="270"/>
      <c r="AE586" s="270"/>
    </row>
    <row r="587">
      <c r="A587" s="256">
        <f>IFERROR(__xludf.DUMMYFUNCTION("""COMPUTED_VALUE"""),42019.05069444445)</f>
        <v>42019.05069</v>
      </c>
      <c r="B587" s="257" t="str">
        <f>IFERROR(__xludf.DUMMYFUNCTION("""COMPUTED_VALUE"""),"HansBe")</f>
        <v>HansBe</v>
      </c>
      <c r="C587" s="258" t="str">
        <f>IFERROR(__xludf.DUMMYFUNCTION("""COMPUTED_VALUE"""),"Europe (excluding UK) &amp; Asia Pacific")</f>
        <v>Europe (excluding UK) &amp; Asia Pacific</v>
      </c>
      <c r="D587" s="258" t="str">
        <f>IFERROR(__xludf.DUMMYFUNCTION("""COMPUTED_VALUE"""),"km. My car displays range in kilometres and I will enter all range numbers in kilometres.")</f>
        <v>km. My car displays range in kilometres and I will enter all range numbers in kilometres.</v>
      </c>
      <c r="E587" s="259">
        <f>IFERROR(__xludf.DUMMYFUNCTION("""COMPUTED_VALUE"""),41986.0)</f>
        <v>41986</v>
      </c>
      <c r="F587" s="258" t="str">
        <f>IFERROR(__xludf.DUMMYFUNCTION("""COMPUTED_VALUE"""),"Model S 85")</f>
        <v>Model S 85</v>
      </c>
      <c r="G587" s="258" t="str">
        <f>IFERROR(__xludf.DUMMYFUNCTION("""COMPUTED_VALUE"""),"Never")</f>
        <v>Never</v>
      </c>
      <c r="H587" s="258" t="str">
        <f>IFERROR(__xludf.DUMMYFUNCTION("""COMPUTED_VALUE"""),"Monthly")</f>
        <v>Monthly</v>
      </c>
      <c r="I587" s="258" t="str">
        <f>IFERROR(__xludf.DUMMYFUNCTION("""COMPUTED_VALUE"""),"Never")</f>
        <v>Never</v>
      </c>
      <c r="J587" s="260" t="str">
        <f>IFERROR(__xludf.DUMMYFUNCTION("""COMPUTED_VALUE"""),"")</f>
        <v/>
      </c>
      <c r="K587" s="258" t="str">
        <f>IFERROR(__xludf.DUMMYFUNCTION("""COMPUTED_VALUE"""),"")</f>
        <v/>
      </c>
      <c r="L587" s="258" t="str">
        <f>IFERROR(__xludf.DUMMYFUNCTION("""COMPUTED_VALUE"""),"")</f>
        <v/>
      </c>
      <c r="M587" s="261">
        <f>IFERROR(__xludf.DUMMYFUNCTION("""COMPUTED_VALUE"""),253.0)</f>
        <v>253</v>
      </c>
      <c r="N587" s="262" t="str">
        <f>IFERROR(__xludf.DUMMYFUNCTION("""COMPUTED_VALUE"""),"")</f>
        <v/>
      </c>
      <c r="O587" s="259" t="str">
        <f>IFERROR(__xludf.DUMMYFUNCTION("""COMPUTED_VALUE"""),"")</f>
        <v/>
      </c>
      <c r="P587" s="259">
        <f>IFERROR(__xludf.DUMMYFUNCTION("""COMPUTED_VALUE"""),42019.0)</f>
        <v>42019</v>
      </c>
      <c r="Q587" s="258">
        <f>IFERROR(__xludf.DUMMYFUNCTION("""COMPUTED_VALUE"""),2650.0)</f>
        <v>2650</v>
      </c>
      <c r="R587" s="261">
        <f>IFERROR(__xludf.DUMMYFUNCTION("""COMPUTED_VALUE"""),393.0)</f>
        <v>393</v>
      </c>
      <c r="S587" s="258">
        <v>395.0</v>
      </c>
      <c r="T587" s="263">
        <v>0.9949367088607595</v>
      </c>
      <c r="U587" s="264">
        <v>1647.0</v>
      </c>
      <c r="V587" s="265">
        <v>2650.0</v>
      </c>
      <c r="W587" s="264">
        <v>1647.0</v>
      </c>
      <c r="X587" s="266" t="str">
        <f>IFERROR(__xludf.DUMMYFUNCTION("""COMPUTED_VALUE"""),"ward")</f>
        <v>ward</v>
      </c>
      <c r="Y587" s="267">
        <v>-0.01</v>
      </c>
      <c r="Z587" s="267">
        <v>0.9950422532651253</v>
      </c>
      <c r="AA587" s="269"/>
      <c r="AB587" s="270"/>
      <c r="AC587" s="270"/>
      <c r="AD587" s="270"/>
      <c r="AE587" s="270"/>
    </row>
    <row r="588">
      <c r="A588" s="256">
        <f>IFERROR(__xludf.DUMMYFUNCTION("""COMPUTED_VALUE"""),42298.21666666667)</f>
        <v>42298.21667</v>
      </c>
      <c r="B588" s="257" t="str">
        <f>IFERROR(__xludf.DUMMYFUNCTION("""COMPUTED_VALUE"""),"HansBE")</f>
        <v>HansBE</v>
      </c>
      <c r="C588" s="258" t="str">
        <f>IFERROR(__xludf.DUMMYFUNCTION("""COMPUTED_VALUE"""),"Europe (excluding UK) &amp; Asia Pacific")</f>
        <v>Europe (excluding UK) &amp; Asia Pacific</v>
      </c>
      <c r="D588" s="258" t="str">
        <f>IFERROR(__xludf.DUMMYFUNCTION("""COMPUTED_VALUE"""),"km. My car displays range in kilometres and I will enter all range numbers in kilometres.")</f>
        <v>km. My car displays range in kilometres and I will enter all range numbers in kilometres.</v>
      </c>
      <c r="E588" s="259">
        <f>IFERROR(__xludf.DUMMYFUNCTION("""COMPUTED_VALUE"""),41986.0)</f>
        <v>41986</v>
      </c>
      <c r="F588" s="258" t="str">
        <f>IFERROR(__xludf.DUMMYFUNCTION("""COMPUTED_VALUE"""),"Model S 85")</f>
        <v>Model S 85</v>
      </c>
      <c r="G588" s="258" t="str">
        <f>IFERROR(__xludf.DUMMYFUNCTION("""COMPUTED_VALUE"""),"A few times a year")</f>
        <v>A few times a year</v>
      </c>
      <c r="H588" s="258" t="str">
        <f>IFERROR(__xludf.DUMMYFUNCTION("""COMPUTED_VALUE"""),"A few times a year")</f>
        <v>A few times a year</v>
      </c>
      <c r="I588" s="258" t="str">
        <f>IFERROR(__xludf.DUMMYFUNCTION("""COMPUTED_VALUE"""),"Never")</f>
        <v>Never</v>
      </c>
      <c r="J588" s="260">
        <f>IFERROR(__xludf.DUMMYFUNCTION("""COMPUTED_VALUE"""),0.9)</f>
        <v>0.9</v>
      </c>
      <c r="K588" s="258" t="str">
        <f>IFERROR(__xludf.DUMMYFUNCTION("""COMPUTED_VALUE"""),"")</f>
        <v/>
      </c>
      <c r="L588" s="258" t="str">
        <f>IFERROR(__xludf.DUMMYFUNCTION("""COMPUTED_VALUE"""),"")</f>
        <v/>
      </c>
      <c r="M588" s="261">
        <f>IFERROR(__xludf.DUMMYFUNCTION("""COMPUTED_VALUE"""),228.0)</f>
        <v>228</v>
      </c>
      <c r="N588" s="262" t="str">
        <f>IFERROR(__xludf.DUMMYFUNCTION("""COMPUTED_VALUE"""),"")</f>
        <v/>
      </c>
      <c r="O588" s="259" t="str">
        <f>IFERROR(__xludf.DUMMYFUNCTION("""COMPUTED_VALUE"""),"")</f>
        <v/>
      </c>
      <c r="P588" s="259">
        <f>IFERROR(__xludf.DUMMYFUNCTION("""COMPUTED_VALUE"""),42298.0)</f>
        <v>42298</v>
      </c>
      <c r="Q588" s="258">
        <f>IFERROR(__xludf.DUMMYFUNCTION("""COMPUTED_VALUE"""),19308.0)</f>
        <v>19308</v>
      </c>
      <c r="R588" s="261">
        <f>IFERROR(__xludf.DUMMYFUNCTION("""COMPUTED_VALUE"""),380.0)</f>
        <v>380</v>
      </c>
      <c r="S588" s="258">
        <v>395.0</v>
      </c>
      <c r="T588" s="263">
        <v>0.9620253164556962</v>
      </c>
      <c r="U588" s="264">
        <v>11997.0</v>
      </c>
      <c r="V588" s="265">
        <v>19308.0</v>
      </c>
      <c r="W588" s="264">
        <v>11997.0</v>
      </c>
      <c r="X588" s="266" t="str">
        <f>IFERROR(__xludf.DUMMYFUNCTION("""COMPUTED_VALUE"""),"Wennfred")</f>
        <v>Wennfred</v>
      </c>
      <c r="Y588" s="267">
        <v>-0.01</v>
      </c>
      <c r="Z588" s="267">
        <v>0.9750129097707629</v>
      </c>
      <c r="AA588" s="269"/>
      <c r="AB588" s="270"/>
      <c r="AC588" s="270"/>
      <c r="AD588" s="270"/>
      <c r="AE588" s="270"/>
    </row>
    <row r="589">
      <c r="A589" s="256">
        <f>IFERROR(__xludf.DUMMYFUNCTION("""COMPUTED_VALUE"""),42864.82986111111)</f>
        <v>42864.82986</v>
      </c>
      <c r="B589" s="257" t="str">
        <f>IFERROR(__xludf.DUMMYFUNCTION("""COMPUTED_VALUE"""),"hansenluu")</f>
        <v>hansenluu</v>
      </c>
      <c r="C589" s="258" t="str">
        <f>IFERROR(__xludf.DUMMYFUNCTION("""COMPUTED_VALUE"""),"USA")</f>
        <v>USA</v>
      </c>
      <c r="D589" s="258" t="str">
        <f>IFERROR(__xludf.DUMMYFUNCTION("""COMPUTED_VALUE"""),"mi. My car displays range in miles and I will enter all range numbers in miles.")</f>
        <v>mi. My car displays range in miles and I will enter all range numbers in miles.</v>
      </c>
      <c r="E589" s="259">
        <f>IFERROR(__xludf.DUMMYFUNCTION("""COMPUTED_VALUE"""),42633.0)</f>
        <v>42633</v>
      </c>
      <c r="F589" s="258" t="str">
        <f>IFERROR(__xludf.DUMMYFUNCTION("""COMPUTED_VALUE"""),"Model S 90D")</f>
        <v>Model S 90D</v>
      </c>
      <c r="G589" s="258" t="str">
        <f>IFERROR(__xludf.DUMMYFUNCTION("""COMPUTED_VALUE"""),"Twice a month")</f>
        <v>Twice a month</v>
      </c>
      <c r="H589" s="258" t="str">
        <f>IFERROR(__xludf.DUMMYFUNCTION("""COMPUTED_VALUE"""),"Twice a week")</f>
        <v>Twice a week</v>
      </c>
      <c r="I589" s="258" t="str">
        <f>IFERROR(__xludf.DUMMYFUNCTION("""COMPUTED_VALUE"""),"Never")</f>
        <v>Never</v>
      </c>
      <c r="J589" s="260" t="str">
        <f>IFERROR(__xludf.DUMMYFUNCTION("""COMPUTED_VALUE"""),"")</f>
        <v/>
      </c>
      <c r="K589" s="258" t="str">
        <f>IFERROR(__xludf.DUMMYFUNCTION("""COMPUTED_VALUE"""),"")</f>
        <v/>
      </c>
      <c r="L589" s="258" t="str">
        <f>IFERROR(__xludf.DUMMYFUNCTION("""COMPUTED_VALUE"""),"")</f>
        <v/>
      </c>
      <c r="M589" s="261" t="str">
        <f>IFERROR(__xludf.DUMMYFUNCTION("""COMPUTED_VALUE"""),"")</f>
        <v/>
      </c>
      <c r="N589" s="262" t="str">
        <f>IFERROR(__xludf.DUMMYFUNCTION("""COMPUTED_VALUE"""),"")</f>
        <v/>
      </c>
      <c r="O589" s="259" t="str">
        <f>IFERROR(__xludf.DUMMYFUNCTION("""COMPUTED_VALUE"""),"")</f>
        <v/>
      </c>
      <c r="P589" s="259">
        <f>IFERROR(__xludf.DUMMYFUNCTION("""COMPUTED_VALUE"""),42864.0)</f>
        <v>42864</v>
      </c>
      <c r="Q589" s="258">
        <f>IFERROR(__xludf.DUMMYFUNCTION("""COMPUTED_VALUE"""),8444.0)</f>
        <v>8444</v>
      </c>
      <c r="R589" s="261">
        <f>IFERROR(__xludf.DUMMYFUNCTION("""COMPUTED_VALUE"""),260.0)</f>
        <v>260</v>
      </c>
      <c r="S589" s="258">
        <v>292.0</v>
      </c>
      <c r="T589" s="263">
        <v>0.8904109589041096</v>
      </c>
      <c r="U589" s="264">
        <v>8444.0</v>
      </c>
      <c r="V589" s="265">
        <v>13589.0</v>
      </c>
      <c r="W589" s="264">
        <v>8444.0</v>
      </c>
      <c r="X589" s="266" t="str">
        <f>IFERROR(__xludf.DUMMYFUNCTION("""COMPUTED_VALUE"""),"WhiteStorm")</f>
        <v>WhiteStorm</v>
      </c>
      <c r="Y589" s="267">
        <v>-0.01</v>
      </c>
      <c r="Z589" s="267">
        <v>0.9802396950056727</v>
      </c>
      <c r="AA589" s="269"/>
      <c r="AB589" s="270"/>
      <c r="AC589" s="270"/>
      <c r="AD589" s="270"/>
      <c r="AE589" s="270"/>
    </row>
    <row r="590">
      <c r="A590" s="256">
        <f>IFERROR(__xludf.DUMMYFUNCTION("""COMPUTED_VALUE"""),42983.6)</f>
        <v>42983.6</v>
      </c>
      <c r="B590" s="257" t="str">
        <f>IFERROR(__xludf.DUMMYFUNCTION("""COMPUTED_VALUE"""),"Hanteta")</f>
        <v>Hanteta</v>
      </c>
      <c r="C590" s="258" t="str">
        <f>IFERROR(__xludf.DUMMYFUNCTION("""COMPUTED_VALUE"""),"Europe (excluding UK) &amp; Asia Pacific")</f>
        <v>Europe (excluding UK) &amp; Asia Pacific</v>
      </c>
      <c r="D590" s="258" t="str">
        <f>IFERROR(__xludf.DUMMYFUNCTION("""COMPUTED_VALUE"""),"km. My car displays range in kilometres and I will enter all range numbers in kilometres.")</f>
        <v>km. My car displays range in kilometres and I will enter all range numbers in kilometres.</v>
      </c>
      <c r="E590" s="259">
        <f>IFERROR(__xludf.DUMMYFUNCTION("""COMPUTED_VALUE"""),42864.0)</f>
        <v>42864</v>
      </c>
      <c r="F590" s="258" t="str">
        <f>IFERROR(__xludf.DUMMYFUNCTION("""COMPUTED_VALUE"""),"Model S 90D")</f>
        <v>Model S 90D</v>
      </c>
      <c r="G590" s="258" t="str">
        <f>IFERROR(__xludf.DUMMYFUNCTION("""COMPUTED_VALUE"""),"A few times a year")</f>
        <v>A few times a year</v>
      </c>
      <c r="H590" s="258" t="str">
        <f>IFERROR(__xludf.DUMMYFUNCTION("""COMPUTED_VALUE"""),"Monthly")</f>
        <v>Monthly</v>
      </c>
      <c r="I590" s="258" t="str">
        <f>IFERROR(__xludf.DUMMYFUNCTION("""COMPUTED_VALUE"""),"A few times a year")</f>
        <v>A few times a year</v>
      </c>
      <c r="J590" s="260">
        <f>IFERROR(__xludf.DUMMYFUNCTION("""COMPUTED_VALUE"""),0.8)</f>
        <v>0.8</v>
      </c>
      <c r="K590" s="258" t="str">
        <f>IFERROR(__xludf.DUMMYFUNCTION("""COMPUTED_VALUE"""),"")</f>
        <v/>
      </c>
      <c r="L590" s="258" t="str">
        <f>IFERROR(__xludf.DUMMYFUNCTION("""COMPUTED_VALUE"""),"")</f>
        <v/>
      </c>
      <c r="M590" s="261">
        <f>IFERROR(__xludf.DUMMYFUNCTION("""COMPUTED_VALUE"""),191.0)</f>
        <v>191</v>
      </c>
      <c r="N590" s="262" t="str">
        <f>IFERROR(__xludf.DUMMYFUNCTION("""COMPUTED_VALUE"""),"")</f>
        <v/>
      </c>
      <c r="O590" s="259" t="str">
        <f>IFERROR(__xludf.DUMMYFUNCTION("""COMPUTED_VALUE"""),"")</f>
        <v/>
      </c>
      <c r="P590" s="259">
        <f>IFERROR(__xludf.DUMMYFUNCTION("""COMPUTED_VALUE"""),42983.0)</f>
        <v>42983</v>
      </c>
      <c r="Q590" s="258">
        <f>IFERROR(__xludf.DUMMYFUNCTION("""COMPUTED_VALUE"""),9911.0)</f>
        <v>9911</v>
      </c>
      <c r="R590" s="261">
        <f>IFERROR(__xludf.DUMMYFUNCTION("""COMPUTED_VALUE"""),460.0)</f>
        <v>460</v>
      </c>
      <c r="S590" s="258">
        <v>447.0</v>
      </c>
      <c r="T590" s="263">
        <v>1.029082774049217</v>
      </c>
      <c r="U590" s="264">
        <v>6158.0</v>
      </c>
      <c r="V590" s="265">
        <v>9911.0</v>
      </c>
      <c r="W590" s="264">
        <v>6158.0</v>
      </c>
      <c r="X590" s="266" t="str">
        <f>IFERROR(__xludf.DUMMYFUNCTION("""COMPUTED_VALUE"""),"widodh")</f>
        <v>widodh</v>
      </c>
      <c r="Y590" s="267">
        <v>-0.01</v>
      </c>
      <c r="Z590" s="267">
        <v>0.9843816728058506</v>
      </c>
      <c r="AA590" s="269"/>
      <c r="AB590" s="270"/>
      <c r="AC590" s="270"/>
      <c r="AD590" s="270"/>
      <c r="AE590" s="270"/>
    </row>
    <row r="591">
      <c r="A591" s="256">
        <f>IFERROR(__xludf.DUMMYFUNCTION("""COMPUTED_VALUE"""),42678.433333333334)</f>
        <v>42678.43333</v>
      </c>
      <c r="B591" s="257" t="str">
        <f>IFERROR(__xludf.DUMMYFUNCTION("""COMPUTED_VALUE"""),"Heinz Ruffieux")</f>
        <v>Heinz Ruffieux</v>
      </c>
      <c r="C591" s="258" t="str">
        <f>IFERROR(__xludf.DUMMYFUNCTION("""COMPUTED_VALUE"""),"Europe (excluding UK) &amp; Asia Pacific")</f>
        <v>Europe (excluding UK) &amp; Asia Pacific</v>
      </c>
      <c r="D591" s="258" t="str">
        <f>IFERROR(__xludf.DUMMYFUNCTION("""COMPUTED_VALUE"""),"km. My car displays range in kilometres and I will enter all range numbers in kilometres.")</f>
        <v>km. My car displays range in kilometres and I will enter all range numbers in kilometres.</v>
      </c>
      <c r="E591" s="259">
        <f>IFERROR(__xludf.DUMMYFUNCTION("""COMPUTED_VALUE"""),41457.0)</f>
        <v>41457</v>
      </c>
      <c r="F591" s="258" t="str">
        <f>IFERROR(__xludf.DUMMYFUNCTION("""COMPUTED_VALUE"""),"Model S 85")</f>
        <v>Model S 85</v>
      </c>
      <c r="G591" s="258" t="str">
        <f>IFERROR(__xludf.DUMMYFUNCTION("""COMPUTED_VALUE"""),"Monthly")</f>
        <v>Monthly</v>
      </c>
      <c r="H591" s="258" t="str">
        <f>IFERROR(__xludf.DUMMYFUNCTION("""COMPUTED_VALUE"""),"Monthly")</f>
        <v>Monthly</v>
      </c>
      <c r="I591" s="258" t="str">
        <f>IFERROR(__xludf.DUMMYFUNCTION("""COMPUTED_VALUE"""),"A few times a year")</f>
        <v>A few times a year</v>
      </c>
      <c r="J591" s="260">
        <f>IFERROR(__xludf.DUMMYFUNCTION("""COMPUTED_VALUE"""),0.9)</f>
        <v>0.9</v>
      </c>
      <c r="K591" s="258">
        <f>IFERROR(__xludf.DUMMYFUNCTION("""COMPUTED_VALUE"""),383.0)</f>
        <v>383</v>
      </c>
      <c r="L591" s="258" t="str">
        <f>IFERROR(__xludf.DUMMYFUNCTION("""COMPUTED_VALUE"""),"")</f>
        <v/>
      </c>
      <c r="M591" s="261">
        <f>IFERROR(__xludf.DUMMYFUNCTION("""COMPUTED_VALUE"""),205.0)</f>
        <v>205</v>
      </c>
      <c r="N591" s="262" t="str">
        <f>IFERROR(__xludf.DUMMYFUNCTION("""COMPUTED_VALUE"""),"")</f>
        <v/>
      </c>
      <c r="O591" s="259" t="str">
        <f>IFERROR(__xludf.DUMMYFUNCTION("""COMPUTED_VALUE"""),"")</f>
        <v/>
      </c>
      <c r="P591" s="259">
        <f>IFERROR(__xludf.DUMMYFUNCTION("""COMPUTED_VALUE"""),42678.0)</f>
        <v>42678</v>
      </c>
      <c r="Q591" s="258">
        <f>IFERROR(__xludf.DUMMYFUNCTION("""COMPUTED_VALUE"""),102000.0)</f>
        <v>102000</v>
      </c>
      <c r="R591" s="261">
        <f>IFERROR(__xludf.DUMMYFUNCTION("""COMPUTED_VALUE"""),376.0)</f>
        <v>376</v>
      </c>
      <c r="S591" s="258">
        <v>395.0</v>
      </c>
      <c r="T591" s="263">
        <v>0.9518987341772152</v>
      </c>
      <c r="U591" s="264">
        <v>63380.0</v>
      </c>
      <c r="V591" s="265">
        <v>102000.0</v>
      </c>
      <c r="W591" s="264">
        <v>63380.0</v>
      </c>
      <c r="X591" s="266" t="str">
        <f>IFERROR(__xludf.DUMMYFUNCTION("""COMPUTED_VALUE"""),"Willem")</f>
        <v>Willem</v>
      </c>
      <c r="Y591" s="267">
        <v>-0.01</v>
      </c>
      <c r="Z591" s="267">
        <v>0.9461144077329955</v>
      </c>
      <c r="AA591" s="269"/>
      <c r="AB591" s="270"/>
      <c r="AC591" s="270"/>
      <c r="AD591" s="270"/>
      <c r="AE591" s="270"/>
    </row>
    <row r="592">
      <c r="A592" s="256">
        <f>IFERROR(__xludf.DUMMYFUNCTION("""COMPUTED_VALUE"""),43310.73402777778)</f>
        <v>43310.73403</v>
      </c>
      <c r="B592" s="257" t="str">
        <f>IFERROR(__xludf.DUMMYFUNCTION("""COMPUTED_VALUE"""),"helio")</f>
        <v>helio</v>
      </c>
      <c r="C592" s="258" t="str">
        <f>IFERROR(__xludf.DUMMYFUNCTION("""COMPUTED_VALUE"""),"Europe (excluding UK) &amp; Asia Pacific")</f>
        <v>Europe (excluding UK) &amp; Asia Pacific</v>
      </c>
      <c r="D592" s="258" t="str">
        <f>IFERROR(__xludf.DUMMYFUNCTION("""COMPUTED_VALUE"""),"km. My car displays range in kilometres and I will enter all range numbers in kilometres.")</f>
        <v>km. My car displays range in kilometres and I will enter all range numbers in kilometres.</v>
      </c>
      <c r="E592" s="259">
        <f>IFERROR(__xludf.DUMMYFUNCTION("""COMPUTED_VALUE"""),42214.0)</f>
        <v>42214</v>
      </c>
      <c r="F592" s="258" t="str">
        <f>IFERROR(__xludf.DUMMYFUNCTION("""COMPUTED_VALUE"""),"Model S 70D")</f>
        <v>Model S 70D</v>
      </c>
      <c r="G592" s="258" t="str">
        <f>IFERROR(__xludf.DUMMYFUNCTION("""COMPUTED_VALUE"""),"Twice a week")</f>
        <v>Twice a week</v>
      </c>
      <c r="H592" s="258" t="str">
        <f>IFERROR(__xludf.DUMMYFUNCTION("""COMPUTED_VALUE"""),"Weekly")</f>
        <v>Weekly</v>
      </c>
      <c r="I592" s="258" t="str">
        <f>IFERROR(__xludf.DUMMYFUNCTION("""COMPUTED_VALUE"""),"Once or twice a year")</f>
        <v>Once or twice a year</v>
      </c>
      <c r="J592" s="260">
        <f>IFERROR(__xludf.DUMMYFUNCTION("""COMPUTED_VALUE"""),0.9)</f>
        <v>0.9</v>
      </c>
      <c r="K592" s="258">
        <f>IFERROR(__xludf.DUMMYFUNCTION("""COMPUTED_VALUE"""),365.0)</f>
        <v>365</v>
      </c>
      <c r="L592" s="258" t="str">
        <f>IFERROR(__xludf.DUMMYFUNCTION("""COMPUTED_VALUE"""),"")</f>
        <v/>
      </c>
      <c r="M592" s="261">
        <f>IFERROR(__xludf.DUMMYFUNCTION("""COMPUTED_VALUE"""),207.0)</f>
        <v>207</v>
      </c>
      <c r="N592" s="262" t="str">
        <f>IFERROR(__xludf.DUMMYFUNCTION("""COMPUTED_VALUE"""),"")</f>
        <v/>
      </c>
      <c r="O592" s="259" t="str">
        <f>IFERROR(__xludf.DUMMYFUNCTION("""COMPUTED_VALUE"""),"")</f>
        <v/>
      </c>
      <c r="P592" s="259">
        <f>IFERROR(__xludf.DUMMYFUNCTION("""COMPUTED_VALUE"""),43310.0)</f>
        <v>43310</v>
      </c>
      <c r="Q592" s="258">
        <f>IFERROR(__xludf.DUMMYFUNCTION("""COMPUTED_VALUE"""),124898.0)</f>
        <v>124898</v>
      </c>
      <c r="R592" s="261">
        <f>IFERROR(__xludf.DUMMYFUNCTION("""COMPUTED_VALUE"""),338.0)</f>
        <v>338</v>
      </c>
      <c r="S592" s="258">
        <v>360.0</v>
      </c>
      <c r="T592" s="263">
        <v>0.9388888888888889</v>
      </c>
      <c r="U592" s="264">
        <v>77608.0</v>
      </c>
      <c r="V592" s="265">
        <v>124898.0</v>
      </c>
      <c r="W592" s="264">
        <v>77608.0</v>
      </c>
      <c r="X592" s="266" t="str">
        <f>IFERROR(__xludf.DUMMYFUNCTION("""COMPUTED_VALUE"""),"Wim S.")</f>
        <v>Wim S.</v>
      </c>
      <c r="Y592" s="267">
        <v>-0.01</v>
      </c>
      <c r="Z592" s="267">
        <v>0.9407735163717323</v>
      </c>
      <c r="AA592" s="269"/>
      <c r="AB592" s="270"/>
      <c r="AC592" s="270"/>
      <c r="AD592" s="270"/>
      <c r="AE592" s="270"/>
    </row>
    <row r="593">
      <c r="A593" s="256">
        <f>IFERROR(__xludf.DUMMYFUNCTION("""COMPUTED_VALUE"""),43143.69861111111)</f>
        <v>43143.69861</v>
      </c>
      <c r="B593" s="257" t="str">
        <f>IFERROR(__xludf.DUMMYFUNCTION("""COMPUTED_VALUE"""),"helipilot")</f>
        <v>helipilot</v>
      </c>
      <c r="C593" s="258" t="str">
        <f>IFERROR(__xludf.DUMMYFUNCTION("""COMPUTED_VALUE"""),"Europe (excluding UK) &amp; Asia Pacific")</f>
        <v>Europe (excluding UK) &amp; Asia Pacific</v>
      </c>
      <c r="D593" s="258" t="str">
        <f>IFERROR(__xludf.DUMMYFUNCTION("""COMPUTED_VALUE"""),"km. My car displays range in kilometres and I will enter all range numbers in kilometres.")</f>
        <v>km. My car displays range in kilometres and I will enter all range numbers in kilometres.</v>
      </c>
      <c r="E593" s="259">
        <f>IFERROR(__xludf.DUMMYFUNCTION("""COMPUTED_VALUE"""),43102.0)</f>
        <v>43102</v>
      </c>
      <c r="F593" s="258" t="str">
        <f>IFERROR(__xludf.DUMMYFUNCTION("""COMPUTED_VALUE"""),"Model S 75D")</f>
        <v>Model S 75D</v>
      </c>
      <c r="G593" s="258" t="str">
        <f>IFERROR(__xludf.DUMMYFUNCTION("""COMPUTED_VALUE"""),"")</f>
        <v/>
      </c>
      <c r="H593" s="258" t="str">
        <f>IFERROR(__xludf.DUMMYFUNCTION("""COMPUTED_VALUE"""),"")</f>
        <v/>
      </c>
      <c r="I593" s="258" t="str">
        <f>IFERROR(__xludf.DUMMYFUNCTION("""COMPUTED_VALUE"""),"")</f>
        <v/>
      </c>
      <c r="J593" s="260" t="str">
        <f>IFERROR(__xludf.DUMMYFUNCTION("""COMPUTED_VALUE"""),"")</f>
        <v/>
      </c>
      <c r="K593" s="258" t="str">
        <f>IFERROR(__xludf.DUMMYFUNCTION("""COMPUTED_VALUE"""),"")</f>
        <v/>
      </c>
      <c r="L593" s="258" t="str">
        <f>IFERROR(__xludf.DUMMYFUNCTION("""COMPUTED_VALUE"""),"")</f>
        <v/>
      </c>
      <c r="M593" s="261" t="str">
        <f>IFERROR(__xludf.DUMMYFUNCTION("""COMPUTED_VALUE"""),"")</f>
        <v/>
      </c>
      <c r="N593" s="262" t="str">
        <f>IFERROR(__xludf.DUMMYFUNCTION("""COMPUTED_VALUE"""),"")</f>
        <v/>
      </c>
      <c r="O593" s="259" t="str">
        <f>IFERROR(__xludf.DUMMYFUNCTION("""COMPUTED_VALUE"""),"")</f>
        <v/>
      </c>
      <c r="P593" s="259">
        <f>IFERROR(__xludf.DUMMYFUNCTION("""COMPUTED_VALUE"""),43143.0)</f>
        <v>43143</v>
      </c>
      <c r="Q593" s="258">
        <f>IFERROR(__xludf.DUMMYFUNCTION("""COMPUTED_VALUE"""),2430.0)</f>
        <v>2430</v>
      </c>
      <c r="R593" s="261">
        <f>IFERROR(__xludf.DUMMYFUNCTION("""COMPUTED_VALUE"""),383.0)</f>
        <v>383</v>
      </c>
      <c r="S593" s="258">
        <v>384.0</v>
      </c>
      <c r="T593" s="263">
        <v>0.9973958333333334</v>
      </c>
      <c r="U593" s="264">
        <v>1510.0</v>
      </c>
      <c r="V593" s="265">
        <v>2430.0</v>
      </c>
      <c r="W593" s="264">
        <v>1510.0</v>
      </c>
      <c r="X593" s="266" t="str">
        <f>IFERROR(__xludf.DUMMYFUNCTION("""COMPUTED_VALUE"""),"wizputer")</f>
        <v>wizputer</v>
      </c>
      <c r="Y593" s="267">
        <v>-0.01</v>
      </c>
      <c r="Z593" s="267">
        <v>0.9954288993517018</v>
      </c>
      <c r="AA593" s="269"/>
      <c r="AB593" s="270"/>
      <c r="AC593" s="270"/>
      <c r="AD593" s="270"/>
      <c r="AE593" s="270"/>
    </row>
    <row r="594">
      <c r="A594" s="256">
        <f>IFERROR(__xludf.DUMMYFUNCTION("""COMPUTED_VALUE"""),42878.83333333333)</f>
        <v>42878.83333</v>
      </c>
      <c r="B594" s="257" t="str">
        <f>IFERROR(__xludf.DUMMYFUNCTION("""COMPUTED_VALUE"""),"Helmuth")</f>
        <v>Helmuth</v>
      </c>
      <c r="C594" s="258" t="str">
        <f>IFERROR(__xludf.DUMMYFUNCTION("""COMPUTED_VALUE"""),"USA")</f>
        <v>USA</v>
      </c>
      <c r="D594" s="258" t="str">
        <f>IFERROR(__xludf.DUMMYFUNCTION("""COMPUTED_VALUE"""),"mi. My car displays range in miles and I will enter all range numbers in miles.")</f>
        <v>mi. My car displays range in miles and I will enter all range numbers in miles.</v>
      </c>
      <c r="E594" s="259">
        <f>IFERROR(__xludf.DUMMYFUNCTION("""COMPUTED_VALUE"""),42751.0)</f>
        <v>42751</v>
      </c>
      <c r="F594" s="258" t="str">
        <f>IFERROR(__xludf.DUMMYFUNCTION("""COMPUTED_VALUE"""),"Model X 90D")</f>
        <v>Model X 90D</v>
      </c>
      <c r="G594" s="258" t="str">
        <f>IFERROR(__xludf.DUMMYFUNCTION("""COMPUTED_VALUE"""),"Daily")</f>
        <v>Daily</v>
      </c>
      <c r="H594" s="258" t="str">
        <f>IFERROR(__xludf.DUMMYFUNCTION("""COMPUTED_VALUE"""),"Monthly")</f>
        <v>Monthly</v>
      </c>
      <c r="I594" s="258" t="str">
        <f>IFERROR(__xludf.DUMMYFUNCTION("""COMPUTED_VALUE"""),"Monthly")</f>
        <v>Monthly</v>
      </c>
      <c r="J594" s="260">
        <f>IFERROR(__xludf.DUMMYFUNCTION("""COMPUTED_VALUE"""),0.9)</f>
        <v>0.9</v>
      </c>
      <c r="K594" s="258">
        <f>IFERROR(__xludf.DUMMYFUNCTION("""COMPUTED_VALUE"""),260.0)</f>
        <v>260</v>
      </c>
      <c r="L594" s="258" t="str">
        <f>IFERROR(__xludf.DUMMYFUNCTION("""COMPUTED_VALUE"""),"")</f>
        <v/>
      </c>
      <c r="M594" s="261">
        <f>IFERROR(__xludf.DUMMYFUNCTION("""COMPUTED_VALUE"""),358.0)</f>
        <v>358</v>
      </c>
      <c r="N594" s="262" t="str">
        <f>IFERROR(__xludf.DUMMYFUNCTION("""COMPUTED_VALUE"""),"")</f>
        <v/>
      </c>
      <c r="O594" s="259" t="str">
        <f>IFERROR(__xludf.DUMMYFUNCTION("""COMPUTED_VALUE"""),"")</f>
        <v/>
      </c>
      <c r="P594" s="259">
        <f>IFERROR(__xludf.DUMMYFUNCTION("""COMPUTED_VALUE"""),42878.0)</f>
        <v>42878</v>
      </c>
      <c r="Q594" s="258">
        <f>IFERROR(__xludf.DUMMYFUNCTION("""COMPUTED_VALUE"""),28287.0)</f>
        <v>28287</v>
      </c>
      <c r="R594" s="261">
        <f>IFERROR(__xludf.DUMMYFUNCTION("""COMPUTED_VALUE"""),256.0)</f>
        <v>256</v>
      </c>
      <c r="S594" s="258">
        <v>257.0</v>
      </c>
      <c r="T594" s="263">
        <v>0.9961089494163424</v>
      </c>
      <c r="U594" s="264">
        <v>28287.0</v>
      </c>
      <c r="V594" s="265">
        <v>45524.0</v>
      </c>
      <c r="W594" s="264">
        <v>28287.0</v>
      </c>
      <c r="X594" s="266" t="str">
        <f>IFERROR(__xludf.DUMMYFUNCTION("""COMPUTED_VALUE"""),"WLF46")</f>
        <v>WLF46</v>
      </c>
      <c r="Y594" s="267">
        <v>-0.01</v>
      </c>
      <c r="Z594" s="267">
        <v>0.9612171937437277</v>
      </c>
      <c r="AA594" s="269"/>
      <c r="AB594" s="270"/>
      <c r="AC594" s="270"/>
      <c r="AD594" s="270"/>
      <c r="AE594" s="270"/>
    </row>
    <row r="595">
      <c r="A595" s="256">
        <f>IFERROR(__xludf.DUMMYFUNCTION("""COMPUTED_VALUE"""),43736.81551526621)</f>
        <v>43736.81552</v>
      </c>
      <c r="B595" s="257" t="str">
        <f>IFERROR(__xludf.DUMMYFUNCTION("""COMPUTED_VALUE"""),"Henkepank")</f>
        <v>Henkepank</v>
      </c>
      <c r="C595" s="258" t="str">
        <f>IFERROR(__xludf.DUMMYFUNCTION("""COMPUTED_VALUE"""),"Europe (excluding UK) &amp; Asia Pacific")</f>
        <v>Europe (excluding UK) &amp; Asia Pacific</v>
      </c>
      <c r="D595" s="258" t="str">
        <f>IFERROR(__xludf.DUMMYFUNCTION("""COMPUTED_VALUE"""),"km. My car displays range in kilometres and I will enter all range numbers in kilometres.")</f>
        <v>km. My car displays range in kilometres and I will enter all range numbers in kilometres.</v>
      </c>
      <c r="E595" s="259">
        <f>IFERROR(__xludf.DUMMYFUNCTION("""COMPUTED_VALUE"""),42338.0)</f>
        <v>42338</v>
      </c>
      <c r="F595" s="258" t="str">
        <f>IFERROR(__xludf.DUMMYFUNCTION("""COMPUTED_VALUE"""),"Model S 85D")</f>
        <v>Model S 85D</v>
      </c>
      <c r="G595" s="258" t="str">
        <f>IFERROR(__xludf.DUMMYFUNCTION("""COMPUTED_VALUE"""),"Twice a week")</f>
        <v>Twice a week</v>
      </c>
      <c r="H595" s="258" t="str">
        <f>IFERROR(__xludf.DUMMYFUNCTION("""COMPUTED_VALUE"""),"A few times a year")</f>
        <v>A few times a year</v>
      </c>
      <c r="I595" s="258" t="str">
        <f>IFERROR(__xludf.DUMMYFUNCTION("""COMPUTED_VALUE"""),"Twice a month")</f>
        <v>Twice a month</v>
      </c>
      <c r="J595" s="260">
        <f>IFERROR(__xludf.DUMMYFUNCTION("""COMPUTED_VALUE"""),0.9)</f>
        <v>0.9</v>
      </c>
      <c r="K595" s="258" t="str">
        <f>IFERROR(__xludf.DUMMYFUNCTION("""COMPUTED_VALUE"""),"")</f>
        <v/>
      </c>
      <c r="L595" s="258">
        <f>IFERROR(__xludf.DUMMYFUNCTION("""COMPUTED_VALUE"""),170.0)</f>
        <v>170</v>
      </c>
      <c r="M595" s="261">
        <f>IFERROR(__xludf.DUMMYFUNCTION("""COMPUTED_VALUE"""),200.0)</f>
        <v>200</v>
      </c>
      <c r="N595" s="262" t="str">
        <f>IFERROR(__xludf.DUMMYFUNCTION("""COMPUTED_VALUE"""),"")</f>
        <v/>
      </c>
      <c r="O595" s="259" t="str">
        <f>IFERROR(__xludf.DUMMYFUNCTION("""COMPUTED_VALUE"""),"")</f>
        <v/>
      </c>
      <c r="P595" s="259">
        <f>IFERROR(__xludf.DUMMYFUNCTION("""COMPUTED_VALUE"""),43735.0)</f>
        <v>43735</v>
      </c>
      <c r="Q595" s="258">
        <f>IFERROR(__xludf.DUMMYFUNCTION("""COMPUTED_VALUE"""),226000.0)</f>
        <v>226000</v>
      </c>
      <c r="R595" s="261">
        <f>IFERROR(__xludf.DUMMYFUNCTION("""COMPUTED_VALUE"""),401.0)</f>
        <v>401</v>
      </c>
      <c r="S595" s="258">
        <v>425.0</v>
      </c>
      <c r="T595" s="263">
        <v>0.9435294117647058</v>
      </c>
      <c r="U595" s="264">
        <v>140430.0</v>
      </c>
      <c r="V595" s="265">
        <v>226000.0</v>
      </c>
      <c r="W595" s="264">
        <v>140430.0</v>
      </c>
      <c r="X595" s="266" t="str">
        <f>IFERROR(__xludf.DUMMYFUNCTION("""COMPUTED_VALUE"""),"Wulli")</f>
        <v>Wulli</v>
      </c>
      <c r="Y595" s="267">
        <v>-0.01</v>
      </c>
      <c r="Z595" s="267">
        <v>0.9174333313699858</v>
      </c>
      <c r="AA595" s="269"/>
      <c r="AB595" s="270"/>
      <c r="AC595" s="270"/>
      <c r="AD595" s="270"/>
      <c r="AE595" s="270"/>
    </row>
    <row r="596">
      <c r="A596" s="256">
        <f>IFERROR(__xludf.DUMMYFUNCTION("""COMPUTED_VALUE"""),42356.25486111111)</f>
        <v>42356.25486</v>
      </c>
      <c r="B596" s="257" t="str">
        <f>IFERROR(__xludf.DUMMYFUNCTION("""COMPUTED_VALUE"""),"HenningH")</f>
        <v>HenningH</v>
      </c>
      <c r="C596" s="258" t="str">
        <f>IFERROR(__xludf.DUMMYFUNCTION("""COMPUTED_VALUE"""),"Europe (excluding UK) &amp; Asia Pacific")</f>
        <v>Europe (excluding UK) &amp; Asia Pacific</v>
      </c>
      <c r="D596" s="258" t="str">
        <f>IFERROR(__xludf.DUMMYFUNCTION("""COMPUTED_VALUE"""),"km. My car displays range in kilometres and I will enter all range numbers in kilometres.")</f>
        <v>km. My car displays range in kilometres and I will enter all range numbers in kilometres.</v>
      </c>
      <c r="E596" s="259">
        <f>IFERROR(__xludf.DUMMYFUNCTION("""COMPUTED_VALUE"""),41487.0)</f>
        <v>41487</v>
      </c>
      <c r="F596" s="258" t="str">
        <f>IFERROR(__xludf.DUMMYFUNCTION("""COMPUTED_VALUE"""),"Model S P85")</f>
        <v>Model S P85</v>
      </c>
      <c r="G596" s="258" t="str">
        <f>IFERROR(__xludf.DUMMYFUNCTION("""COMPUTED_VALUE"""),"Twice a month")</f>
        <v>Twice a month</v>
      </c>
      <c r="H596" s="258" t="str">
        <f>IFERROR(__xludf.DUMMYFUNCTION("""COMPUTED_VALUE"""),"A few times a year")</f>
        <v>A few times a year</v>
      </c>
      <c r="I596" s="258" t="str">
        <f>IFERROR(__xludf.DUMMYFUNCTION("""COMPUTED_VALUE"""),"Never")</f>
        <v>Never</v>
      </c>
      <c r="J596" s="260">
        <f>IFERROR(__xludf.DUMMYFUNCTION("""COMPUTED_VALUE"""),0.9)</f>
        <v>0.9</v>
      </c>
      <c r="K596" s="258">
        <f>IFERROR(__xludf.DUMMYFUNCTION("""COMPUTED_VALUE"""),391.0)</f>
        <v>391</v>
      </c>
      <c r="L596" s="258" t="str">
        <f>IFERROR(__xludf.DUMMYFUNCTION("""COMPUTED_VALUE"""),"")</f>
        <v/>
      </c>
      <c r="M596" s="261">
        <f>IFERROR(__xludf.DUMMYFUNCTION("""COMPUTED_VALUE"""),244.0)</f>
        <v>244</v>
      </c>
      <c r="N596" s="262" t="str">
        <f>IFERROR(__xludf.DUMMYFUNCTION("""COMPUTED_VALUE"""),"")</f>
        <v/>
      </c>
      <c r="O596" s="259" t="str">
        <f>IFERROR(__xludf.DUMMYFUNCTION("""COMPUTED_VALUE"""),"")</f>
        <v/>
      </c>
      <c r="P596" s="259">
        <f>IFERROR(__xludf.DUMMYFUNCTION("""COMPUTED_VALUE"""),42356.0)</f>
        <v>42356</v>
      </c>
      <c r="Q596" s="258">
        <f>IFERROR(__xludf.DUMMYFUNCTION("""COMPUTED_VALUE"""),36000.0)</f>
        <v>36000</v>
      </c>
      <c r="R596" s="261">
        <f>IFERROR(__xludf.DUMMYFUNCTION("""COMPUTED_VALUE"""),375.0)</f>
        <v>375</v>
      </c>
      <c r="S596" s="258">
        <v>395.0</v>
      </c>
      <c r="T596" s="263">
        <v>0.9493670886075949</v>
      </c>
      <c r="U596" s="264">
        <v>22369.0</v>
      </c>
      <c r="V596" s="265">
        <v>36000.0</v>
      </c>
      <c r="W596" s="264">
        <v>22369.0</v>
      </c>
      <c r="X596" s="266" t="str">
        <f>IFERROR(__xludf.DUMMYFUNCTION("""COMPUTED_VALUE"""),"x-ray")</f>
        <v>x-ray</v>
      </c>
      <c r="Y596" s="267">
        <v>-0.01</v>
      </c>
      <c r="Z596" s="267">
        <v>0.9650099368696152</v>
      </c>
      <c r="AA596" s="269"/>
      <c r="AB596" s="270"/>
      <c r="AC596" s="270"/>
      <c r="AD596" s="270"/>
      <c r="AE596" s="270"/>
    </row>
    <row r="597">
      <c r="A597" s="256">
        <f>IFERROR(__xludf.DUMMYFUNCTION("""COMPUTED_VALUE"""),42303.21388888889)</f>
        <v>42303.21389</v>
      </c>
      <c r="B597" s="257" t="str">
        <f>IFERROR(__xludf.DUMMYFUNCTION("""COMPUTED_VALUE"""),"hgs")</f>
        <v>hgs</v>
      </c>
      <c r="C597" s="258" t="str">
        <f>IFERROR(__xludf.DUMMYFUNCTION("""COMPUTED_VALUE"""),"Europe (excluding UK) &amp; Asia Pacific")</f>
        <v>Europe (excluding UK) &amp; Asia Pacific</v>
      </c>
      <c r="D597" s="258" t="str">
        <f>IFERROR(__xludf.DUMMYFUNCTION("""COMPUTED_VALUE"""),"km. My car displays range in kilometres and I will enter all range numbers in kilometres.")</f>
        <v>km. My car displays range in kilometres and I will enter all range numbers in kilometres.</v>
      </c>
      <c r="E597" s="259">
        <f>IFERROR(__xludf.DUMMYFUNCTION("""COMPUTED_VALUE"""),41796.0)</f>
        <v>41796</v>
      </c>
      <c r="F597" s="258" t="str">
        <f>IFERROR(__xludf.DUMMYFUNCTION("""COMPUTED_VALUE"""),"Model S 85")</f>
        <v>Model S 85</v>
      </c>
      <c r="G597" s="258" t="str">
        <f>IFERROR(__xludf.DUMMYFUNCTION("""COMPUTED_VALUE"""),"Twice a month")</f>
        <v>Twice a month</v>
      </c>
      <c r="H597" s="258" t="str">
        <f>IFERROR(__xludf.DUMMYFUNCTION("""COMPUTED_VALUE"""),"A few times a year")</f>
        <v>A few times a year</v>
      </c>
      <c r="I597" s="258" t="str">
        <f>IFERROR(__xludf.DUMMYFUNCTION("""COMPUTED_VALUE"""),"Once or twice a year")</f>
        <v>Once or twice a year</v>
      </c>
      <c r="J597" s="260">
        <f>IFERROR(__xludf.DUMMYFUNCTION("""COMPUTED_VALUE"""),0.7)</f>
        <v>0.7</v>
      </c>
      <c r="K597" s="258">
        <f>IFERROR(__xludf.DUMMYFUNCTION("""COMPUTED_VALUE"""),400.0)</f>
        <v>400</v>
      </c>
      <c r="L597" s="258" t="str">
        <f>IFERROR(__xludf.DUMMYFUNCTION("""COMPUTED_VALUE"""),"")</f>
        <v/>
      </c>
      <c r="M597" s="261">
        <f>IFERROR(__xludf.DUMMYFUNCTION("""COMPUTED_VALUE"""),201.0)</f>
        <v>201</v>
      </c>
      <c r="N597" s="262" t="str">
        <f>IFERROR(__xludf.DUMMYFUNCTION("""COMPUTED_VALUE"""),"")</f>
        <v/>
      </c>
      <c r="O597" s="259" t="str">
        <f>IFERROR(__xludf.DUMMYFUNCTION("""COMPUTED_VALUE"""),"")</f>
        <v/>
      </c>
      <c r="P597" s="259">
        <f>IFERROR(__xludf.DUMMYFUNCTION("""COMPUTED_VALUE"""),42303.0)</f>
        <v>42303</v>
      </c>
      <c r="Q597" s="258">
        <f>IFERROR(__xludf.DUMMYFUNCTION("""COMPUTED_VALUE"""),64000.0)</f>
        <v>64000</v>
      </c>
      <c r="R597" s="261">
        <f>IFERROR(__xludf.DUMMYFUNCTION("""COMPUTED_VALUE"""),370.0)</f>
        <v>370</v>
      </c>
      <c r="S597" s="258">
        <v>395.0</v>
      </c>
      <c r="T597" s="263">
        <v>0.9367088607594937</v>
      </c>
      <c r="U597" s="264">
        <v>39768.0</v>
      </c>
      <c r="V597" s="265">
        <v>64000.0</v>
      </c>
      <c r="W597" s="264">
        <v>39768.0</v>
      </c>
      <c r="X597" s="266" t="str">
        <f>IFERROR(__xludf.DUMMYFUNCTION("""COMPUTED_VALUE"""),"Xenius")</f>
        <v>Xenius</v>
      </c>
      <c r="Y597" s="267">
        <v>-0.01</v>
      </c>
      <c r="Z597" s="267">
        <v>0.9555350957587039</v>
      </c>
      <c r="AA597" s="269"/>
      <c r="AB597" s="270"/>
      <c r="AC597" s="270"/>
      <c r="AD597" s="270"/>
      <c r="AE597" s="270"/>
    </row>
    <row r="598">
      <c r="A598" s="256">
        <f>IFERROR(__xludf.DUMMYFUNCTION("""COMPUTED_VALUE"""),43810.55904989583)</f>
        <v>43810.55905</v>
      </c>
      <c r="B598" s="257" t="str">
        <f>IFERROR(__xludf.DUMMYFUNCTION("""COMPUTED_VALUE"""),"Hsurapar")</f>
        <v>Hsurapar</v>
      </c>
      <c r="C598" s="258" t="str">
        <f>IFERROR(__xludf.DUMMYFUNCTION("""COMPUTED_VALUE"""),"USA")</f>
        <v>USA</v>
      </c>
      <c r="D598" s="258" t="str">
        <f>IFERROR(__xludf.DUMMYFUNCTION("""COMPUTED_VALUE"""),"mi. My car displays range in miles and I will enter all range numbers in miles.")</f>
        <v>mi. My car displays range in miles and I will enter all range numbers in miles.</v>
      </c>
      <c r="E598" s="259">
        <f>IFERROR(__xludf.DUMMYFUNCTION("""COMPUTED_VALUE"""),43278.0)</f>
        <v>43278</v>
      </c>
      <c r="F598" s="258" t="str">
        <f>IFERROR(__xludf.DUMMYFUNCTION("""COMPUTED_VALUE"""),"Model 3 LR")</f>
        <v>Model 3 LR</v>
      </c>
      <c r="G598" s="258" t="str">
        <f>IFERROR(__xludf.DUMMYFUNCTION("""COMPUTED_VALUE"""),"A few times a year")</f>
        <v>A few times a year</v>
      </c>
      <c r="H598" s="258" t="str">
        <f>IFERROR(__xludf.DUMMYFUNCTION("""COMPUTED_VALUE"""),"Once or twice a year")</f>
        <v>Once or twice a year</v>
      </c>
      <c r="I598" s="258" t="str">
        <f>IFERROR(__xludf.DUMMYFUNCTION("""COMPUTED_VALUE"""),"Once or twice a year")</f>
        <v>Once or twice a year</v>
      </c>
      <c r="J598" s="260">
        <f>IFERROR(__xludf.DUMMYFUNCTION("""COMPUTED_VALUE"""),0.8)</f>
        <v>0.8</v>
      </c>
      <c r="K598" s="258">
        <f>IFERROR(__xludf.DUMMYFUNCTION("""COMPUTED_VALUE"""),310.0)</f>
        <v>310</v>
      </c>
      <c r="L598" s="258" t="str">
        <f>IFERROR(__xludf.DUMMYFUNCTION("""COMPUTED_VALUE"""),"")</f>
        <v/>
      </c>
      <c r="M598" s="261">
        <f>IFERROR(__xludf.DUMMYFUNCTION("""COMPUTED_VALUE"""),230.0)</f>
        <v>230</v>
      </c>
      <c r="N598" s="262" t="str">
        <f>IFERROR(__xludf.DUMMYFUNCTION("""COMPUTED_VALUE"""),"")</f>
        <v/>
      </c>
      <c r="O598" s="259" t="str">
        <f>IFERROR(__xludf.DUMMYFUNCTION("""COMPUTED_VALUE"""),"")</f>
        <v/>
      </c>
      <c r="P598" s="259">
        <f>IFERROR(__xludf.DUMMYFUNCTION("""COMPUTED_VALUE"""),43810.0)</f>
        <v>43810</v>
      </c>
      <c r="Q598" s="258">
        <f>IFERROR(__xludf.DUMMYFUNCTION("""COMPUTED_VALUE"""),32000.0)</f>
        <v>32000</v>
      </c>
      <c r="R598" s="261">
        <f>IFERROR(__xludf.DUMMYFUNCTION("""COMPUTED_VALUE"""),300.0)</f>
        <v>300</v>
      </c>
      <c r="S598" s="258">
        <v>325.0</v>
      </c>
      <c r="T598" s="263">
        <v>0.9230769230769231</v>
      </c>
      <c r="U598" s="264">
        <v>32000.0</v>
      </c>
      <c r="V598" s="265">
        <v>51499.0</v>
      </c>
      <c r="W598" s="264">
        <v>32000.0</v>
      </c>
      <c r="X598" s="266" t="str">
        <f>IFERROR(__xludf.DUMMYFUNCTION("""COMPUTED_VALUE"""),"Xfrank")</f>
        <v>Xfrank</v>
      </c>
      <c r="Y598" s="267">
        <v>-0.01</v>
      </c>
      <c r="Z598" s="267">
        <v>0.9592058748090977</v>
      </c>
      <c r="AA598" s="269"/>
      <c r="AB598" s="270"/>
      <c r="AC598" s="270"/>
      <c r="AD598" s="270"/>
      <c r="AE598" s="270"/>
    </row>
    <row r="599">
      <c r="A599" s="256">
        <f>IFERROR(__xludf.DUMMYFUNCTION("""COMPUTED_VALUE"""),42734.65763888889)</f>
        <v>42734.65764</v>
      </c>
      <c r="B599" s="257" t="str">
        <f>IFERROR(__xludf.DUMMYFUNCTION("""COMPUTED_VALUE"""),"Hulteberg")</f>
        <v>Hulteberg</v>
      </c>
      <c r="C599" s="258" t="str">
        <f>IFERROR(__xludf.DUMMYFUNCTION("""COMPUTED_VALUE"""),"Europe (excluding UK) &amp; Asia Pacific")</f>
        <v>Europe (excluding UK) &amp; Asia Pacific</v>
      </c>
      <c r="D599" s="258" t="str">
        <f>IFERROR(__xludf.DUMMYFUNCTION("""COMPUTED_VALUE"""),"km. My car displays range in kilometres and I will enter all range numbers in kilometres.")</f>
        <v>km. My car displays range in kilometres and I will enter all range numbers in kilometres.</v>
      </c>
      <c r="E599" s="259">
        <f>IFERROR(__xludf.DUMMYFUNCTION("""COMPUTED_VALUE"""),42054.0)</f>
        <v>42054</v>
      </c>
      <c r="F599" s="258" t="str">
        <f>IFERROR(__xludf.DUMMYFUNCTION("""COMPUTED_VALUE"""),"Model S 90D")</f>
        <v>Model S 90D</v>
      </c>
      <c r="G599" s="258" t="str">
        <f>IFERROR(__xludf.DUMMYFUNCTION("""COMPUTED_VALUE"""),"Monthly")</f>
        <v>Monthly</v>
      </c>
      <c r="H599" s="258" t="str">
        <f>IFERROR(__xludf.DUMMYFUNCTION("""COMPUTED_VALUE"""),"A few times a year")</f>
        <v>A few times a year</v>
      </c>
      <c r="I599" s="258" t="str">
        <f>IFERROR(__xludf.DUMMYFUNCTION("""COMPUTED_VALUE"""),"A few times a year")</f>
        <v>A few times a year</v>
      </c>
      <c r="J599" s="260">
        <f>IFERROR(__xludf.DUMMYFUNCTION("""COMPUTED_VALUE"""),0.8)</f>
        <v>0.8</v>
      </c>
      <c r="K599" s="258" t="str">
        <f>IFERROR(__xludf.DUMMYFUNCTION("""COMPUTED_VALUE"""),"")</f>
        <v/>
      </c>
      <c r="L599" s="258" t="str">
        <f>IFERROR(__xludf.DUMMYFUNCTION("""COMPUTED_VALUE"""),"")</f>
        <v/>
      </c>
      <c r="M599" s="261">
        <f>IFERROR(__xludf.DUMMYFUNCTION("""COMPUTED_VALUE"""),220.0)</f>
        <v>220</v>
      </c>
      <c r="N599" s="262" t="str">
        <f>IFERROR(__xludf.DUMMYFUNCTION("""COMPUTED_VALUE"""),"")</f>
        <v/>
      </c>
      <c r="O599" s="259" t="str">
        <f>IFERROR(__xludf.DUMMYFUNCTION("""COMPUTED_VALUE"""),"")</f>
        <v/>
      </c>
      <c r="P599" s="259">
        <f>IFERROR(__xludf.DUMMYFUNCTION("""COMPUTED_VALUE"""),42734.0)</f>
        <v>42734</v>
      </c>
      <c r="Q599" s="258">
        <f>IFERROR(__xludf.DUMMYFUNCTION("""COMPUTED_VALUE"""),53335.0)</f>
        <v>53335</v>
      </c>
      <c r="R599" s="261">
        <f>IFERROR(__xludf.DUMMYFUNCTION("""COMPUTED_VALUE"""),430.0)</f>
        <v>430</v>
      </c>
      <c r="S599" s="258">
        <v>447.0</v>
      </c>
      <c r="T599" s="263">
        <v>0.9619686800894854</v>
      </c>
      <c r="U599" s="264">
        <v>33141.0</v>
      </c>
      <c r="V599" s="265">
        <v>53335.0</v>
      </c>
      <c r="W599" s="264">
        <v>33141.0</v>
      </c>
      <c r="X599" s="266" t="str">
        <f>IFERROR(__xludf.DUMMYFUNCTION("""COMPUTED_VALUE"""),"Xfrank-85")</f>
        <v>Xfrank-85</v>
      </c>
      <c r="Y599" s="267">
        <v>-0.01</v>
      </c>
      <c r="Z599" s="267">
        <v>0.9586280628779925</v>
      </c>
      <c r="AA599" s="269"/>
      <c r="AB599" s="270"/>
      <c r="AC599" s="270"/>
      <c r="AD599" s="270"/>
      <c r="AE599" s="270"/>
    </row>
    <row r="600">
      <c r="A600" s="256">
        <f>IFERROR(__xludf.DUMMYFUNCTION("""COMPUTED_VALUE"""),41906.0125)</f>
        <v>41906.0125</v>
      </c>
      <c r="B600" s="257" t="str">
        <f>IFERROR(__xludf.DUMMYFUNCTION("""COMPUTED_VALUE"""),"HWS")</f>
        <v>HWS</v>
      </c>
      <c r="C600" s="258" t="str">
        <f>IFERROR(__xludf.DUMMYFUNCTION("""COMPUTED_VALUE"""),"Europe (excluding UK) &amp; Asia Pacific")</f>
        <v>Europe (excluding UK) &amp; Asia Pacific</v>
      </c>
      <c r="D600" s="258" t="str">
        <f>IFERROR(__xludf.DUMMYFUNCTION("""COMPUTED_VALUE"""),"km. My car displays range in kilometres and I will enter all range numbers in kilometres.")</f>
        <v>km. My car displays range in kilometres and I will enter all range numbers in kilometres.</v>
      </c>
      <c r="E600" s="259">
        <f>IFERROR(__xludf.DUMMYFUNCTION("""COMPUTED_VALUE"""),41607.0)</f>
        <v>41607</v>
      </c>
      <c r="F600" s="258" t="str">
        <f>IFERROR(__xludf.DUMMYFUNCTION("""COMPUTED_VALUE"""),"Model S P85")</f>
        <v>Model S P85</v>
      </c>
      <c r="G600" s="258" t="str">
        <f>IFERROR(__xludf.DUMMYFUNCTION("""COMPUTED_VALUE"""),"Monthly")</f>
        <v>Monthly</v>
      </c>
      <c r="H600" s="258" t="str">
        <f>IFERROR(__xludf.DUMMYFUNCTION("""COMPUTED_VALUE"""),"Monthly")</f>
        <v>Monthly</v>
      </c>
      <c r="I600" s="258" t="str">
        <f>IFERROR(__xludf.DUMMYFUNCTION("""COMPUTED_VALUE"""),"Never")</f>
        <v>Never</v>
      </c>
      <c r="J600" s="260" t="str">
        <f>IFERROR(__xludf.DUMMYFUNCTION("""COMPUTED_VALUE"""),"")</f>
        <v/>
      </c>
      <c r="K600" s="258" t="str">
        <f>IFERROR(__xludf.DUMMYFUNCTION("""COMPUTED_VALUE"""),"")</f>
        <v/>
      </c>
      <c r="L600" s="258" t="str">
        <f>IFERROR(__xludf.DUMMYFUNCTION("""COMPUTED_VALUE"""),"")</f>
        <v/>
      </c>
      <c r="M600" s="261">
        <f>IFERROR(__xludf.DUMMYFUNCTION("""COMPUTED_VALUE"""),248.0)</f>
        <v>248</v>
      </c>
      <c r="N600" s="262">
        <f>IFERROR(__xludf.DUMMYFUNCTION("""COMPUTED_VALUE"""),2100.0)</f>
        <v>2100</v>
      </c>
      <c r="O600" s="259" t="str">
        <f>IFERROR(__xludf.DUMMYFUNCTION("""COMPUTED_VALUE"""),"It didn't change")</f>
        <v>It didn't change</v>
      </c>
      <c r="P600" s="259">
        <f>IFERROR(__xludf.DUMMYFUNCTION("""COMPUTED_VALUE"""),41906.0)</f>
        <v>41906</v>
      </c>
      <c r="Q600" s="258">
        <f>IFERROR(__xludf.DUMMYFUNCTION("""COMPUTED_VALUE"""),18200.0)</f>
        <v>18200</v>
      </c>
      <c r="R600" s="261">
        <f>IFERROR(__xludf.DUMMYFUNCTION("""COMPUTED_VALUE"""),381.0)</f>
        <v>381</v>
      </c>
      <c r="S600" s="258">
        <v>395.0</v>
      </c>
      <c r="T600" s="263">
        <v>0.9645569620253165</v>
      </c>
      <c r="U600" s="264">
        <v>11309.0</v>
      </c>
      <c r="V600" s="265">
        <v>18200.0</v>
      </c>
      <c r="W600" s="264">
        <v>11309.0</v>
      </c>
      <c r="X600" s="266" t="str">
        <f>IFERROR(__xludf.DUMMYFUNCTION("""COMPUTED_VALUE"""),"XFrank-85")</f>
        <v>XFrank-85</v>
      </c>
      <c r="Y600" s="267">
        <v>-0.01</v>
      </c>
      <c r="Z600" s="267">
        <v>0.975927649290471</v>
      </c>
      <c r="AA600" s="269"/>
      <c r="AB600" s="270"/>
      <c r="AC600" s="270"/>
      <c r="AD600" s="270"/>
      <c r="AE600" s="270"/>
    </row>
    <row r="601">
      <c r="A601" s="256">
        <f>IFERROR(__xludf.DUMMYFUNCTION("""COMPUTED_VALUE"""),42019.05138888889)</f>
        <v>42019.05139</v>
      </c>
      <c r="B601" s="257" t="str">
        <f>IFERROR(__xludf.DUMMYFUNCTION("""COMPUTED_VALUE"""),"HWS")</f>
        <v>HWS</v>
      </c>
      <c r="C601" s="258" t="str">
        <f>IFERROR(__xludf.DUMMYFUNCTION("""COMPUTED_VALUE"""),"Europe (excluding UK) &amp; Asia Pacific")</f>
        <v>Europe (excluding UK) &amp; Asia Pacific</v>
      </c>
      <c r="D601" s="258" t="str">
        <f>IFERROR(__xludf.DUMMYFUNCTION("""COMPUTED_VALUE"""),"km. My car displays range in kilometres and I will enter all range numbers in kilometres.")</f>
        <v>km. My car displays range in kilometres and I will enter all range numbers in kilometres.</v>
      </c>
      <c r="E601" s="259">
        <f>IFERROR(__xludf.DUMMYFUNCTION("""COMPUTED_VALUE"""),41607.0)</f>
        <v>41607</v>
      </c>
      <c r="F601" s="258" t="str">
        <f>IFERROR(__xludf.DUMMYFUNCTION("""COMPUTED_VALUE"""),"Model S P85")</f>
        <v>Model S P85</v>
      </c>
      <c r="G601" s="258" t="str">
        <f>IFERROR(__xludf.DUMMYFUNCTION("""COMPUTED_VALUE"""),"Twice a month")</f>
        <v>Twice a month</v>
      </c>
      <c r="H601" s="258" t="str">
        <f>IFERROR(__xludf.DUMMYFUNCTION("""COMPUTED_VALUE"""),"Twice a month")</f>
        <v>Twice a month</v>
      </c>
      <c r="I601" s="258" t="str">
        <f>IFERROR(__xludf.DUMMYFUNCTION("""COMPUTED_VALUE"""),"Never")</f>
        <v>Never</v>
      </c>
      <c r="J601" s="260" t="str">
        <f>IFERROR(__xludf.DUMMYFUNCTION("""COMPUTED_VALUE"""),"")</f>
        <v/>
      </c>
      <c r="K601" s="258" t="str">
        <f>IFERROR(__xludf.DUMMYFUNCTION("""COMPUTED_VALUE"""),"")</f>
        <v/>
      </c>
      <c r="L601" s="258" t="str">
        <f>IFERROR(__xludf.DUMMYFUNCTION("""COMPUTED_VALUE"""),"")</f>
        <v/>
      </c>
      <c r="M601" s="261">
        <f>IFERROR(__xludf.DUMMYFUNCTION("""COMPUTED_VALUE"""),249.0)</f>
        <v>249</v>
      </c>
      <c r="N601" s="262">
        <f>IFERROR(__xludf.DUMMYFUNCTION("""COMPUTED_VALUE"""),2100.0)</f>
        <v>2100</v>
      </c>
      <c r="O601" s="259" t="str">
        <f>IFERROR(__xludf.DUMMYFUNCTION("""COMPUTED_VALUE"""),"It didn't change")</f>
        <v>It didn't change</v>
      </c>
      <c r="P601" s="259">
        <f>IFERROR(__xludf.DUMMYFUNCTION("""COMPUTED_VALUE"""),42019.0)</f>
        <v>42019</v>
      </c>
      <c r="Q601" s="258">
        <f>IFERROR(__xludf.DUMMYFUNCTION("""COMPUTED_VALUE"""),27876.0)</f>
        <v>27876</v>
      </c>
      <c r="R601" s="261">
        <f>IFERROR(__xludf.DUMMYFUNCTION("""COMPUTED_VALUE"""),381.0)</f>
        <v>381</v>
      </c>
      <c r="S601" s="258">
        <v>395.0</v>
      </c>
      <c r="T601" s="263">
        <v>0.9645569620253165</v>
      </c>
      <c r="U601" s="264">
        <v>17321.0</v>
      </c>
      <c r="V601" s="265">
        <v>27876.0</v>
      </c>
      <c r="W601" s="264">
        <v>17321.0</v>
      </c>
      <c r="X601" s="266" t="str">
        <f>IFERROR(__xludf.DUMMYFUNCTION("""COMPUTED_VALUE"""),"Xighting")</f>
        <v>Xighting</v>
      </c>
      <c r="Y601" s="267">
        <v>-0.01</v>
      </c>
      <c r="Z601" s="267">
        <v>0.9691499148129129</v>
      </c>
      <c r="AA601" s="269"/>
      <c r="AB601" s="270"/>
      <c r="AC601" s="270"/>
      <c r="AD601" s="270"/>
      <c r="AE601" s="270"/>
    </row>
    <row r="602">
      <c r="A602" s="256">
        <f>IFERROR(__xludf.DUMMYFUNCTION("""COMPUTED_VALUE"""),42020.055555555555)</f>
        <v>42020.05556</v>
      </c>
      <c r="B602" s="257" t="str">
        <f>IFERROR(__xludf.DUMMYFUNCTION("""COMPUTED_VALUE"""),"HWS")</f>
        <v>HWS</v>
      </c>
      <c r="C602" s="258" t="str">
        <f>IFERROR(__xludf.DUMMYFUNCTION("""COMPUTED_VALUE"""),"Europe (excluding UK) &amp; Asia Pacific")</f>
        <v>Europe (excluding UK) &amp; Asia Pacific</v>
      </c>
      <c r="D602" s="258" t="str">
        <f>IFERROR(__xludf.DUMMYFUNCTION("""COMPUTED_VALUE"""),"km. My car displays range in kilometres and I will enter all range numbers in kilometres.")</f>
        <v>km. My car displays range in kilometres and I will enter all range numbers in kilometres.</v>
      </c>
      <c r="E602" s="259">
        <f>IFERROR(__xludf.DUMMYFUNCTION("""COMPUTED_VALUE"""),41607.0)</f>
        <v>41607</v>
      </c>
      <c r="F602" s="258" t="str">
        <f>IFERROR(__xludf.DUMMYFUNCTION("""COMPUTED_VALUE"""),"Model S P85")</f>
        <v>Model S P85</v>
      </c>
      <c r="G602" s="258" t="str">
        <f>IFERROR(__xludf.DUMMYFUNCTION("""COMPUTED_VALUE"""),"Twice a month")</f>
        <v>Twice a month</v>
      </c>
      <c r="H602" s="258" t="str">
        <f>IFERROR(__xludf.DUMMYFUNCTION("""COMPUTED_VALUE"""),"Twice a month")</f>
        <v>Twice a month</v>
      </c>
      <c r="I602" s="258" t="str">
        <f>IFERROR(__xludf.DUMMYFUNCTION("""COMPUTED_VALUE"""),"Never")</f>
        <v>Never</v>
      </c>
      <c r="J602" s="260" t="str">
        <f>IFERROR(__xludf.DUMMYFUNCTION("""COMPUTED_VALUE"""),"")</f>
        <v/>
      </c>
      <c r="K602" s="258" t="str">
        <f>IFERROR(__xludf.DUMMYFUNCTION("""COMPUTED_VALUE"""),"")</f>
        <v/>
      </c>
      <c r="L602" s="258" t="str">
        <f>IFERROR(__xludf.DUMMYFUNCTION("""COMPUTED_VALUE"""),"")</f>
        <v/>
      </c>
      <c r="M602" s="261">
        <f>IFERROR(__xludf.DUMMYFUNCTION("""COMPUTED_VALUE"""),249.0)</f>
        <v>249</v>
      </c>
      <c r="N602" s="262">
        <f>IFERROR(__xludf.DUMMYFUNCTION("""COMPUTED_VALUE"""),2100.0)</f>
        <v>2100</v>
      </c>
      <c r="O602" s="259" t="str">
        <f>IFERROR(__xludf.DUMMYFUNCTION("""COMPUTED_VALUE"""),"It didn't change")</f>
        <v>It didn't change</v>
      </c>
      <c r="P602" s="259">
        <f>IFERROR(__xludf.DUMMYFUNCTION("""COMPUTED_VALUE"""),42020.0)</f>
        <v>42020</v>
      </c>
      <c r="Q602" s="258">
        <f>IFERROR(__xludf.DUMMYFUNCTION("""COMPUTED_VALUE"""),27906.0)</f>
        <v>27906</v>
      </c>
      <c r="R602" s="261">
        <f>IFERROR(__xludf.DUMMYFUNCTION("""COMPUTED_VALUE"""),381.0)</f>
        <v>381</v>
      </c>
      <c r="S602" s="258">
        <v>395.0</v>
      </c>
      <c r="T602" s="263">
        <v>0.9645569620253165</v>
      </c>
      <c r="U602" s="264">
        <v>17340.0</v>
      </c>
      <c r="V602" s="265">
        <v>27906.0</v>
      </c>
      <c r="W602" s="264">
        <v>17340.0</v>
      </c>
      <c r="X602" s="266" t="str">
        <f>IFERROR(__xludf.DUMMYFUNCTION("""COMPUTED_VALUE"""),"Yannick")</f>
        <v>Yannick</v>
      </c>
      <c r="Y602" s="267">
        <v>-0.01</v>
      </c>
      <c r="Z602" s="267">
        <v>0.9691325046680517</v>
      </c>
      <c r="AA602" s="269"/>
      <c r="AB602" s="270"/>
      <c r="AC602" s="270"/>
      <c r="AD602" s="270"/>
      <c r="AE602" s="270"/>
    </row>
    <row r="603">
      <c r="A603" s="256">
        <f>IFERROR(__xludf.DUMMYFUNCTION("""COMPUTED_VALUE"""),42083.086111111115)</f>
        <v>42083.08611</v>
      </c>
      <c r="B603" s="257" t="str">
        <f>IFERROR(__xludf.DUMMYFUNCTION("""COMPUTED_VALUE"""),"HWS")</f>
        <v>HWS</v>
      </c>
      <c r="C603" s="258" t="str">
        <f>IFERROR(__xludf.DUMMYFUNCTION("""COMPUTED_VALUE"""),"Europe (excluding UK) &amp; Asia Pacific")</f>
        <v>Europe (excluding UK) &amp; Asia Pacific</v>
      </c>
      <c r="D603" s="258" t="str">
        <f>IFERROR(__xludf.DUMMYFUNCTION("""COMPUTED_VALUE"""),"km. My car displays range in kilometres and I will enter all range numbers in kilometres.")</f>
        <v>km. My car displays range in kilometres and I will enter all range numbers in kilometres.</v>
      </c>
      <c r="E603" s="259">
        <f>IFERROR(__xludf.DUMMYFUNCTION("""COMPUTED_VALUE"""),41607.0)</f>
        <v>41607</v>
      </c>
      <c r="F603" s="258" t="str">
        <f>IFERROR(__xludf.DUMMYFUNCTION("""COMPUTED_VALUE"""),"Model S P85")</f>
        <v>Model S P85</v>
      </c>
      <c r="G603" s="258" t="str">
        <f>IFERROR(__xludf.DUMMYFUNCTION("""COMPUTED_VALUE"""),"Twice a month")</f>
        <v>Twice a month</v>
      </c>
      <c r="H603" s="258" t="str">
        <f>IFERROR(__xludf.DUMMYFUNCTION("""COMPUTED_VALUE"""),"Twice a month")</f>
        <v>Twice a month</v>
      </c>
      <c r="I603" s="258" t="str">
        <f>IFERROR(__xludf.DUMMYFUNCTION("""COMPUTED_VALUE"""),"Never")</f>
        <v>Never</v>
      </c>
      <c r="J603" s="260" t="str">
        <f>IFERROR(__xludf.DUMMYFUNCTION("""COMPUTED_VALUE"""),"")</f>
        <v/>
      </c>
      <c r="K603" s="258" t="str">
        <f>IFERROR(__xludf.DUMMYFUNCTION("""COMPUTED_VALUE"""),"")</f>
        <v/>
      </c>
      <c r="L603" s="258" t="str">
        <f>IFERROR(__xludf.DUMMYFUNCTION("""COMPUTED_VALUE"""),"")</f>
        <v/>
      </c>
      <c r="M603" s="261">
        <f>IFERROR(__xludf.DUMMYFUNCTION("""COMPUTED_VALUE"""),252.0)</f>
        <v>252</v>
      </c>
      <c r="N603" s="262">
        <f>IFERROR(__xludf.DUMMYFUNCTION("""COMPUTED_VALUE"""),2100.0)</f>
        <v>2100</v>
      </c>
      <c r="O603" s="259" t="str">
        <f>IFERROR(__xludf.DUMMYFUNCTION("""COMPUTED_VALUE"""),"It didn't change")</f>
        <v>It didn't change</v>
      </c>
      <c r="P603" s="259">
        <f>IFERROR(__xludf.DUMMYFUNCTION("""COMPUTED_VALUE"""),42083.0)</f>
        <v>42083</v>
      </c>
      <c r="Q603" s="258">
        <f>IFERROR(__xludf.DUMMYFUNCTION("""COMPUTED_VALUE"""),34533.0)</f>
        <v>34533</v>
      </c>
      <c r="R603" s="261">
        <f>IFERROR(__xludf.DUMMYFUNCTION("""COMPUTED_VALUE"""),377.0)</f>
        <v>377</v>
      </c>
      <c r="S603" s="258">
        <v>395.0</v>
      </c>
      <c r="T603" s="263">
        <v>0.9544303797468354</v>
      </c>
      <c r="U603" s="264">
        <v>21458.0</v>
      </c>
      <c r="V603" s="265">
        <v>34533.0</v>
      </c>
      <c r="W603" s="264">
        <v>21458.0</v>
      </c>
      <c r="X603" s="266" t="str">
        <f>IFERROR(__xludf.DUMMYFUNCTION("""COMPUTED_VALUE"""),"YippyKayYay")</f>
        <v>YippyKayYay</v>
      </c>
      <c r="Y603" s="267">
        <v>-0.01</v>
      </c>
      <c r="Z603" s="267">
        <v>0.9656825044044156</v>
      </c>
      <c r="AA603" s="269"/>
      <c r="AB603" s="270"/>
      <c r="AC603" s="270"/>
      <c r="AD603" s="270"/>
      <c r="AE603" s="270"/>
    </row>
    <row r="604">
      <c r="A604" s="256">
        <f>IFERROR(__xludf.DUMMYFUNCTION("""COMPUTED_VALUE"""),42153.129166666666)</f>
        <v>42153.12917</v>
      </c>
      <c r="B604" s="257" t="str">
        <f>IFERROR(__xludf.DUMMYFUNCTION("""COMPUTED_VALUE"""),"HWS")</f>
        <v>HWS</v>
      </c>
      <c r="C604" s="258" t="str">
        <f>IFERROR(__xludf.DUMMYFUNCTION("""COMPUTED_VALUE"""),"Europe (excluding UK) &amp; Asia Pacific")</f>
        <v>Europe (excluding UK) &amp; Asia Pacific</v>
      </c>
      <c r="D604" s="258" t="str">
        <f>IFERROR(__xludf.DUMMYFUNCTION("""COMPUTED_VALUE"""),"km. My car displays range in kilometres and I will enter all range numbers in kilometres.")</f>
        <v>km. My car displays range in kilometres and I will enter all range numbers in kilometres.</v>
      </c>
      <c r="E604" s="259">
        <f>IFERROR(__xludf.DUMMYFUNCTION("""COMPUTED_VALUE"""),41607.0)</f>
        <v>41607</v>
      </c>
      <c r="F604" s="258" t="str">
        <f>IFERROR(__xludf.DUMMYFUNCTION("""COMPUTED_VALUE"""),"Model S P85")</f>
        <v>Model S P85</v>
      </c>
      <c r="G604" s="258" t="str">
        <f>IFERROR(__xludf.DUMMYFUNCTION("""COMPUTED_VALUE"""),"Twice a week")</f>
        <v>Twice a week</v>
      </c>
      <c r="H604" s="258" t="str">
        <f>IFERROR(__xludf.DUMMYFUNCTION("""COMPUTED_VALUE"""),"Twice a month")</f>
        <v>Twice a month</v>
      </c>
      <c r="I604" s="258" t="str">
        <f>IFERROR(__xludf.DUMMYFUNCTION("""COMPUTED_VALUE"""),"Once or twice a year")</f>
        <v>Once or twice a year</v>
      </c>
      <c r="J604" s="260">
        <f>IFERROR(__xludf.DUMMYFUNCTION("""COMPUTED_VALUE"""),0.9)</f>
        <v>0.9</v>
      </c>
      <c r="K604" s="258" t="str">
        <f>IFERROR(__xludf.DUMMYFUNCTION("""COMPUTED_VALUE"""),"")</f>
        <v/>
      </c>
      <c r="L604" s="258" t="str">
        <f>IFERROR(__xludf.DUMMYFUNCTION("""COMPUTED_VALUE"""),"")</f>
        <v/>
      </c>
      <c r="M604" s="261">
        <f>IFERROR(__xludf.DUMMYFUNCTION("""COMPUTED_VALUE"""),250.0)</f>
        <v>250</v>
      </c>
      <c r="N604" s="262">
        <f>IFERROR(__xludf.DUMMYFUNCTION("""COMPUTED_VALUE"""),2100.0)</f>
        <v>2100</v>
      </c>
      <c r="O604" s="259" t="str">
        <f>IFERROR(__xludf.DUMMYFUNCTION("""COMPUTED_VALUE"""),"It didn't change")</f>
        <v>It didn't change</v>
      </c>
      <c r="P604" s="259">
        <f>IFERROR(__xludf.DUMMYFUNCTION("""COMPUTED_VALUE"""),42153.0)</f>
        <v>42153</v>
      </c>
      <c r="Q604" s="258">
        <f>IFERROR(__xludf.DUMMYFUNCTION("""COMPUTED_VALUE"""),42850.0)</f>
        <v>42850</v>
      </c>
      <c r="R604" s="261">
        <f>IFERROR(__xludf.DUMMYFUNCTION("""COMPUTED_VALUE"""),378.0)</f>
        <v>378</v>
      </c>
      <c r="S604" s="258">
        <v>395.0</v>
      </c>
      <c r="T604" s="263">
        <v>0.9569620253164557</v>
      </c>
      <c r="U604" s="264">
        <v>26626.0</v>
      </c>
      <c r="V604" s="265">
        <v>42850.0</v>
      </c>
      <c r="W604" s="264">
        <v>26626.0</v>
      </c>
      <c r="X604" s="266" t="str">
        <f>IFERROR(__xludf.DUMMYFUNCTION("""COMPUTED_VALUE"""),"Yurand")</f>
        <v>Yurand</v>
      </c>
      <c r="Y604" s="267">
        <v>-0.01</v>
      </c>
      <c r="Z604" s="267">
        <v>0.962196866851375</v>
      </c>
      <c r="AA604" s="269"/>
      <c r="AB604" s="270"/>
      <c r="AC604" s="270"/>
      <c r="AD604" s="270"/>
      <c r="AE604" s="270"/>
    </row>
    <row r="605">
      <c r="A605" s="256">
        <f>IFERROR(__xludf.DUMMYFUNCTION("""COMPUTED_VALUE"""),42251.177777777775)</f>
        <v>42251.17778</v>
      </c>
      <c r="B605" s="257" t="str">
        <f>IFERROR(__xludf.DUMMYFUNCTION("""COMPUTED_VALUE"""),"HWS")</f>
        <v>HWS</v>
      </c>
      <c r="C605" s="258" t="str">
        <f>IFERROR(__xludf.DUMMYFUNCTION("""COMPUTED_VALUE"""),"Europe (excluding UK) &amp; Asia Pacific")</f>
        <v>Europe (excluding UK) &amp; Asia Pacific</v>
      </c>
      <c r="D605" s="258" t="str">
        <f>IFERROR(__xludf.DUMMYFUNCTION("""COMPUTED_VALUE"""),"km. My car displays range in kilometres and I will enter all range numbers in kilometres.")</f>
        <v>km. My car displays range in kilometres and I will enter all range numbers in kilometres.</v>
      </c>
      <c r="E605" s="259">
        <f>IFERROR(__xludf.DUMMYFUNCTION("""COMPUTED_VALUE"""),41607.0)</f>
        <v>41607</v>
      </c>
      <c r="F605" s="258" t="str">
        <f>IFERROR(__xludf.DUMMYFUNCTION("""COMPUTED_VALUE"""),"Model S P85")</f>
        <v>Model S P85</v>
      </c>
      <c r="G605" s="258" t="str">
        <f>IFERROR(__xludf.DUMMYFUNCTION("""COMPUTED_VALUE"""),"")</f>
        <v/>
      </c>
      <c r="H605" s="258" t="str">
        <f>IFERROR(__xludf.DUMMYFUNCTION("""COMPUTED_VALUE"""),"")</f>
        <v/>
      </c>
      <c r="I605" s="258" t="str">
        <f>IFERROR(__xludf.DUMMYFUNCTION("""COMPUTED_VALUE"""),"")</f>
        <v/>
      </c>
      <c r="J605" s="260" t="str">
        <f>IFERROR(__xludf.DUMMYFUNCTION("""COMPUTED_VALUE"""),"")</f>
        <v/>
      </c>
      <c r="K605" s="258" t="str">
        <f>IFERROR(__xludf.DUMMYFUNCTION("""COMPUTED_VALUE"""),"")</f>
        <v/>
      </c>
      <c r="L605" s="258" t="str">
        <f>IFERROR(__xludf.DUMMYFUNCTION("""COMPUTED_VALUE"""),"")</f>
        <v/>
      </c>
      <c r="M605" s="261">
        <f>IFERROR(__xludf.DUMMYFUNCTION("""COMPUTED_VALUE"""),218.0)</f>
        <v>218</v>
      </c>
      <c r="N605" s="262">
        <f>IFERROR(__xludf.DUMMYFUNCTION("""COMPUTED_VALUE"""),2100.0)</f>
        <v>2100</v>
      </c>
      <c r="O605" s="259" t="str">
        <f>IFERROR(__xludf.DUMMYFUNCTION("""COMPUTED_VALUE"""),"It didn't change")</f>
        <v>It didn't change</v>
      </c>
      <c r="P605" s="259">
        <f>IFERROR(__xludf.DUMMYFUNCTION("""COMPUTED_VALUE"""),42251.0)</f>
        <v>42251</v>
      </c>
      <c r="Q605" s="258">
        <f>IFERROR(__xludf.DUMMYFUNCTION("""COMPUTED_VALUE"""),50950.0)</f>
        <v>50950</v>
      </c>
      <c r="R605" s="261">
        <f>IFERROR(__xludf.DUMMYFUNCTION("""COMPUTED_VALUE"""),379.0)</f>
        <v>379</v>
      </c>
      <c r="S605" s="258">
        <v>395.0</v>
      </c>
      <c r="T605" s="263">
        <v>0.959493670886076</v>
      </c>
      <c r="U605" s="264">
        <v>31659.0</v>
      </c>
      <c r="V605" s="265">
        <v>50950.0</v>
      </c>
      <c r="W605" s="264">
        <v>31659.0</v>
      </c>
      <c r="X605" s="266" t="str">
        <f>IFERROR(__xludf.DUMMYFUNCTION("""COMPUTED_VALUE"""),"zdre")</f>
        <v>zdre</v>
      </c>
      <c r="Y605" s="267">
        <v>-0.01</v>
      </c>
      <c r="Z605" s="267">
        <v>0.9593819438342076</v>
      </c>
      <c r="AA605" s="269"/>
      <c r="AB605" s="270"/>
      <c r="AC605" s="270"/>
      <c r="AD605" s="270"/>
      <c r="AE605" s="270"/>
    </row>
    <row r="606">
      <c r="A606" s="256">
        <f>IFERROR(__xludf.DUMMYFUNCTION("""COMPUTED_VALUE"""),42320.228472222225)</f>
        <v>42320.22847</v>
      </c>
      <c r="B606" s="257" t="str">
        <f>IFERROR(__xludf.DUMMYFUNCTION("""COMPUTED_VALUE"""),"HWS")</f>
        <v>HWS</v>
      </c>
      <c r="C606" s="258" t="str">
        <f>IFERROR(__xludf.DUMMYFUNCTION("""COMPUTED_VALUE"""),"Europe (excluding UK) &amp; Asia Pacific")</f>
        <v>Europe (excluding UK) &amp; Asia Pacific</v>
      </c>
      <c r="D606" s="258" t="str">
        <f>IFERROR(__xludf.DUMMYFUNCTION("""COMPUTED_VALUE"""),"km. My car displays range in kilometres and I will enter all range numbers in kilometres.")</f>
        <v>km. My car displays range in kilometres and I will enter all range numbers in kilometres.</v>
      </c>
      <c r="E606" s="259">
        <f>IFERROR(__xludf.DUMMYFUNCTION("""COMPUTED_VALUE"""),41607.0)</f>
        <v>41607</v>
      </c>
      <c r="F606" s="258" t="str">
        <f>IFERROR(__xludf.DUMMYFUNCTION("""COMPUTED_VALUE"""),"Model S P85")</f>
        <v>Model S P85</v>
      </c>
      <c r="G606" s="258" t="str">
        <f>IFERROR(__xludf.DUMMYFUNCTION("""COMPUTED_VALUE"""),"A few times a year")</f>
        <v>A few times a year</v>
      </c>
      <c r="H606" s="258" t="str">
        <f>IFERROR(__xludf.DUMMYFUNCTION("""COMPUTED_VALUE"""),"A few times a year")</f>
        <v>A few times a year</v>
      </c>
      <c r="I606" s="258" t="str">
        <f>IFERROR(__xludf.DUMMYFUNCTION("""COMPUTED_VALUE"""),"Once or twice a year")</f>
        <v>Once or twice a year</v>
      </c>
      <c r="J606" s="260">
        <f>IFERROR(__xludf.DUMMYFUNCTION("""COMPUTED_VALUE"""),0.8)</f>
        <v>0.8</v>
      </c>
      <c r="K606" s="258">
        <f>IFERROR(__xludf.DUMMYFUNCTION("""COMPUTED_VALUE"""),400.0)</f>
        <v>400</v>
      </c>
      <c r="L606" s="258" t="str">
        <f>IFERROR(__xludf.DUMMYFUNCTION("""COMPUTED_VALUE"""),"")</f>
        <v/>
      </c>
      <c r="M606" s="261">
        <f>IFERROR(__xludf.DUMMYFUNCTION("""COMPUTED_VALUE"""),244.0)</f>
        <v>244</v>
      </c>
      <c r="N606" s="262">
        <f>IFERROR(__xludf.DUMMYFUNCTION("""COMPUTED_VALUE"""),2100.0)</f>
        <v>2100</v>
      </c>
      <c r="O606" s="259" t="str">
        <f>IFERROR(__xludf.DUMMYFUNCTION("""COMPUTED_VALUE"""),"I don't know")</f>
        <v>I don't know</v>
      </c>
      <c r="P606" s="259">
        <f>IFERROR(__xludf.DUMMYFUNCTION("""COMPUTED_VALUE"""),42320.0)</f>
        <v>42320</v>
      </c>
      <c r="Q606" s="258">
        <f>IFERROR(__xludf.DUMMYFUNCTION("""COMPUTED_VALUE"""),54971.0)</f>
        <v>54971</v>
      </c>
      <c r="R606" s="261">
        <f>IFERROR(__xludf.DUMMYFUNCTION("""COMPUTED_VALUE"""),370.0)</f>
        <v>370</v>
      </c>
      <c r="S606" s="258">
        <v>395.0</v>
      </c>
      <c r="T606" s="263">
        <v>0.9367088607594937</v>
      </c>
      <c r="U606" s="264">
        <v>34157.0</v>
      </c>
      <c r="V606" s="265">
        <v>54971.0</v>
      </c>
      <c r="W606" s="264">
        <v>34157.0</v>
      </c>
      <c r="X606" s="266" t="str">
        <f>IFERROR(__xludf.DUMMYFUNCTION("""COMPUTED_VALUE"""),"Zee")</f>
        <v>Zee</v>
      </c>
      <c r="Y606" s="267">
        <v>-0.01</v>
      </c>
      <c r="Z606" s="267">
        <v>0.9581264090865734</v>
      </c>
      <c r="AA606" s="269"/>
      <c r="AB606" s="270"/>
      <c r="AC606" s="270"/>
      <c r="AD606" s="270"/>
      <c r="AE606" s="270"/>
    </row>
    <row r="607">
      <c r="A607" s="256">
        <f>IFERROR(__xludf.DUMMYFUNCTION("""COMPUTED_VALUE"""),42338.23472222222)</f>
        <v>42338.23472</v>
      </c>
      <c r="B607" s="257" t="str">
        <f>IFERROR(__xludf.DUMMYFUNCTION("""COMPUTED_VALUE"""),"HWS")</f>
        <v>HWS</v>
      </c>
      <c r="C607" s="258" t="str">
        <f>IFERROR(__xludf.DUMMYFUNCTION("""COMPUTED_VALUE"""),"Europe (excluding UK) &amp; Asia Pacific")</f>
        <v>Europe (excluding UK) &amp; Asia Pacific</v>
      </c>
      <c r="D607" s="258" t="str">
        <f>IFERROR(__xludf.DUMMYFUNCTION("""COMPUTED_VALUE"""),"km. My car displays range in kilometres and I will enter all range numbers in kilometres.")</f>
        <v>km. My car displays range in kilometres and I will enter all range numbers in kilometres.</v>
      </c>
      <c r="E607" s="259">
        <f>IFERROR(__xludf.DUMMYFUNCTION("""COMPUTED_VALUE"""),41607.0)</f>
        <v>41607</v>
      </c>
      <c r="F607" s="258" t="str">
        <f>IFERROR(__xludf.DUMMYFUNCTION("""COMPUTED_VALUE"""),"Model S P85")</f>
        <v>Model S P85</v>
      </c>
      <c r="G607" s="258" t="str">
        <f>IFERROR(__xludf.DUMMYFUNCTION("""COMPUTED_VALUE"""),"Monthly")</f>
        <v>Monthly</v>
      </c>
      <c r="H607" s="258" t="str">
        <f>IFERROR(__xludf.DUMMYFUNCTION("""COMPUTED_VALUE"""),"A few times a year")</f>
        <v>A few times a year</v>
      </c>
      <c r="I607" s="258" t="str">
        <f>IFERROR(__xludf.DUMMYFUNCTION("""COMPUTED_VALUE"""),"A few times a year")</f>
        <v>A few times a year</v>
      </c>
      <c r="J607" s="260">
        <f>IFERROR(__xludf.DUMMYFUNCTION("""COMPUTED_VALUE"""),0.8)</f>
        <v>0.8</v>
      </c>
      <c r="K607" s="258">
        <f>IFERROR(__xludf.DUMMYFUNCTION("""COMPUTED_VALUE"""),400.0)</f>
        <v>400</v>
      </c>
      <c r="L607" s="258" t="str">
        <f>IFERROR(__xludf.DUMMYFUNCTION("""COMPUTED_VALUE"""),"")</f>
        <v/>
      </c>
      <c r="M607" s="261">
        <f>IFERROR(__xludf.DUMMYFUNCTION("""COMPUTED_VALUE"""),246.0)</f>
        <v>246</v>
      </c>
      <c r="N607" s="262">
        <f>IFERROR(__xludf.DUMMYFUNCTION("""COMPUTED_VALUE"""),2100.0)</f>
        <v>2100</v>
      </c>
      <c r="O607" s="259" t="str">
        <f>IFERROR(__xludf.DUMMYFUNCTION("""COMPUTED_VALUE"""),"I don't know")</f>
        <v>I don't know</v>
      </c>
      <c r="P607" s="259">
        <f>IFERROR(__xludf.DUMMYFUNCTION("""COMPUTED_VALUE"""),42338.0)</f>
        <v>42338</v>
      </c>
      <c r="Q607" s="258">
        <f>IFERROR(__xludf.DUMMYFUNCTION("""COMPUTED_VALUE"""),56138.0)</f>
        <v>56138</v>
      </c>
      <c r="R607" s="261">
        <f>IFERROR(__xludf.DUMMYFUNCTION("""COMPUTED_VALUE"""),377.0)</f>
        <v>377</v>
      </c>
      <c r="S607" s="258">
        <v>395.0</v>
      </c>
      <c r="T607" s="263">
        <v>0.9544303797468354</v>
      </c>
      <c r="U607" s="264">
        <v>34883.0</v>
      </c>
      <c r="V607" s="265">
        <v>56138.0</v>
      </c>
      <c r="W607" s="264">
        <v>34883.0</v>
      </c>
      <c r="X607" s="266" t="str">
        <f>IFERROR(__xludf.DUMMYFUNCTION("""COMPUTED_VALUE"""),"Zextraterrestrial")</f>
        <v>Zextraterrestrial</v>
      </c>
      <c r="Y607" s="267">
        <v>-0.01</v>
      </c>
      <c r="Z607" s="267">
        <v>0.9577755210346829</v>
      </c>
      <c r="AA607" s="269"/>
      <c r="AB607" s="270"/>
      <c r="AC607" s="270"/>
      <c r="AD607" s="270"/>
      <c r="AE607" s="270"/>
    </row>
    <row r="608">
      <c r="A608" s="256">
        <f>IFERROR(__xludf.DUMMYFUNCTION("""COMPUTED_VALUE"""),42354.25138888889)</f>
        <v>42354.25139</v>
      </c>
      <c r="B608" s="257" t="str">
        <f>IFERROR(__xludf.DUMMYFUNCTION("""COMPUTED_VALUE"""),"HWS 90D")</f>
        <v>HWS 90D</v>
      </c>
      <c r="C608" s="258" t="str">
        <f>IFERROR(__xludf.DUMMYFUNCTION("""COMPUTED_VALUE"""),"Europe (excluding UK) &amp; Asia Pacific")</f>
        <v>Europe (excluding UK) &amp; Asia Pacific</v>
      </c>
      <c r="D608" s="258" t="str">
        <f>IFERROR(__xludf.DUMMYFUNCTION("""COMPUTED_VALUE"""),"km. My car displays range in kilometres and I will enter all range numbers in kilometres.")</f>
        <v>km. My car displays range in kilometres and I will enter all range numbers in kilometres.</v>
      </c>
      <c r="E608" s="259">
        <f>IFERROR(__xludf.DUMMYFUNCTION("""COMPUTED_VALUE"""),42277.0)</f>
        <v>42277</v>
      </c>
      <c r="F608" s="258" t="str">
        <f>IFERROR(__xludf.DUMMYFUNCTION("""COMPUTED_VALUE"""),"Model S 90D 2015")</f>
        <v>Model S 90D 2015</v>
      </c>
      <c r="G608" s="258" t="str">
        <f>IFERROR(__xludf.DUMMYFUNCTION("""COMPUTED_VALUE"""),"A few times a year")</f>
        <v>A few times a year</v>
      </c>
      <c r="H608" s="258" t="str">
        <f>IFERROR(__xludf.DUMMYFUNCTION("""COMPUTED_VALUE"""),"")</f>
        <v/>
      </c>
      <c r="I608" s="258" t="str">
        <f>IFERROR(__xludf.DUMMYFUNCTION("""COMPUTED_VALUE"""),"")</f>
        <v/>
      </c>
      <c r="J608" s="260" t="str">
        <f>IFERROR(__xludf.DUMMYFUNCTION("""COMPUTED_VALUE"""),"")</f>
        <v/>
      </c>
      <c r="K608" s="258" t="str">
        <f>IFERROR(__xludf.DUMMYFUNCTION("""COMPUTED_VALUE"""),"")</f>
        <v/>
      </c>
      <c r="L608" s="258" t="str">
        <f>IFERROR(__xludf.DUMMYFUNCTION("""COMPUTED_VALUE"""),"")</f>
        <v/>
      </c>
      <c r="M608" s="261">
        <f>IFERROR(__xludf.DUMMYFUNCTION("""COMPUTED_VALUE"""),233.0)</f>
        <v>233</v>
      </c>
      <c r="N608" s="262" t="str">
        <f>IFERROR(__xludf.DUMMYFUNCTION("""COMPUTED_VALUE"""),"")</f>
        <v/>
      </c>
      <c r="O608" s="259" t="str">
        <f>IFERROR(__xludf.DUMMYFUNCTION("""COMPUTED_VALUE"""),"")</f>
        <v/>
      </c>
      <c r="P608" s="259">
        <f>IFERROR(__xludf.DUMMYFUNCTION("""COMPUTED_VALUE"""),42354.0)</f>
        <v>42354</v>
      </c>
      <c r="Q608" s="258">
        <f>IFERROR(__xludf.DUMMYFUNCTION("""COMPUTED_VALUE"""),9200.0)</f>
        <v>9200</v>
      </c>
      <c r="R608" s="261">
        <f>IFERROR(__xludf.DUMMYFUNCTION("""COMPUTED_VALUE"""),409.0)</f>
        <v>409</v>
      </c>
      <c r="S608" s="258">
        <v>427.0</v>
      </c>
      <c r="T608" s="263">
        <v>0.9578454332552693</v>
      </c>
      <c r="U608" s="264">
        <v>5717.0</v>
      </c>
      <c r="V608" s="265">
        <v>9200.0</v>
      </c>
      <c r="W608" s="264">
        <v>5717.0</v>
      </c>
      <c r="X608" s="266" t="str">
        <f>IFERROR(__xludf.DUMMYFUNCTION("""COMPUTED_VALUE"""),"Zneip")</f>
        <v>Zneip</v>
      </c>
      <c r="Y608" s="267">
        <v>-0.01</v>
      </c>
      <c r="Z608" s="267">
        <v>0.9852676851133129</v>
      </c>
      <c r="AA608" s="269"/>
      <c r="AB608" s="270"/>
      <c r="AC608" s="270"/>
      <c r="AD608" s="270"/>
      <c r="AE608" s="270"/>
    </row>
    <row r="609">
      <c r="A609" s="256">
        <f>IFERROR(__xludf.DUMMYFUNCTION("""COMPUTED_VALUE"""),42377.26944444445)</f>
        <v>42377.26944</v>
      </c>
      <c r="B609" s="257" t="str">
        <f>IFERROR(__xludf.DUMMYFUNCTION("""COMPUTED_VALUE"""),"HWS 90D")</f>
        <v>HWS 90D</v>
      </c>
      <c r="C609" s="258" t="str">
        <f>IFERROR(__xludf.DUMMYFUNCTION("""COMPUTED_VALUE"""),"Europe (excluding UK) &amp; Asia Pacific")</f>
        <v>Europe (excluding UK) &amp; Asia Pacific</v>
      </c>
      <c r="D609" s="258" t="str">
        <f>IFERROR(__xludf.DUMMYFUNCTION("""COMPUTED_VALUE"""),"km. My car displays range in kilometres and I will enter all range numbers in kilometres.")</f>
        <v>km. My car displays range in kilometres and I will enter all range numbers in kilometres.</v>
      </c>
      <c r="E609" s="259">
        <f>IFERROR(__xludf.DUMMYFUNCTION("""COMPUTED_VALUE"""),42277.0)</f>
        <v>42277</v>
      </c>
      <c r="F609" s="258" t="str">
        <f>IFERROR(__xludf.DUMMYFUNCTION("""COMPUTED_VALUE"""),"Model S 90D 2015")</f>
        <v>Model S 90D 2015</v>
      </c>
      <c r="G609" s="258" t="str">
        <f>IFERROR(__xludf.DUMMYFUNCTION("""COMPUTED_VALUE"""),"A few times a year")</f>
        <v>A few times a year</v>
      </c>
      <c r="H609" s="258" t="str">
        <f>IFERROR(__xludf.DUMMYFUNCTION("""COMPUTED_VALUE"""),"A few times a year")</f>
        <v>A few times a year</v>
      </c>
      <c r="I609" s="258" t="str">
        <f>IFERROR(__xludf.DUMMYFUNCTION("""COMPUTED_VALUE"""),"A few times a year")</f>
        <v>A few times a year</v>
      </c>
      <c r="J609" s="260">
        <f>IFERROR(__xludf.DUMMYFUNCTION("""COMPUTED_VALUE"""),0.8)</f>
        <v>0.8</v>
      </c>
      <c r="K609" s="258">
        <f>IFERROR(__xludf.DUMMYFUNCTION("""COMPUTED_VALUE"""),409.0)</f>
        <v>409</v>
      </c>
      <c r="L609" s="258" t="str">
        <f>IFERROR(__xludf.DUMMYFUNCTION("""COMPUTED_VALUE"""),"")</f>
        <v/>
      </c>
      <c r="M609" s="261">
        <f>IFERROR(__xludf.DUMMYFUNCTION("""COMPUTED_VALUE"""),250.0)</f>
        <v>250</v>
      </c>
      <c r="N609" s="262" t="str">
        <f>IFERROR(__xludf.DUMMYFUNCTION("""COMPUTED_VALUE"""),"")</f>
        <v/>
      </c>
      <c r="O609" s="259" t="str">
        <f>IFERROR(__xludf.DUMMYFUNCTION("""COMPUTED_VALUE"""),"")</f>
        <v/>
      </c>
      <c r="P609" s="259">
        <f>IFERROR(__xludf.DUMMYFUNCTION("""COMPUTED_VALUE"""),42377.0)</f>
        <v>42377</v>
      </c>
      <c r="Q609" s="258">
        <f>IFERROR(__xludf.DUMMYFUNCTION("""COMPUTED_VALUE"""),13889.0)</f>
        <v>13889</v>
      </c>
      <c r="R609" s="261">
        <f>IFERROR(__xludf.DUMMYFUNCTION("""COMPUTED_VALUE"""),408.0)</f>
        <v>408</v>
      </c>
      <c r="S609" s="258">
        <v>427.0</v>
      </c>
      <c r="T609" s="263">
        <v>0.955503512880562</v>
      </c>
      <c r="U609" s="264">
        <v>8630.0</v>
      </c>
      <c r="V609" s="265">
        <v>13889.0</v>
      </c>
      <c r="W609" s="264">
        <v>8630.0</v>
      </c>
      <c r="X609" s="266" t="str">
        <f>IFERROR(__xludf.DUMMYFUNCTION("""COMPUTED_VALUE"""),"Zouteval")</f>
        <v>Zouteval</v>
      </c>
      <c r="Y609" s="267">
        <v>-0.01</v>
      </c>
      <c r="Z609" s="267">
        <v>0.9799316401442948</v>
      </c>
      <c r="AA609" s="269"/>
      <c r="AB609" s="270"/>
      <c r="AC609" s="270"/>
      <c r="AD609" s="270"/>
      <c r="AE609" s="270"/>
    </row>
    <row r="610">
      <c r="A610" s="256">
        <f>IFERROR(__xludf.DUMMYFUNCTION("""COMPUTED_VALUE"""),42405.28333333333)</f>
        <v>42405.28333</v>
      </c>
      <c r="B610" s="257" t="str">
        <f>IFERROR(__xludf.DUMMYFUNCTION("""COMPUTED_VALUE"""),"HWS 90D")</f>
        <v>HWS 90D</v>
      </c>
      <c r="C610" s="258" t="str">
        <f>IFERROR(__xludf.DUMMYFUNCTION("""COMPUTED_VALUE"""),"Europe (excluding UK) &amp; Asia Pacific")</f>
        <v>Europe (excluding UK) &amp; Asia Pacific</v>
      </c>
      <c r="D610" s="258" t="str">
        <f>IFERROR(__xludf.DUMMYFUNCTION("""COMPUTED_VALUE"""),"km. My car displays range in kilometres and I will enter all range numbers in kilometres.")</f>
        <v>km. My car displays range in kilometres and I will enter all range numbers in kilometres.</v>
      </c>
      <c r="E610" s="259">
        <f>IFERROR(__xludf.DUMMYFUNCTION("""COMPUTED_VALUE"""),42277.0)</f>
        <v>42277</v>
      </c>
      <c r="F610" s="258" t="str">
        <f>IFERROR(__xludf.DUMMYFUNCTION("""COMPUTED_VALUE"""),"Model S 90D")</f>
        <v>Model S 90D</v>
      </c>
      <c r="G610" s="258" t="str">
        <f>IFERROR(__xludf.DUMMYFUNCTION("""COMPUTED_VALUE"""),"Monthly")</f>
        <v>Monthly</v>
      </c>
      <c r="H610" s="258" t="str">
        <f>IFERROR(__xludf.DUMMYFUNCTION("""COMPUTED_VALUE"""),"Monthly")</f>
        <v>Monthly</v>
      </c>
      <c r="I610" s="258" t="str">
        <f>IFERROR(__xludf.DUMMYFUNCTION("""COMPUTED_VALUE"""),"A few times a year")</f>
        <v>A few times a year</v>
      </c>
      <c r="J610" s="260">
        <f>IFERROR(__xludf.DUMMYFUNCTION("""COMPUTED_VALUE"""),0.8)</f>
        <v>0.8</v>
      </c>
      <c r="K610" s="258">
        <f>IFERROR(__xludf.DUMMYFUNCTION("""COMPUTED_VALUE"""),408.0)</f>
        <v>408</v>
      </c>
      <c r="L610" s="258" t="str">
        <f>IFERROR(__xludf.DUMMYFUNCTION("""COMPUTED_VALUE"""),"")</f>
        <v/>
      </c>
      <c r="M610" s="261">
        <f>IFERROR(__xludf.DUMMYFUNCTION("""COMPUTED_VALUE"""),249.0)</f>
        <v>249</v>
      </c>
      <c r="N610" s="262" t="str">
        <f>IFERROR(__xludf.DUMMYFUNCTION("""COMPUTED_VALUE"""),"")</f>
        <v/>
      </c>
      <c r="O610" s="259" t="str">
        <f>IFERROR(__xludf.DUMMYFUNCTION("""COMPUTED_VALUE"""),"")</f>
        <v/>
      </c>
      <c r="P610" s="259">
        <f>IFERROR(__xludf.DUMMYFUNCTION("""COMPUTED_VALUE"""),42405.0)</f>
        <v>42405</v>
      </c>
      <c r="Q610" s="258">
        <f>IFERROR(__xludf.DUMMYFUNCTION("""COMPUTED_VALUE"""),15058.0)</f>
        <v>15058</v>
      </c>
      <c r="R610" s="261">
        <f>IFERROR(__xludf.DUMMYFUNCTION("""COMPUTED_VALUE"""),434.0)</f>
        <v>434</v>
      </c>
      <c r="S610" s="258">
        <v>447.0</v>
      </c>
      <c r="T610" s="263">
        <v>0.970917225950783</v>
      </c>
      <c r="U610" s="264">
        <v>9357.0</v>
      </c>
      <c r="V610" s="265">
        <v>15058.0</v>
      </c>
      <c r="W610" s="264">
        <v>9357.0</v>
      </c>
      <c r="X610" s="266" t="str">
        <f>IFERROR(__xludf.DUMMYFUNCTION("""COMPUTED_VALUE"""),"ZSW")</f>
        <v>ZSW</v>
      </c>
      <c r="Y610" s="267">
        <v>-0.01</v>
      </c>
      <c r="Z610" s="267">
        <v>0.9787700026992139</v>
      </c>
      <c r="AA610" s="269"/>
      <c r="AB610" s="270"/>
      <c r="AC610" s="270"/>
      <c r="AD610" s="270"/>
      <c r="AE610" s="270"/>
    </row>
    <row r="611">
      <c r="A611" s="256">
        <f>IFERROR(__xludf.DUMMYFUNCTION("""COMPUTED_VALUE"""),42433.3)</f>
        <v>42433.3</v>
      </c>
      <c r="B611" s="257" t="str">
        <f>IFERROR(__xludf.DUMMYFUNCTION("""COMPUTED_VALUE"""),"HWS 90D")</f>
        <v>HWS 90D</v>
      </c>
      <c r="C611" s="258" t="str">
        <f>IFERROR(__xludf.DUMMYFUNCTION("""COMPUTED_VALUE"""),"Europe (excluding UK) &amp; Asia Pacific")</f>
        <v>Europe (excluding UK) &amp; Asia Pacific</v>
      </c>
      <c r="D611" s="258" t="str">
        <f>IFERROR(__xludf.DUMMYFUNCTION("""COMPUTED_VALUE"""),"km. My car displays range in kilometres and I will enter all range numbers in kilometres.")</f>
        <v>km. My car displays range in kilometres and I will enter all range numbers in kilometres.</v>
      </c>
      <c r="E611" s="259">
        <f>IFERROR(__xludf.DUMMYFUNCTION("""COMPUTED_VALUE"""),42276.0)</f>
        <v>42276</v>
      </c>
      <c r="F611" s="258" t="str">
        <f>IFERROR(__xludf.DUMMYFUNCTION("""COMPUTED_VALUE"""),"Model S 90D")</f>
        <v>Model S 90D</v>
      </c>
      <c r="G611" s="258" t="str">
        <f>IFERROR(__xludf.DUMMYFUNCTION("""COMPUTED_VALUE"""),"A few times a year")</f>
        <v>A few times a year</v>
      </c>
      <c r="H611" s="258" t="str">
        <f>IFERROR(__xludf.DUMMYFUNCTION("""COMPUTED_VALUE"""),"A few times a year")</f>
        <v>A few times a year</v>
      </c>
      <c r="I611" s="258" t="str">
        <f>IFERROR(__xludf.DUMMYFUNCTION("""COMPUTED_VALUE"""),"A few times a year")</f>
        <v>A few times a year</v>
      </c>
      <c r="J611" s="260">
        <f>IFERROR(__xludf.DUMMYFUNCTION("""COMPUTED_VALUE"""),0.8)</f>
        <v>0.8</v>
      </c>
      <c r="K611" s="258" t="str">
        <f>IFERROR(__xludf.DUMMYFUNCTION("""COMPUTED_VALUE"""),"")</f>
        <v/>
      </c>
      <c r="L611" s="258" t="str">
        <f>IFERROR(__xludf.DUMMYFUNCTION("""COMPUTED_VALUE"""),"")</f>
        <v/>
      </c>
      <c r="M611" s="261">
        <f>IFERROR(__xludf.DUMMYFUNCTION("""COMPUTED_VALUE"""),248.0)</f>
        <v>248</v>
      </c>
      <c r="N611" s="262" t="str">
        <f>IFERROR(__xludf.DUMMYFUNCTION("""COMPUTED_VALUE"""),"")</f>
        <v/>
      </c>
      <c r="O611" s="259" t="str">
        <f>IFERROR(__xludf.DUMMYFUNCTION("""COMPUTED_VALUE"""),"")</f>
        <v/>
      </c>
      <c r="P611" s="259">
        <f>IFERROR(__xludf.DUMMYFUNCTION("""COMPUTED_VALUE"""),42433.0)</f>
        <v>42433</v>
      </c>
      <c r="Q611" s="258">
        <f>IFERROR(__xludf.DUMMYFUNCTION("""COMPUTED_VALUE"""),16500.0)</f>
        <v>16500</v>
      </c>
      <c r="R611" s="261">
        <f>IFERROR(__xludf.DUMMYFUNCTION("""COMPUTED_VALUE"""),424.0)</f>
        <v>424</v>
      </c>
      <c r="S611" s="258">
        <v>447.0</v>
      </c>
      <c r="T611" s="263">
        <v>0.9485458612975392</v>
      </c>
      <c r="U611" s="264">
        <v>10253.0</v>
      </c>
      <c r="V611" s="265">
        <v>16500.0</v>
      </c>
      <c r="W611" s="264">
        <v>10253.0</v>
      </c>
      <c r="X611" s="266" t="str">
        <f>IFERROR(__xludf.DUMMYFUNCTION("""COMPUTED_VALUE"""),"Zuid5.nl")</f>
        <v>Zuid5.nl</v>
      </c>
      <c r="Y611" s="267">
        <v>-0.01</v>
      </c>
      <c r="Z611" s="267">
        <v>0.9774174074300972</v>
      </c>
      <c r="AA611" s="269"/>
      <c r="AB611" s="270"/>
      <c r="AC611" s="270"/>
      <c r="AD611" s="270"/>
      <c r="AE611" s="270"/>
    </row>
    <row r="612">
      <c r="A612" s="256">
        <f>IFERROR(__xludf.DUMMYFUNCTION("""COMPUTED_VALUE"""),42447.308333333334)</f>
        <v>42447.30833</v>
      </c>
      <c r="B612" s="257" t="str">
        <f>IFERROR(__xludf.DUMMYFUNCTION("""COMPUTED_VALUE"""),"HWS 90D")</f>
        <v>HWS 90D</v>
      </c>
      <c r="C612" s="258" t="str">
        <f>IFERROR(__xludf.DUMMYFUNCTION("""COMPUTED_VALUE"""),"Europe (excluding UK) &amp; Asia Pacific")</f>
        <v>Europe (excluding UK) &amp; Asia Pacific</v>
      </c>
      <c r="D612" s="258" t="str">
        <f>IFERROR(__xludf.DUMMYFUNCTION("""COMPUTED_VALUE"""),"km. My car displays range in kilometres and I will enter all range numbers in kilometres.")</f>
        <v>km. My car displays range in kilometres and I will enter all range numbers in kilometres.</v>
      </c>
      <c r="E612" s="259">
        <f>IFERROR(__xludf.DUMMYFUNCTION("""COMPUTED_VALUE"""),42276.0)</f>
        <v>42276</v>
      </c>
      <c r="F612" s="258" t="str">
        <f>IFERROR(__xludf.DUMMYFUNCTION("""COMPUTED_VALUE"""),"Model S 90D")</f>
        <v>Model S 90D</v>
      </c>
      <c r="G612" s="258" t="str">
        <f>IFERROR(__xludf.DUMMYFUNCTION("""COMPUTED_VALUE"""),"A few times a year")</f>
        <v>A few times a year</v>
      </c>
      <c r="H612" s="258" t="str">
        <f>IFERROR(__xludf.DUMMYFUNCTION("""COMPUTED_VALUE"""),"A few times a year")</f>
        <v>A few times a year</v>
      </c>
      <c r="I612" s="258" t="str">
        <f>IFERROR(__xludf.DUMMYFUNCTION("""COMPUTED_VALUE"""),"A few times a year")</f>
        <v>A few times a year</v>
      </c>
      <c r="J612" s="260">
        <f>IFERROR(__xludf.DUMMYFUNCTION("""COMPUTED_VALUE"""),0.8)</f>
        <v>0.8</v>
      </c>
      <c r="K612" s="258">
        <f>IFERROR(__xludf.DUMMYFUNCTION("""COMPUTED_VALUE"""),426.0)</f>
        <v>426</v>
      </c>
      <c r="L612" s="258" t="str">
        <f>IFERROR(__xludf.DUMMYFUNCTION("""COMPUTED_VALUE"""),"")</f>
        <v/>
      </c>
      <c r="M612" s="261">
        <f>IFERROR(__xludf.DUMMYFUNCTION("""COMPUTED_VALUE"""),248.0)</f>
        <v>248</v>
      </c>
      <c r="N612" s="262" t="str">
        <f>IFERROR(__xludf.DUMMYFUNCTION("""COMPUTED_VALUE"""),"")</f>
        <v/>
      </c>
      <c r="O612" s="259" t="str">
        <f>IFERROR(__xludf.DUMMYFUNCTION("""COMPUTED_VALUE"""),"")</f>
        <v/>
      </c>
      <c r="P612" s="259">
        <f>IFERROR(__xludf.DUMMYFUNCTION("""COMPUTED_VALUE"""),42447.0)</f>
        <v>42447</v>
      </c>
      <c r="Q612" s="258">
        <f>IFERROR(__xludf.DUMMYFUNCTION("""COMPUTED_VALUE"""),17326.0)</f>
        <v>17326</v>
      </c>
      <c r="R612" s="261">
        <f>IFERROR(__xludf.DUMMYFUNCTION("""COMPUTED_VALUE"""),433.0)</f>
        <v>433</v>
      </c>
      <c r="S612" s="258">
        <v>447.0</v>
      </c>
      <c r="T612" s="263">
        <v>0.9686800894854586</v>
      </c>
      <c r="U612" s="264">
        <v>10766.0</v>
      </c>
      <c r="V612" s="265">
        <v>17326.0</v>
      </c>
      <c r="W612" s="264">
        <v>10766.0</v>
      </c>
      <c r="X612" s="266" t="str">
        <f>IFERROR(__xludf.DUMMYFUNCTION("""COMPUTED_VALUE"""),"")</f>
        <v/>
      </c>
      <c r="Y612" s="267">
        <v>-0.01</v>
      </c>
      <c r="Z612" s="267">
        <v>0.9766800063210662</v>
      </c>
      <c r="AA612" s="269"/>
      <c r="AB612" s="270"/>
      <c r="AC612" s="270"/>
      <c r="AD612" s="270"/>
      <c r="AE612" s="270"/>
    </row>
    <row r="613">
      <c r="A613" s="256">
        <f>IFERROR(__xludf.DUMMYFUNCTION("""COMPUTED_VALUE"""),42517.339583333334)</f>
        <v>42517.33958</v>
      </c>
      <c r="B613" s="257" t="str">
        <f>IFERROR(__xludf.DUMMYFUNCTION("""COMPUTED_VALUE"""),"HWS 90D")</f>
        <v>HWS 90D</v>
      </c>
      <c r="C613" s="258" t="str">
        <f>IFERROR(__xludf.DUMMYFUNCTION("""COMPUTED_VALUE"""),"Europe (excluding UK) &amp; Asia Pacific")</f>
        <v>Europe (excluding UK) &amp; Asia Pacific</v>
      </c>
      <c r="D613" s="258" t="str">
        <f>IFERROR(__xludf.DUMMYFUNCTION("""COMPUTED_VALUE"""),"km. My car displays range in kilometres and I will enter all range numbers in kilometres.")</f>
        <v>km. My car displays range in kilometres and I will enter all range numbers in kilometres.</v>
      </c>
      <c r="E613" s="259">
        <f>IFERROR(__xludf.DUMMYFUNCTION("""COMPUTED_VALUE"""),42276.0)</f>
        <v>42276</v>
      </c>
      <c r="F613" s="258" t="str">
        <f>IFERROR(__xludf.DUMMYFUNCTION("""COMPUTED_VALUE"""),"Model S 90D")</f>
        <v>Model S 90D</v>
      </c>
      <c r="G613" s="258" t="str">
        <f>IFERROR(__xludf.DUMMYFUNCTION("""COMPUTED_VALUE"""),"A few times a year")</f>
        <v>A few times a year</v>
      </c>
      <c r="H613" s="258" t="str">
        <f>IFERROR(__xludf.DUMMYFUNCTION("""COMPUTED_VALUE"""),"A few times a year")</f>
        <v>A few times a year</v>
      </c>
      <c r="I613" s="258" t="str">
        <f>IFERROR(__xludf.DUMMYFUNCTION("""COMPUTED_VALUE"""),"A few times a year")</f>
        <v>A few times a year</v>
      </c>
      <c r="J613" s="260">
        <f>IFERROR(__xludf.DUMMYFUNCTION("""COMPUTED_VALUE"""),0.8)</f>
        <v>0.8</v>
      </c>
      <c r="K613" s="258">
        <f>IFERROR(__xludf.DUMMYFUNCTION("""COMPUTED_VALUE"""),426.0)</f>
        <v>426</v>
      </c>
      <c r="L613" s="258" t="str">
        <f>IFERROR(__xludf.DUMMYFUNCTION("""COMPUTED_VALUE"""),"")</f>
        <v/>
      </c>
      <c r="M613" s="261">
        <f>IFERROR(__xludf.DUMMYFUNCTION("""COMPUTED_VALUE"""),236.0)</f>
        <v>236</v>
      </c>
      <c r="N613" s="262" t="str">
        <f>IFERROR(__xludf.DUMMYFUNCTION("""COMPUTED_VALUE"""),"")</f>
        <v/>
      </c>
      <c r="O613" s="259" t="str">
        <f>IFERROR(__xludf.DUMMYFUNCTION("""COMPUTED_VALUE"""),"")</f>
        <v/>
      </c>
      <c r="P613" s="259">
        <f>IFERROR(__xludf.DUMMYFUNCTION("""COMPUTED_VALUE"""),42517.0)</f>
        <v>42517</v>
      </c>
      <c r="Q613" s="258">
        <f>IFERROR(__xludf.DUMMYFUNCTION("""COMPUTED_VALUE"""),24331.0)</f>
        <v>24331</v>
      </c>
      <c r="R613" s="261">
        <f>IFERROR(__xludf.DUMMYFUNCTION("""COMPUTED_VALUE"""),432.0)</f>
        <v>432</v>
      </c>
      <c r="S613" s="258">
        <v>447.0</v>
      </c>
      <c r="T613" s="263">
        <v>0.9664429530201343</v>
      </c>
      <c r="U613" s="264">
        <v>15119.0</v>
      </c>
      <c r="V613" s="265">
        <v>24331.0</v>
      </c>
      <c r="W613" s="264">
        <v>15119.0</v>
      </c>
      <c r="X613" s="266"/>
      <c r="Y613" s="267">
        <v>-0.01</v>
      </c>
      <c r="Z613" s="267">
        <v>0.9713454119613031</v>
      </c>
      <c r="AA613" s="269"/>
      <c r="AB613" s="270"/>
      <c r="AC613" s="270"/>
      <c r="AD613" s="270"/>
      <c r="AE613" s="270"/>
    </row>
    <row r="614">
      <c r="A614" s="256">
        <f>IFERROR(__xludf.DUMMYFUNCTION("""COMPUTED_VALUE"""),42569.36319444445)</f>
        <v>42569.36319</v>
      </c>
      <c r="B614" s="257" t="str">
        <f>IFERROR(__xludf.DUMMYFUNCTION("""COMPUTED_VALUE"""),"HWS 90D")</f>
        <v>HWS 90D</v>
      </c>
      <c r="C614" s="258" t="str">
        <f>IFERROR(__xludf.DUMMYFUNCTION("""COMPUTED_VALUE"""),"Europe (excluding UK) &amp; Asia Pacific")</f>
        <v>Europe (excluding UK) &amp; Asia Pacific</v>
      </c>
      <c r="D614" s="258" t="str">
        <f>IFERROR(__xludf.DUMMYFUNCTION("""COMPUTED_VALUE"""),"km. My car displays range in kilometres and I will enter all range numbers in kilometres.")</f>
        <v>km. My car displays range in kilometres and I will enter all range numbers in kilometres.</v>
      </c>
      <c r="E614" s="259">
        <f>IFERROR(__xludf.DUMMYFUNCTION("""COMPUTED_VALUE"""),42276.0)</f>
        <v>42276</v>
      </c>
      <c r="F614" s="258" t="str">
        <f>IFERROR(__xludf.DUMMYFUNCTION("""COMPUTED_VALUE"""),"Model S 90D")</f>
        <v>Model S 90D</v>
      </c>
      <c r="G614" s="258" t="str">
        <f>IFERROR(__xludf.DUMMYFUNCTION("""COMPUTED_VALUE"""),"A few times a year")</f>
        <v>A few times a year</v>
      </c>
      <c r="H614" s="258" t="str">
        <f>IFERROR(__xludf.DUMMYFUNCTION("""COMPUTED_VALUE"""),"A few times a year")</f>
        <v>A few times a year</v>
      </c>
      <c r="I614" s="258" t="str">
        <f>IFERROR(__xludf.DUMMYFUNCTION("""COMPUTED_VALUE"""),"A few times a year")</f>
        <v>A few times a year</v>
      </c>
      <c r="J614" s="260">
        <f>IFERROR(__xludf.DUMMYFUNCTION("""COMPUTED_VALUE"""),0.8)</f>
        <v>0.8</v>
      </c>
      <c r="K614" s="258">
        <f>IFERROR(__xludf.DUMMYFUNCTION("""COMPUTED_VALUE"""),426.0)</f>
        <v>426</v>
      </c>
      <c r="L614" s="258" t="str">
        <f>IFERROR(__xludf.DUMMYFUNCTION("""COMPUTED_VALUE"""),"")</f>
        <v/>
      </c>
      <c r="M614" s="261">
        <f>IFERROR(__xludf.DUMMYFUNCTION("""COMPUTED_VALUE"""),236.0)</f>
        <v>236</v>
      </c>
      <c r="N614" s="262" t="str">
        <f>IFERROR(__xludf.DUMMYFUNCTION("""COMPUTED_VALUE"""),"")</f>
        <v/>
      </c>
      <c r="O614" s="259" t="str">
        <f>IFERROR(__xludf.DUMMYFUNCTION("""COMPUTED_VALUE"""),"")</f>
        <v/>
      </c>
      <c r="P614" s="259">
        <f>IFERROR(__xludf.DUMMYFUNCTION("""COMPUTED_VALUE"""),42569.0)</f>
        <v>42569</v>
      </c>
      <c r="Q614" s="258">
        <f>IFERROR(__xludf.DUMMYFUNCTION("""COMPUTED_VALUE"""),26389.0)</f>
        <v>26389</v>
      </c>
      <c r="R614" s="261">
        <f>IFERROR(__xludf.DUMMYFUNCTION("""COMPUTED_VALUE"""),428.0)</f>
        <v>428</v>
      </c>
      <c r="S614" s="258">
        <v>447.0</v>
      </c>
      <c r="T614" s="263">
        <v>0.9574944071588367</v>
      </c>
      <c r="U614" s="264">
        <v>16397.0</v>
      </c>
      <c r="V614" s="265">
        <v>26389.0</v>
      </c>
      <c r="W614" s="264">
        <v>16397.0</v>
      </c>
      <c r="X614" s="266"/>
      <c r="Y614" s="267">
        <v>-0.01</v>
      </c>
      <c r="Z614" s="267">
        <v>0.9700364909630423</v>
      </c>
      <c r="AA614" s="269"/>
      <c r="AB614" s="270"/>
      <c r="AC614" s="270"/>
      <c r="AD614" s="270"/>
      <c r="AE614" s="270"/>
    </row>
    <row r="615">
      <c r="A615" s="256">
        <f>IFERROR(__xludf.DUMMYFUNCTION("""COMPUTED_VALUE"""),42594.37847222222)</f>
        <v>42594.37847</v>
      </c>
      <c r="B615" s="257" t="str">
        <f>IFERROR(__xludf.DUMMYFUNCTION("""COMPUTED_VALUE"""),"HWS 90D")</f>
        <v>HWS 90D</v>
      </c>
      <c r="C615" s="258" t="str">
        <f>IFERROR(__xludf.DUMMYFUNCTION("""COMPUTED_VALUE"""),"Europe (excluding UK) &amp; Asia Pacific")</f>
        <v>Europe (excluding UK) &amp; Asia Pacific</v>
      </c>
      <c r="D615" s="258" t="str">
        <f>IFERROR(__xludf.DUMMYFUNCTION("""COMPUTED_VALUE"""),"km. My car displays range in kilometres and I will enter all range numbers in kilometres.")</f>
        <v>km. My car displays range in kilometres and I will enter all range numbers in kilometres.</v>
      </c>
      <c r="E615" s="259">
        <f>IFERROR(__xludf.DUMMYFUNCTION("""COMPUTED_VALUE"""),42276.0)</f>
        <v>42276</v>
      </c>
      <c r="F615" s="258" t="str">
        <f>IFERROR(__xludf.DUMMYFUNCTION("""COMPUTED_VALUE"""),"Model S 90D")</f>
        <v>Model S 90D</v>
      </c>
      <c r="G615" s="258" t="str">
        <f>IFERROR(__xludf.DUMMYFUNCTION("""COMPUTED_VALUE"""),"A few times a year")</f>
        <v>A few times a year</v>
      </c>
      <c r="H615" s="258" t="str">
        <f>IFERROR(__xludf.DUMMYFUNCTION("""COMPUTED_VALUE"""),"A few times a year")</f>
        <v>A few times a year</v>
      </c>
      <c r="I615" s="258" t="str">
        <f>IFERROR(__xludf.DUMMYFUNCTION("""COMPUTED_VALUE"""),"A few times a year")</f>
        <v>A few times a year</v>
      </c>
      <c r="J615" s="260">
        <f>IFERROR(__xludf.DUMMYFUNCTION("""COMPUTED_VALUE"""),0.8)</f>
        <v>0.8</v>
      </c>
      <c r="K615" s="258">
        <f>IFERROR(__xludf.DUMMYFUNCTION("""COMPUTED_VALUE"""),426.0)</f>
        <v>426</v>
      </c>
      <c r="L615" s="258" t="str">
        <f>IFERROR(__xludf.DUMMYFUNCTION("""COMPUTED_VALUE"""),"")</f>
        <v/>
      </c>
      <c r="M615" s="261">
        <f>IFERROR(__xludf.DUMMYFUNCTION("""COMPUTED_VALUE"""),236.0)</f>
        <v>236</v>
      </c>
      <c r="N615" s="262" t="str">
        <f>IFERROR(__xludf.DUMMYFUNCTION("""COMPUTED_VALUE"""),"")</f>
        <v/>
      </c>
      <c r="O615" s="259" t="str">
        <f>IFERROR(__xludf.DUMMYFUNCTION("""COMPUTED_VALUE"""),"")</f>
        <v/>
      </c>
      <c r="P615" s="259">
        <f>IFERROR(__xludf.DUMMYFUNCTION("""COMPUTED_VALUE"""),42594.0)</f>
        <v>42594</v>
      </c>
      <c r="Q615" s="258">
        <f>IFERROR(__xludf.DUMMYFUNCTION("""COMPUTED_VALUE"""),29890.0)</f>
        <v>29890</v>
      </c>
      <c r="R615" s="261">
        <f>IFERROR(__xludf.DUMMYFUNCTION("""COMPUTED_VALUE"""),431.0)</f>
        <v>431</v>
      </c>
      <c r="S615" s="258">
        <v>447.0</v>
      </c>
      <c r="T615" s="263">
        <v>0.9642058165548099</v>
      </c>
      <c r="U615" s="264">
        <v>18573.0</v>
      </c>
      <c r="V615" s="265">
        <v>29890.0</v>
      </c>
      <c r="W615" s="264">
        <v>18573.0</v>
      </c>
      <c r="X615" s="266"/>
      <c r="Y615" s="267">
        <v>-0.01</v>
      </c>
      <c r="Z615" s="267">
        <v>0.9680202036675407</v>
      </c>
      <c r="AA615" s="269"/>
      <c r="AB615" s="270"/>
      <c r="AC615" s="270"/>
      <c r="AD615" s="270"/>
      <c r="AE615" s="270"/>
    </row>
    <row r="616">
      <c r="A616" s="256">
        <f>IFERROR(__xludf.DUMMYFUNCTION("""COMPUTED_VALUE"""),42620.39583333333)</f>
        <v>42620.39583</v>
      </c>
      <c r="B616" s="257" t="str">
        <f>IFERROR(__xludf.DUMMYFUNCTION("""COMPUTED_VALUE"""),"HWS 90D")</f>
        <v>HWS 90D</v>
      </c>
      <c r="C616" s="258" t="str">
        <f>IFERROR(__xludf.DUMMYFUNCTION("""COMPUTED_VALUE"""),"Europe (excluding UK) &amp; Asia Pacific")</f>
        <v>Europe (excluding UK) &amp; Asia Pacific</v>
      </c>
      <c r="D616" s="258" t="str">
        <f>IFERROR(__xludf.DUMMYFUNCTION("""COMPUTED_VALUE"""),"km. My car displays range in kilometres and I will enter all range numbers in kilometres.")</f>
        <v>km. My car displays range in kilometres and I will enter all range numbers in kilometres.</v>
      </c>
      <c r="E616" s="259">
        <f>IFERROR(__xludf.DUMMYFUNCTION("""COMPUTED_VALUE"""),42276.0)</f>
        <v>42276</v>
      </c>
      <c r="F616" s="258" t="str">
        <f>IFERROR(__xludf.DUMMYFUNCTION("""COMPUTED_VALUE"""),"Model S 90D")</f>
        <v>Model S 90D</v>
      </c>
      <c r="G616" s="258" t="str">
        <f>IFERROR(__xludf.DUMMYFUNCTION("""COMPUTED_VALUE"""),"A few times a year")</f>
        <v>A few times a year</v>
      </c>
      <c r="H616" s="258" t="str">
        <f>IFERROR(__xludf.DUMMYFUNCTION("""COMPUTED_VALUE"""),"A few times a year")</f>
        <v>A few times a year</v>
      </c>
      <c r="I616" s="258" t="str">
        <f>IFERROR(__xludf.DUMMYFUNCTION("""COMPUTED_VALUE"""),"A few times a year")</f>
        <v>A few times a year</v>
      </c>
      <c r="J616" s="260">
        <f>IFERROR(__xludf.DUMMYFUNCTION("""COMPUTED_VALUE"""),0.8)</f>
        <v>0.8</v>
      </c>
      <c r="K616" s="258">
        <f>IFERROR(__xludf.DUMMYFUNCTION("""COMPUTED_VALUE"""),426.0)</f>
        <v>426</v>
      </c>
      <c r="L616" s="258" t="str">
        <f>IFERROR(__xludf.DUMMYFUNCTION("""COMPUTED_VALUE"""),"")</f>
        <v/>
      </c>
      <c r="M616" s="261">
        <f>IFERROR(__xludf.DUMMYFUNCTION("""COMPUTED_VALUE"""),234.0)</f>
        <v>234</v>
      </c>
      <c r="N616" s="262" t="str">
        <f>IFERROR(__xludf.DUMMYFUNCTION("""COMPUTED_VALUE"""),"")</f>
        <v/>
      </c>
      <c r="O616" s="259" t="str">
        <f>IFERROR(__xludf.DUMMYFUNCTION("""COMPUTED_VALUE"""),"")</f>
        <v/>
      </c>
      <c r="P616" s="259">
        <f>IFERROR(__xludf.DUMMYFUNCTION("""COMPUTED_VALUE"""),42620.0)</f>
        <v>42620</v>
      </c>
      <c r="Q616" s="258">
        <f>IFERROR(__xludf.DUMMYFUNCTION("""COMPUTED_VALUE"""),31865.0)</f>
        <v>31865</v>
      </c>
      <c r="R616" s="261">
        <f>IFERROR(__xludf.DUMMYFUNCTION("""COMPUTED_VALUE"""),433.0)</f>
        <v>433</v>
      </c>
      <c r="S616" s="258">
        <v>447.0</v>
      </c>
      <c r="T616" s="263">
        <v>0.9686800894854586</v>
      </c>
      <c r="U616" s="264">
        <v>19800.0</v>
      </c>
      <c r="V616" s="265">
        <v>31865.0</v>
      </c>
      <c r="W616" s="264">
        <v>19800.0</v>
      </c>
      <c r="X616" s="266"/>
      <c r="Y616" s="267">
        <v>-0.01</v>
      </c>
      <c r="Z616" s="267">
        <v>0.966983801625777</v>
      </c>
      <c r="AA616" s="269"/>
      <c r="AB616" s="270"/>
      <c r="AC616" s="270"/>
      <c r="AD616" s="270"/>
      <c r="AE616" s="270"/>
    </row>
    <row r="617">
      <c r="A617" s="256">
        <f>IFERROR(__xludf.DUMMYFUNCTION("""COMPUTED_VALUE"""),42650.41111111111)</f>
        <v>42650.41111</v>
      </c>
      <c r="B617" s="257" t="str">
        <f>IFERROR(__xludf.DUMMYFUNCTION("""COMPUTED_VALUE"""),"HWS 90D")</f>
        <v>HWS 90D</v>
      </c>
      <c r="C617" s="258" t="str">
        <f>IFERROR(__xludf.DUMMYFUNCTION("""COMPUTED_VALUE"""),"Europe (excluding UK) &amp; Asia Pacific")</f>
        <v>Europe (excluding UK) &amp; Asia Pacific</v>
      </c>
      <c r="D617" s="258" t="str">
        <f>IFERROR(__xludf.DUMMYFUNCTION("""COMPUTED_VALUE"""),"km. My car displays range in kilometres and I will enter all range numbers in kilometres.")</f>
        <v>km. My car displays range in kilometres and I will enter all range numbers in kilometres.</v>
      </c>
      <c r="E617" s="259">
        <f>IFERROR(__xludf.DUMMYFUNCTION("""COMPUTED_VALUE"""),42276.0)</f>
        <v>42276</v>
      </c>
      <c r="F617" s="258" t="str">
        <f>IFERROR(__xludf.DUMMYFUNCTION("""COMPUTED_VALUE"""),"Model S 90D")</f>
        <v>Model S 90D</v>
      </c>
      <c r="G617" s="258" t="str">
        <f>IFERROR(__xludf.DUMMYFUNCTION("""COMPUTED_VALUE"""),"A few times a year")</f>
        <v>A few times a year</v>
      </c>
      <c r="H617" s="258" t="str">
        <f>IFERROR(__xludf.DUMMYFUNCTION("""COMPUTED_VALUE"""),"A few times a year")</f>
        <v>A few times a year</v>
      </c>
      <c r="I617" s="258" t="str">
        <f>IFERROR(__xludf.DUMMYFUNCTION("""COMPUTED_VALUE"""),"A few times a year")</f>
        <v>A few times a year</v>
      </c>
      <c r="J617" s="260">
        <f>IFERROR(__xludf.DUMMYFUNCTION("""COMPUTED_VALUE"""),0.8)</f>
        <v>0.8</v>
      </c>
      <c r="K617" s="258">
        <f>IFERROR(__xludf.DUMMYFUNCTION("""COMPUTED_VALUE"""),426.0)</f>
        <v>426</v>
      </c>
      <c r="L617" s="258" t="str">
        <f>IFERROR(__xludf.DUMMYFUNCTION("""COMPUTED_VALUE"""),"")</f>
        <v/>
      </c>
      <c r="M617" s="261">
        <f>IFERROR(__xludf.DUMMYFUNCTION("""COMPUTED_VALUE"""),234.0)</f>
        <v>234</v>
      </c>
      <c r="N617" s="262" t="str">
        <f>IFERROR(__xludf.DUMMYFUNCTION("""COMPUTED_VALUE"""),"")</f>
        <v/>
      </c>
      <c r="O617" s="259" t="str">
        <f>IFERROR(__xludf.DUMMYFUNCTION("""COMPUTED_VALUE"""),"")</f>
        <v/>
      </c>
      <c r="P617" s="259">
        <f>IFERROR(__xludf.DUMMYFUNCTION("""COMPUTED_VALUE"""),42650.0)</f>
        <v>42650</v>
      </c>
      <c r="Q617" s="258">
        <f>IFERROR(__xludf.DUMMYFUNCTION("""COMPUTED_VALUE"""),35011.0)</f>
        <v>35011</v>
      </c>
      <c r="R617" s="261">
        <f>IFERROR(__xludf.DUMMYFUNCTION("""COMPUTED_VALUE"""),429.0)</f>
        <v>429</v>
      </c>
      <c r="S617" s="258">
        <v>447.0</v>
      </c>
      <c r="T617" s="263">
        <v>0.959731543624161</v>
      </c>
      <c r="U617" s="264">
        <v>21755.0</v>
      </c>
      <c r="V617" s="265">
        <v>35011.0</v>
      </c>
      <c r="W617" s="264">
        <v>21755.0</v>
      </c>
      <c r="X617" s="266"/>
      <c r="Y617" s="267">
        <v>-0.01</v>
      </c>
      <c r="Z617" s="267">
        <v>0.9654602124713313</v>
      </c>
      <c r="AA617" s="269"/>
      <c r="AB617" s="270"/>
      <c r="AC617" s="270"/>
      <c r="AD617" s="270"/>
      <c r="AE617" s="270"/>
    </row>
    <row r="618">
      <c r="A618" s="256">
        <f>IFERROR(__xludf.DUMMYFUNCTION("""COMPUTED_VALUE"""),42676.43125)</f>
        <v>42676.43125</v>
      </c>
      <c r="B618" s="257" t="str">
        <f>IFERROR(__xludf.DUMMYFUNCTION("""COMPUTED_VALUE"""),"HWS 90D")</f>
        <v>HWS 90D</v>
      </c>
      <c r="C618" s="258" t="str">
        <f>IFERROR(__xludf.DUMMYFUNCTION("""COMPUTED_VALUE"""),"Europe (excluding UK) &amp; Asia Pacific")</f>
        <v>Europe (excluding UK) &amp; Asia Pacific</v>
      </c>
      <c r="D618" s="258" t="str">
        <f>IFERROR(__xludf.DUMMYFUNCTION("""COMPUTED_VALUE"""),"km. My car displays range in kilometres and I will enter all range numbers in kilometres.")</f>
        <v>km. My car displays range in kilometres and I will enter all range numbers in kilometres.</v>
      </c>
      <c r="E618" s="259">
        <f>IFERROR(__xludf.DUMMYFUNCTION("""COMPUTED_VALUE"""),42276.0)</f>
        <v>42276</v>
      </c>
      <c r="F618" s="258" t="str">
        <f>IFERROR(__xludf.DUMMYFUNCTION("""COMPUTED_VALUE"""),"Model S 90D")</f>
        <v>Model S 90D</v>
      </c>
      <c r="G618" s="258" t="str">
        <f>IFERROR(__xludf.DUMMYFUNCTION("""COMPUTED_VALUE"""),"Monthly")</f>
        <v>Monthly</v>
      </c>
      <c r="H618" s="258" t="str">
        <f>IFERROR(__xludf.DUMMYFUNCTION("""COMPUTED_VALUE"""),"Monthly")</f>
        <v>Monthly</v>
      </c>
      <c r="I618" s="258" t="str">
        <f>IFERROR(__xludf.DUMMYFUNCTION("""COMPUTED_VALUE"""),"A few times a year")</f>
        <v>A few times a year</v>
      </c>
      <c r="J618" s="260">
        <f>IFERROR(__xludf.DUMMYFUNCTION("""COMPUTED_VALUE"""),0.8)</f>
        <v>0.8</v>
      </c>
      <c r="K618" s="258">
        <f>IFERROR(__xludf.DUMMYFUNCTION("""COMPUTED_VALUE"""),426.0)</f>
        <v>426</v>
      </c>
      <c r="L618" s="258" t="str">
        <f>IFERROR(__xludf.DUMMYFUNCTION("""COMPUTED_VALUE"""),"")</f>
        <v/>
      </c>
      <c r="M618" s="261">
        <f>IFERROR(__xludf.DUMMYFUNCTION("""COMPUTED_VALUE"""),229.0)</f>
        <v>229</v>
      </c>
      <c r="N618" s="262" t="str">
        <f>IFERROR(__xludf.DUMMYFUNCTION("""COMPUTED_VALUE"""),"")</f>
        <v/>
      </c>
      <c r="O618" s="259" t="str">
        <f>IFERROR(__xludf.DUMMYFUNCTION("""COMPUTED_VALUE"""),"")</f>
        <v/>
      </c>
      <c r="P618" s="259">
        <f>IFERROR(__xludf.DUMMYFUNCTION("""COMPUTED_VALUE"""),42676.0)</f>
        <v>42676</v>
      </c>
      <c r="Q618" s="258">
        <f>IFERROR(__xludf.DUMMYFUNCTION("""COMPUTED_VALUE"""),37900.0)</f>
        <v>37900</v>
      </c>
      <c r="R618" s="261">
        <f>IFERROR(__xludf.DUMMYFUNCTION("""COMPUTED_VALUE"""),433.0)</f>
        <v>433</v>
      </c>
      <c r="S618" s="258">
        <v>447.0</v>
      </c>
      <c r="T618" s="263">
        <v>0.9686800894854586</v>
      </c>
      <c r="U618" s="264">
        <v>23550.0</v>
      </c>
      <c r="V618" s="265">
        <v>37900.0</v>
      </c>
      <c r="W618" s="264">
        <v>23550.0</v>
      </c>
      <c r="X618" s="266"/>
      <c r="Y618" s="267">
        <v>-0.01</v>
      </c>
      <c r="Z618" s="267">
        <v>0.9641791330040663</v>
      </c>
      <c r="AA618" s="269"/>
      <c r="AB618" s="270"/>
      <c r="AC618" s="270"/>
      <c r="AD618" s="270"/>
      <c r="AE618" s="270"/>
    </row>
    <row r="619">
      <c r="A619" s="256">
        <f>IFERROR(__xludf.DUMMYFUNCTION("""COMPUTED_VALUE"""),42692.45833333333)</f>
        <v>42692.45833</v>
      </c>
      <c r="B619" s="257" t="str">
        <f>IFERROR(__xludf.DUMMYFUNCTION("""COMPUTED_VALUE"""),"HWS 90D")</f>
        <v>HWS 90D</v>
      </c>
      <c r="C619" s="258" t="str">
        <f>IFERROR(__xludf.DUMMYFUNCTION("""COMPUTED_VALUE"""),"Europe (excluding UK) &amp; Asia Pacific")</f>
        <v>Europe (excluding UK) &amp; Asia Pacific</v>
      </c>
      <c r="D619" s="258" t="str">
        <f>IFERROR(__xludf.DUMMYFUNCTION("""COMPUTED_VALUE"""),"km. My car displays range in kilometres and I will enter all range numbers in kilometres.")</f>
        <v>km. My car displays range in kilometres and I will enter all range numbers in kilometres.</v>
      </c>
      <c r="E619" s="259">
        <f>IFERROR(__xludf.DUMMYFUNCTION("""COMPUTED_VALUE"""),42276.0)</f>
        <v>42276</v>
      </c>
      <c r="F619" s="258" t="str">
        <f>IFERROR(__xludf.DUMMYFUNCTION("""COMPUTED_VALUE"""),"Model S 90D")</f>
        <v>Model S 90D</v>
      </c>
      <c r="G619" s="258" t="str">
        <f>IFERROR(__xludf.DUMMYFUNCTION("""COMPUTED_VALUE"""),"Monthly")</f>
        <v>Monthly</v>
      </c>
      <c r="H619" s="258" t="str">
        <f>IFERROR(__xludf.DUMMYFUNCTION("""COMPUTED_VALUE"""),"Monthly")</f>
        <v>Monthly</v>
      </c>
      <c r="I619" s="258" t="str">
        <f>IFERROR(__xludf.DUMMYFUNCTION("""COMPUTED_VALUE"""),"A few times a year")</f>
        <v>A few times a year</v>
      </c>
      <c r="J619" s="260">
        <f>IFERROR(__xludf.DUMMYFUNCTION("""COMPUTED_VALUE"""),0.8)</f>
        <v>0.8</v>
      </c>
      <c r="K619" s="258">
        <f>IFERROR(__xludf.DUMMYFUNCTION("""COMPUTED_VALUE"""),426.0)</f>
        <v>426</v>
      </c>
      <c r="L619" s="258" t="str">
        <f>IFERROR(__xludf.DUMMYFUNCTION("""COMPUTED_VALUE"""),"")</f>
        <v/>
      </c>
      <c r="M619" s="261">
        <f>IFERROR(__xludf.DUMMYFUNCTION("""COMPUTED_VALUE"""),229.0)</f>
        <v>229</v>
      </c>
      <c r="N619" s="262" t="str">
        <f>IFERROR(__xludf.DUMMYFUNCTION("""COMPUTED_VALUE"""),"")</f>
        <v/>
      </c>
      <c r="O619" s="259" t="str">
        <f>IFERROR(__xludf.DUMMYFUNCTION("""COMPUTED_VALUE"""),"")</f>
        <v/>
      </c>
      <c r="P619" s="259">
        <f>IFERROR(__xludf.DUMMYFUNCTION("""COMPUTED_VALUE"""),42692.0)</f>
        <v>42692</v>
      </c>
      <c r="Q619" s="258">
        <f>IFERROR(__xludf.DUMMYFUNCTION("""COMPUTED_VALUE"""),39193.0)</f>
        <v>39193</v>
      </c>
      <c r="R619" s="261">
        <f>IFERROR(__xludf.DUMMYFUNCTION("""COMPUTED_VALUE"""),433.0)</f>
        <v>433</v>
      </c>
      <c r="S619" s="258">
        <v>447.0</v>
      </c>
      <c r="T619" s="263">
        <v>0.9686800894854586</v>
      </c>
      <c r="U619" s="264">
        <v>24353.0</v>
      </c>
      <c r="V619" s="265">
        <v>39193.0</v>
      </c>
      <c r="W619" s="264">
        <v>24353.0</v>
      </c>
      <c r="X619" s="266"/>
      <c r="Y619" s="267">
        <v>-0.01</v>
      </c>
      <c r="Z619" s="267">
        <v>0.9636374969806497</v>
      </c>
      <c r="AA619" s="269"/>
      <c r="AB619" s="270"/>
      <c r="AC619" s="270"/>
      <c r="AD619" s="270"/>
      <c r="AE619" s="270"/>
    </row>
    <row r="620">
      <c r="A620" s="256">
        <f>IFERROR(__xludf.DUMMYFUNCTION("""COMPUTED_VALUE"""),42706.46736111111)</f>
        <v>42706.46736</v>
      </c>
      <c r="B620" s="257" t="str">
        <f>IFERROR(__xludf.DUMMYFUNCTION("""COMPUTED_VALUE"""),"HWS 90D")</f>
        <v>HWS 90D</v>
      </c>
      <c r="C620" s="258" t="str">
        <f>IFERROR(__xludf.DUMMYFUNCTION("""COMPUTED_VALUE"""),"Europe (excluding UK) &amp; Asia Pacific")</f>
        <v>Europe (excluding UK) &amp; Asia Pacific</v>
      </c>
      <c r="D620" s="258" t="str">
        <f>IFERROR(__xludf.DUMMYFUNCTION("""COMPUTED_VALUE"""),"km. My car displays range in kilometres and I will enter all range numbers in kilometres.")</f>
        <v>km. My car displays range in kilometres and I will enter all range numbers in kilometres.</v>
      </c>
      <c r="E620" s="259">
        <f>IFERROR(__xludf.DUMMYFUNCTION("""COMPUTED_VALUE"""),42276.0)</f>
        <v>42276</v>
      </c>
      <c r="F620" s="258" t="str">
        <f>IFERROR(__xludf.DUMMYFUNCTION("""COMPUTED_VALUE"""),"Model S 90D")</f>
        <v>Model S 90D</v>
      </c>
      <c r="G620" s="258" t="str">
        <f>IFERROR(__xludf.DUMMYFUNCTION("""COMPUTED_VALUE"""),"Monthly")</f>
        <v>Monthly</v>
      </c>
      <c r="H620" s="258" t="str">
        <f>IFERROR(__xludf.DUMMYFUNCTION("""COMPUTED_VALUE"""),"Monthly")</f>
        <v>Monthly</v>
      </c>
      <c r="I620" s="258" t="str">
        <f>IFERROR(__xludf.DUMMYFUNCTION("""COMPUTED_VALUE"""),"A few times a year")</f>
        <v>A few times a year</v>
      </c>
      <c r="J620" s="260">
        <f>IFERROR(__xludf.DUMMYFUNCTION("""COMPUTED_VALUE"""),0.8)</f>
        <v>0.8</v>
      </c>
      <c r="K620" s="258">
        <f>IFERROR(__xludf.DUMMYFUNCTION("""COMPUTED_VALUE"""),426.0)</f>
        <v>426</v>
      </c>
      <c r="L620" s="258" t="str">
        <f>IFERROR(__xludf.DUMMYFUNCTION("""COMPUTED_VALUE"""),"")</f>
        <v/>
      </c>
      <c r="M620" s="261">
        <f>IFERROR(__xludf.DUMMYFUNCTION("""COMPUTED_VALUE"""),230.0)</f>
        <v>230</v>
      </c>
      <c r="N620" s="262" t="str">
        <f>IFERROR(__xludf.DUMMYFUNCTION("""COMPUTED_VALUE"""),"")</f>
        <v/>
      </c>
      <c r="O620" s="259" t="str">
        <f>IFERROR(__xludf.DUMMYFUNCTION("""COMPUTED_VALUE"""),"")</f>
        <v/>
      </c>
      <c r="P620" s="259">
        <f>IFERROR(__xludf.DUMMYFUNCTION("""COMPUTED_VALUE"""),42706.0)</f>
        <v>42706</v>
      </c>
      <c r="Q620" s="258">
        <f>IFERROR(__xludf.DUMMYFUNCTION("""COMPUTED_VALUE"""),39821.0)</f>
        <v>39821</v>
      </c>
      <c r="R620" s="261">
        <f>IFERROR(__xludf.DUMMYFUNCTION("""COMPUTED_VALUE"""),433.0)</f>
        <v>433</v>
      </c>
      <c r="S620" s="258">
        <v>447.0</v>
      </c>
      <c r="T620" s="263">
        <v>0.9686800894854586</v>
      </c>
      <c r="U620" s="264">
        <v>24744.0</v>
      </c>
      <c r="V620" s="265">
        <v>39821.0</v>
      </c>
      <c r="W620" s="264">
        <v>24744.0</v>
      </c>
      <c r="X620" s="266"/>
      <c r="Y620" s="267">
        <v>-0.01</v>
      </c>
      <c r="Z620" s="267">
        <v>0.9633808696341594</v>
      </c>
      <c r="AA620" s="269"/>
      <c r="AB620" s="270"/>
      <c r="AC620" s="270"/>
      <c r="AD620" s="270"/>
      <c r="AE620" s="270"/>
    </row>
    <row r="621">
      <c r="A621" s="256">
        <f>IFERROR(__xludf.DUMMYFUNCTION("""COMPUTED_VALUE"""),42741.48819444445)</f>
        <v>42741.48819</v>
      </c>
      <c r="B621" s="257" t="str">
        <f>IFERROR(__xludf.DUMMYFUNCTION("""COMPUTED_VALUE"""),"HWS 90D")</f>
        <v>HWS 90D</v>
      </c>
      <c r="C621" s="258" t="str">
        <f>IFERROR(__xludf.DUMMYFUNCTION("""COMPUTED_VALUE"""),"Europe (excluding UK) &amp; Asia Pacific")</f>
        <v>Europe (excluding UK) &amp; Asia Pacific</v>
      </c>
      <c r="D621" s="258" t="str">
        <f>IFERROR(__xludf.DUMMYFUNCTION("""COMPUTED_VALUE"""),"km. My car displays range in kilometres and I will enter all range numbers in kilometres.")</f>
        <v>km. My car displays range in kilometres and I will enter all range numbers in kilometres.</v>
      </c>
      <c r="E621" s="259">
        <f>IFERROR(__xludf.DUMMYFUNCTION("""COMPUTED_VALUE"""),42276.0)</f>
        <v>42276</v>
      </c>
      <c r="F621" s="258" t="str">
        <f>IFERROR(__xludf.DUMMYFUNCTION("""COMPUTED_VALUE"""),"Model S 90D")</f>
        <v>Model S 90D</v>
      </c>
      <c r="G621" s="258" t="str">
        <f>IFERROR(__xludf.DUMMYFUNCTION("""COMPUTED_VALUE"""),"Monthly")</f>
        <v>Monthly</v>
      </c>
      <c r="H621" s="258" t="str">
        <f>IFERROR(__xludf.DUMMYFUNCTION("""COMPUTED_VALUE"""),"Monthly")</f>
        <v>Monthly</v>
      </c>
      <c r="I621" s="258" t="str">
        <f>IFERROR(__xludf.DUMMYFUNCTION("""COMPUTED_VALUE"""),"A few times a year")</f>
        <v>A few times a year</v>
      </c>
      <c r="J621" s="260">
        <f>IFERROR(__xludf.DUMMYFUNCTION("""COMPUTED_VALUE"""),0.8)</f>
        <v>0.8</v>
      </c>
      <c r="K621" s="258" t="str">
        <f>IFERROR(__xludf.DUMMYFUNCTION("""COMPUTED_VALUE"""),"")</f>
        <v/>
      </c>
      <c r="L621" s="258" t="str">
        <f>IFERROR(__xludf.DUMMYFUNCTION("""COMPUTED_VALUE"""),"")</f>
        <v/>
      </c>
      <c r="M621" s="261">
        <f>IFERROR(__xludf.DUMMYFUNCTION("""COMPUTED_VALUE"""),231.0)</f>
        <v>231</v>
      </c>
      <c r="N621" s="262" t="str">
        <f>IFERROR(__xludf.DUMMYFUNCTION("""COMPUTED_VALUE"""),"")</f>
        <v/>
      </c>
      <c r="O621" s="259" t="str">
        <f>IFERROR(__xludf.DUMMYFUNCTION("""COMPUTED_VALUE"""),"")</f>
        <v/>
      </c>
      <c r="P621" s="259">
        <f>IFERROR(__xludf.DUMMYFUNCTION("""COMPUTED_VALUE"""),42741.0)</f>
        <v>42741</v>
      </c>
      <c r="Q621" s="258">
        <f>IFERROR(__xludf.DUMMYFUNCTION("""COMPUTED_VALUE"""),41845.0)</f>
        <v>41845</v>
      </c>
      <c r="R621" s="261">
        <f>IFERROR(__xludf.DUMMYFUNCTION("""COMPUTED_VALUE"""),430.0)</f>
        <v>430</v>
      </c>
      <c r="S621" s="258">
        <v>447.0</v>
      </c>
      <c r="T621" s="263">
        <v>0.9619686800894854</v>
      </c>
      <c r="U621" s="264">
        <v>26001.0</v>
      </c>
      <c r="V621" s="265">
        <v>41845.0</v>
      </c>
      <c r="W621" s="264">
        <v>26001.0</v>
      </c>
      <c r="X621" s="266"/>
      <c r="Y621" s="267">
        <v>-0.01</v>
      </c>
      <c r="Z621" s="267">
        <v>0.9625803338689733</v>
      </c>
      <c r="AA621" s="269"/>
      <c r="AB621" s="270"/>
      <c r="AC621" s="270"/>
      <c r="AD621" s="270"/>
      <c r="AE621" s="270"/>
    </row>
    <row r="622">
      <c r="A622" s="256">
        <f>IFERROR(__xludf.DUMMYFUNCTION("""COMPUTED_VALUE"""),42769.49652777778)</f>
        <v>42769.49653</v>
      </c>
      <c r="B622" s="257" t="str">
        <f>IFERROR(__xludf.DUMMYFUNCTION("""COMPUTED_VALUE"""),"HWS 90D")</f>
        <v>HWS 90D</v>
      </c>
      <c r="C622" s="258" t="str">
        <f>IFERROR(__xludf.DUMMYFUNCTION("""COMPUTED_VALUE"""),"Europe (excluding UK) &amp; Asia Pacific")</f>
        <v>Europe (excluding UK) &amp; Asia Pacific</v>
      </c>
      <c r="D622" s="258" t="str">
        <f>IFERROR(__xludf.DUMMYFUNCTION("""COMPUTED_VALUE"""),"km. My car displays range in kilometres and I will enter all range numbers in kilometres.")</f>
        <v>km. My car displays range in kilometres and I will enter all range numbers in kilometres.</v>
      </c>
      <c r="E622" s="259">
        <f>IFERROR(__xludf.DUMMYFUNCTION("""COMPUTED_VALUE"""),42276.0)</f>
        <v>42276</v>
      </c>
      <c r="F622" s="258" t="str">
        <f>IFERROR(__xludf.DUMMYFUNCTION("""COMPUTED_VALUE"""),"Model S 90D")</f>
        <v>Model S 90D</v>
      </c>
      <c r="G622" s="258" t="str">
        <f>IFERROR(__xludf.DUMMYFUNCTION("""COMPUTED_VALUE"""),"Monthly")</f>
        <v>Monthly</v>
      </c>
      <c r="H622" s="258" t="str">
        <f>IFERROR(__xludf.DUMMYFUNCTION("""COMPUTED_VALUE"""),"Monthly")</f>
        <v>Monthly</v>
      </c>
      <c r="I622" s="258" t="str">
        <f>IFERROR(__xludf.DUMMYFUNCTION("""COMPUTED_VALUE"""),"A few times a year")</f>
        <v>A few times a year</v>
      </c>
      <c r="J622" s="260">
        <f>IFERROR(__xludf.DUMMYFUNCTION("""COMPUTED_VALUE"""),0.8)</f>
        <v>0.8</v>
      </c>
      <c r="K622" s="258">
        <f>IFERROR(__xludf.DUMMYFUNCTION("""COMPUTED_VALUE"""),411.0)</f>
        <v>411</v>
      </c>
      <c r="L622" s="258" t="str">
        <f>IFERROR(__xludf.DUMMYFUNCTION("""COMPUTED_VALUE"""),"")</f>
        <v/>
      </c>
      <c r="M622" s="261">
        <f>IFERROR(__xludf.DUMMYFUNCTION("""COMPUTED_VALUE"""),233.0)</f>
        <v>233</v>
      </c>
      <c r="N622" s="262" t="str">
        <f>IFERROR(__xludf.DUMMYFUNCTION("""COMPUTED_VALUE"""),"")</f>
        <v/>
      </c>
      <c r="O622" s="259" t="str">
        <f>IFERROR(__xludf.DUMMYFUNCTION("""COMPUTED_VALUE"""),"")</f>
        <v/>
      </c>
      <c r="P622" s="259">
        <f>IFERROR(__xludf.DUMMYFUNCTION("""COMPUTED_VALUE"""),42769.0)</f>
        <v>42769</v>
      </c>
      <c r="Q622" s="258">
        <f>IFERROR(__xludf.DUMMYFUNCTION("""COMPUTED_VALUE"""),43090.0)</f>
        <v>43090</v>
      </c>
      <c r="R622" s="261">
        <f>IFERROR(__xludf.DUMMYFUNCTION("""COMPUTED_VALUE"""),427.0)</f>
        <v>427</v>
      </c>
      <c r="S622" s="258">
        <v>447.0</v>
      </c>
      <c r="T622" s="263">
        <v>0.9552572706935123</v>
      </c>
      <c r="U622" s="264">
        <v>26775.0</v>
      </c>
      <c r="V622" s="265">
        <v>43090.0</v>
      </c>
      <c r="W622" s="264">
        <v>26775.0</v>
      </c>
      <c r="X622" s="266"/>
      <c r="Y622" s="267">
        <v>-0.01</v>
      </c>
      <c r="Z622" s="267">
        <v>0.9621065847168937</v>
      </c>
      <c r="AA622" s="269"/>
      <c r="AB622" s="270"/>
      <c r="AC622" s="270"/>
      <c r="AD622" s="270"/>
      <c r="AE622" s="270"/>
    </row>
    <row r="623">
      <c r="A623" s="256">
        <f>IFERROR(__xludf.DUMMYFUNCTION("""COMPUTED_VALUE"""),42838.52083333333)</f>
        <v>42838.52083</v>
      </c>
      <c r="B623" s="257" t="str">
        <f>IFERROR(__xludf.DUMMYFUNCTION("""COMPUTED_VALUE"""),"HWS 90D")</f>
        <v>HWS 90D</v>
      </c>
      <c r="C623" s="258" t="str">
        <f>IFERROR(__xludf.DUMMYFUNCTION("""COMPUTED_VALUE"""),"Europe (excluding UK) &amp; Asia Pacific")</f>
        <v>Europe (excluding UK) &amp; Asia Pacific</v>
      </c>
      <c r="D623" s="258" t="str">
        <f>IFERROR(__xludf.DUMMYFUNCTION("""COMPUTED_VALUE"""),"km. My car displays range in kilometres and I will enter all range numbers in kilometres.")</f>
        <v>km. My car displays range in kilometres and I will enter all range numbers in kilometres.</v>
      </c>
      <c r="E623" s="259">
        <f>IFERROR(__xludf.DUMMYFUNCTION("""COMPUTED_VALUE"""),42276.0)</f>
        <v>42276</v>
      </c>
      <c r="F623" s="258" t="str">
        <f>IFERROR(__xludf.DUMMYFUNCTION("""COMPUTED_VALUE"""),"Model S 90D")</f>
        <v>Model S 90D</v>
      </c>
      <c r="G623" s="258" t="str">
        <f>IFERROR(__xludf.DUMMYFUNCTION("""COMPUTED_VALUE"""),"Once or twice a year")</f>
        <v>Once or twice a year</v>
      </c>
      <c r="H623" s="258" t="str">
        <f>IFERROR(__xludf.DUMMYFUNCTION("""COMPUTED_VALUE"""),"A few times a year")</f>
        <v>A few times a year</v>
      </c>
      <c r="I623" s="258" t="str">
        <f>IFERROR(__xludf.DUMMYFUNCTION("""COMPUTED_VALUE"""),"Monthly")</f>
        <v>Monthly</v>
      </c>
      <c r="J623" s="260">
        <f>IFERROR(__xludf.DUMMYFUNCTION("""COMPUTED_VALUE"""),0.8)</f>
        <v>0.8</v>
      </c>
      <c r="K623" s="258" t="str">
        <f>IFERROR(__xludf.DUMMYFUNCTION("""COMPUTED_VALUE"""),"")</f>
        <v/>
      </c>
      <c r="L623" s="258" t="str">
        <f>IFERROR(__xludf.DUMMYFUNCTION("""COMPUTED_VALUE"""),"")</f>
        <v/>
      </c>
      <c r="M623" s="261">
        <f>IFERROR(__xludf.DUMMYFUNCTION("""COMPUTED_VALUE"""),234.0)</f>
        <v>234</v>
      </c>
      <c r="N623" s="262" t="str">
        <f>IFERROR(__xludf.DUMMYFUNCTION("""COMPUTED_VALUE"""),"")</f>
        <v/>
      </c>
      <c r="O623" s="259" t="str">
        <f>IFERROR(__xludf.DUMMYFUNCTION("""COMPUTED_VALUE"""),"")</f>
        <v/>
      </c>
      <c r="P623" s="259">
        <f>IFERROR(__xludf.DUMMYFUNCTION("""COMPUTED_VALUE"""),42838.0)</f>
        <v>42838</v>
      </c>
      <c r="Q623" s="258">
        <f>IFERROR(__xludf.DUMMYFUNCTION("""COMPUTED_VALUE"""),47860.0)</f>
        <v>47860</v>
      </c>
      <c r="R623" s="261">
        <f>IFERROR(__xludf.DUMMYFUNCTION("""COMPUTED_VALUE"""),425.0)</f>
        <v>425</v>
      </c>
      <c r="S623" s="258">
        <v>447.0</v>
      </c>
      <c r="T623" s="263">
        <v>0.9507829977628636</v>
      </c>
      <c r="U623" s="264">
        <v>29739.0</v>
      </c>
      <c r="V623" s="265">
        <v>47860.0</v>
      </c>
      <c r="W623" s="264">
        <v>29739.0</v>
      </c>
      <c r="X623" s="266"/>
      <c r="Y623" s="267">
        <v>-0.01</v>
      </c>
      <c r="Z623" s="267">
        <v>0.9604043888385355</v>
      </c>
      <c r="AA623" s="269"/>
      <c r="AB623" s="270"/>
      <c r="AC623" s="270"/>
      <c r="AD623" s="270"/>
      <c r="AE623" s="270"/>
    </row>
    <row r="624">
      <c r="A624" s="256">
        <f>IFERROR(__xludf.DUMMYFUNCTION("""COMPUTED_VALUE"""),42858.53055555555)</f>
        <v>42858.53056</v>
      </c>
      <c r="B624" s="257" t="str">
        <f>IFERROR(__xludf.DUMMYFUNCTION("""COMPUTED_VALUE"""),"HWS 90D")</f>
        <v>HWS 90D</v>
      </c>
      <c r="C624" s="258" t="str">
        <f>IFERROR(__xludf.DUMMYFUNCTION("""COMPUTED_VALUE"""),"Europe (excluding UK) &amp; Asia Pacific")</f>
        <v>Europe (excluding UK) &amp; Asia Pacific</v>
      </c>
      <c r="D624" s="258" t="str">
        <f>IFERROR(__xludf.DUMMYFUNCTION("""COMPUTED_VALUE"""),"km. My car displays range in kilometres and I will enter all range numbers in kilometres.")</f>
        <v>km. My car displays range in kilometres and I will enter all range numbers in kilometres.</v>
      </c>
      <c r="E624" s="259">
        <f>IFERROR(__xludf.DUMMYFUNCTION("""COMPUTED_VALUE"""),42276.0)</f>
        <v>42276</v>
      </c>
      <c r="F624" s="258" t="str">
        <f>IFERROR(__xludf.DUMMYFUNCTION("""COMPUTED_VALUE"""),"Model S 90D")</f>
        <v>Model S 90D</v>
      </c>
      <c r="G624" s="258" t="str">
        <f>IFERROR(__xludf.DUMMYFUNCTION("""COMPUTED_VALUE"""),"Twice a month")</f>
        <v>Twice a month</v>
      </c>
      <c r="H624" s="258" t="str">
        <f>IFERROR(__xludf.DUMMYFUNCTION("""COMPUTED_VALUE"""),"A few times a year")</f>
        <v>A few times a year</v>
      </c>
      <c r="I624" s="258" t="str">
        <f>IFERROR(__xludf.DUMMYFUNCTION("""COMPUTED_VALUE"""),"Monthly")</f>
        <v>Monthly</v>
      </c>
      <c r="J624" s="260">
        <f>IFERROR(__xludf.DUMMYFUNCTION("""COMPUTED_VALUE"""),0.8)</f>
        <v>0.8</v>
      </c>
      <c r="K624" s="258">
        <f>IFERROR(__xludf.DUMMYFUNCTION("""COMPUTED_VALUE"""),432.0)</f>
        <v>432</v>
      </c>
      <c r="L624" s="258" t="str">
        <f>IFERROR(__xludf.DUMMYFUNCTION("""COMPUTED_VALUE"""),"")</f>
        <v/>
      </c>
      <c r="M624" s="261">
        <f>IFERROR(__xludf.DUMMYFUNCTION("""COMPUTED_VALUE"""),234.0)</f>
        <v>234</v>
      </c>
      <c r="N624" s="262" t="str">
        <f>IFERROR(__xludf.DUMMYFUNCTION("""COMPUTED_VALUE"""),"")</f>
        <v/>
      </c>
      <c r="O624" s="259" t="str">
        <f>IFERROR(__xludf.DUMMYFUNCTION("""COMPUTED_VALUE"""),"")</f>
        <v/>
      </c>
      <c r="P624" s="259">
        <f>IFERROR(__xludf.DUMMYFUNCTION("""COMPUTED_VALUE"""),42858.0)</f>
        <v>42858</v>
      </c>
      <c r="Q624" s="258">
        <f>IFERROR(__xludf.DUMMYFUNCTION("""COMPUTED_VALUE"""),51222.0)</f>
        <v>51222</v>
      </c>
      <c r="R624" s="261">
        <f>IFERROR(__xludf.DUMMYFUNCTION("""COMPUTED_VALUE"""),428.0)</f>
        <v>428</v>
      </c>
      <c r="S624" s="258">
        <v>447.0</v>
      </c>
      <c r="T624" s="263">
        <v>0.9574944071588367</v>
      </c>
      <c r="U624" s="264">
        <v>31828.0</v>
      </c>
      <c r="V624" s="265">
        <v>51222.0</v>
      </c>
      <c r="W624" s="264">
        <v>31828.0</v>
      </c>
      <c r="X624" s="266"/>
      <c r="Y624" s="267">
        <v>-0.01</v>
      </c>
      <c r="Z624" s="267">
        <v>0.9592945138319622</v>
      </c>
      <c r="AA624" s="269"/>
      <c r="AB624" s="270"/>
      <c r="AC624" s="270"/>
      <c r="AD624" s="270"/>
      <c r="AE624" s="270"/>
    </row>
    <row r="625">
      <c r="A625" s="256">
        <f>IFERROR(__xludf.DUMMYFUNCTION("""COMPUTED_VALUE"""),42907.55)</f>
        <v>42907.55</v>
      </c>
      <c r="B625" s="257" t="str">
        <f>IFERROR(__xludf.DUMMYFUNCTION("""COMPUTED_VALUE"""),"HWS 90D")</f>
        <v>HWS 90D</v>
      </c>
      <c r="C625" s="258" t="str">
        <f>IFERROR(__xludf.DUMMYFUNCTION("""COMPUTED_VALUE"""),"Europe (excluding UK) &amp; Asia Pacific")</f>
        <v>Europe (excluding UK) &amp; Asia Pacific</v>
      </c>
      <c r="D625" s="258" t="str">
        <f>IFERROR(__xludf.DUMMYFUNCTION("""COMPUTED_VALUE"""),"km. My car displays range in kilometres and I will enter all range numbers in kilometres.")</f>
        <v>km. My car displays range in kilometres and I will enter all range numbers in kilometres.</v>
      </c>
      <c r="E625" s="259">
        <f>IFERROR(__xludf.DUMMYFUNCTION("""COMPUTED_VALUE"""),42276.0)</f>
        <v>42276</v>
      </c>
      <c r="F625" s="258" t="str">
        <f>IFERROR(__xludf.DUMMYFUNCTION("""COMPUTED_VALUE"""),"Model S 90D")</f>
        <v>Model S 90D</v>
      </c>
      <c r="G625" s="258" t="str">
        <f>IFERROR(__xludf.DUMMYFUNCTION("""COMPUTED_VALUE"""),"Monthly")</f>
        <v>Monthly</v>
      </c>
      <c r="H625" s="258" t="str">
        <f>IFERROR(__xludf.DUMMYFUNCTION("""COMPUTED_VALUE"""),"Monthly")</f>
        <v>Monthly</v>
      </c>
      <c r="I625" s="258" t="str">
        <f>IFERROR(__xludf.DUMMYFUNCTION("""COMPUTED_VALUE"""),"A few times a year")</f>
        <v>A few times a year</v>
      </c>
      <c r="J625" s="260">
        <f>IFERROR(__xludf.DUMMYFUNCTION("""COMPUTED_VALUE"""),0.8)</f>
        <v>0.8</v>
      </c>
      <c r="K625" s="258">
        <f>IFERROR(__xludf.DUMMYFUNCTION("""COMPUTED_VALUE"""),432.0)</f>
        <v>432</v>
      </c>
      <c r="L625" s="258" t="str">
        <f>IFERROR(__xludf.DUMMYFUNCTION("""COMPUTED_VALUE"""),"")</f>
        <v/>
      </c>
      <c r="M625" s="261">
        <f>IFERROR(__xludf.DUMMYFUNCTION("""COMPUTED_VALUE"""),234.0)</f>
        <v>234</v>
      </c>
      <c r="N625" s="262" t="str">
        <f>IFERROR(__xludf.DUMMYFUNCTION("""COMPUTED_VALUE"""),"")</f>
        <v/>
      </c>
      <c r="O625" s="259" t="str">
        <f>IFERROR(__xludf.DUMMYFUNCTION("""COMPUTED_VALUE"""),"")</f>
        <v/>
      </c>
      <c r="P625" s="259">
        <f>IFERROR(__xludf.DUMMYFUNCTION("""COMPUTED_VALUE"""),42907.0)</f>
        <v>42907</v>
      </c>
      <c r="Q625" s="258">
        <f>IFERROR(__xludf.DUMMYFUNCTION("""COMPUTED_VALUE"""),53328.0)</f>
        <v>53328</v>
      </c>
      <c r="R625" s="261">
        <f>IFERROR(__xludf.DUMMYFUNCTION("""COMPUTED_VALUE"""),427.0)</f>
        <v>427</v>
      </c>
      <c r="S625" s="258">
        <v>447.0</v>
      </c>
      <c r="T625" s="263">
        <v>0.9552572706935123</v>
      </c>
      <c r="U625" s="264">
        <v>33136.0</v>
      </c>
      <c r="V625" s="265">
        <v>53328.0</v>
      </c>
      <c r="W625" s="264">
        <v>33136.0</v>
      </c>
      <c r="X625" s="266"/>
      <c r="Y625" s="267">
        <v>-0.01</v>
      </c>
      <c r="Z625" s="267">
        <v>0.9586302351295778</v>
      </c>
      <c r="AA625" s="269"/>
      <c r="AB625" s="270"/>
      <c r="AC625" s="270"/>
      <c r="AD625" s="270"/>
      <c r="AE625" s="270"/>
    </row>
    <row r="626">
      <c r="A626" s="256">
        <f>IFERROR(__xludf.DUMMYFUNCTION("""COMPUTED_VALUE"""),42929.56041666667)</f>
        <v>42929.56042</v>
      </c>
      <c r="B626" s="257" t="str">
        <f>IFERROR(__xludf.DUMMYFUNCTION("""COMPUTED_VALUE"""),"HWS 90D")</f>
        <v>HWS 90D</v>
      </c>
      <c r="C626" s="258" t="str">
        <f>IFERROR(__xludf.DUMMYFUNCTION("""COMPUTED_VALUE"""),"Europe (excluding UK) &amp; Asia Pacific")</f>
        <v>Europe (excluding UK) &amp; Asia Pacific</v>
      </c>
      <c r="D626" s="258" t="str">
        <f>IFERROR(__xludf.DUMMYFUNCTION("""COMPUTED_VALUE"""),"km. My car displays range in kilometres and I will enter all range numbers in kilometres.")</f>
        <v>km. My car displays range in kilometres and I will enter all range numbers in kilometres.</v>
      </c>
      <c r="E626" s="259">
        <f>IFERROR(__xludf.DUMMYFUNCTION("""COMPUTED_VALUE"""),42276.0)</f>
        <v>42276</v>
      </c>
      <c r="F626" s="258" t="str">
        <f>IFERROR(__xludf.DUMMYFUNCTION("""COMPUTED_VALUE"""),"Model S 90D")</f>
        <v>Model S 90D</v>
      </c>
      <c r="G626" s="258" t="str">
        <f>IFERROR(__xludf.DUMMYFUNCTION("""COMPUTED_VALUE"""),"Monthly")</f>
        <v>Monthly</v>
      </c>
      <c r="H626" s="258" t="str">
        <f>IFERROR(__xludf.DUMMYFUNCTION("""COMPUTED_VALUE"""),"Monthly")</f>
        <v>Monthly</v>
      </c>
      <c r="I626" s="258" t="str">
        <f>IFERROR(__xludf.DUMMYFUNCTION("""COMPUTED_VALUE"""),"A few times a year")</f>
        <v>A few times a year</v>
      </c>
      <c r="J626" s="260">
        <f>IFERROR(__xludf.DUMMYFUNCTION("""COMPUTED_VALUE"""),0.8)</f>
        <v>0.8</v>
      </c>
      <c r="K626" s="258">
        <f>IFERROR(__xludf.DUMMYFUNCTION("""COMPUTED_VALUE"""),432.0)</f>
        <v>432</v>
      </c>
      <c r="L626" s="258" t="str">
        <f>IFERROR(__xludf.DUMMYFUNCTION("""COMPUTED_VALUE"""),"")</f>
        <v/>
      </c>
      <c r="M626" s="261">
        <f>IFERROR(__xludf.DUMMYFUNCTION("""COMPUTED_VALUE"""),233.0)</f>
        <v>233</v>
      </c>
      <c r="N626" s="262" t="str">
        <f>IFERROR(__xludf.DUMMYFUNCTION("""COMPUTED_VALUE"""),"")</f>
        <v/>
      </c>
      <c r="O626" s="259" t="str">
        <f>IFERROR(__xludf.DUMMYFUNCTION("""COMPUTED_VALUE"""),"")</f>
        <v/>
      </c>
      <c r="P626" s="259">
        <f>IFERROR(__xludf.DUMMYFUNCTION("""COMPUTED_VALUE"""),42929.0)</f>
        <v>42929</v>
      </c>
      <c r="Q626" s="258">
        <f>IFERROR(__xludf.DUMMYFUNCTION("""COMPUTED_VALUE"""),55201.0)</f>
        <v>55201</v>
      </c>
      <c r="R626" s="261">
        <f>IFERROR(__xludf.DUMMYFUNCTION("""COMPUTED_VALUE"""),425.0)</f>
        <v>425</v>
      </c>
      <c r="S626" s="258">
        <v>447.0</v>
      </c>
      <c r="T626" s="263">
        <v>0.9507829977628636</v>
      </c>
      <c r="U626" s="264">
        <v>34300.0</v>
      </c>
      <c r="V626" s="265">
        <v>55201.0</v>
      </c>
      <c r="W626" s="264">
        <v>34300.0</v>
      </c>
      <c r="X626" s="266"/>
      <c r="Y626" s="267">
        <v>-0.01</v>
      </c>
      <c r="Z626" s="267">
        <v>0.9580568120786952</v>
      </c>
      <c r="AA626" s="269"/>
      <c r="AB626" s="270"/>
      <c r="AC626" s="270"/>
      <c r="AD626" s="270"/>
      <c r="AE626" s="270"/>
    </row>
    <row r="627">
      <c r="A627" s="256">
        <f>IFERROR(__xludf.DUMMYFUNCTION("""COMPUTED_VALUE"""),43000.61111111111)</f>
        <v>43000.61111</v>
      </c>
      <c r="B627" s="257" t="str">
        <f>IFERROR(__xludf.DUMMYFUNCTION("""COMPUTED_VALUE"""),"HWS 90D")</f>
        <v>HWS 90D</v>
      </c>
      <c r="C627" s="258" t="str">
        <f>IFERROR(__xludf.DUMMYFUNCTION("""COMPUTED_VALUE"""),"Europe (excluding UK) &amp; Asia Pacific")</f>
        <v>Europe (excluding UK) &amp; Asia Pacific</v>
      </c>
      <c r="D627" s="258" t="str">
        <f>IFERROR(__xludf.DUMMYFUNCTION("""COMPUTED_VALUE"""),"km. My car displays range in kilometres and I will enter all range numbers in kilometres.")</f>
        <v>km. My car displays range in kilometres and I will enter all range numbers in kilometres.</v>
      </c>
      <c r="E627" s="259">
        <f>IFERROR(__xludf.DUMMYFUNCTION("""COMPUTED_VALUE"""),42276.0)</f>
        <v>42276</v>
      </c>
      <c r="F627" s="258" t="str">
        <f>IFERROR(__xludf.DUMMYFUNCTION("""COMPUTED_VALUE"""),"Model S 90D")</f>
        <v>Model S 90D</v>
      </c>
      <c r="G627" s="258" t="str">
        <f>IFERROR(__xludf.DUMMYFUNCTION("""COMPUTED_VALUE"""),"Monthly")</f>
        <v>Monthly</v>
      </c>
      <c r="H627" s="258" t="str">
        <f>IFERROR(__xludf.DUMMYFUNCTION("""COMPUTED_VALUE"""),"Monthly")</f>
        <v>Monthly</v>
      </c>
      <c r="I627" s="258" t="str">
        <f>IFERROR(__xludf.DUMMYFUNCTION("""COMPUTED_VALUE"""),"A few times a year")</f>
        <v>A few times a year</v>
      </c>
      <c r="J627" s="260">
        <f>IFERROR(__xludf.DUMMYFUNCTION("""COMPUTED_VALUE"""),0.8)</f>
        <v>0.8</v>
      </c>
      <c r="K627" s="258">
        <f>IFERROR(__xludf.DUMMYFUNCTION("""COMPUTED_VALUE"""),432.0)</f>
        <v>432</v>
      </c>
      <c r="L627" s="258" t="str">
        <f>IFERROR(__xludf.DUMMYFUNCTION("""COMPUTED_VALUE"""),"")</f>
        <v/>
      </c>
      <c r="M627" s="261">
        <f>IFERROR(__xludf.DUMMYFUNCTION("""COMPUTED_VALUE"""),233.0)</f>
        <v>233</v>
      </c>
      <c r="N627" s="262" t="str">
        <f>IFERROR(__xludf.DUMMYFUNCTION("""COMPUTED_VALUE"""),"")</f>
        <v/>
      </c>
      <c r="O627" s="259" t="str">
        <f>IFERROR(__xludf.DUMMYFUNCTION("""COMPUTED_VALUE"""),"")</f>
        <v/>
      </c>
      <c r="P627" s="259">
        <f>IFERROR(__xludf.DUMMYFUNCTION("""COMPUTED_VALUE"""),43000.0)</f>
        <v>43000</v>
      </c>
      <c r="Q627" s="258">
        <f>IFERROR(__xludf.DUMMYFUNCTION("""COMPUTED_VALUE"""),63637.0)</f>
        <v>63637</v>
      </c>
      <c r="R627" s="261">
        <f>IFERROR(__xludf.DUMMYFUNCTION("""COMPUTED_VALUE"""),422.0)</f>
        <v>422</v>
      </c>
      <c r="S627" s="258">
        <v>447.0</v>
      </c>
      <c r="T627" s="263">
        <v>0.9440715883668904</v>
      </c>
      <c r="U627" s="264">
        <v>39542.0</v>
      </c>
      <c r="V627" s="265">
        <v>63637.0</v>
      </c>
      <c r="W627" s="264">
        <v>39542.0</v>
      </c>
      <c r="X627" s="266"/>
      <c r="Y627" s="267">
        <v>-0.01</v>
      </c>
      <c r="Z627" s="267">
        <v>0.9556345402216017</v>
      </c>
      <c r="AA627" s="269"/>
      <c r="AB627" s="270"/>
      <c r="AC627" s="270"/>
      <c r="AD627" s="270"/>
      <c r="AE627" s="270"/>
    </row>
    <row r="628">
      <c r="A628" s="256">
        <f>IFERROR(__xludf.DUMMYFUNCTION("""COMPUTED_VALUE"""),43003.611805555556)</f>
        <v>43003.61181</v>
      </c>
      <c r="B628" s="257" t="str">
        <f>IFERROR(__xludf.DUMMYFUNCTION("""COMPUTED_VALUE"""),"HWS X100D")</f>
        <v>HWS X100D</v>
      </c>
      <c r="C628" s="258" t="str">
        <f>IFERROR(__xludf.DUMMYFUNCTION("""COMPUTED_VALUE"""),"Europe (excluding UK) &amp; Asia Pacific")</f>
        <v>Europe (excluding UK) &amp; Asia Pacific</v>
      </c>
      <c r="D628" s="258" t="str">
        <f>IFERROR(__xludf.DUMMYFUNCTION("""COMPUTED_VALUE"""),"km. My car displays range in kilometres and I will enter all range numbers in kilometres.")</f>
        <v>km. My car displays range in kilometres and I will enter all range numbers in kilometres.</v>
      </c>
      <c r="E628" s="259">
        <f>IFERROR(__xludf.DUMMYFUNCTION("""COMPUTED_VALUE"""),42994.0)</f>
        <v>42994</v>
      </c>
      <c r="F628" s="258" t="str">
        <f>IFERROR(__xludf.DUMMYFUNCTION("""COMPUTED_VALUE"""),"Model X 100D")</f>
        <v>Model X 100D</v>
      </c>
      <c r="G628" s="258" t="str">
        <f>IFERROR(__xludf.DUMMYFUNCTION("""COMPUTED_VALUE"""),"Monthly")</f>
        <v>Monthly</v>
      </c>
      <c r="H628" s="258" t="str">
        <f>IFERROR(__xludf.DUMMYFUNCTION("""COMPUTED_VALUE"""),"Monthly")</f>
        <v>Monthly</v>
      </c>
      <c r="I628" s="258" t="str">
        <f>IFERROR(__xludf.DUMMYFUNCTION("""COMPUTED_VALUE"""),"A few times a year")</f>
        <v>A few times a year</v>
      </c>
      <c r="J628" s="260">
        <f>IFERROR(__xludf.DUMMYFUNCTION("""COMPUTED_VALUE"""),0.8)</f>
        <v>0.8</v>
      </c>
      <c r="K628" s="258">
        <f>IFERROR(__xludf.DUMMYFUNCTION("""COMPUTED_VALUE"""),453.0)</f>
        <v>453</v>
      </c>
      <c r="L628" s="258" t="str">
        <f>IFERROR(__xludf.DUMMYFUNCTION("""COMPUTED_VALUE"""),"")</f>
        <v/>
      </c>
      <c r="M628" s="261">
        <f>IFERROR(__xludf.DUMMYFUNCTION("""COMPUTED_VALUE"""),267.0)</f>
        <v>267</v>
      </c>
      <c r="N628" s="262" t="str">
        <f>IFERROR(__xludf.DUMMYFUNCTION("""COMPUTED_VALUE"""),"")</f>
        <v/>
      </c>
      <c r="O628" s="259" t="str">
        <f>IFERROR(__xludf.DUMMYFUNCTION("""COMPUTED_VALUE"""),"")</f>
        <v/>
      </c>
      <c r="P628" s="259">
        <f>IFERROR(__xludf.DUMMYFUNCTION("""COMPUTED_VALUE"""),43003.0)</f>
        <v>43003</v>
      </c>
      <c r="Q628" s="258">
        <f>IFERROR(__xludf.DUMMYFUNCTION("""COMPUTED_VALUE"""),675.0)</f>
        <v>675</v>
      </c>
      <c r="R628" s="261">
        <f>IFERROR(__xludf.DUMMYFUNCTION("""COMPUTED_VALUE"""),453.0)</f>
        <v>453</v>
      </c>
      <c r="S628" s="258">
        <v>448.0</v>
      </c>
      <c r="T628" s="263">
        <v>1.0111607142857142</v>
      </c>
      <c r="U628" s="264">
        <v>419.0</v>
      </c>
      <c r="V628" s="265">
        <v>675.0</v>
      </c>
      <c r="W628" s="264">
        <v>419.0</v>
      </c>
      <c r="X628" s="266"/>
      <c r="Y628" s="267">
        <v>-0.01</v>
      </c>
      <c r="Z628" s="267">
        <v>0.9986728376242195</v>
      </c>
      <c r="AA628" s="269"/>
      <c r="AB628" s="270"/>
      <c r="AC628" s="270"/>
      <c r="AD628" s="270"/>
      <c r="AE628" s="270"/>
    </row>
    <row r="629">
      <c r="A629" s="256">
        <f>IFERROR(__xludf.DUMMYFUNCTION("""COMPUTED_VALUE"""),43014.61875)</f>
        <v>43014.61875</v>
      </c>
      <c r="B629" s="257" t="str">
        <f>IFERROR(__xludf.DUMMYFUNCTION("""COMPUTED_VALUE"""),"HWS X100D")</f>
        <v>HWS X100D</v>
      </c>
      <c r="C629" s="258" t="str">
        <f>IFERROR(__xludf.DUMMYFUNCTION("""COMPUTED_VALUE"""),"Europe (excluding UK) &amp; Asia Pacific")</f>
        <v>Europe (excluding UK) &amp; Asia Pacific</v>
      </c>
      <c r="D629" s="258" t="str">
        <f>IFERROR(__xludf.DUMMYFUNCTION("""COMPUTED_VALUE"""),"km. My car displays range in kilometres and I will enter all range numbers in kilometres.")</f>
        <v>km. My car displays range in kilometres and I will enter all range numbers in kilometres.</v>
      </c>
      <c r="E629" s="259">
        <f>IFERROR(__xludf.DUMMYFUNCTION("""COMPUTED_VALUE"""),42994.0)</f>
        <v>42994</v>
      </c>
      <c r="F629" s="258" t="str">
        <f>IFERROR(__xludf.DUMMYFUNCTION("""COMPUTED_VALUE"""),"Model X 100D")</f>
        <v>Model X 100D</v>
      </c>
      <c r="G629" s="258" t="str">
        <f>IFERROR(__xludf.DUMMYFUNCTION("""COMPUTED_VALUE"""),"Monthly")</f>
        <v>Monthly</v>
      </c>
      <c r="H629" s="258" t="str">
        <f>IFERROR(__xludf.DUMMYFUNCTION("""COMPUTED_VALUE"""),"Monthly")</f>
        <v>Monthly</v>
      </c>
      <c r="I629" s="258" t="str">
        <f>IFERROR(__xludf.DUMMYFUNCTION("""COMPUTED_VALUE"""),"A few times a year")</f>
        <v>A few times a year</v>
      </c>
      <c r="J629" s="260">
        <f>IFERROR(__xludf.DUMMYFUNCTION("""COMPUTED_VALUE"""),0.8)</f>
        <v>0.8</v>
      </c>
      <c r="K629" s="258">
        <f>IFERROR(__xludf.DUMMYFUNCTION("""COMPUTED_VALUE"""),453.0)</f>
        <v>453</v>
      </c>
      <c r="L629" s="258" t="str">
        <f>IFERROR(__xludf.DUMMYFUNCTION("""COMPUTED_VALUE"""),"")</f>
        <v/>
      </c>
      <c r="M629" s="261">
        <f>IFERROR(__xludf.DUMMYFUNCTION("""COMPUTED_VALUE"""),268.0)</f>
        <v>268</v>
      </c>
      <c r="N629" s="262" t="str">
        <f>IFERROR(__xludf.DUMMYFUNCTION("""COMPUTED_VALUE"""),"")</f>
        <v/>
      </c>
      <c r="O629" s="259" t="str">
        <f>IFERROR(__xludf.DUMMYFUNCTION("""COMPUTED_VALUE"""),"")</f>
        <v/>
      </c>
      <c r="P629" s="259">
        <f>IFERROR(__xludf.DUMMYFUNCTION("""COMPUTED_VALUE"""),43014.0)</f>
        <v>43014</v>
      </c>
      <c r="Q629" s="258">
        <f>IFERROR(__xludf.DUMMYFUNCTION("""COMPUTED_VALUE"""),1327.0)</f>
        <v>1327</v>
      </c>
      <c r="R629" s="261">
        <f>IFERROR(__xludf.DUMMYFUNCTION("""COMPUTED_VALUE"""),459.0)</f>
        <v>459</v>
      </c>
      <c r="S629" s="258">
        <v>448.0</v>
      </c>
      <c r="T629" s="263">
        <v>1.0245535714285714</v>
      </c>
      <c r="U629" s="264">
        <v>825.0</v>
      </c>
      <c r="V629" s="265">
        <v>1327.0</v>
      </c>
      <c r="W629" s="264">
        <v>825.0</v>
      </c>
      <c r="X629" s="266"/>
      <c r="Y629" s="267">
        <v>-0.01</v>
      </c>
      <c r="Z629" s="267">
        <v>0.9974337210919474</v>
      </c>
      <c r="AA629" s="269"/>
      <c r="AB629" s="270"/>
      <c r="AC629" s="270"/>
      <c r="AD629" s="270"/>
      <c r="AE629" s="270"/>
    </row>
    <row r="630">
      <c r="A630" s="256">
        <f>IFERROR(__xludf.DUMMYFUNCTION("""COMPUTED_VALUE"""),43097.65486111111)</f>
        <v>43097.65486</v>
      </c>
      <c r="B630" s="257" t="str">
        <f>IFERROR(__xludf.DUMMYFUNCTION("""COMPUTED_VALUE"""),"HWS X100D")</f>
        <v>HWS X100D</v>
      </c>
      <c r="C630" s="258" t="str">
        <f>IFERROR(__xludf.DUMMYFUNCTION("""COMPUTED_VALUE"""),"Europe (excluding UK) &amp; Asia Pacific")</f>
        <v>Europe (excluding UK) &amp; Asia Pacific</v>
      </c>
      <c r="D630" s="258" t="str">
        <f>IFERROR(__xludf.DUMMYFUNCTION("""COMPUTED_VALUE"""),"km. My car displays range in kilometres and I will enter all range numbers in kilometres.")</f>
        <v>km. My car displays range in kilometres and I will enter all range numbers in kilometres.</v>
      </c>
      <c r="E630" s="259">
        <f>IFERROR(__xludf.DUMMYFUNCTION("""COMPUTED_VALUE"""),42994.0)</f>
        <v>42994</v>
      </c>
      <c r="F630" s="258" t="str">
        <f>IFERROR(__xludf.DUMMYFUNCTION("""COMPUTED_VALUE"""),"Model X 100D")</f>
        <v>Model X 100D</v>
      </c>
      <c r="G630" s="258" t="str">
        <f>IFERROR(__xludf.DUMMYFUNCTION("""COMPUTED_VALUE"""),"Monthly")</f>
        <v>Monthly</v>
      </c>
      <c r="H630" s="258" t="str">
        <f>IFERROR(__xludf.DUMMYFUNCTION("""COMPUTED_VALUE"""),"Monthly")</f>
        <v>Monthly</v>
      </c>
      <c r="I630" s="258" t="str">
        <f>IFERROR(__xludf.DUMMYFUNCTION("""COMPUTED_VALUE"""),"A few times a year")</f>
        <v>A few times a year</v>
      </c>
      <c r="J630" s="260">
        <f>IFERROR(__xludf.DUMMYFUNCTION("""COMPUTED_VALUE"""),0.8)</f>
        <v>0.8</v>
      </c>
      <c r="K630" s="258">
        <f>IFERROR(__xludf.DUMMYFUNCTION("""COMPUTED_VALUE"""),453.0)</f>
        <v>453</v>
      </c>
      <c r="L630" s="258" t="str">
        <f>IFERROR(__xludf.DUMMYFUNCTION("""COMPUTED_VALUE"""),"")</f>
        <v/>
      </c>
      <c r="M630" s="261">
        <f>IFERROR(__xludf.DUMMYFUNCTION("""COMPUTED_VALUE"""),286.0)</f>
        <v>286</v>
      </c>
      <c r="N630" s="262" t="str">
        <f>IFERROR(__xludf.DUMMYFUNCTION("""COMPUTED_VALUE"""),"")</f>
        <v/>
      </c>
      <c r="O630" s="259" t="str">
        <f>IFERROR(__xludf.DUMMYFUNCTION("""COMPUTED_VALUE"""),"")</f>
        <v/>
      </c>
      <c r="P630" s="259">
        <f>IFERROR(__xludf.DUMMYFUNCTION("""COMPUTED_VALUE"""),43097.0)</f>
        <v>43097</v>
      </c>
      <c r="Q630" s="258">
        <f>IFERROR(__xludf.DUMMYFUNCTION("""COMPUTED_VALUE"""),8600.0)</f>
        <v>8600</v>
      </c>
      <c r="R630" s="261">
        <f>IFERROR(__xludf.DUMMYFUNCTION("""COMPUTED_VALUE"""),457.0)</f>
        <v>457</v>
      </c>
      <c r="S630" s="258">
        <v>448.0</v>
      </c>
      <c r="T630" s="263">
        <v>1.0200892857142858</v>
      </c>
      <c r="U630" s="264">
        <v>5344.0</v>
      </c>
      <c r="V630" s="265">
        <v>8600.0</v>
      </c>
      <c r="W630" s="264">
        <v>5344.0</v>
      </c>
      <c r="X630" s="266"/>
      <c r="Y630" s="267">
        <v>-0.01</v>
      </c>
      <c r="Z630" s="267">
        <v>0.9860390307674075</v>
      </c>
      <c r="AA630" s="269"/>
      <c r="AB630" s="270"/>
      <c r="AC630" s="270"/>
      <c r="AD630" s="270"/>
      <c r="AE630" s="270"/>
    </row>
    <row r="631">
      <c r="A631" s="256">
        <f>IFERROR(__xludf.DUMMYFUNCTION("""COMPUTED_VALUE"""),43167.70416666666)</f>
        <v>43167.70417</v>
      </c>
      <c r="B631" s="257" t="str">
        <f>IFERROR(__xludf.DUMMYFUNCTION("""COMPUTED_VALUE"""),"HWS X100D")</f>
        <v>HWS X100D</v>
      </c>
      <c r="C631" s="258" t="str">
        <f>IFERROR(__xludf.DUMMYFUNCTION("""COMPUTED_VALUE"""),"Europe (excluding UK) &amp; Asia Pacific")</f>
        <v>Europe (excluding UK) &amp; Asia Pacific</v>
      </c>
      <c r="D631" s="258" t="str">
        <f>IFERROR(__xludf.DUMMYFUNCTION("""COMPUTED_VALUE"""),"km. My car displays range in kilometres and I will enter all range numbers in kilometres.")</f>
        <v>km. My car displays range in kilometres and I will enter all range numbers in kilometres.</v>
      </c>
      <c r="E631" s="259">
        <f>IFERROR(__xludf.DUMMYFUNCTION("""COMPUTED_VALUE"""),42994.0)</f>
        <v>42994</v>
      </c>
      <c r="F631" s="258" t="str">
        <f>IFERROR(__xludf.DUMMYFUNCTION("""COMPUTED_VALUE"""),"Model X 100D")</f>
        <v>Model X 100D</v>
      </c>
      <c r="G631" s="258" t="str">
        <f>IFERROR(__xludf.DUMMYFUNCTION("""COMPUTED_VALUE"""),"Monthly")</f>
        <v>Monthly</v>
      </c>
      <c r="H631" s="258" t="str">
        <f>IFERROR(__xludf.DUMMYFUNCTION("""COMPUTED_VALUE"""),"A few times a year")</f>
        <v>A few times a year</v>
      </c>
      <c r="I631" s="258" t="str">
        <f>IFERROR(__xludf.DUMMYFUNCTION("""COMPUTED_VALUE"""),"A few times a year")</f>
        <v>A few times a year</v>
      </c>
      <c r="J631" s="260">
        <f>IFERROR(__xludf.DUMMYFUNCTION("""COMPUTED_VALUE"""),0.9)</f>
        <v>0.9</v>
      </c>
      <c r="K631" s="258">
        <f>IFERROR(__xludf.DUMMYFUNCTION("""COMPUTED_VALUE"""),453.0)</f>
        <v>453</v>
      </c>
      <c r="L631" s="258" t="str">
        <f>IFERROR(__xludf.DUMMYFUNCTION("""COMPUTED_VALUE"""),"")</f>
        <v/>
      </c>
      <c r="M631" s="261">
        <f>IFERROR(__xludf.DUMMYFUNCTION("""COMPUTED_VALUE"""),292.0)</f>
        <v>292</v>
      </c>
      <c r="N631" s="262" t="str">
        <f>IFERROR(__xludf.DUMMYFUNCTION("""COMPUTED_VALUE"""),"")</f>
        <v/>
      </c>
      <c r="O631" s="259" t="str">
        <f>IFERROR(__xludf.DUMMYFUNCTION("""COMPUTED_VALUE"""),"")</f>
        <v/>
      </c>
      <c r="P631" s="259">
        <f>IFERROR(__xludf.DUMMYFUNCTION("""COMPUTED_VALUE"""),43167.0)</f>
        <v>43167</v>
      </c>
      <c r="Q631" s="258">
        <f>IFERROR(__xludf.DUMMYFUNCTION("""COMPUTED_VALUE"""),14054.0)</f>
        <v>14054</v>
      </c>
      <c r="R631" s="261">
        <f>IFERROR(__xludf.DUMMYFUNCTION("""COMPUTED_VALUE"""),456.0)</f>
        <v>456</v>
      </c>
      <c r="S631" s="258">
        <v>448.0</v>
      </c>
      <c r="T631" s="263">
        <v>1.0178571428571428</v>
      </c>
      <c r="U631" s="264">
        <v>8733.0</v>
      </c>
      <c r="V631" s="265">
        <v>14054.0</v>
      </c>
      <c r="W631" s="264">
        <v>8733.0</v>
      </c>
      <c r="X631" s="266"/>
      <c r="Y631" s="267">
        <v>-0.01</v>
      </c>
      <c r="Z631" s="267">
        <v>0.9797639750005162</v>
      </c>
      <c r="AA631" s="269"/>
      <c r="AB631" s="270"/>
      <c r="AC631" s="270"/>
      <c r="AD631" s="270"/>
      <c r="AE631" s="270"/>
    </row>
    <row r="632">
      <c r="A632" s="256">
        <f>IFERROR(__xludf.DUMMYFUNCTION("""COMPUTED_VALUE"""),43196.71597222222)</f>
        <v>43196.71597</v>
      </c>
      <c r="B632" s="257" t="str">
        <f>IFERROR(__xludf.DUMMYFUNCTION("""COMPUTED_VALUE"""),"HWS X100D")</f>
        <v>HWS X100D</v>
      </c>
      <c r="C632" s="258" t="str">
        <f>IFERROR(__xludf.DUMMYFUNCTION("""COMPUTED_VALUE"""),"Europe (excluding UK) &amp; Asia Pacific")</f>
        <v>Europe (excluding UK) &amp; Asia Pacific</v>
      </c>
      <c r="D632" s="258" t="str">
        <f>IFERROR(__xludf.DUMMYFUNCTION("""COMPUTED_VALUE"""),"km. My car displays range in kilometres and I will enter all range numbers in kilometres.")</f>
        <v>km. My car displays range in kilometres and I will enter all range numbers in kilometres.</v>
      </c>
      <c r="E632" s="259">
        <f>IFERROR(__xludf.DUMMYFUNCTION("""COMPUTED_VALUE"""),42994.0)</f>
        <v>42994</v>
      </c>
      <c r="F632" s="258" t="str">
        <f>IFERROR(__xludf.DUMMYFUNCTION("""COMPUTED_VALUE"""),"Model X 100D")</f>
        <v>Model X 100D</v>
      </c>
      <c r="G632" s="258" t="str">
        <f>IFERROR(__xludf.DUMMYFUNCTION("""COMPUTED_VALUE"""),"Twice a month")</f>
        <v>Twice a month</v>
      </c>
      <c r="H632" s="258" t="str">
        <f>IFERROR(__xludf.DUMMYFUNCTION("""COMPUTED_VALUE"""),"Monthly")</f>
        <v>Monthly</v>
      </c>
      <c r="I632" s="258" t="str">
        <f>IFERROR(__xludf.DUMMYFUNCTION("""COMPUTED_VALUE"""),"A few times a year")</f>
        <v>A few times a year</v>
      </c>
      <c r="J632" s="260">
        <f>IFERROR(__xludf.DUMMYFUNCTION("""COMPUTED_VALUE"""),0.9)</f>
        <v>0.9</v>
      </c>
      <c r="K632" s="258">
        <f>IFERROR(__xludf.DUMMYFUNCTION("""COMPUTED_VALUE"""),453.0)</f>
        <v>453</v>
      </c>
      <c r="L632" s="258" t="str">
        <f>IFERROR(__xludf.DUMMYFUNCTION("""COMPUTED_VALUE"""),"")</f>
        <v/>
      </c>
      <c r="M632" s="261">
        <f>IFERROR(__xludf.DUMMYFUNCTION("""COMPUTED_VALUE"""),288.0)</f>
        <v>288</v>
      </c>
      <c r="N632" s="262" t="str">
        <f>IFERROR(__xludf.DUMMYFUNCTION("""COMPUTED_VALUE"""),"")</f>
        <v/>
      </c>
      <c r="O632" s="259" t="str">
        <f>IFERROR(__xludf.DUMMYFUNCTION("""COMPUTED_VALUE"""),"")</f>
        <v/>
      </c>
      <c r="P632" s="259">
        <f>IFERROR(__xludf.DUMMYFUNCTION("""COMPUTED_VALUE"""),43196.0)</f>
        <v>43196</v>
      </c>
      <c r="Q632" s="258">
        <f>IFERROR(__xludf.DUMMYFUNCTION("""COMPUTED_VALUE"""),17449.0)</f>
        <v>17449</v>
      </c>
      <c r="R632" s="261">
        <f>IFERROR(__xludf.DUMMYFUNCTION("""COMPUTED_VALUE"""),456.0)</f>
        <v>456</v>
      </c>
      <c r="S632" s="258">
        <v>448.0</v>
      </c>
      <c r="T632" s="263">
        <v>1.0178571428571428</v>
      </c>
      <c r="U632" s="264">
        <v>10842.0</v>
      </c>
      <c r="V632" s="265">
        <v>17449.0</v>
      </c>
      <c r="W632" s="264">
        <v>10842.0</v>
      </c>
      <c r="X632" s="266"/>
      <c r="Y632" s="267">
        <v>-0.01</v>
      </c>
      <c r="Z632" s="267">
        <v>0.9765724229785606</v>
      </c>
      <c r="AA632" s="269"/>
      <c r="AB632" s="270"/>
      <c r="AC632" s="270"/>
      <c r="AD632" s="270"/>
      <c r="AE632" s="270"/>
    </row>
    <row r="633">
      <c r="A633" s="256">
        <f>IFERROR(__xludf.DUMMYFUNCTION("""COMPUTED_VALUE"""),42338.23402777778)</f>
        <v>42338.23403</v>
      </c>
      <c r="B633" s="257" t="str">
        <f>IFERROR(__xludf.DUMMYFUNCTION("""COMPUTED_VALUE"""),"HWS2")</f>
        <v>HWS2</v>
      </c>
      <c r="C633" s="258" t="str">
        <f>IFERROR(__xludf.DUMMYFUNCTION("""COMPUTED_VALUE"""),"Europe (excluding UK) &amp; Asia Pacific")</f>
        <v>Europe (excluding UK) &amp; Asia Pacific</v>
      </c>
      <c r="D633" s="258" t="str">
        <f>IFERROR(__xludf.DUMMYFUNCTION("""COMPUTED_VALUE"""),"km. My car displays range in kilometres and I will enter all range numbers in kilometres.")</f>
        <v>km. My car displays range in kilometres and I will enter all range numbers in kilometres.</v>
      </c>
      <c r="E633" s="259">
        <f>IFERROR(__xludf.DUMMYFUNCTION("""COMPUTED_VALUE"""),41593.0)</f>
        <v>41593</v>
      </c>
      <c r="F633" s="258" t="str">
        <f>IFERROR(__xludf.DUMMYFUNCTION("""COMPUTED_VALUE"""),"Model S 85")</f>
        <v>Model S 85</v>
      </c>
      <c r="G633" s="258" t="str">
        <f>IFERROR(__xludf.DUMMYFUNCTION("""COMPUTED_VALUE"""),"Once or twice a year")</f>
        <v>Once or twice a year</v>
      </c>
      <c r="H633" s="258" t="str">
        <f>IFERROR(__xludf.DUMMYFUNCTION("""COMPUTED_VALUE"""),"Once or twice a year")</f>
        <v>Once or twice a year</v>
      </c>
      <c r="I633" s="258" t="str">
        <f>IFERROR(__xludf.DUMMYFUNCTION("""COMPUTED_VALUE"""),"Never")</f>
        <v>Never</v>
      </c>
      <c r="J633" s="260">
        <f>IFERROR(__xludf.DUMMYFUNCTION("""COMPUTED_VALUE"""),0.8)</f>
        <v>0.8</v>
      </c>
      <c r="K633" s="258">
        <f>IFERROR(__xludf.DUMMYFUNCTION("""COMPUTED_VALUE"""),400.0)</f>
        <v>400</v>
      </c>
      <c r="L633" s="258" t="str">
        <f>IFERROR(__xludf.DUMMYFUNCTION("""COMPUTED_VALUE"""),"")</f>
        <v/>
      </c>
      <c r="M633" s="261">
        <f>IFERROR(__xludf.DUMMYFUNCTION("""COMPUTED_VALUE"""),223.0)</f>
        <v>223</v>
      </c>
      <c r="N633" s="262" t="str">
        <f>IFERROR(__xludf.DUMMYFUNCTION("""COMPUTED_VALUE"""),"")</f>
        <v/>
      </c>
      <c r="O633" s="259" t="str">
        <f>IFERROR(__xludf.DUMMYFUNCTION("""COMPUTED_VALUE"""),"")</f>
        <v/>
      </c>
      <c r="P633" s="259">
        <f>IFERROR(__xludf.DUMMYFUNCTION("""COMPUTED_VALUE"""),42338.0)</f>
        <v>42338</v>
      </c>
      <c r="Q633" s="258">
        <f>IFERROR(__xludf.DUMMYFUNCTION("""COMPUTED_VALUE"""),24281.0)</f>
        <v>24281</v>
      </c>
      <c r="R633" s="261">
        <f>IFERROR(__xludf.DUMMYFUNCTION("""COMPUTED_VALUE"""),377.0)</f>
        <v>377</v>
      </c>
      <c r="S633" s="258">
        <v>395.0</v>
      </c>
      <c r="T633" s="263">
        <v>0.9544303797468354</v>
      </c>
      <c r="U633" s="264">
        <v>15088.0</v>
      </c>
      <c r="V633" s="265">
        <v>24281.0</v>
      </c>
      <c r="W633" s="264">
        <v>15088.0</v>
      </c>
      <c r="X633" s="266"/>
      <c r="Y633" s="267">
        <v>-0.01</v>
      </c>
      <c r="Z633" s="267">
        <v>0.9713784807979184</v>
      </c>
      <c r="AA633" s="269"/>
      <c r="AB633" s="270"/>
      <c r="AC633" s="270"/>
      <c r="AD633" s="270"/>
      <c r="AE633" s="270"/>
    </row>
    <row r="634">
      <c r="A634" s="256">
        <f>IFERROR(__xludf.DUMMYFUNCTION("""COMPUTED_VALUE"""),42216.148611111115)</f>
        <v>42216.14861</v>
      </c>
      <c r="B634" s="257" t="str">
        <f>IFERROR(__xludf.DUMMYFUNCTION("""COMPUTED_VALUE"""),"IAV_P85_weiss")</f>
        <v>IAV_P85_weiss</v>
      </c>
      <c r="C634" s="258" t="str">
        <f>IFERROR(__xludf.DUMMYFUNCTION("""COMPUTED_VALUE"""),"Europe (excluding UK) &amp; Asia Pacific")</f>
        <v>Europe (excluding UK) &amp; Asia Pacific</v>
      </c>
      <c r="D634" s="258" t="str">
        <f>IFERROR(__xludf.DUMMYFUNCTION("""COMPUTED_VALUE"""),"km. My car displays range in kilometres and I will enter all range numbers in kilometres.")</f>
        <v>km. My car displays range in kilometres and I will enter all range numbers in kilometres.</v>
      </c>
      <c r="E634" s="259">
        <f>IFERROR(__xludf.DUMMYFUNCTION("""COMPUTED_VALUE"""),41331.0)</f>
        <v>41331</v>
      </c>
      <c r="F634" s="258" t="str">
        <f>IFERROR(__xludf.DUMMYFUNCTION("""COMPUTED_VALUE"""),"Model S P85")</f>
        <v>Model S P85</v>
      </c>
      <c r="G634" s="258" t="str">
        <f>IFERROR(__xludf.DUMMYFUNCTION("""COMPUTED_VALUE"""),"Never")</f>
        <v>Never</v>
      </c>
      <c r="H634" s="258" t="str">
        <f>IFERROR(__xludf.DUMMYFUNCTION("""COMPUTED_VALUE"""),"")</f>
        <v/>
      </c>
      <c r="I634" s="258" t="str">
        <f>IFERROR(__xludf.DUMMYFUNCTION("""COMPUTED_VALUE"""),"")</f>
        <v/>
      </c>
      <c r="J634" s="260" t="str">
        <f>IFERROR(__xludf.DUMMYFUNCTION("""COMPUTED_VALUE"""),"")</f>
        <v/>
      </c>
      <c r="K634" s="258" t="str">
        <f>IFERROR(__xludf.DUMMYFUNCTION("""COMPUTED_VALUE"""),"")</f>
        <v/>
      </c>
      <c r="L634" s="258" t="str">
        <f>IFERROR(__xludf.DUMMYFUNCTION("""COMPUTED_VALUE"""),"")</f>
        <v/>
      </c>
      <c r="M634" s="261">
        <f>IFERROR(__xludf.DUMMYFUNCTION("""COMPUTED_VALUE"""),200.0)</f>
        <v>200</v>
      </c>
      <c r="N634" s="262" t="str">
        <f>IFERROR(__xludf.DUMMYFUNCTION("""COMPUTED_VALUE"""),"")</f>
        <v/>
      </c>
      <c r="O634" s="259" t="str">
        <f>IFERROR(__xludf.DUMMYFUNCTION("""COMPUTED_VALUE"""),"")</f>
        <v/>
      </c>
      <c r="P634" s="259">
        <f>IFERROR(__xludf.DUMMYFUNCTION("""COMPUTED_VALUE"""),42216.0)</f>
        <v>42216</v>
      </c>
      <c r="Q634" s="258">
        <f>IFERROR(__xludf.DUMMYFUNCTION("""COMPUTED_VALUE"""),63067.0)</f>
        <v>63067</v>
      </c>
      <c r="R634" s="261">
        <f>IFERROR(__xludf.DUMMYFUNCTION("""COMPUTED_VALUE"""),379.0)</f>
        <v>379</v>
      </c>
      <c r="S634" s="258">
        <v>395.0</v>
      </c>
      <c r="T634" s="263">
        <v>0.959493670886076</v>
      </c>
      <c r="U634" s="264">
        <v>39188.0</v>
      </c>
      <c r="V634" s="265">
        <v>63067.0</v>
      </c>
      <c r="W634" s="264">
        <v>39188.0</v>
      </c>
      <c r="X634" s="266"/>
      <c r="Y634" s="267">
        <v>-0.01</v>
      </c>
      <c r="Z634" s="267">
        <v>0.9557913720079425</v>
      </c>
      <c r="AA634" s="269"/>
      <c r="AB634" s="270"/>
      <c r="AC634" s="270"/>
      <c r="AD634" s="270"/>
      <c r="AE634" s="270"/>
    </row>
    <row r="635">
      <c r="A635" s="256">
        <f>IFERROR(__xludf.DUMMYFUNCTION("""COMPUTED_VALUE"""),42907.54861111111)</f>
        <v>42907.54861</v>
      </c>
      <c r="B635" s="257" t="str">
        <f>IFERROR(__xludf.DUMMYFUNCTION("""COMPUTED_VALUE"""),"idefix")</f>
        <v>idefix</v>
      </c>
      <c r="C635" s="258" t="str">
        <f>IFERROR(__xludf.DUMMYFUNCTION("""COMPUTED_VALUE"""),"Europe (excluding UK) &amp; Asia Pacific")</f>
        <v>Europe (excluding UK) &amp; Asia Pacific</v>
      </c>
      <c r="D635" s="258" t="str">
        <f>IFERROR(__xludf.DUMMYFUNCTION("""COMPUTED_VALUE"""),"km. My car displays range in kilometres and I will enter all range numbers in kilometres.")</f>
        <v>km. My car displays range in kilometres and I will enter all range numbers in kilometres.</v>
      </c>
      <c r="E635" s="259">
        <f>IFERROR(__xludf.DUMMYFUNCTION("""COMPUTED_VALUE"""),42621.0)</f>
        <v>42621</v>
      </c>
      <c r="F635" s="258" t="str">
        <f>IFERROR(__xludf.DUMMYFUNCTION("""COMPUTED_VALUE"""),"Model S 70D")</f>
        <v>Model S 70D</v>
      </c>
      <c r="G635" s="258" t="str">
        <f>IFERROR(__xludf.DUMMYFUNCTION("""COMPUTED_VALUE"""),"Daily")</f>
        <v>Daily</v>
      </c>
      <c r="H635" s="258" t="str">
        <f>IFERROR(__xludf.DUMMYFUNCTION("""COMPUTED_VALUE"""),"A few times a year")</f>
        <v>A few times a year</v>
      </c>
      <c r="I635" s="258" t="str">
        <f>IFERROR(__xludf.DUMMYFUNCTION("""COMPUTED_VALUE"""),"Never")</f>
        <v>Never</v>
      </c>
      <c r="J635" s="260">
        <f>IFERROR(__xludf.DUMMYFUNCTION("""COMPUTED_VALUE"""),0.9)</f>
        <v>0.9</v>
      </c>
      <c r="K635" s="258">
        <f>IFERROR(__xludf.DUMMYFUNCTION("""COMPUTED_VALUE"""),360.0)</f>
        <v>360</v>
      </c>
      <c r="L635" s="258" t="str">
        <f>IFERROR(__xludf.DUMMYFUNCTION("""COMPUTED_VALUE"""),"")</f>
        <v/>
      </c>
      <c r="M635" s="261">
        <f>IFERROR(__xludf.DUMMYFUNCTION("""COMPUTED_VALUE"""),210.0)</f>
        <v>210</v>
      </c>
      <c r="N635" s="262" t="str">
        <f>IFERROR(__xludf.DUMMYFUNCTION("""COMPUTED_VALUE"""),"")</f>
        <v/>
      </c>
      <c r="O635" s="259" t="str">
        <f>IFERROR(__xludf.DUMMYFUNCTION("""COMPUTED_VALUE"""),"")</f>
        <v/>
      </c>
      <c r="P635" s="259">
        <f>IFERROR(__xludf.DUMMYFUNCTION("""COMPUTED_VALUE"""),42907.0)</f>
        <v>42907</v>
      </c>
      <c r="Q635" s="258">
        <f>IFERROR(__xludf.DUMMYFUNCTION("""COMPUTED_VALUE"""),38000.0)</f>
        <v>38000</v>
      </c>
      <c r="R635" s="261">
        <f>IFERROR(__xludf.DUMMYFUNCTION("""COMPUTED_VALUE"""),343.0)</f>
        <v>343</v>
      </c>
      <c r="S635" s="258">
        <v>360.0</v>
      </c>
      <c r="T635" s="263">
        <v>0.9527777777777777</v>
      </c>
      <c r="U635" s="264">
        <v>23612.0</v>
      </c>
      <c r="V635" s="265">
        <v>38000.0</v>
      </c>
      <c r="W635" s="264">
        <v>23612.0</v>
      </c>
      <c r="X635" s="266"/>
      <c r="Y635" s="267">
        <v>-0.01</v>
      </c>
      <c r="Z635" s="267">
        <v>0.9641365833807075</v>
      </c>
      <c r="AA635" s="269"/>
      <c r="AB635" s="270"/>
      <c r="AC635" s="270"/>
      <c r="AD635" s="270"/>
      <c r="AE635" s="270"/>
    </row>
    <row r="636">
      <c r="A636" s="256">
        <f>IFERROR(__xludf.DUMMYFUNCTION("""COMPUTED_VALUE"""),42950.56736111111)</f>
        <v>42950.56736</v>
      </c>
      <c r="B636" s="257" t="str">
        <f>IFERROR(__xludf.DUMMYFUNCTION("""COMPUTED_VALUE"""),"idefix")</f>
        <v>idefix</v>
      </c>
      <c r="C636" s="258" t="str">
        <f>IFERROR(__xludf.DUMMYFUNCTION("""COMPUTED_VALUE"""),"Europe (excluding UK) &amp; Asia Pacific")</f>
        <v>Europe (excluding UK) &amp; Asia Pacific</v>
      </c>
      <c r="D636" s="258" t="str">
        <f>IFERROR(__xludf.DUMMYFUNCTION("""COMPUTED_VALUE"""),"km. My car displays range in kilometres and I will enter all range numbers in kilometres.")</f>
        <v>km. My car displays range in kilometres and I will enter all range numbers in kilometres.</v>
      </c>
      <c r="E636" s="259">
        <f>IFERROR(__xludf.DUMMYFUNCTION("""COMPUTED_VALUE"""),42621.0)</f>
        <v>42621</v>
      </c>
      <c r="F636" s="258" t="str">
        <f>IFERROR(__xludf.DUMMYFUNCTION("""COMPUTED_VALUE"""),"Model S 70D")</f>
        <v>Model S 70D</v>
      </c>
      <c r="G636" s="258" t="str">
        <f>IFERROR(__xludf.DUMMYFUNCTION("""COMPUTED_VALUE"""),"Daily")</f>
        <v>Daily</v>
      </c>
      <c r="H636" s="258" t="str">
        <f>IFERROR(__xludf.DUMMYFUNCTION("""COMPUTED_VALUE"""),"A few times a year")</f>
        <v>A few times a year</v>
      </c>
      <c r="I636" s="258" t="str">
        <f>IFERROR(__xludf.DUMMYFUNCTION("""COMPUTED_VALUE"""),"Never")</f>
        <v>Never</v>
      </c>
      <c r="J636" s="260">
        <f>IFERROR(__xludf.DUMMYFUNCTION("""COMPUTED_VALUE"""),0.9)</f>
        <v>0.9</v>
      </c>
      <c r="K636" s="258">
        <f>IFERROR(__xludf.DUMMYFUNCTION("""COMPUTED_VALUE"""),360.0)</f>
        <v>360</v>
      </c>
      <c r="L636" s="258" t="str">
        <f>IFERROR(__xludf.DUMMYFUNCTION("""COMPUTED_VALUE"""),"")</f>
        <v/>
      </c>
      <c r="M636" s="261">
        <f>IFERROR(__xludf.DUMMYFUNCTION("""COMPUTED_VALUE"""),205.0)</f>
        <v>205</v>
      </c>
      <c r="N636" s="262" t="str">
        <f>IFERROR(__xludf.DUMMYFUNCTION("""COMPUTED_VALUE"""),"")</f>
        <v/>
      </c>
      <c r="O636" s="259" t="str">
        <f>IFERROR(__xludf.DUMMYFUNCTION("""COMPUTED_VALUE"""),"")</f>
        <v/>
      </c>
      <c r="P636" s="259">
        <f>IFERROR(__xludf.DUMMYFUNCTION("""COMPUTED_VALUE"""),42950.0)</f>
        <v>42950</v>
      </c>
      <c r="Q636" s="258">
        <f>IFERROR(__xludf.DUMMYFUNCTION("""COMPUTED_VALUE"""),42193.0)</f>
        <v>42193</v>
      </c>
      <c r="R636" s="261">
        <f>IFERROR(__xludf.DUMMYFUNCTION("""COMPUTED_VALUE"""),342.04)</f>
        <v>342.04</v>
      </c>
      <c r="S636" s="258">
        <v>360.0</v>
      </c>
      <c r="T636" s="263">
        <v>0.9501111111111111</v>
      </c>
      <c r="U636" s="264">
        <v>26218.0</v>
      </c>
      <c r="V636" s="265">
        <v>42193.0</v>
      </c>
      <c r="W636" s="264">
        <v>26218.0</v>
      </c>
      <c r="X636" s="266"/>
      <c r="Y636" s="267">
        <v>-0.01</v>
      </c>
      <c r="Z636" s="267">
        <v>0.9624465452993318</v>
      </c>
      <c r="AA636" s="269"/>
      <c r="AB636" s="270"/>
      <c r="AC636" s="270"/>
      <c r="AD636" s="270"/>
      <c r="AE636" s="270"/>
    </row>
    <row r="637">
      <c r="A637" s="256">
        <f>IFERROR(__xludf.DUMMYFUNCTION("""COMPUTED_VALUE"""),42979.597916666666)</f>
        <v>42979.59792</v>
      </c>
      <c r="B637" s="257" t="str">
        <f>IFERROR(__xludf.DUMMYFUNCTION("""COMPUTED_VALUE"""),"idefix")</f>
        <v>idefix</v>
      </c>
      <c r="C637" s="258" t="str">
        <f>IFERROR(__xludf.DUMMYFUNCTION("""COMPUTED_VALUE"""),"Europe (excluding UK) &amp; Asia Pacific")</f>
        <v>Europe (excluding UK) &amp; Asia Pacific</v>
      </c>
      <c r="D637" s="258" t="str">
        <f>IFERROR(__xludf.DUMMYFUNCTION("""COMPUTED_VALUE"""),"km. My car displays range in kilometres and I will enter all range numbers in kilometres.")</f>
        <v>km. My car displays range in kilometres and I will enter all range numbers in kilometres.</v>
      </c>
      <c r="E637" s="259">
        <f>IFERROR(__xludf.DUMMYFUNCTION("""COMPUTED_VALUE"""),42621.0)</f>
        <v>42621</v>
      </c>
      <c r="F637" s="258" t="str">
        <f>IFERROR(__xludf.DUMMYFUNCTION("""COMPUTED_VALUE"""),"Model S 70D")</f>
        <v>Model S 70D</v>
      </c>
      <c r="G637" s="258" t="str">
        <f>IFERROR(__xludf.DUMMYFUNCTION("""COMPUTED_VALUE"""),"Daily")</f>
        <v>Daily</v>
      </c>
      <c r="H637" s="258" t="str">
        <f>IFERROR(__xludf.DUMMYFUNCTION("""COMPUTED_VALUE"""),"A few times a year")</f>
        <v>A few times a year</v>
      </c>
      <c r="I637" s="258" t="str">
        <f>IFERROR(__xludf.DUMMYFUNCTION("""COMPUTED_VALUE"""),"Never")</f>
        <v>Never</v>
      </c>
      <c r="J637" s="260">
        <f>IFERROR(__xludf.DUMMYFUNCTION("""COMPUTED_VALUE"""),0.9)</f>
        <v>0.9</v>
      </c>
      <c r="K637" s="258">
        <f>IFERROR(__xludf.DUMMYFUNCTION("""COMPUTED_VALUE"""),360.0)</f>
        <v>360</v>
      </c>
      <c r="L637" s="258" t="str">
        <f>IFERROR(__xludf.DUMMYFUNCTION("""COMPUTED_VALUE"""),"")</f>
        <v/>
      </c>
      <c r="M637" s="261">
        <f>IFERROR(__xludf.DUMMYFUNCTION("""COMPUTED_VALUE"""),202.0)</f>
        <v>202</v>
      </c>
      <c r="N637" s="262" t="str">
        <f>IFERROR(__xludf.DUMMYFUNCTION("""COMPUTED_VALUE"""),"")</f>
        <v/>
      </c>
      <c r="O637" s="259" t="str">
        <f>IFERROR(__xludf.DUMMYFUNCTION("""COMPUTED_VALUE"""),"")</f>
        <v/>
      </c>
      <c r="P637" s="259">
        <f>IFERROR(__xludf.DUMMYFUNCTION("""COMPUTED_VALUE"""),42979.0)</f>
        <v>42979</v>
      </c>
      <c r="Q637" s="258">
        <f>IFERROR(__xludf.DUMMYFUNCTION("""COMPUTED_VALUE"""),46445.0)</f>
        <v>46445</v>
      </c>
      <c r="R637" s="261">
        <f>IFERROR(__xludf.DUMMYFUNCTION("""COMPUTED_VALUE"""),345.0)</f>
        <v>345</v>
      </c>
      <c r="S637" s="258">
        <v>360.0</v>
      </c>
      <c r="T637" s="263">
        <v>0.9583333333333334</v>
      </c>
      <c r="U637" s="264">
        <v>28860.0</v>
      </c>
      <c r="V637" s="265">
        <v>46445.0</v>
      </c>
      <c r="W637" s="264">
        <v>28860.0</v>
      </c>
      <c r="X637" s="266"/>
      <c r="Y637" s="267">
        <v>-0.01</v>
      </c>
      <c r="Z637" s="267">
        <v>0.9608922708228135</v>
      </c>
      <c r="AA637" s="269"/>
      <c r="AB637" s="270"/>
      <c r="AC637" s="270"/>
      <c r="AD637" s="270"/>
      <c r="AE637" s="270"/>
    </row>
    <row r="638">
      <c r="A638" s="256">
        <f>IFERROR(__xludf.DUMMYFUNCTION("""COMPUTED_VALUE"""),43061.63680555555)</f>
        <v>43061.63681</v>
      </c>
      <c r="B638" s="257" t="str">
        <f>IFERROR(__xludf.DUMMYFUNCTION("""COMPUTED_VALUE"""),"idefix")</f>
        <v>idefix</v>
      </c>
      <c r="C638" s="258" t="str">
        <f>IFERROR(__xludf.DUMMYFUNCTION("""COMPUTED_VALUE"""),"Europe (excluding UK) &amp; Asia Pacific")</f>
        <v>Europe (excluding UK) &amp; Asia Pacific</v>
      </c>
      <c r="D638" s="258" t="str">
        <f>IFERROR(__xludf.DUMMYFUNCTION("""COMPUTED_VALUE"""),"km. My car displays range in kilometres and I will enter all range numbers in kilometres.")</f>
        <v>km. My car displays range in kilometres and I will enter all range numbers in kilometres.</v>
      </c>
      <c r="E638" s="259">
        <f>IFERROR(__xludf.DUMMYFUNCTION("""COMPUTED_VALUE"""),42621.0)</f>
        <v>42621</v>
      </c>
      <c r="F638" s="258" t="str">
        <f>IFERROR(__xludf.DUMMYFUNCTION("""COMPUTED_VALUE"""),"Model S 70D")</f>
        <v>Model S 70D</v>
      </c>
      <c r="G638" s="258" t="str">
        <f>IFERROR(__xludf.DUMMYFUNCTION("""COMPUTED_VALUE"""),"Daily")</f>
        <v>Daily</v>
      </c>
      <c r="H638" s="258" t="str">
        <f>IFERROR(__xludf.DUMMYFUNCTION("""COMPUTED_VALUE"""),"Once or twice a year")</f>
        <v>Once or twice a year</v>
      </c>
      <c r="I638" s="258" t="str">
        <f>IFERROR(__xludf.DUMMYFUNCTION("""COMPUTED_VALUE"""),"Never")</f>
        <v>Never</v>
      </c>
      <c r="J638" s="260">
        <f>IFERROR(__xludf.DUMMYFUNCTION("""COMPUTED_VALUE"""),0.9)</f>
        <v>0.9</v>
      </c>
      <c r="K638" s="258">
        <f>IFERROR(__xludf.DUMMYFUNCTION("""COMPUTED_VALUE"""),353.0)</f>
        <v>353</v>
      </c>
      <c r="L638" s="258" t="str">
        <f>IFERROR(__xludf.DUMMYFUNCTION("""COMPUTED_VALUE"""),"")</f>
        <v/>
      </c>
      <c r="M638" s="261">
        <f>IFERROR(__xludf.DUMMYFUNCTION("""COMPUTED_VALUE"""),205.0)</f>
        <v>205</v>
      </c>
      <c r="N638" s="262" t="str">
        <f>IFERROR(__xludf.DUMMYFUNCTION("""COMPUTED_VALUE"""),"")</f>
        <v/>
      </c>
      <c r="O638" s="259" t="str">
        <f>IFERROR(__xludf.DUMMYFUNCTION("""COMPUTED_VALUE"""),"")</f>
        <v/>
      </c>
      <c r="P638" s="259">
        <f>IFERROR(__xludf.DUMMYFUNCTION("""COMPUTED_VALUE"""),43061.0)</f>
        <v>43061</v>
      </c>
      <c r="Q638" s="258">
        <f>IFERROR(__xludf.DUMMYFUNCTION("""COMPUTED_VALUE"""),55355.0)</f>
        <v>55355</v>
      </c>
      <c r="R638" s="261">
        <f>IFERROR(__xludf.DUMMYFUNCTION("""COMPUTED_VALUE"""),340.0)</f>
        <v>340</v>
      </c>
      <c r="S638" s="258">
        <v>360.0</v>
      </c>
      <c r="T638" s="263">
        <v>0.9444444444444444</v>
      </c>
      <c r="U638" s="264">
        <v>34396.0</v>
      </c>
      <c r="V638" s="265">
        <v>55355.0</v>
      </c>
      <c r="W638" s="264">
        <v>34396.0</v>
      </c>
      <c r="X638" s="266"/>
      <c r="Y638" s="267">
        <v>-0.01</v>
      </c>
      <c r="Z638" s="267">
        <v>0.9580103353850413</v>
      </c>
      <c r="AA638" s="269"/>
      <c r="AB638" s="270"/>
      <c r="AC638" s="270"/>
      <c r="AD638" s="270"/>
      <c r="AE638" s="270"/>
    </row>
    <row r="639">
      <c r="A639" s="256">
        <f>IFERROR(__xludf.DUMMYFUNCTION("""COMPUTED_VALUE"""),43110.663194444445)</f>
        <v>43110.66319</v>
      </c>
      <c r="B639" s="257" t="str">
        <f>IFERROR(__xludf.DUMMYFUNCTION("""COMPUTED_VALUE"""),"idefix")</f>
        <v>idefix</v>
      </c>
      <c r="C639" s="258" t="str">
        <f>IFERROR(__xludf.DUMMYFUNCTION("""COMPUTED_VALUE"""),"Europe (excluding UK) &amp; Asia Pacific")</f>
        <v>Europe (excluding UK) &amp; Asia Pacific</v>
      </c>
      <c r="D639" s="258" t="str">
        <f>IFERROR(__xludf.DUMMYFUNCTION("""COMPUTED_VALUE"""),"km. My car displays range in kilometres and I will enter all range numbers in kilometres.")</f>
        <v>km. My car displays range in kilometres and I will enter all range numbers in kilometres.</v>
      </c>
      <c r="E639" s="259">
        <f>IFERROR(__xludf.DUMMYFUNCTION("""COMPUTED_VALUE"""),42621.0)</f>
        <v>42621</v>
      </c>
      <c r="F639" s="258" t="str">
        <f>IFERROR(__xludf.DUMMYFUNCTION("""COMPUTED_VALUE"""),"Model S 70D")</f>
        <v>Model S 70D</v>
      </c>
      <c r="G639" s="258" t="str">
        <f>IFERROR(__xludf.DUMMYFUNCTION("""COMPUTED_VALUE"""),"Daily")</f>
        <v>Daily</v>
      </c>
      <c r="H639" s="258" t="str">
        <f>IFERROR(__xludf.DUMMYFUNCTION("""COMPUTED_VALUE"""),"Monthly")</f>
        <v>Monthly</v>
      </c>
      <c r="I639" s="258" t="str">
        <f>IFERROR(__xludf.DUMMYFUNCTION("""COMPUTED_VALUE"""),"Never")</f>
        <v>Never</v>
      </c>
      <c r="J639" s="260">
        <f>IFERROR(__xludf.DUMMYFUNCTION("""COMPUTED_VALUE"""),0.9)</f>
        <v>0.9</v>
      </c>
      <c r="K639" s="258">
        <f>IFERROR(__xludf.DUMMYFUNCTION("""COMPUTED_VALUE"""),352.0)</f>
        <v>352</v>
      </c>
      <c r="L639" s="258" t="str">
        <f>IFERROR(__xludf.DUMMYFUNCTION("""COMPUTED_VALUE"""),"")</f>
        <v/>
      </c>
      <c r="M639" s="261">
        <f>IFERROR(__xludf.DUMMYFUNCTION("""COMPUTED_VALUE"""),204.0)</f>
        <v>204</v>
      </c>
      <c r="N639" s="262" t="str">
        <f>IFERROR(__xludf.DUMMYFUNCTION("""COMPUTED_VALUE"""),"")</f>
        <v/>
      </c>
      <c r="O639" s="259" t="str">
        <f>IFERROR(__xludf.DUMMYFUNCTION("""COMPUTED_VALUE"""),"")</f>
        <v/>
      </c>
      <c r="P639" s="259">
        <f>IFERROR(__xludf.DUMMYFUNCTION("""COMPUTED_VALUE"""),43110.0)</f>
        <v>43110</v>
      </c>
      <c r="Q639" s="258">
        <f>IFERROR(__xludf.DUMMYFUNCTION("""COMPUTED_VALUE"""),60219.0)</f>
        <v>60219</v>
      </c>
      <c r="R639" s="261">
        <f>IFERROR(__xludf.DUMMYFUNCTION("""COMPUTED_VALUE"""),342.0)</f>
        <v>342</v>
      </c>
      <c r="S639" s="258">
        <v>360.0</v>
      </c>
      <c r="T639" s="263">
        <v>0.95</v>
      </c>
      <c r="U639" s="264">
        <v>37418.0</v>
      </c>
      <c r="V639" s="265">
        <v>60219.0</v>
      </c>
      <c r="W639" s="264">
        <v>37418.0</v>
      </c>
      <c r="X639" s="266"/>
      <c r="Y639" s="267">
        <v>-0.01</v>
      </c>
      <c r="Z639" s="267">
        <v>0.9565883725328316</v>
      </c>
      <c r="AA639" s="269"/>
      <c r="AB639" s="270"/>
      <c r="AC639" s="270"/>
      <c r="AD639" s="270"/>
      <c r="AE639" s="270"/>
    </row>
    <row r="640">
      <c r="A640" s="256">
        <f>IFERROR(__xludf.DUMMYFUNCTION("""COMPUTED_VALUE"""),43187.711805555555)</f>
        <v>43187.71181</v>
      </c>
      <c r="B640" s="257" t="str">
        <f>IFERROR(__xludf.DUMMYFUNCTION("""COMPUTED_VALUE"""),"idefix")</f>
        <v>idefix</v>
      </c>
      <c r="C640" s="258" t="str">
        <f>IFERROR(__xludf.DUMMYFUNCTION("""COMPUTED_VALUE"""),"Europe (excluding UK) &amp; Asia Pacific")</f>
        <v>Europe (excluding UK) &amp; Asia Pacific</v>
      </c>
      <c r="D640" s="258" t="str">
        <f>IFERROR(__xludf.DUMMYFUNCTION("""COMPUTED_VALUE"""),"km. My car displays range in kilometres and I will enter all range numbers in kilometres.")</f>
        <v>km. My car displays range in kilometres and I will enter all range numbers in kilometres.</v>
      </c>
      <c r="E640" s="259">
        <f>IFERROR(__xludf.DUMMYFUNCTION("""COMPUTED_VALUE"""),42621.0)</f>
        <v>42621</v>
      </c>
      <c r="F640" s="258" t="str">
        <f>IFERROR(__xludf.DUMMYFUNCTION("""COMPUTED_VALUE"""),"Model S 70D")</f>
        <v>Model S 70D</v>
      </c>
      <c r="G640" s="258" t="str">
        <f>IFERROR(__xludf.DUMMYFUNCTION("""COMPUTED_VALUE"""),"Daily")</f>
        <v>Daily</v>
      </c>
      <c r="H640" s="258" t="str">
        <f>IFERROR(__xludf.DUMMYFUNCTION("""COMPUTED_VALUE"""),"A few times a year")</f>
        <v>A few times a year</v>
      </c>
      <c r="I640" s="258" t="str">
        <f>IFERROR(__xludf.DUMMYFUNCTION("""COMPUTED_VALUE"""),"")</f>
        <v/>
      </c>
      <c r="J640" s="260" t="str">
        <f>IFERROR(__xludf.DUMMYFUNCTION("""COMPUTED_VALUE"""),"")</f>
        <v/>
      </c>
      <c r="K640" s="258" t="str">
        <f>IFERROR(__xludf.DUMMYFUNCTION("""COMPUTED_VALUE"""),"")</f>
        <v/>
      </c>
      <c r="L640" s="258" t="str">
        <f>IFERROR(__xludf.DUMMYFUNCTION("""COMPUTED_VALUE"""),"")</f>
        <v/>
      </c>
      <c r="M640" s="261">
        <f>IFERROR(__xludf.DUMMYFUNCTION("""COMPUTED_VALUE"""),212.0)</f>
        <v>212</v>
      </c>
      <c r="N640" s="262" t="str">
        <f>IFERROR(__xludf.DUMMYFUNCTION("""COMPUTED_VALUE"""),"")</f>
        <v/>
      </c>
      <c r="O640" s="259" t="str">
        <f>IFERROR(__xludf.DUMMYFUNCTION("""COMPUTED_VALUE"""),"")</f>
        <v/>
      </c>
      <c r="P640" s="259">
        <f>IFERROR(__xludf.DUMMYFUNCTION("""COMPUTED_VALUE"""),43187.0)</f>
        <v>43187</v>
      </c>
      <c r="Q640" s="258">
        <f>IFERROR(__xludf.DUMMYFUNCTION("""COMPUTED_VALUE"""),69089.0)</f>
        <v>69089</v>
      </c>
      <c r="R640" s="261">
        <f>IFERROR(__xludf.DUMMYFUNCTION("""COMPUTED_VALUE"""),343.0)</f>
        <v>343</v>
      </c>
      <c r="S640" s="258">
        <v>360.0</v>
      </c>
      <c r="T640" s="263">
        <v>0.9527777777777777</v>
      </c>
      <c r="U640" s="264">
        <v>42930.0</v>
      </c>
      <c r="V640" s="265">
        <v>69089.0</v>
      </c>
      <c r="W640" s="264">
        <v>42930.0</v>
      </c>
      <c r="X640" s="266"/>
      <c r="Y640" s="267">
        <v>-0.01</v>
      </c>
      <c r="Z640" s="267">
        <v>0.9541725724473343</v>
      </c>
      <c r="AA640" s="269"/>
      <c r="AB640" s="270"/>
      <c r="AC640" s="270"/>
      <c r="AD640" s="270"/>
      <c r="AE640" s="270"/>
    </row>
    <row r="641">
      <c r="A641" s="256">
        <f>IFERROR(__xludf.DUMMYFUNCTION("""COMPUTED_VALUE"""),43216.73055555555)</f>
        <v>43216.73056</v>
      </c>
      <c r="B641" s="257" t="str">
        <f>IFERROR(__xludf.DUMMYFUNCTION("""COMPUTED_VALUE"""),"idefix")</f>
        <v>idefix</v>
      </c>
      <c r="C641" s="258" t="str">
        <f>IFERROR(__xludf.DUMMYFUNCTION("""COMPUTED_VALUE"""),"Europe (excluding UK) &amp; Asia Pacific")</f>
        <v>Europe (excluding UK) &amp; Asia Pacific</v>
      </c>
      <c r="D641" s="258" t="str">
        <f>IFERROR(__xludf.DUMMYFUNCTION("""COMPUTED_VALUE"""),"km. My car displays range in kilometres and I will enter all range numbers in kilometres.")</f>
        <v>km. My car displays range in kilometres and I will enter all range numbers in kilometres.</v>
      </c>
      <c r="E641" s="259">
        <f>IFERROR(__xludf.DUMMYFUNCTION("""COMPUTED_VALUE"""),42621.0)</f>
        <v>42621</v>
      </c>
      <c r="F641" s="258" t="str">
        <f>IFERROR(__xludf.DUMMYFUNCTION("""COMPUTED_VALUE"""),"Model S 70D")</f>
        <v>Model S 70D</v>
      </c>
      <c r="G641" s="258" t="str">
        <f>IFERROR(__xludf.DUMMYFUNCTION("""COMPUTED_VALUE"""),"Daily")</f>
        <v>Daily</v>
      </c>
      <c r="H641" s="258" t="str">
        <f>IFERROR(__xludf.DUMMYFUNCTION("""COMPUTED_VALUE"""),"Once or twice a year")</f>
        <v>Once or twice a year</v>
      </c>
      <c r="I641" s="258" t="str">
        <f>IFERROR(__xludf.DUMMYFUNCTION("""COMPUTED_VALUE"""),"Never")</f>
        <v>Never</v>
      </c>
      <c r="J641" s="260">
        <f>IFERROR(__xludf.DUMMYFUNCTION("""COMPUTED_VALUE"""),0.9)</f>
        <v>0.9</v>
      </c>
      <c r="K641" s="258">
        <f>IFERROR(__xludf.DUMMYFUNCTION("""COMPUTED_VALUE"""),360.0)</f>
        <v>360</v>
      </c>
      <c r="L641" s="258" t="str">
        <f>IFERROR(__xludf.DUMMYFUNCTION("""COMPUTED_VALUE"""),"")</f>
        <v/>
      </c>
      <c r="M641" s="261">
        <f>IFERROR(__xludf.DUMMYFUNCTION("""COMPUTED_VALUE"""),214.0)</f>
        <v>214</v>
      </c>
      <c r="N641" s="262" t="str">
        <f>IFERROR(__xludf.DUMMYFUNCTION("""COMPUTED_VALUE"""),"")</f>
        <v/>
      </c>
      <c r="O641" s="259" t="str">
        <f>IFERROR(__xludf.DUMMYFUNCTION("""COMPUTED_VALUE"""),"")</f>
        <v/>
      </c>
      <c r="P641" s="259">
        <f>IFERROR(__xludf.DUMMYFUNCTION("""COMPUTED_VALUE"""),43216.0)</f>
        <v>43216</v>
      </c>
      <c r="Q641" s="258">
        <f>IFERROR(__xludf.DUMMYFUNCTION("""COMPUTED_VALUE"""),72027.0)</f>
        <v>72027</v>
      </c>
      <c r="R641" s="261">
        <f>IFERROR(__xludf.DUMMYFUNCTION("""COMPUTED_VALUE"""),344.0)</f>
        <v>344</v>
      </c>
      <c r="S641" s="258">
        <v>360.0</v>
      </c>
      <c r="T641" s="263">
        <v>0.9555555555555556</v>
      </c>
      <c r="U641" s="264">
        <v>44756.0</v>
      </c>
      <c r="V641" s="265">
        <v>72027.0</v>
      </c>
      <c r="W641" s="264">
        <v>44756.0</v>
      </c>
      <c r="X641" s="266"/>
      <c r="Y641" s="267">
        <v>-0.01</v>
      </c>
      <c r="Z641" s="267">
        <v>0.9534088448040385</v>
      </c>
      <c r="AA641" s="269"/>
      <c r="AB641" s="270"/>
      <c r="AC641" s="270"/>
      <c r="AD641" s="270"/>
      <c r="AE641" s="270"/>
    </row>
    <row r="642">
      <c r="A642" s="256">
        <f>IFERROR(__xludf.DUMMYFUNCTION("""COMPUTED_VALUE"""),43015.620833333334)</f>
        <v>43015.62083</v>
      </c>
      <c r="B642" s="257" t="str">
        <f>IFERROR(__xludf.DUMMYFUNCTION("""COMPUTED_VALUE"""),"iDrops")</f>
        <v>iDrops</v>
      </c>
      <c r="C642" s="258" t="str">
        <f>IFERROR(__xludf.DUMMYFUNCTION("""COMPUTED_VALUE"""),"Europe (excluding UK) &amp; Asia Pacific")</f>
        <v>Europe (excluding UK) &amp; Asia Pacific</v>
      </c>
      <c r="D642" s="258" t="str">
        <f>IFERROR(__xludf.DUMMYFUNCTION("""COMPUTED_VALUE"""),"km. My car displays range in kilometres and I will enter all range numbers in kilometres.")</f>
        <v>km. My car displays range in kilometres and I will enter all range numbers in kilometres.</v>
      </c>
      <c r="E642" s="259">
        <f>IFERROR(__xludf.DUMMYFUNCTION("""COMPUTED_VALUE"""),42522.0)</f>
        <v>42522</v>
      </c>
      <c r="F642" s="258" t="str">
        <f>IFERROR(__xludf.DUMMYFUNCTION("""COMPUTED_VALUE"""),"Model S 90D")</f>
        <v>Model S 90D</v>
      </c>
      <c r="G642" s="258" t="str">
        <f>IFERROR(__xludf.DUMMYFUNCTION("""COMPUTED_VALUE"""),"Twice a month")</f>
        <v>Twice a month</v>
      </c>
      <c r="H642" s="258" t="str">
        <f>IFERROR(__xludf.DUMMYFUNCTION("""COMPUTED_VALUE"""),"Once or twice a year")</f>
        <v>Once or twice a year</v>
      </c>
      <c r="I642" s="258" t="str">
        <f>IFERROR(__xludf.DUMMYFUNCTION("""COMPUTED_VALUE"""),"Once or twice a year")</f>
        <v>Once or twice a year</v>
      </c>
      <c r="J642" s="260">
        <f>IFERROR(__xludf.DUMMYFUNCTION("""COMPUTED_VALUE"""),0.8)</f>
        <v>0.8</v>
      </c>
      <c r="K642" s="258" t="str">
        <f>IFERROR(__xludf.DUMMYFUNCTION("""COMPUTED_VALUE"""),"")</f>
        <v/>
      </c>
      <c r="L642" s="258" t="str">
        <f>IFERROR(__xludf.DUMMYFUNCTION("""COMPUTED_VALUE"""),"")</f>
        <v/>
      </c>
      <c r="M642" s="261">
        <f>IFERROR(__xludf.DUMMYFUNCTION("""COMPUTED_VALUE"""),214.0)</f>
        <v>214</v>
      </c>
      <c r="N642" s="262" t="str">
        <f>IFERROR(__xludf.DUMMYFUNCTION("""COMPUTED_VALUE"""),"")</f>
        <v/>
      </c>
      <c r="O642" s="259" t="str">
        <f>IFERROR(__xludf.DUMMYFUNCTION("""COMPUTED_VALUE"""),"")</f>
        <v/>
      </c>
      <c r="P642" s="259">
        <f>IFERROR(__xludf.DUMMYFUNCTION("""COMPUTED_VALUE"""),43015.0)</f>
        <v>43015</v>
      </c>
      <c r="Q642" s="258">
        <f>IFERROR(__xludf.DUMMYFUNCTION("""COMPUTED_VALUE"""),33886.0)</f>
        <v>33886</v>
      </c>
      <c r="R642" s="261">
        <f>IFERROR(__xludf.DUMMYFUNCTION("""COMPUTED_VALUE"""),445.0)</f>
        <v>445</v>
      </c>
      <c r="S642" s="258">
        <v>447.0</v>
      </c>
      <c r="T642" s="263">
        <v>0.9955257270693513</v>
      </c>
      <c r="U642" s="264">
        <v>21056.0</v>
      </c>
      <c r="V642" s="265">
        <v>33886.0</v>
      </c>
      <c r="W642" s="264">
        <v>21056.0</v>
      </c>
      <c r="X642" s="266"/>
      <c r="Y642" s="267">
        <v>-0.01</v>
      </c>
      <c r="Z642" s="267">
        <v>0.9659884349614126</v>
      </c>
      <c r="AA642" s="269"/>
      <c r="AB642" s="270"/>
      <c r="AC642" s="270"/>
      <c r="AD642" s="270"/>
      <c r="AE642" s="270"/>
    </row>
    <row r="643">
      <c r="A643" s="256">
        <f>IFERROR(__xludf.DUMMYFUNCTION("""COMPUTED_VALUE"""),42887.54236111111)</f>
        <v>42887.54236</v>
      </c>
      <c r="B643" s="257" t="str">
        <f>IFERROR(__xludf.DUMMYFUNCTION("""COMPUTED_VALUE"""),"iggypop")</f>
        <v>iggypop</v>
      </c>
      <c r="C643" s="258" t="str">
        <f>IFERROR(__xludf.DUMMYFUNCTION("""COMPUTED_VALUE"""),"Europe (excluding UK) &amp; Asia Pacific")</f>
        <v>Europe (excluding UK) &amp; Asia Pacific</v>
      </c>
      <c r="D643" s="258" t="str">
        <f>IFERROR(__xludf.DUMMYFUNCTION("""COMPUTED_VALUE"""),"km. My car displays range in kilometres and I will enter all range numbers in kilometres.")</f>
        <v>km. My car displays range in kilometres and I will enter all range numbers in kilometres.</v>
      </c>
      <c r="E643" s="259">
        <f>IFERROR(__xludf.DUMMYFUNCTION("""COMPUTED_VALUE"""),42853.0)</f>
        <v>42853</v>
      </c>
      <c r="F643" s="258" t="str">
        <f>IFERROR(__xludf.DUMMYFUNCTION("""COMPUTED_VALUE"""),"Model S 75D")</f>
        <v>Model S 75D</v>
      </c>
      <c r="G643" s="258" t="str">
        <f>IFERROR(__xludf.DUMMYFUNCTION("""COMPUTED_VALUE"""),"Weekly")</f>
        <v>Weekly</v>
      </c>
      <c r="H643" s="258" t="str">
        <f>IFERROR(__xludf.DUMMYFUNCTION("""COMPUTED_VALUE"""),"Monthly")</f>
        <v>Monthly</v>
      </c>
      <c r="I643" s="258" t="str">
        <f>IFERROR(__xludf.DUMMYFUNCTION("""COMPUTED_VALUE"""),"A few times a year")</f>
        <v>A few times a year</v>
      </c>
      <c r="J643" s="260">
        <f>IFERROR(__xludf.DUMMYFUNCTION("""COMPUTED_VALUE"""),0.9)</f>
        <v>0.9</v>
      </c>
      <c r="K643" s="258">
        <f>IFERROR(__xludf.DUMMYFUNCTION("""COMPUTED_VALUE"""),384.0)</f>
        <v>384</v>
      </c>
      <c r="L643" s="258" t="str">
        <f>IFERROR(__xludf.DUMMYFUNCTION("""COMPUTED_VALUE"""),"")</f>
        <v/>
      </c>
      <c r="M643" s="261">
        <f>IFERROR(__xludf.DUMMYFUNCTION("""COMPUTED_VALUE"""),190.0)</f>
        <v>190</v>
      </c>
      <c r="N643" s="262" t="str">
        <f>IFERROR(__xludf.DUMMYFUNCTION("""COMPUTED_VALUE"""),"")</f>
        <v/>
      </c>
      <c r="O643" s="259" t="str">
        <f>IFERROR(__xludf.DUMMYFUNCTION("""COMPUTED_VALUE"""),"")</f>
        <v/>
      </c>
      <c r="P643" s="259">
        <f>IFERROR(__xludf.DUMMYFUNCTION("""COMPUTED_VALUE"""),42887.0)</f>
        <v>42887</v>
      </c>
      <c r="Q643" s="258">
        <f>IFERROR(__xludf.DUMMYFUNCTION("""COMPUTED_VALUE"""),3272.0)</f>
        <v>3272</v>
      </c>
      <c r="R643" s="261">
        <f>IFERROR(__xludf.DUMMYFUNCTION("""COMPUTED_VALUE"""),388.0)</f>
        <v>388</v>
      </c>
      <c r="S643" s="258">
        <v>384.0</v>
      </c>
      <c r="T643" s="263">
        <v>1.0104166666666667</v>
      </c>
      <c r="U643" s="264">
        <v>2033.0</v>
      </c>
      <c r="V643" s="265">
        <v>3272.0</v>
      </c>
      <c r="W643" s="264">
        <v>2033.0</v>
      </c>
      <c r="X643" s="266"/>
      <c r="Y643" s="267">
        <v>-0.01</v>
      </c>
      <c r="Z643" s="267">
        <v>0.9939720183266656</v>
      </c>
      <c r="AA643" s="269"/>
      <c r="AB643" s="270"/>
      <c r="AC643" s="270"/>
      <c r="AD643" s="270"/>
      <c r="AE643" s="270"/>
    </row>
    <row r="644">
      <c r="A644" s="256">
        <f>IFERROR(__xludf.DUMMYFUNCTION("""COMPUTED_VALUE"""),42978.59513888889)</f>
        <v>42978.59514</v>
      </c>
      <c r="B644" s="257" t="str">
        <f>IFERROR(__xludf.DUMMYFUNCTION("""COMPUTED_VALUE"""),"iggypop")</f>
        <v>iggypop</v>
      </c>
      <c r="C644" s="258" t="str">
        <f>IFERROR(__xludf.DUMMYFUNCTION("""COMPUTED_VALUE"""),"Europe (excluding UK) &amp; Asia Pacific")</f>
        <v>Europe (excluding UK) &amp; Asia Pacific</v>
      </c>
      <c r="D644" s="258" t="str">
        <f>IFERROR(__xludf.DUMMYFUNCTION("""COMPUTED_VALUE"""),"km. My car displays range in kilometres and I will enter all range numbers in kilometres.")</f>
        <v>km. My car displays range in kilometres and I will enter all range numbers in kilometres.</v>
      </c>
      <c r="E644" s="259">
        <f>IFERROR(__xludf.DUMMYFUNCTION("""COMPUTED_VALUE"""),42853.0)</f>
        <v>42853</v>
      </c>
      <c r="F644" s="258" t="str">
        <f>IFERROR(__xludf.DUMMYFUNCTION("""COMPUTED_VALUE"""),"Model S 75D")</f>
        <v>Model S 75D</v>
      </c>
      <c r="G644" s="258" t="str">
        <f>IFERROR(__xludf.DUMMYFUNCTION("""COMPUTED_VALUE"""),"Weekly")</f>
        <v>Weekly</v>
      </c>
      <c r="H644" s="258" t="str">
        <f>IFERROR(__xludf.DUMMYFUNCTION("""COMPUTED_VALUE"""),"A few times a year")</f>
        <v>A few times a year</v>
      </c>
      <c r="I644" s="258" t="str">
        <f>IFERROR(__xludf.DUMMYFUNCTION("""COMPUTED_VALUE"""),"A few times a year")</f>
        <v>A few times a year</v>
      </c>
      <c r="J644" s="260">
        <f>IFERROR(__xludf.DUMMYFUNCTION("""COMPUTED_VALUE"""),0.9)</f>
        <v>0.9</v>
      </c>
      <c r="K644" s="258" t="str">
        <f>IFERROR(__xludf.DUMMYFUNCTION("""COMPUTED_VALUE"""),"")</f>
        <v/>
      </c>
      <c r="L644" s="258" t="str">
        <f>IFERROR(__xludf.DUMMYFUNCTION("""COMPUTED_VALUE"""),"")</f>
        <v/>
      </c>
      <c r="M644" s="261">
        <f>IFERROR(__xludf.DUMMYFUNCTION("""COMPUTED_VALUE"""),179.0)</f>
        <v>179</v>
      </c>
      <c r="N644" s="262" t="str">
        <f>IFERROR(__xludf.DUMMYFUNCTION("""COMPUTED_VALUE"""),"")</f>
        <v/>
      </c>
      <c r="O644" s="259" t="str">
        <f>IFERROR(__xludf.DUMMYFUNCTION("""COMPUTED_VALUE"""),"")</f>
        <v/>
      </c>
      <c r="P644" s="259">
        <f>IFERROR(__xludf.DUMMYFUNCTION("""COMPUTED_VALUE"""),42978.0)</f>
        <v>42978</v>
      </c>
      <c r="Q644" s="258">
        <f>IFERROR(__xludf.DUMMYFUNCTION("""COMPUTED_VALUE"""),10025.0)</f>
        <v>10025</v>
      </c>
      <c r="R644" s="261">
        <f>IFERROR(__xludf.DUMMYFUNCTION("""COMPUTED_VALUE"""),379.0)</f>
        <v>379</v>
      </c>
      <c r="S644" s="258">
        <v>384.0</v>
      </c>
      <c r="T644" s="263">
        <v>0.9869791666666666</v>
      </c>
      <c r="U644" s="264">
        <v>6229.0</v>
      </c>
      <c r="V644" s="265">
        <v>10025.0</v>
      </c>
      <c r="W644" s="264">
        <v>6229.0</v>
      </c>
      <c r="X644" s="266"/>
      <c r="Y644" s="267">
        <v>-0.01</v>
      </c>
      <c r="Z644" s="267">
        <v>0.98424236296833</v>
      </c>
      <c r="AA644" s="269"/>
      <c r="AB644" s="270"/>
      <c r="AC644" s="270"/>
      <c r="AD644" s="270"/>
      <c r="AE644" s="270"/>
    </row>
    <row r="645">
      <c r="A645" s="256">
        <f>IFERROR(__xludf.DUMMYFUNCTION("""COMPUTED_VALUE"""),42984.924305555556)</f>
        <v>42984.92431</v>
      </c>
      <c r="B645" s="257" t="str">
        <f>IFERROR(__xludf.DUMMYFUNCTION("""COMPUTED_VALUE"""),"iKhalid")</f>
        <v>iKhalid</v>
      </c>
      <c r="C645" s="258" t="str">
        <f>IFERROR(__xludf.DUMMYFUNCTION("""COMPUTED_VALUE"""),"Canada")</f>
        <v>Canada</v>
      </c>
      <c r="D645" s="258" t="str">
        <f>IFERROR(__xludf.DUMMYFUNCTION("""COMPUTED_VALUE"""),"km. My car displays range in kilometres and I will enter all range numbers in kilometres.")</f>
        <v>km. My car displays range in kilometres and I will enter all range numbers in kilometres.</v>
      </c>
      <c r="E645" s="259">
        <f>IFERROR(__xludf.DUMMYFUNCTION("""COMPUTED_VALUE"""),41685.0)</f>
        <v>41685</v>
      </c>
      <c r="F645" s="258" t="str">
        <f>IFERROR(__xludf.DUMMYFUNCTION("""COMPUTED_VALUE"""),"Model S 60")</f>
        <v>Model S 60</v>
      </c>
      <c r="G645" s="258" t="str">
        <f>IFERROR(__xludf.DUMMYFUNCTION("""COMPUTED_VALUE"""),"Monthly")</f>
        <v>Monthly</v>
      </c>
      <c r="H645" s="258" t="str">
        <f>IFERROR(__xludf.DUMMYFUNCTION("""COMPUTED_VALUE"""),"Monthly")</f>
        <v>Monthly</v>
      </c>
      <c r="I645" s="258" t="str">
        <f>IFERROR(__xludf.DUMMYFUNCTION("""COMPUTED_VALUE"""),"A few times a year")</f>
        <v>A few times a year</v>
      </c>
      <c r="J645" s="260">
        <f>IFERROR(__xludf.DUMMYFUNCTION("""COMPUTED_VALUE"""),0.9)</f>
        <v>0.9</v>
      </c>
      <c r="K645" s="258">
        <f>IFERROR(__xludf.DUMMYFUNCTION("""COMPUTED_VALUE"""),335.0)</f>
        <v>335</v>
      </c>
      <c r="L645" s="258" t="str">
        <f>IFERROR(__xludf.DUMMYFUNCTION("""COMPUTED_VALUE"""),"")</f>
        <v/>
      </c>
      <c r="M645" s="261">
        <f>IFERROR(__xludf.DUMMYFUNCTION("""COMPUTED_VALUE"""),220.0)</f>
        <v>220</v>
      </c>
      <c r="N645" s="262" t="str">
        <f>IFERROR(__xludf.DUMMYFUNCTION("""COMPUTED_VALUE"""),"")</f>
        <v/>
      </c>
      <c r="O645" s="259" t="str">
        <f>IFERROR(__xludf.DUMMYFUNCTION("""COMPUTED_VALUE"""),"")</f>
        <v/>
      </c>
      <c r="P645" s="259">
        <f>IFERROR(__xludf.DUMMYFUNCTION("""COMPUTED_VALUE"""),42984.0)</f>
        <v>42984</v>
      </c>
      <c r="Q645" s="258">
        <f>IFERROR(__xludf.DUMMYFUNCTION("""COMPUTED_VALUE"""),92242.0)</f>
        <v>92242</v>
      </c>
      <c r="R645" s="261">
        <f>IFERROR(__xludf.DUMMYFUNCTION("""COMPUTED_VALUE"""),298.0)</f>
        <v>298</v>
      </c>
      <c r="S645" s="258">
        <v>333.0</v>
      </c>
      <c r="T645" s="263">
        <v>0.8948948948948949</v>
      </c>
      <c r="U645" s="264">
        <v>57317.0</v>
      </c>
      <c r="V645" s="265">
        <v>92242.0</v>
      </c>
      <c r="W645" s="264">
        <v>57317.0</v>
      </c>
      <c r="X645" s="266"/>
      <c r="Y645" s="267">
        <v>-0.01</v>
      </c>
      <c r="Z645" s="267">
        <v>0.9484268371349652</v>
      </c>
      <c r="AA645" s="269"/>
      <c r="AB645" s="270"/>
      <c r="AC645" s="270"/>
      <c r="AD645" s="270"/>
      <c r="AE645" s="270"/>
    </row>
    <row r="646">
      <c r="A646" s="256">
        <f>IFERROR(__xludf.DUMMYFUNCTION("""COMPUTED_VALUE"""),42026.06388888889)</f>
        <v>42026.06389</v>
      </c>
      <c r="B646" s="257" t="str">
        <f>IFERROR(__xludf.DUMMYFUNCTION("""COMPUTED_VALUE"""),"in-clusion")</f>
        <v>in-clusion</v>
      </c>
      <c r="C646" s="258" t="str">
        <f>IFERROR(__xludf.DUMMYFUNCTION("""COMPUTED_VALUE"""),"Europe (excluding UK) &amp; Asia Pacific")</f>
        <v>Europe (excluding UK) &amp; Asia Pacific</v>
      </c>
      <c r="D646" s="258" t="str">
        <f>IFERROR(__xludf.DUMMYFUNCTION("""COMPUTED_VALUE"""),"km. My car displays range in kilometres and I will enter all range numbers in kilometres.")</f>
        <v>km. My car displays range in kilometres and I will enter all range numbers in kilometres.</v>
      </c>
      <c r="E646" s="259">
        <f>IFERROR(__xludf.DUMMYFUNCTION("""COMPUTED_VALUE"""),41603.0)</f>
        <v>41603</v>
      </c>
      <c r="F646" s="258" t="str">
        <f>IFERROR(__xludf.DUMMYFUNCTION("""COMPUTED_VALUE"""),"Model S P85+")</f>
        <v>Model S P85+</v>
      </c>
      <c r="G646" s="258" t="str">
        <f>IFERROR(__xludf.DUMMYFUNCTION("""COMPUTED_VALUE"""),"Twice a month")</f>
        <v>Twice a month</v>
      </c>
      <c r="H646" s="258" t="str">
        <f>IFERROR(__xludf.DUMMYFUNCTION("""COMPUTED_VALUE"""),"Monthly")</f>
        <v>Monthly</v>
      </c>
      <c r="I646" s="258" t="str">
        <f>IFERROR(__xludf.DUMMYFUNCTION("""COMPUTED_VALUE"""),"Never")</f>
        <v>Never</v>
      </c>
      <c r="J646" s="260" t="str">
        <f>IFERROR(__xludf.DUMMYFUNCTION("""COMPUTED_VALUE"""),"")</f>
        <v/>
      </c>
      <c r="K646" s="258" t="str">
        <f>IFERROR(__xludf.DUMMYFUNCTION("""COMPUTED_VALUE"""),"")</f>
        <v/>
      </c>
      <c r="L646" s="258" t="str">
        <f>IFERROR(__xludf.DUMMYFUNCTION("""COMPUTED_VALUE"""),"")</f>
        <v/>
      </c>
      <c r="M646" s="261">
        <f>IFERROR(__xludf.DUMMYFUNCTION("""COMPUTED_VALUE"""),228.0)</f>
        <v>228</v>
      </c>
      <c r="N646" s="262" t="str">
        <f>IFERROR(__xludf.DUMMYFUNCTION("""COMPUTED_VALUE"""),"")</f>
        <v/>
      </c>
      <c r="O646" s="259" t="str">
        <f>IFERROR(__xludf.DUMMYFUNCTION("""COMPUTED_VALUE"""),"")</f>
        <v/>
      </c>
      <c r="P646" s="259">
        <f>IFERROR(__xludf.DUMMYFUNCTION("""COMPUTED_VALUE"""),42026.0)</f>
        <v>42026</v>
      </c>
      <c r="Q646" s="258">
        <f>IFERROR(__xludf.DUMMYFUNCTION("""COMPUTED_VALUE"""),36000.0)</f>
        <v>36000</v>
      </c>
      <c r="R646" s="261">
        <f>IFERROR(__xludf.DUMMYFUNCTION("""COMPUTED_VALUE"""),379.0)</f>
        <v>379</v>
      </c>
      <c r="S646" s="258">
        <v>395.0</v>
      </c>
      <c r="T646" s="263">
        <v>0.959493670886076</v>
      </c>
      <c r="U646" s="264">
        <v>22369.0</v>
      </c>
      <c r="V646" s="265">
        <v>36000.0</v>
      </c>
      <c r="W646" s="264">
        <v>22369.0</v>
      </c>
      <c r="X646" s="266"/>
      <c r="Y646" s="267">
        <v>-0.01</v>
      </c>
      <c r="Z646" s="267">
        <v>0.9650099368696152</v>
      </c>
      <c r="AA646" s="269"/>
      <c r="AB646" s="270"/>
      <c r="AC646" s="270"/>
      <c r="AD646" s="270"/>
      <c r="AE646" s="270"/>
    </row>
    <row r="647">
      <c r="A647" s="256">
        <f>IFERROR(__xludf.DUMMYFUNCTION("""COMPUTED_VALUE"""),42083.086805555555)</f>
        <v>42083.08681</v>
      </c>
      <c r="B647" s="257" t="str">
        <f>IFERROR(__xludf.DUMMYFUNCTION("""COMPUTED_VALUE"""),"in-clusion")</f>
        <v>in-clusion</v>
      </c>
      <c r="C647" s="258" t="str">
        <f>IFERROR(__xludf.DUMMYFUNCTION("""COMPUTED_VALUE"""),"Europe (excluding UK) &amp; Asia Pacific")</f>
        <v>Europe (excluding UK) &amp; Asia Pacific</v>
      </c>
      <c r="D647" s="258" t="str">
        <f>IFERROR(__xludf.DUMMYFUNCTION("""COMPUTED_VALUE"""),"km. My car displays range in kilometres and I will enter all range numbers in kilometres.")</f>
        <v>km. My car displays range in kilometres and I will enter all range numbers in kilometres.</v>
      </c>
      <c r="E647" s="259">
        <f>IFERROR(__xludf.DUMMYFUNCTION("""COMPUTED_VALUE"""),41603.0)</f>
        <v>41603</v>
      </c>
      <c r="F647" s="258" t="str">
        <f>IFERROR(__xludf.DUMMYFUNCTION("""COMPUTED_VALUE"""),"Model S P85+")</f>
        <v>Model S P85+</v>
      </c>
      <c r="G647" s="258" t="str">
        <f>IFERROR(__xludf.DUMMYFUNCTION("""COMPUTED_VALUE"""),"Twice a month")</f>
        <v>Twice a month</v>
      </c>
      <c r="H647" s="258" t="str">
        <f>IFERROR(__xludf.DUMMYFUNCTION("""COMPUTED_VALUE"""),"Twice a month")</f>
        <v>Twice a month</v>
      </c>
      <c r="I647" s="258" t="str">
        <f>IFERROR(__xludf.DUMMYFUNCTION("""COMPUTED_VALUE"""),"Never")</f>
        <v>Never</v>
      </c>
      <c r="J647" s="260" t="str">
        <f>IFERROR(__xludf.DUMMYFUNCTION("""COMPUTED_VALUE"""),"")</f>
        <v/>
      </c>
      <c r="K647" s="258" t="str">
        <f>IFERROR(__xludf.DUMMYFUNCTION("""COMPUTED_VALUE"""),"")</f>
        <v/>
      </c>
      <c r="L647" s="258" t="str">
        <f>IFERROR(__xludf.DUMMYFUNCTION("""COMPUTED_VALUE"""),"")</f>
        <v/>
      </c>
      <c r="M647" s="261">
        <f>IFERROR(__xludf.DUMMYFUNCTION("""COMPUTED_VALUE"""),228.0)</f>
        <v>228</v>
      </c>
      <c r="N647" s="262" t="str">
        <f>IFERROR(__xludf.DUMMYFUNCTION("""COMPUTED_VALUE"""),"")</f>
        <v/>
      </c>
      <c r="O647" s="259" t="str">
        <f>IFERROR(__xludf.DUMMYFUNCTION("""COMPUTED_VALUE"""),"")</f>
        <v/>
      </c>
      <c r="P647" s="259">
        <f>IFERROR(__xludf.DUMMYFUNCTION("""COMPUTED_VALUE"""),42083.0)</f>
        <v>42083</v>
      </c>
      <c r="Q647" s="258">
        <f>IFERROR(__xludf.DUMMYFUNCTION("""COMPUTED_VALUE"""),41000.0)</f>
        <v>41000</v>
      </c>
      <c r="R647" s="261">
        <f>IFERROR(__xludf.DUMMYFUNCTION("""COMPUTED_VALUE"""),374.0)</f>
        <v>374</v>
      </c>
      <c r="S647" s="258">
        <v>395.0</v>
      </c>
      <c r="T647" s="263">
        <v>0.9468354430379747</v>
      </c>
      <c r="U647" s="264">
        <v>25476.0</v>
      </c>
      <c r="V647" s="265">
        <v>41000.0</v>
      </c>
      <c r="W647" s="264">
        <v>25476.0</v>
      </c>
      <c r="X647" s="266"/>
      <c r="Y647" s="267">
        <v>-0.01</v>
      </c>
      <c r="Z647" s="267">
        <v>0.9629097915102499</v>
      </c>
      <c r="AA647" s="269"/>
      <c r="AB647" s="270"/>
      <c r="AC647" s="270"/>
      <c r="AD647" s="270"/>
      <c r="AE647" s="270"/>
    </row>
    <row r="648">
      <c r="A648" s="256">
        <f>IFERROR(__xludf.DUMMYFUNCTION("""COMPUTED_VALUE"""),42113.100694444445)</f>
        <v>42113.10069</v>
      </c>
      <c r="B648" s="257" t="str">
        <f>IFERROR(__xludf.DUMMYFUNCTION("""COMPUTED_VALUE"""),"in-clusion")</f>
        <v>in-clusion</v>
      </c>
      <c r="C648" s="258" t="str">
        <f>IFERROR(__xludf.DUMMYFUNCTION("""COMPUTED_VALUE"""),"Europe (excluding UK) &amp; Asia Pacific")</f>
        <v>Europe (excluding UK) &amp; Asia Pacific</v>
      </c>
      <c r="D648" s="258" t="str">
        <f>IFERROR(__xludf.DUMMYFUNCTION("""COMPUTED_VALUE"""),"km. My car displays range in kilometres and I will enter all range numbers in kilometres.")</f>
        <v>km. My car displays range in kilometres and I will enter all range numbers in kilometres.</v>
      </c>
      <c r="E648" s="259">
        <f>IFERROR(__xludf.DUMMYFUNCTION("""COMPUTED_VALUE"""),41603.0)</f>
        <v>41603</v>
      </c>
      <c r="F648" s="258" t="str">
        <f>IFERROR(__xludf.DUMMYFUNCTION("""COMPUTED_VALUE"""),"Model S P85+")</f>
        <v>Model S P85+</v>
      </c>
      <c r="G648" s="258" t="str">
        <f>IFERROR(__xludf.DUMMYFUNCTION("""COMPUTED_VALUE"""),"Twice a month")</f>
        <v>Twice a month</v>
      </c>
      <c r="H648" s="258" t="str">
        <f>IFERROR(__xludf.DUMMYFUNCTION("""COMPUTED_VALUE"""),"Twice a month")</f>
        <v>Twice a month</v>
      </c>
      <c r="I648" s="258" t="str">
        <f>IFERROR(__xludf.DUMMYFUNCTION("""COMPUTED_VALUE"""),"Never")</f>
        <v>Never</v>
      </c>
      <c r="J648" s="260" t="str">
        <f>IFERROR(__xludf.DUMMYFUNCTION("""COMPUTED_VALUE"""),"")</f>
        <v/>
      </c>
      <c r="K648" s="258" t="str">
        <f>IFERROR(__xludf.DUMMYFUNCTION("""COMPUTED_VALUE"""),"")</f>
        <v/>
      </c>
      <c r="L648" s="258" t="str">
        <f>IFERROR(__xludf.DUMMYFUNCTION("""COMPUTED_VALUE"""),"")</f>
        <v/>
      </c>
      <c r="M648" s="261">
        <f>IFERROR(__xludf.DUMMYFUNCTION("""COMPUTED_VALUE"""),230.0)</f>
        <v>230</v>
      </c>
      <c r="N648" s="262" t="str">
        <f>IFERROR(__xludf.DUMMYFUNCTION("""COMPUTED_VALUE"""),"")</f>
        <v/>
      </c>
      <c r="O648" s="259" t="str">
        <f>IFERROR(__xludf.DUMMYFUNCTION("""COMPUTED_VALUE"""),"")</f>
        <v/>
      </c>
      <c r="P648" s="259">
        <f>IFERROR(__xludf.DUMMYFUNCTION("""COMPUTED_VALUE"""),42113.0)</f>
        <v>42113</v>
      </c>
      <c r="Q648" s="258">
        <f>IFERROR(__xludf.DUMMYFUNCTION("""COMPUTED_VALUE"""),45800.0)</f>
        <v>45800</v>
      </c>
      <c r="R648" s="261">
        <f>IFERROR(__xludf.DUMMYFUNCTION("""COMPUTED_VALUE"""),374.0)</f>
        <v>374</v>
      </c>
      <c r="S648" s="258">
        <v>395.0</v>
      </c>
      <c r="T648" s="263">
        <v>0.9468354430379747</v>
      </c>
      <c r="U648" s="264">
        <v>28459.0</v>
      </c>
      <c r="V648" s="265">
        <v>45800.0</v>
      </c>
      <c r="W648" s="264">
        <v>28459.0</v>
      </c>
      <c r="X648" s="266"/>
      <c r="Y648" s="267">
        <v>-0.01</v>
      </c>
      <c r="Z648" s="267">
        <v>0.9611191883685749</v>
      </c>
      <c r="AA648" s="269"/>
      <c r="AB648" s="270"/>
      <c r="AC648" s="270"/>
      <c r="AD648" s="270"/>
      <c r="AE648" s="270"/>
    </row>
    <row r="649">
      <c r="A649" s="256">
        <f>IFERROR(__xludf.DUMMYFUNCTION("""COMPUTED_VALUE"""),42167.1375)</f>
        <v>42167.1375</v>
      </c>
      <c r="B649" s="257" t="str">
        <f>IFERROR(__xludf.DUMMYFUNCTION("""COMPUTED_VALUE"""),"in-clusion")</f>
        <v>in-clusion</v>
      </c>
      <c r="C649" s="258" t="str">
        <f>IFERROR(__xludf.DUMMYFUNCTION("""COMPUTED_VALUE"""),"Europe (excluding UK) &amp; Asia Pacific")</f>
        <v>Europe (excluding UK) &amp; Asia Pacific</v>
      </c>
      <c r="D649" s="258" t="str">
        <f>IFERROR(__xludf.DUMMYFUNCTION("""COMPUTED_VALUE"""),"km. My car displays range in kilometres and I will enter all range numbers in kilometres.")</f>
        <v>km. My car displays range in kilometres and I will enter all range numbers in kilometres.</v>
      </c>
      <c r="E649" s="259">
        <f>IFERROR(__xludf.DUMMYFUNCTION("""COMPUTED_VALUE"""),41603.0)</f>
        <v>41603</v>
      </c>
      <c r="F649" s="258" t="str">
        <f>IFERROR(__xludf.DUMMYFUNCTION("""COMPUTED_VALUE"""),"Model S P85+")</f>
        <v>Model S P85+</v>
      </c>
      <c r="G649" s="258" t="str">
        <f>IFERROR(__xludf.DUMMYFUNCTION("""COMPUTED_VALUE"""),"A few times a year")</f>
        <v>A few times a year</v>
      </c>
      <c r="H649" s="258" t="str">
        <f>IFERROR(__xludf.DUMMYFUNCTION("""COMPUTED_VALUE"""),"Weekly")</f>
        <v>Weekly</v>
      </c>
      <c r="I649" s="258" t="str">
        <f>IFERROR(__xludf.DUMMYFUNCTION("""COMPUTED_VALUE"""),"Never")</f>
        <v>Never</v>
      </c>
      <c r="J649" s="260">
        <f>IFERROR(__xludf.DUMMYFUNCTION("""COMPUTED_VALUE"""),0.8)</f>
        <v>0.8</v>
      </c>
      <c r="K649" s="258">
        <f>IFERROR(__xludf.DUMMYFUNCTION("""COMPUTED_VALUE"""),400.0)</f>
        <v>400</v>
      </c>
      <c r="L649" s="258" t="str">
        <f>IFERROR(__xludf.DUMMYFUNCTION("""COMPUTED_VALUE"""),"")</f>
        <v/>
      </c>
      <c r="M649" s="261">
        <f>IFERROR(__xludf.DUMMYFUNCTION("""COMPUTED_VALUE"""),220.0)</f>
        <v>220</v>
      </c>
      <c r="N649" s="262" t="str">
        <f>IFERROR(__xludf.DUMMYFUNCTION("""COMPUTED_VALUE"""),"")</f>
        <v/>
      </c>
      <c r="O649" s="259" t="str">
        <f>IFERROR(__xludf.DUMMYFUNCTION("""COMPUTED_VALUE"""),"")</f>
        <v/>
      </c>
      <c r="P649" s="259">
        <f>IFERROR(__xludf.DUMMYFUNCTION("""COMPUTED_VALUE"""),42167.0)</f>
        <v>42167</v>
      </c>
      <c r="Q649" s="258">
        <f>IFERROR(__xludf.DUMMYFUNCTION("""COMPUTED_VALUE"""),54000.0)</f>
        <v>54000</v>
      </c>
      <c r="R649" s="261">
        <f>IFERROR(__xludf.DUMMYFUNCTION("""COMPUTED_VALUE"""),384.0)</f>
        <v>384</v>
      </c>
      <c r="S649" s="258">
        <v>395.0</v>
      </c>
      <c r="T649" s="263">
        <v>0.9721518987341772</v>
      </c>
      <c r="U649" s="264">
        <v>33554.0</v>
      </c>
      <c r="V649" s="265">
        <v>54000.0</v>
      </c>
      <c r="W649" s="264">
        <v>33554.0</v>
      </c>
      <c r="X649" s="266"/>
      <c r="Y649" s="267">
        <v>-0.01</v>
      </c>
      <c r="Z649" s="267">
        <v>0.9584227207266385</v>
      </c>
      <c r="AA649" s="269"/>
      <c r="AB649" s="270"/>
      <c r="AC649" s="270"/>
      <c r="AD649" s="270"/>
      <c r="AE649" s="270"/>
    </row>
    <row r="650">
      <c r="A650" s="256">
        <f>IFERROR(__xludf.DUMMYFUNCTION("""COMPUTED_VALUE"""),42300.20833333333)</f>
        <v>42300.20833</v>
      </c>
      <c r="B650" s="257" t="str">
        <f>IFERROR(__xludf.DUMMYFUNCTION("""COMPUTED_VALUE"""),"in-clusion")</f>
        <v>in-clusion</v>
      </c>
      <c r="C650" s="258" t="str">
        <f>IFERROR(__xludf.DUMMYFUNCTION("""COMPUTED_VALUE"""),"Europe (excluding UK) &amp; Asia Pacific")</f>
        <v>Europe (excluding UK) &amp; Asia Pacific</v>
      </c>
      <c r="D650" s="258" t="str">
        <f>IFERROR(__xludf.DUMMYFUNCTION("""COMPUTED_VALUE"""),"km. My car displays range in kilometres and I will enter all range numbers in kilometres.")</f>
        <v>km. My car displays range in kilometres and I will enter all range numbers in kilometres.</v>
      </c>
      <c r="E650" s="259">
        <f>IFERROR(__xludf.DUMMYFUNCTION("""COMPUTED_VALUE"""),41603.0)</f>
        <v>41603</v>
      </c>
      <c r="F650" s="258" t="str">
        <f>IFERROR(__xludf.DUMMYFUNCTION("""COMPUTED_VALUE"""),"Model S P85+")</f>
        <v>Model S P85+</v>
      </c>
      <c r="G650" s="258" t="str">
        <f>IFERROR(__xludf.DUMMYFUNCTION("""COMPUTED_VALUE"""),"")</f>
        <v/>
      </c>
      <c r="H650" s="258" t="str">
        <f>IFERROR(__xludf.DUMMYFUNCTION("""COMPUTED_VALUE"""),"")</f>
        <v/>
      </c>
      <c r="I650" s="258" t="str">
        <f>IFERROR(__xludf.DUMMYFUNCTION("""COMPUTED_VALUE"""),"")</f>
        <v/>
      </c>
      <c r="J650" s="260" t="str">
        <f>IFERROR(__xludf.DUMMYFUNCTION("""COMPUTED_VALUE"""),"")</f>
        <v/>
      </c>
      <c r="K650" s="258" t="str">
        <f>IFERROR(__xludf.DUMMYFUNCTION("""COMPUTED_VALUE"""),"")</f>
        <v/>
      </c>
      <c r="L650" s="258" t="str">
        <f>IFERROR(__xludf.DUMMYFUNCTION("""COMPUTED_VALUE"""),"")</f>
        <v/>
      </c>
      <c r="M650" s="261">
        <f>IFERROR(__xludf.DUMMYFUNCTION("""COMPUTED_VALUE"""),226.0)</f>
        <v>226</v>
      </c>
      <c r="N650" s="262" t="str">
        <f>IFERROR(__xludf.DUMMYFUNCTION("""COMPUTED_VALUE"""),"")</f>
        <v/>
      </c>
      <c r="O650" s="259" t="str">
        <f>IFERROR(__xludf.DUMMYFUNCTION("""COMPUTED_VALUE"""),"")</f>
        <v/>
      </c>
      <c r="P650" s="259">
        <f>IFERROR(__xludf.DUMMYFUNCTION("""COMPUTED_VALUE"""),42300.0)</f>
        <v>42300</v>
      </c>
      <c r="Q650" s="258">
        <f>IFERROR(__xludf.DUMMYFUNCTION("""COMPUTED_VALUE"""),74000.0)</f>
        <v>74000</v>
      </c>
      <c r="R650" s="261">
        <f>IFERROR(__xludf.DUMMYFUNCTION("""COMPUTED_VALUE"""),368.0)</f>
        <v>368</v>
      </c>
      <c r="S650" s="258">
        <v>395.0</v>
      </c>
      <c r="T650" s="263">
        <v>0.9316455696202531</v>
      </c>
      <c r="U650" s="264">
        <v>45981.0</v>
      </c>
      <c r="V650" s="265">
        <v>74000.0</v>
      </c>
      <c r="W650" s="264">
        <v>45981.0</v>
      </c>
      <c r="X650" s="266"/>
      <c r="Y650" s="267">
        <v>-0.01</v>
      </c>
      <c r="Z650" s="267">
        <v>0.9529036917010625</v>
      </c>
      <c r="AA650" s="269"/>
      <c r="AB650" s="270"/>
      <c r="AC650" s="270"/>
      <c r="AD650" s="270"/>
      <c r="AE650" s="270"/>
    </row>
    <row r="651">
      <c r="A651" s="256">
        <f>IFERROR(__xludf.DUMMYFUNCTION("""COMPUTED_VALUE"""),42348.24444444444)</f>
        <v>42348.24444</v>
      </c>
      <c r="B651" s="257" t="str">
        <f>IFERROR(__xludf.DUMMYFUNCTION("""COMPUTED_VALUE"""),"in-clusion")</f>
        <v>in-clusion</v>
      </c>
      <c r="C651" s="258" t="str">
        <f>IFERROR(__xludf.DUMMYFUNCTION("""COMPUTED_VALUE"""),"Europe (excluding UK) &amp; Asia Pacific")</f>
        <v>Europe (excluding UK) &amp; Asia Pacific</v>
      </c>
      <c r="D651" s="258" t="str">
        <f>IFERROR(__xludf.DUMMYFUNCTION("""COMPUTED_VALUE"""),"km. My car displays range in kilometres and I will enter all range numbers in kilometres.")</f>
        <v>km. My car displays range in kilometres and I will enter all range numbers in kilometres.</v>
      </c>
      <c r="E651" s="259">
        <f>IFERROR(__xludf.DUMMYFUNCTION("""COMPUTED_VALUE"""),41603.0)</f>
        <v>41603</v>
      </c>
      <c r="F651" s="258" t="str">
        <f>IFERROR(__xludf.DUMMYFUNCTION("""COMPUTED_VALUE"""),"Model S P85+")</f>
        <v>Model S P85+</v>
      </c>
      <c r="G651" s="258" t="str">
        <f>IFERROR(__xludf.DUMMYFUNCTION("""COMPUTED_VALUE"""),"A few times a year")</f>
        <v>A few times a year</v>
      </c>
      <c r="H651" s="258" t="str">
        <f>IFERROR(__xludf.DUMMYFUNCTION("""COMPUTED_VALUE"""),"Weekly")</f>
        <v>Weekly</v>
      </c>
      <c r="I651" s="258" t="str">
        <f>IFERROR(__xludf.DUMMYFUNCTION("""COMPUTED_VALUE"""),"Once or twice a year")</f>
        <v>Once or twice a year</v>
      </c>
      <c r="J651" s="260">
        <f>IFERROR(__xludf.DUMMYFUNCTION("""COMPUTED_VALUE"""),0.9)</f>
        <v>0.9</v>
      </c>
      <c r="K651" s="258">
        <f>IFERROR(__xludf.DUMMYFUNCTION("""COMPUTED_VALUE"""),400.0)</f>
        <v>400</v>
      </c>
      <c r="L651" s="258" t="str">
        <f>IFERROR(__xludf.DUMMYFUNCTION("""COMPUTED_VALUE"""),"")</f>
        <v/>
      </c>
      <c r="M651" s="261">
        <f>IFERROR(__xludf.DUMMYFUNCTION("""COMPUTED_VALUE"""),224.0)</f>
        <v>224</v>
      </c>
      <c r="N651" s="262" t="str">
        <f>IFERROR(__xludf.DUMMYFUNCTION("""COMPUTED_VALUE"""),"")</f>
        <v/>
      </c>
      <c r="O651" s="259" t="str">
        <f>IFERROR(__xludf.DUMMYFUNCTION("""COMPUTED_VALUE"""),"")</f>
        <v/>
      </c>
      <c r="P651" s="259">
        <f>IFERROR(__xludf.DUMMYFUNCTION("""COMPUTED_VALUE"""),42348.0)</f>
        <v>42348</v>
      </c>
      <c r="Q651" s="258">
        <f>IFERROR(__xludf.DUMMYFUNCTION("""COMPUTED_VALUE"""),80000.0)</f>
        <v>80000</v>
      </c>
      <c r="R651" s="261">
        <f>IFERROR(__xludf.DUMMYFUNCTION("""COMPUTED_VALUE"""),361.0)</f>
        <v>361</v>
      </c>
      <c r="S651" s="258">
        <v>395.0</v>
      </c>
      <c r="T651" s="263">
        <v>0.9139240506329114</v>
      </c>
      <c r="U651" s="264">
        <v>49710.0</v>
      </c>
      <c r="V651" s="265">
        <v>80000.0</v>
      </c>
      <c r="W651" s="264">
        <v>49710.0</v>
      </c>
      <c r="X651" s="266"/>
      <c r="Y651" s="267">
        <v>-0.01</v>
      </c>
      <c r="Z651" s="267">
        <v>0.9513984570191487</v>
      </c>
      <c r="AA651" s="269"/>
      <c r="AB651" s="270"/>
      <c r="AC651" s="270"/>
      <c r="AD651" s="270"/>
      <c r="AE651" s="270"/>
    </row>
    <row r="652">
      <c r="A652" s="256">
        <f>IFERROR(__xludf.DUMMYFUNCTION("""COMPUTED_VALUE"""),42354.25208333333)</f>
        <v>42354.25208</v>
      </c>
      <c r="B652" s="257" t="str">
        <f>IFERROR(__xludf.DUMMYFUNCTION("""COMPUTED_VALUE"""),"in-clusion")</f>
        <v>in-clusion</v>
      </c>
      <c r="C652" s="258" t="str">
        <f>IFERROR(__xludf.DUMMYFUNCTION("""COMPUTED_VALUE"""),"Europe (excluding UK) &amp; Asia Pacific")</f>
        <v>Europe (excluding UK) &amp; Asia Pacific</v>
      </c>
      <c r="D652" s="258" t="str">
        <f>IFERROR(__xludf.DUMMYFUNCTION("""COMPUTED_VALUE"""),"km. My car displays range in kilometres and I will enter all range numbers in kilometres.")</f>
        <v>km. My car displays range in kilometres and I will enter all range numbers in kilometres.</v>
      </c>
      <c r="E652" s="259">
        <f>IFERROR(__xludf.DUMMYFUNCTION("""COMPUTED_VALUE"""),41603.0)</f>
        <v>41603</v>
      </c>
      <c r="F652" s="258" t="str">
        <f>IFERROR(__xludf.DUMMYFUNCTION("""COMPUTED_VALUE"""),"Model S P85+")</f>
        <v>Model S P85+</v>
      </c>
      <c r="G652" s="258" t="str">
        <f>IFERROR(__xludf.DUMMYFUNCTION("""COMPUTED_VALUE"""),"A few times a year")</f>
        <v>A few times a year</v>
      </c>
      <c r="H652" s="258" t="str">
        <f>IFERROR(__xludf.DUMMYFUNCTION("""COMPUTED_VALUE"""),"Weekly")</f>
        <v>Weekly</v>
      </c>
      <c r="I652" s="258" t="str">
        <f>IFERROR(__xludf.DUMMYFUNCTION("""COMPUTED_VALUE"""),"A few times a year")</f>
        <v>A few times a year</v>
      </c>
      <c r="J652" s="260">
        <f>IFERROR(__xludf.DUMMYFUNCTION("""COMPUTED_VALUE"""),0.9)</f>
        <v>0.9</v>
      </c>
      <c r="K652" s="258">
        <f>IFERROR(__xludf.DUMMYFUNCTION("""COMPUTED_VALUE"""),400.0)</f>
        <v>400</v>
      </c>
      <c r="L652" s="258" t="str">
        <f>IFERROR(__xludf.DUMMYFUNCTION("""COMPUTED_VALUE"""),"")</f>
        <v/>
      </c>
      <c r="M652" s="261">
        <f>IFERROR(__xludf.DUMMYFUNCTION("""COMPUTED_VALUE"""),225.0)</f>
        <v>225</v>
      </c>
      <c r="N652" s="262" t="str">
        <f>IFERROR(__xludf.DUMMYFUNCTION("""COMPUTED_VALUE"""),"")</f>
        <v/>
      </c>
      <c r="O652" s="259" t="str">
        <f>IFERROR(__xludf.DUMMYFUNCTION("""COMPUTED_VALUE"""),"")</f>
        <v/>
      </c>
      <c r="P652" s="259">
        <f>IFERROR(__xludf.DUMMYFUNCTION("""COMPUTED_VALUE"""),42354.0)</f>
        <v>42354</v>
      </c>
      <c r="Q652" s="258">
        <f>IFERROR(__xludf.DUMMYFUNCTION("""COMPUTED_VALUE"""),80690.0)</f>
        <v>80690</v>
      </c>
      <c r="R652" s="261">
        <f>IFERROR(__xludf.DUMMYFUNCTION("""COMPUTED_VALUE"""),367.0)</f>
        <v>367</v>
      </c>
      <c r="S652" s="258">
        <v>395.0</v>
      </c>
      <c r="T652" s="263">
        <v>0.9291139240506329</v>
      </c>
      <c r="U652" s="264">
        <v>50138.0</v>
      </c>
      <c r="V652" s="265">
        <v>80690.0</v>
      </c>
      <c r="W652" s="264">
        <v>50138.0</v>
      </c>
      <c r="X652" s="266"/>
      <c r="Y652" s="267">
        <v>-0.01</v>
      </c>
      <c r="Z652" s="267">
        <v>0.9512278787411245</v>
      </c>
      <c r="AA652" s="269"/>
      <c r="AB652" s="270"/>
      <c r="AC652" s="270"/>
      <c r="AD652" s="270"/>
      <c r="AE652" s="270"/>
    </row>
    <row r="653">
      <c r="A653" s="256">
        <f>IFERROR(__xludf.DUMMYFUNCTION("""COMPUTED_VALUE"""),42355.25277777778)</f>
        <v>42355.25278</v>
      </c>
      <c r="B653" s="257" t="str">
        <f>IFERROR(__xludf.DUMMYFUNCTION("""COMPUTED_VALUE"""),"in-clusion")</f>
        <v>in-clusion</v>
      </c>
      <c r="C653" s="258" t="str">
        <f>IFERROR(__xludf.DUMMYFUNCTION("""COMPUTED_VALUE"""),"Europe (excluding UK) &amp; Asia Pacific")</f>
        <v>Europe (excluding UK) &amp; Asia Pacific</v>
      </c>
      <c r="D653" s="258" t="str">
        <f>IFERROR(__xludf.DUMMYFUNCTION("""COMPUTED_VALUE"""),"km. My car displays range in kilometres and I will enter all range numbers in kilometres.")</f>
        <v>km. My car displays range in kilometres and I will enter all range numbers in kilometres.</v>
      </c>
      <c r="E653" s="259">
        <f>IFERROR(__xludf.DUMMYFUNCTION("""COMPUTED_VALUE"""),41603.0)</f>
        <v>41603</v>
      </c>
      <c r="F653" s="258" t="str">
        <f>IFERROR(__xludf.DUMMYFUNCTION("""COMPUTED_VALUE"""),"Model S P85+")</f>
        <v>Model S P85+</v>
      </c>
      <c r="G653" s="258" t="str">
        <f>IFERROR(__xludf.DUMMYFUNCTION("""COMPUTED_VALUE"""),"A few times a year")</f>
        <v>A few times a year</v>
      </c>
      <c r="H653" s="258" t="str">
        <f>IFERROR(__xludf.DUMMYFUNCTION("""COMPUTED_VALUE"""),"Weekly")</f>
        <v>Weekly</v>
      </c>
      <c r="I653" s="258" t="str">
        <f>IFERROR(__xludf.DUMMYFUNCTION("""COMPUTED_VALUE"""),"A few times a year")</f>
        <v>A few times a year</v>
      </c>
      <c r="J653" s="260">
        <f>IFERROR(__xludf.DUMMYFUNCTION("""COMPUTED_VALUE"""),0.9)</f>
        <v>0.9</v>
      </c>
      <c r="K653" s="258">
        <f>IFERROR(__xludf.DUMMYFUNCTION("""COMPUTED_VALUE"""),400.0)</f>
        <v>400</v>
      </c>
      <c r="L653" s="258" t="str">
        <f>IFERROR(__xludf.DUMMYFUNCTION("""COMPUTED_VALUE"""),"")</f>
        <v/>
      </c>
      <c r="M653" s="261">
        <f>IFERROR(__xludf.DUMMYFUNCTION("""COMPUTED_VALUE"""),225.0)</f>
        <v>225</v>
      </c>
      <c r="N653" s="262" t="str">
        <f>IFERROR(__xludf.DUMMYFUNCTION("""COMPUTED_VALUE"""),"")</f>
        <v/>
      </c>
      <c r="O653" s="259" t="str">
        <f>IFERROR(__xludf.DUMMYFUNCTION("""COMPUTED_VALUE"""),"")</f>
        <v/>
      </c>
      <c r="P653" s="259">
        <f>IFERROR(__xludf.DUMMYFUNCTION("""COMPUTED_VALUE"""),42355.0)</f>
        <v>42355</v>
      </c>
      <c r="Q653" s="258">
        <f>IFERROR(__xludf.DUMMYFUNCTION("""COMPUTED_VALUE"""),80941.0)</f>
        <v>80941</v>
      </c>
      <c r="R653" s="261">
        <f>IFERROR(__xludf.DUMMYFUNCTION("""COMPUTED_VALUE"""),366.0)</f>
        <v>366</v>
      </c>
      <c r="S653" s="258">
        <v>395.0</v>
      </c>
      <c r="T653" s="263">
        <v>0.9265822784810127</v>
      </c>
      <c r="U653" s="264">
        <v>50294.0</v>
      </c>
      <c r="V653" s="265">
        <v>80941.0</v>
      </c>
      <c r="W653" s="264">
        <v>50294.0</v>
      </c>
      <c r="X653" s="266"/>
      <c r="Y653" s="267">
        <v>-0.01</v>
      </c>
      <c r="Z653" s="267">
        <v>0.9511659402513173</v>
      </c>
      <c r="AA653" s="269"/>
      <c r="AB653" s="270"/>
      <c r="AC653" s="270"/>
      <c r="AD653" s="270"/>
      <c r="AE653" s="270"/>
    </row>
    <row r="654">
      <c r="A654" s="256">
        <f>IFERROR(__xludf.DUMMYFUNCTION("""COMPUTED_VALUE"""),42358.25555555556)</f>
        <v>42358.25556</v>
      </c>
      <c r="B654" s="257" t="str">
        <f>IFERROR(__xludf.DUMMYFUNCTION("""COMPUTED_VALUE"""),"in-clusion")</f>
        <v>in-clusion</v>
      </c>
      <c r="C654" s="258" t="str">
        <f>IFERROR(__xludf.DUMMYFUNCTION("""COMPUTED_VALUE"""),"Europe (excluding UK) &amp; Asia Pacific")</f>
        <v>Europe (excluding UK) &amp; Asia Pacific</v>
      </c>
      <c r="D654" s="258" t="str">
        <f>IFERROR(__xludf.DUMMYFUNCTION("""COMPUTED_VALUE"""),"km. My car displays range in kilometres and I will enter all range numbers in kilometres.")</f>
        <v>km. My car displays range in kilometres and I will enter all range numbers in kilometres.</v>
      </c>
      <c r="E654" s="259">
        <f>IFERROR(__xludf.DUMMYFUNCTION("""COMPUTED_VALUE"""),41603.0)</f>
        <v>41603</v>
      </c>
      <c r="F654" s="258" t="str">
        <f>IFERROR(__xludf.DUMMYFUNCTION("""COMPUTED_VALUE"""),"Model S P85+")</f>
        <v>Model S P85+</v>
      </c>
      <c r="G654" s="258" t="str">
        <f>IFERROR(__xludf.DUMMYFUNCTION("""COMPUTED_VALUE"""),"A few times a year")</f>
        <v>A few times a year</v>
      </c>
      <c r="H654" s="258" t="str">
        <f>IFERROR(__xludf.DUMMYFUNCTION("""COMPUTED_VALUE"""),"Weekly")</f>
        <v>Weekly</v>
      </c>
      <c r="I654" s="258" t="str">
        <f>IFERROR(__xludf.DUMMYFUNCTION("""COMPUTED_VALUE"""),"A few times a year")</f>
        <v>A few times a year</v>
      </c>
      <c r="J654" s="260">
        <f>IFERROR(__xludf.DUMMYFUNCTION("""COMPUTED_VALUE"""),0.9)</f>
        <v>0.9</v>
      </c>
      <c r="K654" s="258">
        <f>IFERROR(__xludf.DUMMYFUNCTION("""COMPUTED_VALUE"""),400.0)</f>
        <v>400</v>
      </c>
      <c r="L654" s="258" t="str">
        <f>IFERROR(__xludf.DUMMYFUNCTION("""COMPUTED_VALUE"""),"")</f>
        <v/>
      </c>
      <c r="M654" s="261">
        <f>IFERROR(__xludf.DUMMYFUNCTION("""COMPUTED_VALUE"""),225.0)</f>
        <v>225</v>
      </c>
      <c r="N654" s="262" t="str">
        <f>IFERROR(__xludf.DUMMYFUNCTION("""COMPUTED_VALUE"""),"")</f>
        <v/>
      </c>
      <c r="O654" s="259" t="str">
        <f>IFERROR(__xludf.DUMMYFUNCTION("""COMPUTED_VALUE"""),"")</f>
        <v/>
      </c>
      <c r="P654" s="259">
        <f>IFERROR(__xludf.DUMMYFUNCTION("""COMPUTED_VALUE"""),42358.0)</f>
        <v>42358</v>
      </c>
      <c r="Q654" s="258">
        <f>IFERROR(__xludf.DUMMYFUNCTION("""COMPUTED_VALUE"""),81620.0)</f>
        <v>81620</v>
      </c>
      <c r="R654" s="261">
        <f>IFERROR(__xludf.DUMMYFUNCTION("""COMPUTED_VALUE"""),370.0)</f>
        <v>370</v>
      </c>
      <c r="S654" s="258">
        <v>395.0</v>
      </c>
      <c r="T654" s="263">
        <v>0.9367088607594937</v>
      </c>
      <c r="U654" s="264">
        <v>50716.0</v>
      </c>
      <c r="V654" s="265">
        <v>81620.0</v>
      </c>
      <c r="W654" s="264">
        <v>50716.0</v>
      </c>
      <c r="X654" s="266"/>
      <c r="Y654" s="267">
        <v>-0.01</v>
      </c>
      <c r="Z654" s="267">
        <v>0.9509986768780898</v>
      </c>
      <c r="AA654" s="269"/>
      <c r="AB654" s="270"/>
      <c r="AC654" s="270"/>
      <c r="AD654" s="270"/>
      <c r="AE654" s="270"/>
    </row>
    <row r="655">
      <c r="A655" s="256">
        <f>IFERROR(__xludf.DUMMYFUNCTION("""COMPUTED_VALUE"""),42414.2875)</f>
        <v>42414.2875</v>
      </c>
      <c r="B655" s="257" t="str">
        <f>IFERROR(__xludf.DUMMYFUNCTION("""COMPUTED_VALUE"""),"in-clusion")</f>
        <v>in-clusion</v>
      </c>
      <c r="C655" s="258" t="str">
        <f>IFERROR(__xludf.DUMMYFUNCTION("""COMPUTED_VALUE"""),"Europe (excluding UK) &amp; Asia Pacific")</f>
        <v>Europe (excluding UK) &amp; Asia Pacific</v>
      </c>
      <c r="D655" s="258" t="str">
        <f>IFERROR(__xludf.DUMMYFUNCTION("""COMPUTED_VALUE"""),"km. My car displays range in kilometres and I will enter all range numbers in kilometres.")</f>
        <v>km. My car displays range in kilometres and I will enter all range numbers in kilometres.</v>
      </c>
      <c r="E655" s="259">
        <f>IFERROR(__xludf.DUMMYFUNCTION("""COMPUTED_VALUE"""),41603.0)</f>
        <v>41603</v>
      </c>
      <c r="F655" s="258" t="str">
        <f>IFERROR(__xludf.DUMMYFUNCTION("""COMPUTED_VALUE"""),"Model S P85+")</f>
        <v>Model S P85+</v>
      </c>
      <c r="G655" s="258" t="str">
        <f>IFERROR(__xludf.DUMMYFUNCTION("""COMPUTED_VALUE"""),"A few times a year")</f>
        <v>A few times a year</v>
      </c>
      <c r="H655" s="258" t="str">
        <f>IFERROR(__xludf.DUMMYFUNCTION("""COMPUTED_VALUE"""),"Weekly")</f>
        <v>Weekly</v>
      </c>
      <c r="I655" s="258" t="str">
        <f>IFERROR(__xludf.DUMMYFUNCTION("""COMPUTED_VALUE"""),"Monthly")</f>
        <v>Monthly</v>
      </c>
      <c r="J655" s="260">
        <f>IFERROR(__xludf.DUMMYFUNCTION("""COMPUTED_VALUE"""),0.9)</f>
        <v>0.9</v>
      </c>
      <c r="K655" s="258">
        <f>IFERROR(__xludf.DUMMYFUNCTION("""COMPUTED_VALUE"""),400.0)</f>
        <v>400</v>
      </c>
      <c r="L655" s="258" t="str">
        <f>IFERROR(__xludf.DUMMYFUNCTION("""COMPUTED_VALUE"""),"")</f>
        <v/>
      </c>
      <c r="M655" s="261">
        <f>IFERROR(__xludf.DUMMYFUNCTION("""COMPUTED_VALUE"""),225.0)</f>
        <v>225</v>
      </c>
      <c r="N655" s="262" t="str">
        <f>IFERROR(__xludf.DUMMYFUNCTION("""COMPUTED_VALUE"""),"")</f>
        <v/>
      </c>
      <c r="O655" s="259" t="str">
        <f>IFERROR(__xludf.DUMMYFUNCTION("""COMPUTED_VALUE"""),"")</f>
        <v/>
      </c>
      <c r="P655" s="259">
        <f>IFERROR(__xludf.DUMMYFUNCTION("""COMPUTED_VALUE"""),42414.0)</f>
        <v>42414</v>
      </c>
      <c r="Q655" s="258">
        <f>IFERROR(__xludf.DUMMYFUNCTION("""COMPUTED_VALUE"""),88870.0)</f>
        <v>88870</v>
      </c>
      <c r="R655" s="261">
        <f>IFERROR(__xludf.DUMMYFUNCTION("""COMPUTED_VALUE"""),373.0)</f>
        <v>373</v>
      </c>
      <c r="S655" s="258">
        <v>395.0</v>
      </c>
      <c r="T655" s="263">
        <v>0.9443037974683545</v>
      </c>
      <c r="U655" s="264">
        <v>55221.0</v>
      </c>
      <c r="V655" s="265">
        <v>88870.0</v>
      </c>
      <c r="W655" s="264">
        <v>55221.0</v>
      </c>
      <c r="X655" s="266"/>
      <c r="Y655" s="267">
        <v>-0.01</v>
      </c>
      <c r="Z655" s="267">
        <v>0.9492354815488251</v>
      </c>
      <c r="AA655" s="269"/>
      <c r="AB655" s="270"/>
      <c r="AC655" s="270"/>
      <c r="AD655" s="270"/>
      <c r="AE655" s="270"/>
    </row>
    <row r="656">
      <c r="A656" s="256">
        <f>IFERROR(__xludf.DUMMYFUNCTION("""COMPUTED_VALUE"""),42414.294444444444)</f>
        <v>42414.29444</v>
      </c>
      <c r="B656" s="257" t="str">
        <f>IFERROR(__xludf.DUMMYFUNCTION("""COMPUTED_VALUE"""),"in-clusion")</f>
        <v>in-clusion</v>
      </c>
      <c r="C656" s="258" t="str">
        <f>IFERROR(__xludf.DUMMYFUNCTION("""COMPUTED_VALUE"""),"Europe (excluding UK) &amp; Asia Pacific")</f>
        <v>Europe (excluding UK) &amp; Asia Pacific</v>
      </c>
      <c r="D656" s="258" t="str">
        <f>IFERROR(__xludf.DUMMYFUNCTION("""COMPUTED_VALUE"""),"km. My car displays range in kilometres and I will enter all range numbers in kilometres.")</f>
        <v>km. My car displays range in kilometres and I will enter all range numbers in kilometres.</v>
      </c>
      <c r="E656" s="259">
        <f>IFERROR(__xludf.DUMMYFUNCTION("""COMPUTED_VALUE"""),41603.0)</f>
        <v>41603</v>
      </c>
      <c r="F656" s="258" t="str">
        <f>IFERROR(__xludf.DUMMYFUNCTION("""COMPUTED_VALUE"""),"Model S P85+")</f>
        <v>Model S P85+</v>
      </c>
      <c r="G656" s="258" t="str">
        <f>IFERROR(__xludf.DUMMYFUNCTION("""COMPUTED_VALUE"""),"A few times a year")</f>
        <v>A few times a year</v>
      </c>
      <c r="H656" s="258" t="str">
        <f>IFERROR(__xludf.DUMMYFUNCTION("""COMPUTED_VALUE"""),"Weekly")</f>
        <v>Weekly</v>
      </c>
      <c r="I656" s="258" t="str">
        <f>IFERROR(__xludf.DUMMYFUNCTION("""COMPUTED_VALUE"""),"Monthly")</f>
        <v>Monthly</v>
      </c>
      <c r="J656" s="260">
        <f>IFERROR(__xludf.DUMMYFUNCTION("""COMPUTED_VALUE"""),0.9)</f>
        <v>0.9</v>
      </c>
      <c r="K656" s="258">
        <f>IFERROR(__xludf.DUMMYFUNCTION("""COMPUTED_VALUE"""),400.0)</f>
        <v>400</v>
      </c>
      <c r="L656" s="258" t="str">
        <f>IFERROR(__xludf.DUMMYFUNCTION("""COMPUTED_VALUE"""),"")</f>
        <v/>
      </c>
      <c r="M656" s="261">
        <f>IFERROR(__xludf.DUMMYFUNCTION("""COMPUTED_VALUE"""),225.0)</f>
        <v>225</v>
      </c>
      <c r="N656" s="262" t="str">
        <f>IFERROR(__xludf.DUMMYFUNCTION("""COMPUTED_VALUE"""),"")</f>
        <v/>
      </c>
      <c r="O656" s="259" t="str">
        <f>IFERROR(__xludf.DUMMYFUNCTION("""COMPUTED_VALUE"""),"")</f>
        <v/>
      </c>
      <c r="P656" s="259">
        <f>IFERROR(__xludf.DUMMYFUNCTION("""COMPUTED_VALUE"""),42414.0)</f>
        <v>42414</v>
      </c>
      <c r="Q656" s="258">
        <f>IFERROR(__xludf.DUMMYFUNCTION("""COMPUTED_VALUE"""),89850.0)</f>
        <v>89850</v>
      </c>
      <c r="R656" s="261">
        <f>IFERROR(__xludf.DUMMYFUNCTION("""COMPUTED_VALUE"""),376.0)</f>
        <v>376</v>
      </c>
      <c r="S656" s="258">
        <v>395.0</v>
      </c>
      <c r="T656" s="263">
        <v>0.9518987341772152</v>
      </c>
      <c r="U656" s="264">
        <v>55830.0</v>
      </c>
      <c r="V656" s="265">
        <v>89850.0</v>
      </c>
      <c r="W656" s="264">
        <v>55830.0</v>
      </c>
      <c r="X656" s="266"/>
      <c r="Y656" s="267">
        <v>-0.01</v>
      </c>
      <c r="Z656" s="267">
        <v>0.9489998336373381</v>
      </c>
      <c r="AA656" s="269"/>
      <c r="AB656" s="270"/>
      <c r="AC656" s="270"/>
      <c r="AD656" s="270"/>
      <c r="AE656" s="270"/>
    </row>
    <row r="657">
      <c r="A657" s="256">
        <f>IFERROR(__xludf.DUMMYFUNCTION("""COMPUTED_VALUE"""),42474.32847222222)</f>
        <v>42474.32847</v>
      </c>
      <c r="B657" s="257" t="str">
        <f>IFERROR(__xludf.DUMMYFUNCTION("""COMPUTED_VALUE"""),"in-clusion")</f>
        <v>in-clusion</v>
      </c>
      <c r="C657" s="258" t="str">
        <f>IFERROR(__xludf.DUMMYFUNCTION("""COMPUTED_VALUE"""),"Europe (excluding UK) &amp; Asia Pacific")</f>
        <v>Europe (excluding UK) &amp; Asia Pacific</v>
      </c>
      <c r="D657" s="258" t="str">
        <f>IFERROR(__xludf.DUMMYFUNCTION("""COMPUTED_VALUE"""),"km. My car displays range in kilometres and I will enter all range numbers in kilometres.")</f>
        <v>km. My car displays range in kilometres and I will enter all range numbers in kilometres.</v>
      </c>
      <c r="E657" s="259">
        <f>IFERROR(__xludf.DUMMYFUNCTION("""COMPUTED_VALUE"""),41603.0)</f>
        <v>41603</v>
      </c>
      <c r="F657" s="258" t="str">
        <f>IFERROR(__xludf.DUMMYFUNCTION("""COMPUTED_VALUE"""),"Model S P85+")</f>
        <v>Model S P85+</v>
      </c>
      <c r="G657" s="258" t="str">
        <f>IFERROR(__xludf.DUMMYFUNCTION("""COMPUTED_VALUE"""),"")</f>
        <v/>
      </c>
      <c r="H657" s="258" t="str">
        <f>IFERROR(__xludf.DUMMYFUNCTION("""COMPUTED_VALUE"""),"")</f>
        <v/>
      </c>
      <c r="I657" s="258" t="str">
        <f>IFERROR(__xludf.DUMMYFUNCTION("""COMPUTED_VALUE"""),"")</f>
        <v/>
      </c>
      <c r="J657" s="260" t="str">
        <f>IFERROR(__xludf.DUMMYFUNCTION("""COMPUTED_VALUE"""),"")</f>
        <v/>
      </c>
      <c r="K657" s="258" t="str">
        <f>IFERROR(__xludf.DUMMYFUNCTION("""COMPUTED_VALUE"""),"")</f>
        <v/>
      </c>
      <c r="L657" s="258" t="str">
        <f>IFERROR(__xludf.DUMMYFUNCTION("""COMPUTED_VALUE"""),"")</f>
        <v/>
      </c>
      <c r="M657" s="261">
        <f>IFERROR(__xludf.DUMMYFUNCTION("""COMPUTED_VALUE"""),228.0)</f>
        <v>228</v>
      </c>
      <c r="N657" s="262" t="str">
        <f>IFERROR(__xludf.DUMMYFUNCTION("""COMPUTED_VALUE"""),"")</f>
        <v/>
      </c>
      <c r="O657" s="259" t="str">
        <f>IFERROR(__xludf.DUMMYFUNCTION("""COMPUTED_VALUE"""),"")</f>
        <v/>
      </c>
      <c r="P657" s="259">
        <f>IFERROR(__xludf.DUMMYFUNCTION("""COMPUTED_VALUE"""),42474.0)</f>
        <v>42474</v>
      </c>
      <c r="Q657" s="258">
        <f>IFERROR(__xludf.DUMMYFUNCTION("""COMPUTED_VALUE"""),97310.0)</f>
        <v>97310</v>
      </c>
      <c r="R657" s="261">
        <f>IFERROR(__xludf.DUMMYFUNCTION("""COMPUTED_VALUE"""),376.0)</f>
        <v>376</v>
      </c>
      <c r="S657" s="258">
        <v>395.0</v>
      </c>
      <c r="T657" s="263">
        <v>0.9518987341772152</v>
      </c>
      <c r="U657" s="264">
        <v>60466.0</v>
      </c>
      <c r="V657" s="265">
        <v>97310.0</v>
      </c>
      <c r="W657" s="264">
        <v>60466.0</v>
      </c>
      <c r="X657" s="266"/>
      <c r="Y657" s="267">
        <v>-0.01</v>
      </c>
      <c r="Z657" s="267">
        <v>0.94722150425185</v>
      </c>
      <c r="AA657" s="269"/>
      <c r="AB657" s="270"/>
      <c r="AC657" s="270"/>
      <c r="AD657" s="270"/>
      <c r="AE657" s="270"/>
    </row>
    <row r="658">
      <c r="A658" s="256">
        <f>IFERROR(__xludf.DUMMYFUNCTION("""COMPUTED_VALUE"""),42624.4)</f>
        <v>42624.4</v>
      </c>
      <c r="B658" s="257" t="str">
        <f>IFERROR(__xludf.DUMMYFUNCTION("""COMPUTED_VALUE"""),"in-clusion")</f>
        <v>in-clusion</v>
      </c>
      <c r="C658" s="258" t="str">
        <f>IFERROR(__xludf.DUMMYFUNCTION("""COMPUTED_VALUE"""),"Europe (excluding UK) &amp; Asia Pacific")</f>
        <v>Europe (excluding UK) &amp; Asia Pacific</v>
      </c>
      <c r="D658" s="258" t="str">
        <f>IFERROR(__xludf.DUMMYFUNCTION("""COMPUTED_VALUE"""),"km. My car displays range in kilometres and I will enter all range numbers in kilometres.")</f>
        <v>km. My car displays range in kilometres and I will enter all range numbers in kilometres.</v>
      </c>
      <c r="E658" s="259">
        <f>IFERROR(__xludf.DUMMYFUNCTION("""COMPUTED_VALUE"""),41603.0)</f>
        <v>41603</v>
      </c>
      <c r="F658" s="258" t="str">
        <f>IFERROR(__xludf.DUMMYFUNCTION("""COMPUTED_VALUE"""),"Model S P85+")</f>
        <v>Model S P85+</v>
      </c>
      <c r="G658" s="258" t="str">
        <f>IFERROR(__xludf.DUMMYFUNCTION("""COMPUTED_VALUE"""),"A few times a year")</f>
        <v>A few times a year</v>
      </c>
      <c r="H658" s="258" t="str">
        <f>IFERROR(__xludf.DUMMYFUNCTION("""COMPUTED_VALUE"""),"Weekly")</f>
        <v>Weekly</v>
      </c>
      <c r="I658" s="258" t="str">
        <f>IFERROR(__xludf.DUMMYFUNCTION("""COMPUTED_VALUE"""),"Monthly")</f>
        <v>Monthly</v>
      </c>
      <c r="J658" s="260">
        <f>IFERROR(__xludf.DUMMYFUNCTION("""COMPUTED_VALUE"""),0.9)</f>
        <v>0.9</v>
      </c>
      <c r="K658" s="258">
        <f>IFERROR(__xludf.DUMMYFUNCTION("""COMPUTED_VALUE"""),400.0)</f>
        <v>400</v>
      </c>
      <c r="L658" s="258" t="str">
        <f>IFERROR(__xludf.DUMMYFUNCTION("""COMPUTED_VALUE"""),"")</f>
        <v/>
      </c>
      <c r="M658" s="261">
        <f>IFERROR(__xludf.DUMMYFUNCTION("""COMPUTED_VALUE"""),224.0)</f>
        <v>224</v>
      </c>
      <c r="N658" s="262" t="str">
        <f>IFERROR(__xludf.DUMMYFUNCTION("""COMPUTED_VALUE"""),"")</f>
        <v/>
      </c>
      <c r="O658" s="259" t="str">
        <f>IFERROR(__xludf.DUMMYFUNCTION("""COMPUTED_VALUE"""),"")</f>
        <v/>
      </c>
      <c r="P658" s="259">
        <f>IFERROR(__xludf.DUMMYFUNCTION("""COMPUTED_VALUE"""),42624.0)</f>
        <v>42624</v>
      </c>
      <c r="Q658" s="258">
        <f>IFERROR(__xludf.DUMMYFUNCTION("""COMPUTED_VALUE"""),116148.0)</f>
        <v>116148</v>
      </c>
      <c r="R658" s="261">
        <f>IFERROR(__xludf.DUMMYFUNCTION("""COMPUTED_VALUE"""),379.0)</f>
        <v>379</v>
      </c>
      <c r="S658" s="258">
        <v>395.0</v>
      </c>
      <c r="T658" s="263">
        <v>0.959493670886076</v>
      </c>
      <c r="U658" s="264">
        <v>72171.0</v>
      </c>
      <c r="V658" s="265">
        <v>116148.0</v>
      </c>
      <c r="W658" s="264">
        <v>72171.0</v>
      </c>
      <c r="X658" s="266"/>
      <c r="Y658" s="267">
        <v>-0.01</v>
      </c>
      <c r="Z658" s="267">
        <v>0.9428058499308967</v>
      </c>
      <c r="AA658" s="269"/>
      <c r="AB658" s="270"/>
      <c r="AC658" s="270"/>
      <c r="AD658" s="270"/>
      <c r="AE658" s="270"/>
    </row>
    <row r="659">
      <c r="A659" s="256">
        <f>IFERROR(__xludf.DUMMYFUNCTION("""COMPUTED_VALUE"""),42707.46805555555)</f>
        <v>42707.46806</v>
      </c>
      <c r="B659" s="257" t="str">
        <f>IFERROR(__xludf.DUMMYFUNCTION("""COMPUTED_VALUE"""),"in-clusion")</f>
        <v>in-clusion</v>
      </c>
      <c r="C659" s="258" t="str">
        <f>IFERROR(__xludf.DUMMYFUNCTION("""COMPUTED_VALUE"""),"Europe (excluding UK) &amp; Asia Pacific")</f>
        <v>Europe (excluding UK) &amp; Asia Pacific</v>
      </c>
      <c r="D659" s="258" t="str">
        <f>IFERROR(__xludf.DUMMYFUNCTION("""COMPUTED_VALUE"""),"km. My car displays range in kilometres and I will enter all range numbers in kilometres.")</f>
        <v>km. My car displays range in kilometres and I will enter all range numbers in kilometres.</v>
      </c>
      <c r="E659" s="259">
        <f>IFERROR(__xludf.DUMMYFUNCTION("""COMPUTED_VALUE"""),41603.0)</f>
        <v>41603</v>
      </c>
      <c r="F659" s="258" t="str">
        <f>IFERROR(__xludf.DUMMYFUNCTION("""COMPUTED_VALUE"""),"Model S P85+")</f>
        <v>Model S P85+</v>
      </c>
      <c r="G659" s="258" t="str">
        <f>IFERROR(__xludf.DUMMYFUNCTION("""COMPUTED_VALUE"""),"A few times a year")</f>
        <v>A few times a year</v>
      </c>
      <c r="H659" s="258" t="str">
        <f>IFERROR(__xludf.DUMMYFUNCTION("""COMPUTED_VALUE"""),"Weekly")</f>
        <v>Weekly</v>
      </c>
      <c r="I659" s="258" t="str">
        <f>IFERROR(__xludf.DUMMYFUNCTION("""COMPUTED_VALUE"""),"A few times a year")</f>
        <v>A few times a year</v>
      </c>
      <c r="J659" s="260">
        <f>IFERROR(__xludf.DUMMYFUNCTION("""COMPUTED_VALUE"""),0.9)</f>
        <v>0.9</v>
      </c>
      <c r="K659" s="258">
        <f>IFERROR(__xludf.DUMMYFUNCTION("""COMPUTED_VALUE"""),400.0)</f>
        <v>400</v>
      </c>
      <c r="L659" s="258" t="str">
        <f>IFERROR(__xludf.DUMMYFUNCTION("""COMPUTED_VALUE"""),"")</f>
        <v/>
      </c>
      <c r="M659" s="261">
        <f>IFERROR(__xludf.DUMMYFUNCTION("""COMPUTED_VALUE"""),224.0)</f>
        <v>224</v>
      </c>
      <c r="N659" s="262" t="str">
        <f>IFERROR(__xludf.DUMMYFUNCTION("""COMPUTED_VALUE"""),"")</f>
        <v/>
      </c>
      <c r="O659" s="259" t="str">
        <f>IFERROR(__xludf.DUMMYFUNCTION("""COMPUTED_VALUE"""),"")</f>
        <v/>
      </c>
      <c r="P659" s="259">
        <f>IFERROR(__xludf.DUMMYFUNCTION("""COMPUTED_VALUE"""),42707.0)</f>
        <v>42707</v>
      </c>
      <c r="Q659" s="258">
        <f>IFERROR(__xludf.DUMMYFUNCTION("""COMPUTED_VALUE"""),127974.0)</f>
        <v>127974</v>
      </c>
      <c r="R659" s="261">
        <f>IFERROR(__xludf.DUMMYFUNCTION("""COMPUTED_VALUE"""),370.0)</f>
        <v>370</v>
      </c>
      <c r="S659" s="258">
        <v>395.0</v>
      </c>
      <c r="T659" s="263">
        <v>0.9367088607594937</v>
      </c>
      <c r="U659" s="264">
        <v>79519.0</v>
      </c>
      <c r="V659" s="265">
        <v>127974.0</v>
      </c>
      <c r="W659" s="264">
        <v>79519.0</v>
      </c>
      <c r="X659" s="266"/>
      <c r="Y659" s="267">
        <v>-0.01</v>
      </c>
      <c r="Z659" s="267">
        <v>0.9400605465508384</v>
      </c>
      <c r="AA659" s="269"/>
      <c r="AB659" s="270"/>
      <c r="AC659" s="270"/>
      <c r="AD659" s="270"/>
      <c r="AE659" s="270"/>
    </row>
    <row r="660">
      <c r="A660" s="256">
        <f>IFERROR(__xludf.DUMMYFUNCTION("""COMPUTED_VALUE"""),42728.478472222225)</f>
        <v>42728.47847</v>
      </c>
      <c r="B660" s="257" t="str">
        <f>IFERROR(__xludf.DUMMYFUNCTION("""COMPUTED_VALUE"""),"in-clusion")</f>
        <v>in-clusion</v>
      </c>
      <c r="C660" s="258" t="str">
        <f>IFERROR(__xludf.DUMMYFUNCTION("""COMPUTED_VALUE"""),"Europe (excluding UK) &amp; Asia Pacific")</f>
        <v>Europe (excluding UK) &amp; Asia Pacific</v>
      </c>
      <c r="D660" s="258" t="str">
        <f>IFERROR(__xludf.DUMMYFUNCTION("""COMPUTED_VALUE"""),"km. My car displays range in kilometres and I will enter all range numbers in kilometres.")</f>
        <v>km. My car displays range in kilometres and I will enter all range numbers in kilometres.</v>
      </c>
      <c r="E660" s="259">
        <f>IFERROR(__xludf.DUMMYFUNCTION("""COMPUTED_VALUE"""),41603.0)</f>
        <v>41603</v>
      </c>
      <c r="F660" s="258" t="str">
        <f>IFERROR(__xludf.DUMMYFUNCTION("""COMPUTED_VALUE"""),"Model S P85+")</f>
        <v>Model S P85+</v>
      </c>
      <c r="G660" s="258" t="str">
        <f>IFERROR(__xludf.DUMMYFUNCTION("""COMPUTED_VALUE"""),"A few times a year")</f>
        <v>A few times a year</v>
      </c>
      <c r="H660" s="258" t="str">
        <f>IFERROR(__xludf.DUMMYFUNCTION("""COMPUTED_VALUE"""),"Twice a week")</f>
        <v>Twice a week</v>
      </c>
      <c r="I660" s="258" t="str">
        <f>IFERROR(__xludf.DUMMYFUNCTION("""COMPUTED_VALUE"""),"A few times a year")</f>
        <v>A few times a year</v>
      </c>
      <c r="J660" s="260">
        <f>IFERROR(__xludf.DUMMYFUNCTION("""COMPUTED_VALUE"""),0.9)</f>
        <v>0.9</v>
      </c>
      <c r="K660" s="258">
        <f>IFERROR(__xludf.DUMMYFUNCTION("""COMPUTED_VALUE"""),400.0)</f>
        <v>400</v>
      </c>
      <c r="L660" s="258" t="str">
        <f>IFERROR(__xludf.DUMMYFUNCTION("""COMPUTED_VALUE"""),"")</f>
        <v/>
      </c>
      <c r="M660" s="261">
        <f>IFERROR(__xludf.DUMMYFUNCTION("""COMPUTED_VALUE"""),218.0)</f>
        <v>218</v>
      </c>
      <c r="N660" s="262" t="str">
        <f>IFERROR(__xludf.DUMMYFUNCTION("""COMPUTED_VALUE"""),"")</f>
        <v/>
      </c>
      <c r="O660" s="259" t="str">
        <f>IFERROR(__xludf.DUMMYFUNCTION("""COMPUTED_VALUE"""),"")</f>
        <v/>
      </c>
      <c r="P660" s="259">
        <f>IFERROR(__xludf.DUMMYFUNCTION("""COMPUTED_VALUE"""),42728.0)</f>
        <v>42728</v>
      </c>
      <c r="Q660" s="258">
        <f>IFERROR(__xludf.DUMMYFUNCTION("""COMPUTED_VALUE"""),130200.0)</f>
        <v>130200</v>
      </c>
      <c r="R660" s="261">
        <f>IFERROR(__xludf.DUMMYFUNCTION("""COMPUTED_VALUE"""),376.0)</f>
        <v>376</v>
      </c>
      <c r="S660" s="258">
        <v>395.0</v>
      </c>
      <c r="T660" s="263">
        <v>0.9518987341772152</v>
      </c>
      <c r="U660" s="264">
        <v>80903.0</v>
      </c>
      <c r="V660" s="265">
        <v>130200.0</v>
      </c>
      <c r="W660" s="264">
        <v>80903.0</v>
      </c>
      <c r="X660" s="266"/>
      <c r="Y660" s="267">
        <v>-0.01</v>
      </c>
      <c r="Z660" s="267">
        <v>0.939544956868944</v>
      </c>
      <c r="AA660" s="269"/>
      <c r="AB660" s="270"/>
      <c r="AC660" s="270"/>
      <c r="AD660" s="270"/>
      <c r="AE660" s="270"/>
    </row>
    <row r="661">
      <c r="A661" s="256">
        <f>IFERROR(__xludf.DUMMYFUNCTION("""COMPUTED_VALUE"""),42728.540972222225)</f>
        <v>42728.54097</v>
      </c>
      <c r="B661" s="257" t="str">
        <f>IFERROR(__xludf.DUMMYFUNCTION("""COMPUTED_VALUE"""),"in-clusion")</f>
        <v>in-clusion</v>
      </c>
      <c r="C661" s="258" t="str">
        <f>IFERROR(__xludf.DUMMYFUNCTION("""COMPUTED_VALUE"""),"Europe (excluding UK) &amp; Asia Pacific")</f>
        <v>Europe (excluding UK) &amp; Asia Pacific</v>
      </c>
      <c r="D661" s="258" t="str">
        <f>IFERROR(__xludf.DUMMYFUNCTION("""COMPUTED_VALUE"""),"km. My car displays range in kilometres and I will enter all range numbers in kilometres.")</f>
        <v>km. My car displays range in kilometres and I will enter all range numbers in kilometres.</v>
      </c>
      <c r="E661" s="259">
        <f>IFERROR(__xludf.DUMMYFUNCTION("""COMPUTED_VALUE"""),41603.0)</f>
        <v>41603</v>
      </c>
      <c r="F661" s="258" t="str">
        <f>IFERROR(__xludf.DUMMYFUNCTION("""COMPUTED_VALUE"""),"Model S P85+")</f>
        <v>Model S P85+</v>
      </c>
      <c r="G661" s="258" t="str">
        <f>IFERROR(__xludf.DUMMYFUNCTION("""COMPUTED_VALUE"""),"Weekly")</f>
        <v>Weekly</v>
      </c>
      <c r="H661" s="258" t="str">
        <f>IFERROR(__xludf.DUMMYFUNCTION("""COMPUTED_VALUE"""),"Weekly")</f>
        <v>Weekly</v>
      </c>
      <c r="I661" s="258" t="str">
        <f>IFERROR(__xludf.DUMMYFUNCTION("""COMPUTED_VALUE"""),"A few times a year")</f>
        <v>A few times a year</v>
      </c>
      <c r="J661" s="260">
        <f>IFERROR(__xludf.DUMMYFUNCTION("""COMPUTED_VALUE"""),0.9)</f>
        <v>0.9</v>
      </c>
      <c r="K661" s="258">
        <f>IFERROR(__xludf.DUMMYFUNCTION("""COMPUTED_VALUE"""),400.0)</f>
        <v>400</v>
      </c>
      <c r="L661" s="258" t="str">
        <f>IFERROR(__xludf.DUMMYFUNCTION("""COMPUTED_VALUE"""),"")</f>
        <v/>
      </c>
      <c r="M661" s="261">
        <f>IFERROR(__xludf.DUMMYFUNCTION("""COMPUTED_VALUE"""),226.0)</f>
        <v>226</v>
      </c>
      <c r="N661" s="262" t="str">
        <f>IFERROR(__xludf.DUMMYFUNCTION("""COMPUTED_VALUE"""),"")</f>
        <v/>
      </c>
      <c r="O661" s="259" t="str">
        <f>IFERROR(__xludf.DUMMYFUNCTION("""COMPUTED_VALUE"""),"")</f>
        <v/>
      </c>
      <c r="P661" s="259">
        <f>IFERROR(__xludf.DUMMYFUNCTION("""COMPUTED_VALUE"""),42728.0)</f>
        <v>42728</v>
      </c>
      <c r="Q661" s="258">
        <f>IFERROR(__xludf.DUMMYFUNCTION("""COMPUTED_VALUE"""),147768.0)</f>
        <v>147768</v>
      </c>
      <c r="R661" s="261">
        <f>IFERROR(__xludf.DUMMYFUNCTION("""COMPUTED_VALUE"""),373.0)</f>
        <v>373</v>
      </c>
      <c r="S661" s="258">
        <v>395.0</v>
      </c>
      <c r="T661" s="263">
        <v>0.9443037974683545</v>
      </c>
      <c r="U661" s="264">
        <v>91819.0</v>
      </c>
      <c r="V661" s="265">
        <v>147768.0</v>
      </c>
      <c r="W661" s="264">
        <v>91819.0</v>
      </c>
      <c r="X661" s="266"/>
      <c r="Y661" s="267">
        <v>-0.01</v>
      </c>
      <c r="Z661" s="267">
        <v>0.9354829025909344</v>
      </c>
      <c r="AA661" s="269"/>
      <c r="AB661" s="270"/>
      <c r="AC661" s="270"/>
      <c r="AD661" s="270"/>
      <c r="AE661" s="270"/>
    </row>
    <row r="662">
      <c r="A662" s="256">
        <f>IFERROR(__xludf.DUMMYFUNCTION("""COMPUTED_VALUE"""),42972.59166666667)</f>
        <v>42972.59167</v>
      </c>
      <c r="B662" s="257" t="str">
        <f>IFERROR(__xludf.DUMMYFUNCTION("""COMPUTED_VALUE"""),"in-clusion")</f>
        <v>in-clusion</v>
      </c>
      <c r="C662" s="258" t="str">
        <f>IFERROR(__xludf.DUMMYFUNCTION("""COMPUTED_VALUE"""),"Europe (excluding UK) &amp; Asia Pacific")</f>
        <v>Europe (excluding UK) &amp; Asia Pacific</v>
      </c>
      <c r="D662" s="258" t="str">
        <f>IFERROR(__xludf.DUMMYFUNCTION("""COMPUTED_VALUE"""),"km. My car displays range in kilometres and I will enter all range numbers in kilometres.")</f>
        <v>km. My car displays range in kilometres and I will enter all range numbers in kilometres.</v>
      </c>
      <c r="E662" s="259">
        <f>IFERROR(__xludf.DUMMYFUNCTION("""COMPUTED_VALUE"""),41603.0)</f>
        <v>41603</v>
      </c>
      <c r="F662" s="258" t="str">
        <f>IFERROR(__xludf.DUMMYFUNCTION("""COMPUTED_VALUE"""),"Model S P85+")</f>
        <v>Model S P85+</v>
      </c>
      <c r="G662" s="258" t="str">
        <f>IFERROR(__xludf.DUMMYFUNCTION("""COMPUTED_VALUE"""),"Weekly")</f>
        <v>Weekly</v>
      </c>
      <c r="H662" s="258" t="str">
        <f>IFERROR(__xludf.DUMMYFUNCTION("""COMPUTED_VALUE"""),"Weekly")</f>
        <v>Weekly</v>
      </c>
      <c r="I662" s="258" t="str">
        <f>IFERROR(__xludf.DUMMYFUNCTION("""COMPUTED_VALUE"""),"A few times a year")</f>
        <v>A few times a year</v>
      </c>
      <c r="J662" s="260">
        <f>IFERROR(__xludf.DUMMYFUNCTION("""COMPUTED_VALUE"""),0.9)</f>
        <v>0.9</v>
      </c>
      <c r="K662" s="258">
        <f>IFERROR(__xludf.DUMMYFUNCTION("""COMPUTED_VALUE"""),400.0)</f>
        <v>400</v>
      </c>
      <c r="L662" s="258" t="str">
        <f>IFERROR(__xludf.DUMMYFUNCTION("""COMPUTED_VALUE"""),"")</f>
        <v/>
      </c>
      <c r="M662" s="261">
        <f>IFERROR(__xludf.DUMMYFUNCTION("""COMPUTED_VALUE"""),225.0)</f>
        <v>225</v>
      </c>
      <c r="N662" s="262" t="str">
        <f>IFERROR(__xludf.DUMMYFUNCTION("""COMPUTED_VALUE"""),"")</f>
        <v/>
      </c>
      <c r="O662" s="259" t="str">
        <f>IFERROR(__xludf.DUMMYFUNCTION("""COMPUTED_VALUE"""),"")</f>
        <v/>
      </c>
      <c r="P662" s="259">
        <f>IFERROR(__xludf.DUMMYFUNCTION("""COMPUTED_VALUE"""),42972.0)</f>
        <v>42972</v>
      </c>
      <c r="Q662" s="258">
        <f>IFERROR(__xludf.DUMMYFUNCTION("""COMPUTED_VALUE"""),154610.0)</f>
        <v>154610</v>
      </c>
      <c r="R662" s="261">
        <f>IFERROR(__xludf.DUMMYFUNCTION("""COMPUTED_VALUE"""),361.0)</f>
        <v>361</v>
      </c>
      <c r="S662" s="258">
        <v>395.0</v>
      </c>
      <c r="T662" s="263">
        <v>0.9139240506329114</v>
      </c>
      <c r="U662" s="264">
        <v>96070.0</v>
      </c>
      <c r="V662" s="265">
        <v>154610.0</v>
      </c>
      <c r="W662" s="264">
        <v>96070.0</v>
      </c>
      <c r="X662" s="266"/>
      <c r="Y662" s="267">
        <v>-0.01</v>
      </c>
      <c r="Z662" s="267">
        <v>0.9339029601003699</v>
      </c>
      <c r="AA662" s="269"/>
      <c r="AB662" s="270"/>
      <c r="AC662" s="270"/>
      <c r="AD662" s="270"/>
      <c r="AE662" s="270"/>
    </row>
    <row r="663">
      <c r="A663" s="256">
        <f>IFERROR(__xludf.DUMMYFUNCTION("""COMPUTED_VALUE"""),42972.60486111111)</f>
        <v>42972.60486</v>
      </c>
      <c r="B663" s="257" t="str">
        <f>IFERROR(__xludf.DUMMYFUNCTION("""COMPUTED_VALUE"""),"in-clusion")</f>
        <v>in-clusion</v>
      </c>
      <c r="C663" s="258" t="str">
        <f>IFERROR(__xludf.DUMMYFUNCTION("""COMPUTED_VALUE"""),"Europe (excluding UK) &amp; Asia Pacific")</f>
        <v>Europe (excluding UK) &amp; Asia Pacific</v>
      </c>
      <c r="D663" s="258" t="str">
        <f>IFERROR(__xludf.DUMMYFUNCTION("""COMPUTED_VALUE"""),"km. My car displays range in kilometres and I will enter all range numbers in kilometres.")</f>
        <v>km. My car displays range in kilometres and I will enter all range numbers in kilometres.</v>
      </c>
      <c r="E663" s="259">
        <f>IFERROR(__xludf.DUMMYFUNCTION("""COMPUTED_VALUE"""),41603.0)</f>
        <v>41603</v>
      </c>
      <c r="F663" s="258" t="str">
        <f>IFERROR(__xludf.DUMMYFUNCTION("""COMPUTED_VALUE"""),"Model S P85+")</f>
        <v>Model S P85+</v>
      </c>
      <c r="G663" s="258" t="str">
        <f>IFERROR(__xludf.DUMMYFUNCTION("""COMPUTED_VALUE"""),"Weekly")</f>
        <v>Weekly</v>
      </c>
      <c r="H663" s="258" t="str">
        <f>IFERROR(__xludf.DUMMYFUNCTION("""COMPUTED_VALUE"""),"Weekly")</f>
        <v>Weekly</v>
      </c>
      <c r="I663" s="258" t="str">
        <f>IFERROR(__xludf.DUMMYFUNCTION("""COMPUTED_VALUE"""),"A few times a year")</f>
        <v>A few times a year</v>
      </c>
      <c r="J663" s="260">
        <f>IFERROR(__xludf.DUMMYFUNCTION("""COMPUTED_VALUE"""),0.9)</f>
        <v>0.9</v>
      </c>
      <c r="K663" s="258">
        <f>IFERROR(__xludf.DUMMYFUNCTION("""COMPUTED_VALUE"""),400.0)</f>
        <v>400</v>
      </c>
      <c r="L663" s="258" t="str">
        <f>IFERROR(__xludf.DUMMYFUNCTION("""COMPUTED_VALUE"""),"")</f>
        <v/>
      </c>
      <c r="M663" s="261">
        <f>IFERROR(__xludf.DUMMYFUNCTION("""COMPUTED_VALUE"""),225.0)</f>
        <v>225</v>
      </c>
      <c r="N663" s="262" t="str">
        <f>IFERROR(__xludf.DUMMYFUNCTION("""COMPUTED_VALUE"""),"")</f>
        <v/>
      </c>
      <c r="O663" s="259" t="str">
        <f>IFERROR(__xludf.DUMMYFUNCTION("""COMPUTED_VALUE"""),"")</f>
        <v/>
      </c>
      <c r="P663" s="259">
        <f>IFERROR(__xludf.DUMMYFUNCTION("""COMPUTED_VALUE"""),42972.0)</f>
        <v>42972</v>
      </c>
      <c r="Q663" s="258">
        <f>IFERROR(__xludf.DUMMYFUNCTION("""COMPUTED_VALUE"""),156486.0)</f>
        <v>156486</v>
      </c>
      <c r="R663" s="261">
        <f>IFERROR(__xludf.DUMMYFUNCTION("""COMPUTED_VALUE"""),355.0)</f>
        <v>355</v>
      </c>
      <c r="S663" s="258">
        <v>395.0</v>
      </c>
      <c r="T663" s="263">
        <v>0.8987341772151899</v>
      </c>
      <c r="U663" s="264">
        <v>97236.0</v>
      </c>
      <c r="V663" s="265">
        <v>156486.0</v>
      </c>
      <c r="W663" s="264">
        <v>97236.0</v>
      </c>
      <c r="X663" s="266"/>
      <c r="Y663" s="267">
        <v>-0.01</v>
      </c>
      <c r="Z663" s="267">
        <v>0.933469873810542</v>
      </c>
      <c r="AA663" s="269"/>
      <c r="AB663" s="270"/>
      <c r="AC663" s="270"/>
      <c r="AD663" s="270"/>
      <c r="AE663" s="270"/>
    </row>
    <row r="664">
      <c r="A664" s="256">
        <f>IFERROR(__xludf.DUMMYFUNCTION("""COMPUTED_VALUE"""),42972.67569444445)</f>
        <v>42972.67569</v>
      </c>
      <c r="B664" s="257" t="str">
        <f>IFERROR(__xludf.DUMMYFUNCTION("""COMPUTED_VALUE"""),"in-clusion")</f>
        <v>in-clusion</v>
      </c>
      <c r="C664" s="258" t="str">
        <f>IFERROR(__xludf.DUMMYFUNCTION("""COMPUTED_VALUE"""),"Europe (excluding UK) &amp; Asia Pacific")</f>
        <v>Europe (excluding UK) &amp; Asia Pacific</v>
      </c>
      <c r="D664" s="258" t="str">
        <f>IFERROR(__xludf.DUMMYFUNCTION("""COMPUTED_VALUE"""),"km. My car displays range in kilometres and I will enter all range numbers in kilometres.")</f>
        <v>km. My car displays range in kilometres and I will enter all range numbers in kilometres.</v>
      </c>
      <c r="E664" s="259">
        <f>IFERROR(__xludf.DUMMYFUNCTION("""COMPUTED_VALUE"""),41603.0)</f>
        <v>41603</v>
      </c>
      <c r="F664" s="258" t="str">
        <f>IFERROR(__xludf.DUMMYFUNCTION("""COMPUTED_VALUE"""),"Model S P85+")</f>
        <v>Model S P85+</v>
      </c>
      <c r="G664" s="258" t="str">
        <f>IFERROR(__xludf.DUMMYFUNCTION("""COMPUTED_VALUE"""),"Weekly")</f>
        <v>Weekly</v>
      </c>
      <c r="H664" s="258" t="str">
        <f>IFERROR(__xludf.DUMMYFUNCTION("""COMPUTED_VALUE"""),"Twice a month")</f>
        <v>Twice a month</v>
      </c>
      <c r="I664" s="258" t="str">
        <f>IFERROR(__xludf.DUMMYFUNCTION("""COMPUTED_VALUE"""),"Twice a month")</f>
        <v>Twice a month</v>
      </c>
      <c r="J664" s="260">
        <f>IFERROR(__xludf.DUMMYFUNCTION("""COMPUTED_VALUE"""),0.9)</f>
        <v>0.9</v>
      </c>
      <c r="K664" s="258">
        <f>IFERROR(__xludf.DUMMYFUNCTION("""COMPUTED_VALUE"""),395.0)</f>
        <v>395</v>
      </c>
      <c r="L664" s="258" t="str">
        <f>IFERROR(__xludf.DUMMYFUNCTION("""COMPUTED_VALUE"""),"")</f>
        <v/>
      </c>
      <c r="M664" s="261">
        <f>IFERROR(__xludf.DUMMYFUNCTION("""COMPUTED_VALUE"""),225.0)</f>
        <v>225</v>
      </c>
      <c r="N664" s="262" t="str">
        <f>IFERROR(__xludf.DUMMYFUNCTION("""COMPUTED_VALUE"""),"")</f>
        <v/>
      </c>
      <c r="O664" s="259" t="str">
        <f>IFERROR(__xludf.DUMMYFUNCTION("""COMPUTED_VALUE"""),"")</f>
        <v/>
      </c>
      <c r="P664" s="259">
        <f>IFERROR(__xludf.DUMMYFUNCTION("""COMPUTED_VALUE"""),42972.0)</f>
        <v>42972</v>
      </c>
      <c r="Q664" s="258">
        <f>IFERROR(__xludf.DUMMYFUNCTION("""COMPUTED_VALUE"""),171255.0)</f>
        <v>171255</v>
      </c>
      <c r="R664" s="261">
        <f>IFERROR(__xludf.DUMMYFUNCTION("""COMPUTED_VALUE"""),358.0)</f>
        <v>358</v>
      </c>
      <c r="S664" s="258">
        <v>395.0</v>
      </c>
      <c r="T664" s="263">
        <v>0.9063291139240506</v>
      </c>
      <c r="U664" s="264">
        <v>106413.0</v>
      </c>
      <c r="V664" s="265">
        <v>171255.0</v>
      </c>
      <c r="W664" s="264">
        <v>106413.0</v>
      </c>
      <c r="X664" s="266"/>
      <c r="Y664" s="267">
        <v>-0.01</v>
      </c>
      <c r="Z664" s="267">
        <v>0.9300614853719595</v>
      </c>
      <c r="AA664" s="269"/>
      <c r="AB664" s="270"/>
      <c r="AC664" s="270"/>
      <c r="AD664" s="270"/>
      <c r="AE664" s="270"/>
    </row>
    <row r="665">
      <c r="A665" s="256">
        <f>IFERROR(__xludf.DUMMYFUNCTION("""COMPUTED_VALUE"""),43143.69583333333)</f>
        <v>43143.69583</v>
      </c>
      <c r="B665" s="257" t="str">
        <f>IFERROR(__xludf.DUMMYFUNCTION("""COMPUTED_VALUE"""),"in-clusion")</f>
        <v>in-clusion</v>
      </c>
      <c r="C665" s="258" t="str">
        <f>IFERROR(__xludf.DUMMYFUNCTION("""COMPUTED_VALUE"""),"Europe (excluding UK) &amp; Asia Pacific")</f>
        <v>Europe (excluding UK) &amp; Asia Pacific</v>
      </c>
      <c r="D665" s="258" t="str">
        <f>IFERROR(__xludf.DUMMYFUNCTION("""COMPUTED_VALUE"""),"km. My car displays range in kilometres and I will enter all range numbers in kilometres.")</f>
        <v>km. My car displays range in kilometres and I will enter all range numbers in kilometres.</v>
      </c>
      <c r="E665" s="259">
        <f>IFERROR(__xludf.DUMMYFUNCTION("""COMPUTED_VALUE"""),41603.0)</f>
        <v>41603</v>
      </c>
      <c r="F665" s="258" t="str">
        <f>IFERROR(__xludf.DUMMYFUNCTION("""COMPUTED_VALUE"""),"Model S P85+")</f>
        <v>Model S P85+</v>
      </c>
      <c r="G665" s="258" t="str">
        <f>IFERROR(__xludf.DUMMYFUNCTION("""COMPUTED_VALUE"""),"Twice a month")</f>
        <v>Twice a month</v>
      </c>
      <c r="H665" s="258" t="str">
        <f>IFERROR(__xludf.DUMMYFUNCTION("""COMPUTED_VALUE"""),"Twice a month")</f>
        <v>Twice a month</v>
      </c>
      <c r="I665" s="258" t="str">
        <f>IFERROR(__xludf.DUMMYFUNCTION("""COMPUTED_VALUE"""),"A few times a year")</f>
        <v>A few times a year</v>
      </c>
      <c r="J665" s="260">
        <f>IFERROR(__xludf.DUMMYFUNCTION("""COMPUTED_VALUE"""),0.9)</f>
        <v>0.9</v>
      </c>
      <c r="K665" s="258">
        <f>IFERROR(__xludf.DUMMYFUNCTION("""COMPUTED_VALUE"""),395.0)</f>
        <v>395</v>
      </c>
      <c r="L665" s="258" t="str">
        <f>IFERROR(__xludf.DUMMYFUNCTION("""COMPUTED_VALUE"""),"")</f>
        <v/>
      </c>
      <c r="M665" s="261">
        <f>IFERROR(__xludf.DUMMYFUNCTION("""COMPUTED_VALUE"""),225.0)</f>
        <v>225</v>
      </c>
      <c r="N665" s="262" t="str">
        <f>IFERROR(__xludf.DUMMYFUNCTION("""COMPUTED_VALUE"""),"")</f>
        <v/>
      </c>
      <c r="O665" s="259" t="str">
        <f>IFERROR(__xludf.DUMMYFUNCTION("""COMPUTED_VALUE"""),"")</f>
        <v/>
      </c>
      <c r="P665" s="259">
        <f>IFERROR(__xludf.DUMMYFUNCTION("""COMPUTED_VALUE"""),43143.0)</f>
        <v>43143</v>
      </c>
      <c r="Q665" s="258">
        <f>IFERROR(__xludf.DUMMYFUNCTION("""COMPUTED_VALUE"""),173000.0)</f>
        <v>173000</v>
      </c>
      <c r="R665" s="261">
        <f>IFERROR(__xludf.DUMMYFUNCTION("""COMPUTED_VALUE"""),372.0)</f>
        <v>372</v>
      </c>
      <c r="S665" s="258">
        <v>395.0</v>
      </c>
      <c r="T665" s="263">
        <v>0.9417721518987342</v>
      </c>
      <c r="U665" s="264">
        <v>107497.0</v>
      </c>
      <c r="V665" s="265">
        <v>173000.0</v>
      </c>
      <c r="W665" s="264">
        <v>107497.0</v>
      </c>
      <c r="X665" s="266"/>
      <c r="Y665" s="267">
        <v>-0.01</v>
      </c>
      <c r="Z665" s="267">
        <v>0.9296588671033402</v>
      </c>
      <c r="AA665" s="269"/>
      <c r="AB665" s="270"/>
      <c r="AC665" s="270"/>
      <c r="AD665" s="270"/>
      <c r="AE665" s="270"/>
    </row>
    <row r="666">
      <c r="A666" s="256">
        <f>IFERROR(__xludf.DUMMYFUNCTION("""COMPUTED_VALUE"""),43640.020460949076)</f>
        <v>43640.02046</v>
      </c>
      <c r="B666" s="257" t="str">
        <f>IFERROR(__xludf.DUMMYFUNCTION("""COMPUTED_VALUE"""),"J.K")</f>
        <v>J.K</v>
      </c>
      <c r="C666" s="258" t="str">
        <f>IFERROR(__xludf.DUMMYFUNCTION("""COMPUTED_VALUE"""),"USA")</f>
        <v>USA</v>
      </c>
      <c r="D666" s="258" t="str">
        <f>IFERROR(__xludf.DUMMYFUNCTION("""COMPUTED_VALUE"""),"mi. My car displays range in miles and I will enter all range numbers in miles.")</f>
        <v>mi. My car displays range in miles and I will enter all range numbers in miles.</v>
      </c>
      <c r="E666" s="259">
        <f>IFERROR(__xludf.DUMMYFUNCTION("""COMPUTED_VALUE"""),43631.0)</f>
        <v>43631</v>
      </c>
      <c r="F666" s="258" t="str">
        <f>IFERROR(__xludf.DUMMYFUNCTION("""COMPUTED_VALUE"""),"Model 3 SR")</f>
        <v>Model 3 SR</v>
      </c>
      <c r="G666" s="258" t="str">
        <f>IFERROR(__xludf.DUMMYFUNCTION("""COMPUTED_VALUE"""),"Once or twice a year")</f>
        <v>Once or twice a year</v>
      </c>
      <c r="H666" s="258" t="str">
        <f>IFERROR(__xludf.DUMMYFUNCTION("""COMPUTED_VALUE"""),"Monthly")</f>
        <v>Monthly</v>
      </c>
      <c r="I666" s="258" t="str">
        <f>IFERROR(__xludf.DUMMYFUNCTION("""COMPUTED_VALUE"""),"Monthly")</f>
        <v>Monthly</v>
      </c>
      <c r="J666" s="260">
        <f>IFERROR(__xludf.DUMMYFUNCTION("""COMPUTED_VALUE"""),0.9)</f>
        <v>0.9</v>
      </c>
      <c r="K666" s="258">
        <f>IFERROR(__xludf.DUMMYFUNCTION("""COMPUTED_VALUE"""),215.0)</f>
        <v>215</v>
      </c>
      <c r="L666" s="258">
        <f>IFERROR(__xludf.DUMMYFUNCTION("""COMPUTED_VALUE"""),210.0)</f>
        <v>210</v>
      </c>
      <c r="M666" s="261">
        <f>IFERROR(__xludf.DUMMYFUNCTION("""COMPUTED_VALUE"""),250.0)</f>
        <v>250</v>
      </c>
      <c r="N666" s="262" t="str">
        <f>IFERROR(__xludf.DUMMYFUNCTION("""COMPUTED_VALUE"""),"")</f>
        <v/>
      </c>
      <c r="O666" s="259" t="str">
        <f>IFERROR(__xludf.DUMMYFUNCTION("""COMPUTED_VALUE"""),"")</f>
        <v/>
      </c>
      <c r="P666" s="259">
        <f>IFERROR(__xludf.DUMMYFUNCTION("""COMPUTED_VALUE"""),43634.0)</f>
        <v>43634</v>
      </c>
      <c r="Q666" s="258">
        <f>IFERROR(__xludf.DUMMYFUNCTION("""COMPUTED_VALUE"""),215.0)</f>
        <v>215</v>
      </c>
      <c r="R666" s="261">
        <f>IFERROR(__xludf.DUMMYFUNCTION("""COMPUTED_VALUE"""),215.0)</f>
        <v>215</v>
      </c>
      <c r="S666" s="258">
        <v>220.0</v>
      </c>
      <c r="T666" s="263">
        <v>0.9772727272727273</v>
      </c>
      <c r="U666" s="264">
        <v>215.0</v>
      </c>
      <c r="V666" s="265">
        <v>346.0</v>
      </c>
      <c r="W666" s="264">
        <v>215.0</v>
      </c>
      <c r="X666" s="266"/>
      <c r="Y666" s="267">
        <v>-0.01</v>
      </c>
      <c r="Z666" s="267">
        <v>0.9993139644712429</v>
      </c>
      <c r="AA666" s="269"/>
      <c r="AB666" s="270"/>
      <c r="AC666" s="270"/>
      <c r="AD666" s="270"/>
      <c r="AE666" s="270"/>
    </row>
    <row r="667">
      <c r="A667" s="256">
        <f>IFERROR(__xludf.DUMMYFUNCTION("""COMPUTED_VALUE"""),43637.48372538194)</f>
        <v>43637.48373</v>
      </c>
      <c r="B667" s="257" t="str">
        <f>IFERROR(__xludf.DUMMYFUNCTION("""COMPUTED_VALUE"""),"J0hnny3010")</f>
        <v>J0hnny3010</v>
      </c>
      <c r="C667" s="258" t="str">
        <f>IFERROR(__xludf.DUMMYFUNCTION("""COMPUTED_VALUE"""),"Europe (excluding UK) &amp; Asia Pacific")</f>
        <v>Europe (excluding UK) &amp; Asia Pacific</v>
      </c>
      <c r="D667" s="258" t="str">
        <f>IFERROR(__xludf.DUMMYFUNCTION("""COMPUTED_VALUE"""),"km. My car displays range in kilometres and I will enter all range numbers in kilometres.")</f>
        <v>km. My car displays range in kilometres and I will enter all range numbers in kilometres.</v>
      </c>
      <c r="E667" s="259">
        <f>IFERROR(__xludf.DUMMYFUNCTION("""COMPUTED_VALUE"""),42097.0)</f>
        <v>42097</v>
      </c>
      <c r="F667" s="258" t="str">
        <f>IFERROR(__xludf.DUMMYFUNCTION("""COMPUTED_VALUE"""),"Model S 70D")</f>
        <v>Model S 70D</v>
      </c>
      <c r="G667" s="258" t="str">
        <f>IFERROR(__xludf.DUMMYFUNCTION("""COMPUTED_VALUE"""),"Twice a week")</f>
        <v>Twice a week</v>
      </c>
      <c r="H667" s="258" t="str">
        <f>IFERROR(__xludf.DUMMYFUNCTION("""COMPUTED_VALUE"""),"A few times a year")</f>
        <v>A few times a year</v>
      </c>
      <c r="I667" s="258" t="str">
        <f>IFERROR(__xludf.DUMMYFUNCTION("""COMPUTED_VALUE"""),"A few times a year")</f>
        <v>A few times a year</v>
      </c>
      <c r="J667" s="260">
        <f>IFERROR(__xludf.DUMMYFUNCTION("""COMPUTED_VALUE"""),0.9)</f>
        <v>0.9</v>
      </c>
      <c r="K667" s="258">
        <f>IFERROR(__xludf.DUMMYFUNCTION("""COMPUTED_VALUE"""),365.0)</f>
        <v>365</v>
      </c>
      <c r="L667" s="258">
        <f>IFERROR(__xludf.DUMMYFUNCTION("""COMPUTED_VALUE"""),142.0)</f>
        <v>142</v>
      </c>
      <c r="M667" s="261">
        <f>IFERROR(__xludf.DUMMYFUNCTION("""COMPUTED_VALUE"""),188.0)</f>
        <v>188</v>
      </c>
      <c r="N667" s="262" t="str">
        <f>IFERROR(__xludf.DUMMYFUNCTION("""COMPUTED_VALUE"""),"")</f>
        <v/>
      </c>
      <c r="O667" s="259" t="str">
        <f>IFERROR(__xludf.DUMMYFUNCTION("""COMPUTED_VALUE"""),"")</f>
        <v/>
      </c>
      <c r="P667" s="259">
        <f>IFERROR(__xludf.DUMMYFUNCTION("""COMPUTED_VALUE"""),43631.0)</f>
        <v>43631</v>
      </c>
      <c r="Q667" s="258">
        <f>IFERROR(__xludf.DUMMYFUNCTION("""COMPUTED_VALUE"""),239.5)</f>
        <v>239.5</v>
      </c>
      <c r="R667" s="261">
        <f>IFERROR(__xludf.DUMMYFUNCTION("""COMPUTED_VALUE"""),334.0)</f>
        <v>334</v>
      </c>
      <c r="S667" s="258">
        <v>360.0</v>
      </c>
      <c r="T667" s="263">
        <v>0.9277777777777778</v>
      </c>
      <c r="U667" s="264">
        <v>149.0</v>
      </c>
      <c r="V667" s="265">
        <v>239.5</v>
      </c>
      <c r="W667" s="264">
        <v>149.0</v>
      </c>
      <c r="X667" s="266"/>
      <c r="Y667" s="267">
        <v>-0.01</v>
      </c>
      <c r="Z667" s="267">
        <v>0.9995238311202096</v>
      </c>
      <c r="AA667" s="269"/>
      <c r="AB667" s="270"/>
      <c r="AC667" s="270"/>
      <c r="AD667" s="270"/>
      <c r="AE667" s="270"/>
    </row>
    <row r="668">
      <c r="A668" s="256">
        <f>IFERROR(__xludf.DUMMYFUNCTION("""COMPUTED_VALUE"""),43827.89964922454)</f>
        <v>43827.89965</v>
      </c>
      <c r="B668" s="257" t="str">
        <f>IFERROR(__xludf.DUMMYFUNCTION("""COMPUTED_VALUE"""),"Jaaacob")</f>
        <v>Jaaacob</v>
      </c>
      <c r="C668" s="258" t="str">
        <f>IFERROR(__xludf.DUMMYFUNCTION("""COMPUTED_VALUE"""),"Europe (excluding UK) &amp; Asia Pacific")</f>
        <v>Europe (excluding UK) &amp; Asia Pacific</v>
      </c>
      <c r="D668" s="258" t="str">
        <f>IFERROR(__xludf.DUMMYFUNCTION("""COMPUTED_VALUE"""),"km. My car displays range in kilometres and I will enter all range numbers in kilometres.")</f>
        <v>km. My car displays range in kilometres and I will enter all range numbers in kilometres.</v>
      </c>
      <c r="E668" s="259">
        <f>IFERROR(__xludf.DUMMYFUNCTION("""COMPUTED_VALUE"""),41944.0)</f>
        <v>41944</v>
      </c>
      <c r="F668" s="258" t="str">
        <f>IFERROR(__xludf.DUMMYFUNCTION("""COMPUTED_VALUE"""),"Model S 85")</f>
        <v>Model S 85</v>
      </c>
      <c r="G668" s="258" t="str">
        <f>IFERROR(__xludf.DUMMYFUNCTION("""COMPUTED_VALUE"""),"A few times a year")</f>
        <v>A few times a year</v>
      </c>
      <c r="H668" s="258" t="str">
        <f>IFERROR(__xludf.DUMMYFUNCTION("""COMPUTED_VALUE"""),"A few times a year")</f>
        <v>A few times a year</v>
      </c>
      <c r="I668" s="258" t="str">
        <f>IFERROR(__xludf.DUMMYFUNCTION("""COMPUTED_VALUE"""),"A few times a year")</f>
        <v>A few times a year</v>
      </c>
      <c r="J668" s="260">
        <f>IFERROR(__xludf.DUMMYFUNCTION("""COMPUTED_VALUE"""),0.9)</f>
        <v>0.9</v>
      </c>
      <c r="K668" s="258" t="str">
        <f>IFERROR(__xludf.DUMMYFUNCTION("""COMPUTED_VALUE"""),"")</f>
        <v/>
      </c>
      <c r="L668" s="258">
        <f>IFERROR(__xludf.DUMMYFUNCTION("""COMPUTED_VALUE"""),220.0)</f>
        <v>220</v>
      </c>
      <c r="M668" s="261">
        <f>IFERROR(__xludf.DUMMYFUNCTION("""COMPUTED_VALUE"""),209.0)</f>
        <v>209</v>
      </c>
      <c r="N668" s="262" t="str">
        <f>IFERROR(__xludf.DUMMYFUNCTION("""COMPUTED_VALUE"""),"")</f>
        <v/>
      </c>
      <c r="O668" s="259" t="str">
        <f>IFERROR(__xludf.DUMMYFUNCTION("""COMPUTED_VALUE"""),"")</f>
        <v/>
      </c>
      <c r="P668" s="259">
        <f>IFERROR(__xludf.DUMMYFUNCTION("""COMPUTED_VALUE"""),43827.0)</f>
        <v>43827</v>
      </c>
      <c r="Q668" s="258">
        <f>IFERROR(__xludf.DUMMYFUNCTION("""COMPUTED_VALUE"""),191664.0)</f>
        <v>191664</v>
      </c>
      <c r="R668" s="261">
        <f>IFERROR(__xludf.DUMMYFUNCTION("""COMPUTED_VALUE"""),370.0)</f>
        <v>370</v>
      </c>
      <c r="S668" s="258">
        <v>395.0</v>
      </c>
      <c r="T668" s="263">
        <v>0.9367088607594937</v>
      </c>
      <c r="U668" s="264">
        <v>119094.0</v>
      </c>
      <c r="V668" s="265">
        <v>191664.0</v>
      </c>
      <c r="W668" s="264">
        <v>119094.0</v>
      </c>
      <c r="X668" s="266"/>
      <c r="Y668" s="267">
        <v>-0.01</v>
      </c>
      <c r="Z668" s="267">
        <v>0.9253532078833914</v>
      </c>
      <c r="AA668" s="269"/>
      <c r="AB668" s="270"/>
      <c r="AC668" s="270"/>
      <c r="AD668" s="270"/>
      <c r="AE668" s="270"/>
    </row>
    <row r="669">
      <c r="A669" s="256">
        <f>IFERROR(__xludf.DUMMYFUNCTION("""COMPUTED_VALUE"""),42118.42013888889)</f>
        <v>42118.42014</v>
      </c>
      <c r="B669" s="257" t="str">
        <f>IFERROR(__xludf.DUMMYFUNCTION("""COMPUTED_VALUE"""),"jakoys")</f>
        <v>jakoys</v>
      </c>
      <c r="C669" s="258" t="str">
        <f>IFERROR(__xludf.DUMMYFUNCTION("""COMPUTED_VALUE"""),"Europe (excluding UK) &amp; Asia Pacific")</f>
        <v>Europe (excluding UK) &amp; Asia Pacific</v>
      </c>
      <c r="D669" s="258" t="str">
        <f>IFERROR(__xludf.DUMMYFUNCTION("""COMPUTED_VALUE"""),"km. My car displays range in kilometres and I will enter all range numbers in kilometres.")</f>
        <v>km. My car displays range in kilometres and I will enter all range numbers in kilometres.</v>
      </c>
      <c r="E669" s="259">
        <f>IFERROR(__xludf.DUMMYFUNCTION("""COMPUTED_VALUE"""),41800.0)</f>
        <v>41800</v>
      </c>
      <c r="F669" s="258" t="str">
        <f>IFERROR(__xludf.DUMMYFUNCTION("""COMPUTED_VALUE"""),"Model S 85")</f>
        <v>Model S 85</v>
      </c>
      <c r="G669" s="258" t="str">
        <f>IFERROR(__xludf.DUMMYFUNCTION("""COMPUTED_VALUE"""),"Weekly")</f>
        <v>Weekly</v>
      </c>
      <c r="H669" s="258" t="str">
        <f>IFERROR(__xludf.DUMMYFUNCTION("""COMPUTED_VALUE"""),"A few times a year")</f>
        <v>A few times a year</v>
      </c>
      <c r="I669" s="258" t="str">
        <f>IFERROR(__xludf.DUMMYFUNCTION("""COMPUTED_VALUE"""),"Never")</f>
        <v>Never</v>
      </c>
      <c r="J669" s="260">
        <f>IFERROR(__xludf.DUMMYFUNCTION("""COMPUTED_VALUE"""),0.8)</f>
        <v>0.8</v>
      </c>
      <c r="K669" s="258">
        <f>IFERROR(__xludf.DUMMYFUNCTION("""COMPUTED_VALUE"""),388.0)</f>
        <v>388</v>
      </c>
      <c r="L669" s="258" t="str">
        <f>IFERROR(__xludf.DUMMYFUNCTION("""COMPUTED_VALUE"""),"")</f>
        <v/>
      </c>
      <c r="M669" s="261">
        <f>IFERROR(__xludf.DUMMYFUNCTION("""COMPUTED_VALUE"""),220.0)</f>
        <v>220</v>
      </c>
      <c r="N669" s="262" t="str">
        <f>IFERROR(__xludf.DUMMYFUNCTION("""COMPUTED_VALUE"""),"")</f>
        <v/>
      </c>
      <c r="O669" s="259" t="str">
        <f>IFERROR(__xludf.DUMMYFUNCTION("""COMPUTED_VALUE"""),"")</f>
        <v/>
      </c>
      <c r="P669" s="259">
        <f>IFERROR(__xludf.DUMMYFUNCTION("""COMPUTED_VALUE"""),42118.0)</f>
        <v>42118</v>
      </c>
      <c r="Q669" s="258">
        <f>IFERROR(__xludf.DUMMYFUNCTION("""COMPUTED_VALUE"""),36302.0)</f>
        <v>36302</v>
      </c>
      <c r="R669" s="261">
        <f>IFERROR(__xludf.DUMMYFUNCTION("""COMPUTED_VALUE"""),388.0)</f>
        <v>388</v>
      </c>
      <c r="S669" s="258">
        <v>395.0</v>
      </c>
      <c r="T669" s="263">
        <v>0.9822784810126582</v>
      </c>
      <c r="U669" s="264">
        <v>22557.0</v>
      </c>
      <c r="V669" s="265">
        <v>36302.0</v>
      </c>
      <c r="W669" s="264">
        <v>22557.0</v>
      </c>
      <c r="X669" s="266"/>
      <c r="Y669" s="267">
        <v>-0.01</v>
      </c>
      <c r="Z669" s="267">
        <v>0.9648749481474912</v>
      </c>
      <c r="AA669" s="269"/>
      <c r="AB669" s="270"/>
      <c r="AC669" s="270"/>
      <c r="AD669" s="270"/>
      <c r="AE669" s="270"/>
    </row>
    <row r="670">
      <c r="A670" s="256">
        <f>IFERROR(__xludf.DUMMYFUNCTION("""COMPUTED_VALUE"""),42185.42083333334)</f>
        <v>42185.42083</v>
      </c>
      <c r="B670" s="257" t="str">
        <f>IFERROR(__xludf.DUMMYFUNCTION("""COMPUTED_VALUE"""),"jakoys")</f>
        <v>jakoys</v>
      </c>
      <c r="C670" s="258" t="str">
        <f>IFERROR(__xludf.DUMMYFUNCTION("""COMPUTED_VALUE"""),"Europe (excluding UK) &amp; Asia Pacific")</f>
        <v>Europe (excluding UK) &amp; Asia Pacific</v>
      </c>
      <c r="D670" s="258" t="str">
        <f>IFERROR(__xludf.DUMMYFUNCTION("""COMPUTED_VALUE"""),"km. My car displays range in kilometres and I will enter all range numbers in kilometres.")</f>
        <v>km. My car displays range in kilometres and I will enter all range numbers in kilometres.</v>
      </c>
      <c r="E670" s="259">
        <f>IFERROR(__xludf.DUMMYFUNCTION("""COMPUTED_VALUE"""),41800.0)</f>
        <v>41800</v>
      </c>
      <c r="F670" s="258" t="str">
        <f>IFERROR(__xludf.DUMMYFUNCTION("""COMPUTED_VALUE"""),"Model S 85")</f>
        <v>Model S 85</v>
      </c>
      <c r="G670" s="258" t="str">
        <f>IFERROR(__xludf.DUMMYFUNCTION("""COMPUTED_VALUE"""),"Weekly")</f>
        <v>Weekly</v>
      </c>
      <c r="H670" s="258" t="str">
        <f>IFERROR(__xludf.DUMMYFUNCTION("""COMPUTED_VALUE"""),"A few times a year")</f>
        <v>A few times a year</v>
      </c>
      <c r="I670" s="258" t="str">
        <f>IFERROR(__xludf.DUMMYFUNCTION("""COMPUTED_VALUE"""),"Never")</f>
        <v>Never</v>
      </c>
      <c r="J670" s="260">
        <f>IFERROR(__xludf.DUMMYFUNCTION("""COMPUTED_VALUE"""),0.8)</f>
        <v>0.8</v>
      </c>
      <c r="K670" s="258">
        <f>IFERROR(__xludf.DUMMYFUNCTION("""COMPUTED_VALUE"""),388.0)</f>
        <v>388</v>
      </c>
      <c r="L670" s="258" t="str">
        <f>IFERROR(__xludf.DUMMYFUNCTION("""COMPUTED_VALUE"""),"")</f>
        <v/>
      </c>
      <c r="M670" s="261">
        <f>IFERROR(__xludf.DUMMYFUNCTION("""COMPUTED_VALUE"""),220.0)</f>
        <v>220</v>
      </c>
      <c r="N670" s="262" t="str">
        <f>IFERROR(__xludf.DUMMYFUNCTION("""COMPUTED_VALUE"""),"")</f>
        <v/>
      </c>
      <c r="O670" s="259" t="str">
        <f>IFERROR(__xludf.DUMMYFUNCTION("""COMPUTED_VALUE"""),"")</f>
        <v/>
      </c>
      <c r="P670" s="259">
        <f>IFERROR(__xludf.DUMMYFUNCTION("""COMPUTED_VALUE"""),42185.0)</f>
        <v>42185</v>
      </c>
      <c r="Q670" s="258">
        <f>IFERROR(__xludf.DUMMYFUNCTION("""COMPUTED_VALUE"""),39821.0)</f>
        <v>39821</v>
      </c>
      <c r="R670" s="261">
        <f>IFERROR(__xludf.DUMMYFUNCTION("""COMPUTED_VALUE"""),381.0)</f>
        <v>381</v>
      </c>
      <c r="S670" s="258">
        <v>395.0</v>
      </c>
      <c r="T670" s="263">
        <v>0.9645569620253165</v>
      </c>
      <c r="U670" s="264">
        <v>24744.0</v>
      </c>
      <c r="V670" s="265">
        <v>39821.0</v>
      </c>
      <c r="W670" s="264">
        <v>24744.0</v>
      </c>
      <c r="X670" s="266"/>
      <c r="Y670" s="267">
        <v>-0.01</v>
      </c>
      <c r="Z670" s="267">
        <v>0.9633808696341594</v>
      </c>
      <c r="AA670" s="269"/>
      <c r="AB670" s="270"/>
      <c r="AC670" s="270"/>
      <c r="AD670" s="270"/>
      <c r="AE670" s="270"/>
    </row>
    <row r="671">
      <c r="A671" s="256">
        <f>IFERROR(__xludf.DUMMYFUNCTION("""COMPUTED_VALUE"""),42278.42152777778)</f>
        <v>42278.42153</v>
      </c>
      <c r="B671" s="257" t="str">
        <f>IFERROR(__xludf.DUMMYFUNCTION("""COMPUTED_VALUE"""),"jakoys")</f>
        <v>jakoys</v>
      </c>
      <c r="C671" s="258" t="str">
        <f>IFERROR(__xludf.DUMMYFUNCTION("""COMPUTED_VALUE"""),"Europe (excluding UK) &amp; Asia Pacific")</f>
        <v>Europe (excluding UK) &amp; Asia Pacific</v>
      </c>
      <c r="D671" s="258" t="str">
        <f>IFERROR(__xludf.DUMMYFUNCTION("""COMPUTED_VALUE"""),"km. My car displays range in kilometres and I will enter all range numbers in kilometres.")</f>
        <v>km. My car displays range in kilometres and I will enter all range numbers in kilometres.</v>
      </c>
      <c r="E671" s="259">
        <f>IFERROR(__xludf.DUMMYFUNCTION("""COMPUTED_VALUE"""),41800.0)</f>
        <v>41800</v>
      </c>
      <c r="F671" s="258" t="str">
        <f>IFERROR(__xludf.DUMMYFUNCTION("""COMPUTED_VALUE"""),"Model S 85")</f>
        <v>Model S 85</v>
      </c>
      <c r="G671" s="258" t="str">
        <f>IFERROR(__xludf.DUMMYFUNCTION("""COMPUTED_VALUE"""),"Weekly")</f>
        <v>Weekly</v>
      </c>
      <c r="H671" s="258" t="str">
        <f>IFERROR(__xludf.DUMMYFUNCTION("""COMPUTED_VALUE"""),"A few times a year")</f>
        <v>A few times a year</v>
      </c>
      <c r="I671" s="258" t="str">
        <f>IFERROR(__xludf.DUMMYFUNCTION("""COMPUTED_VALUE"""),"Never")</f>
        <v>Never</v>
      </c>
      <c r="J671" s="260">
        <f>IFERROR(__xludf.DUMMYFUNCTION("""COMPUTED_VALUE"""),0.8)</f>
        <v>0.8</v>
      </c>
      <c r="K671" s="258">
        <f>IFERROR(__xludf.DUMMYFUNCTION("""COMPUTED_VALUE"""),388.0)</f>
        <v>388</v>
      </c>
      <c r="L671" s="258" t="str">
        <f>IFERROR(__xludf.DUMMYFUNCTION("""COMPUTED_VALUE"""),"")</f>
        <v/>
      </c>
      <c r="M671" s="261">
        <f>IFERROR(__xludf.DUMMYFUNCTION("""COMPUTED_VALUE"""),220.0)</f>
        <v>220</v>
      </c>
      <c r="N671" s="262" t="str">
        <f>IFERROR(__xludf.DUMMYFUNCTION("""COMPUTED_VALUE"""),"")</f>
        <v/>
      </c>
      <c r="O671" s="259" t="str">
        <f>IFERROR(__xludf.DUMMYFUNCTION("""COMPUTED_VALUE"""),"")</f>
        <v/>
      </c>
      <c r="P671" s="259">
        <f>IFERROR(__xludf.DUMMYFUNCTION("""COMPUTED_VALUE"""),42278.0)</f>
        <v>42278</v>
      </c>
      <c r="Q671" s="258">
        <f>IFERROR(__xludf.DUMMYFUNCTION("""COMPUTED_VALUE"""),48316.0)</f>
        <v>48316</v>
      </c>
      <c r="R671" s="261">
        <f>IFERROR(__xludf.DUMMYFUNCTION("""COMPUTED_VALUE"""),373.0)</f>
        <v>373</v>
      </c>
      <c r="S671" s="258">
        <v>395.0</v>
      </c>
      <c r="T671" s="263">
        <v>0.9443037974683545</v>
      </c>
      <c r="U671" s="264">
        <v>30022.0</v>
      </c>
      <c r="V671" s="265">
        <v>48316.0</v>
      </c>
      <c r="W671" s="264">
        <v>30022.0</v>
      </c>
      <c r="X671" s="266"/>
      <c r="Y671" s="267">
        <v>-0.01</v>
      </c>
      <c r="Z671" s="267">
        <v>0.9602499311141846</v>
      </c>
      <c r="AA671" s="269"/>
      <c r="AB671" s="270"/>
      <c r="AC671" s="270"/>
      <c r="AD671" s="270"/>
      <c r="AE671" s="270"/>
    </row>
    <row r="672">
      <c r="A672" s="256">
        <f>IFERROR(__xludf.DUMMYFUNCTION("""COMPUTED_VALUE"""),42568.42222222222)</f>
        <v>42568.42222</v>
      </c>
      <c r="B672" s="257" t="str">
        <f>IFERROR(__xludf.DUMMYFUNCTION("""COMPUTED_VALUE"""),"jakoys")</f>
        <v>jakoys</v>
      </c>
      <c r="C672" s="258" t="str">
        <f>IFERROR(__xludf.DUMMYFUNCTION("""COMPUTED_VALUE"""),"Europe (excluding UK) &amp; Asia Pacific")</f>
        <v>Europe (excluding UK) &amp; Asia Pacific</v>
      </c>
      <c r="D672" s="258" t="str">
        <f>IFERROR(__xludf.DUMMYFUNCTION("""COMPUTED_VALUE"""),"km. My car displays range in kilometres and I will enter all range numbers in kilometres.")</f>
        <v>km. My car displays range in kilometres and I will enter all range numbers in kilometres.</v>
      </c>
      <c r="E672" s="259">
        <f>IFERROR(__xludf.DUMMYFUNCTION("""COMPUTED_VALUE"""),41800.0)</f>
        <v>41800</v>
      </c>
      <c r="F672" s="258" t="str">
        <f>IFERROR(__xludf.DUMMYFUNCTION("""COMPUTED_VALUE"""),"Model S 85")</f>
        <v>Model S 85</v>
      </c>
      <c r="G672" s="258" t="str">
        <f>IFERROR(__xludf.DUMMYFUNCTION("""COMPUTED_VALUE"""),"Weekly")</f>
        <v>Weekly</v>
      </c>
      <c r="H672" s="258" t="str">
        <f>IFERROR(__xludf.DUMMYFUNCTION("""COMPUTED_VALUE"""),"A few times a year")</f>
        <v>A few times a year</v>
      </c>
      <c r="I672" s="258" t="str">
        <f>IFERROR(__xludf.DUMMYFUNCTION("""COMPUTED_VALUE"""),"Never")</f>
        <v>Never</v>
      </c>
      <c r="J672" s="260">
        <f>IFERROR(__xludf.DUMMYFUNCTION("""COMPUTED_VALUE"""),0.7)</f>
        <v>0.7</v>
      </c>
      <c r="K672" s="258">
        <f>IFERROR(__xludf.DUMMYFUNCTION("""COMPUTED_VALUE"""),388.0)</f>
        <v>388</v>
      </c>
      <c r="L672" s="258" t="str">
        <f>IFERROR(__xludf.DUMMYFUNCTION("""COMPUTED_VALUE"""),"")</f>
        <v/>
      </c>
      <c r="M672" s="261">
        <f>IFERROR(__xludf.DUMMYFUNCTION("""COMPUTED_VALUE"""),220.0)</f>
        <v>220</v>
      </c>
      <c r="N672" s="262" t="str">
        <f>IFERROR(__xludf.DUMMYFUNCTION("""COMPUTED_VALUE"""),"")</f>
        <v/>
      </c>
      <c r="O672" s="259" t="str">
        <f>IFERROR(__xludf.DUMMYFUNCTION("""COMPUTED_VALUE"""),"")</f>
        <v/>
      </c>
      <c r="P672" s="259">
        <f>IFERROR(__xludf.DUMMYFUNCTION("""COMPUTED_VALUE"""),42568.0)</f>
        <v>42568</v>
      </c>
      <c r="Q672" s="258">
        <f>IFERROR(__xludf.DUMMYFUNCTION("""COMPUTED_VALUE"""),68068.0)</f>
        <v>68068</v>
      </c>
      <c r="R672" s="261">
        <f>IFERROR(__xludf.DUMMYFUNCTION("""COMPUTED_VALUE"""),376.0)</f>
        <v>376</v>
      </c>
      <c r="S672" s="258">
        <v>395.0</v>
      </c>
      <c r="T672" s="263">
        <v>0.9518987341772152</v>
      </c>
      <c r="U672" s="264">
        <v>42295.0</v>
      </c>
      <c r="V672" s="265">
        <v>68068.0</v>
      </c>
      <c r="W672" s="264">
        <v>42295.0</v>
      </c>
      <c r="X672" s="266"/>
      <c r="Y672" s="267">
        <v>-0.01</v>
      </c>
      <c r="Z672" s="267">
        <v>0.9544415925999458</v>
      </c>
      <c r="AA672" s="269"/>
      <c r="AB672" s="270"/>
      <c r="AC672" s="270"/>
      <c r="AD672" s="270"/>
      <c r="AE672" s="270"/>
    </row>
    <row r="673">
      <c r="A673" s="256">
        <f>IFERROR(__xludf.DUMMYFUNCTION("""COMPUTED_VALUE"""),42668.42916666667)</f>
        <v>42668.42917</v>
      </c>
      <c r="B673" s="257" t="str">
        <f>IFERROR(__xludf.DUMMYFUNCTION("""COMPUTED_VALUE"""),"jakoys")</f>
        <v>jakoys</v>
      </c>
      <c r="C673" s="258" t="str">
        <f>IFERROR(__xludf.DUMMYFUNCTION("""COMPUTED_VALUE"""),"Europe (excluding UK) &amp; Asia Pacific")</f>
        <v>Europe (excluding UK) &amp; Asia Pacific</v>
      </c>
      <c r="D673" s="258" t="str">
        <f>IFERROR(__xludf.DUMMYFUNCTION("""COMPUTED_VALUE"""),"km. My car displays range in kilometres and I will enter all range numbers in kilometres.")</f>
        <v>km. My car displays range in kilometres and I will enter all range numbers in kilometres.</v>
      </c>
      <c r="E673" s="259">
        <f>IFERROR(__xludf.DUMMYFUNCTION("""COMPUTED_VALUE"""),41800.0)</f>
        <v>41800</v>
      </c>
      <c r="F673" s="258" t="str">
        <f>IFERROR(__xludf.DUMMYFUNCTION("""COMPUTED_VALUE"""),"Model S 85")</f>
        <v>Model S 85</v>
      </c>
      <c r="G673" s="258" t="str">
        <f>IFERROR(__xludf.DUMMYFUNCTION("""COMPUTED_VALUE"""),"Monthly")</f>
        <v>Monthly</v>
      </c>
      <c r="H673" s="258" t="str">
        <f>IFERROR(__xludf.DUMMYFUNCTION("""COMPUTED_VALUE"""),"A few times a year")</f>
        <v>A few times a year</v>
      </c>
      <c r="I673" s="258" t="str">
        <f>IFERROR(__xludf.DUMMYFUNCTION("""COMPUTED_VALUE"""),"Never")</f>
        <v>Never</v>
      </c>
      <c r="J673" s="260">
        <f>IFERROR(__xludf.DUMMYFUNCTION("""COMPUTED_VALUE"""),0.6)</f>
        <v>0.6</v>
      </c>
      <c r="K673" s="258">
        <f>IFERROR(__xludf.DUMMYFUNCTION("""COMPUTED_VALUE"""),388.0)</f>
        <v>388</v>
      </c>
      <c r="L673" s="258" t="str">
        <f>IFERROR(__xludf.DUMMYFUNCTION("""COMPUTED_VALUE"""),"")</f>
        <v/>
      </c>
      <c r="M673" s="261">
        <f>IFERROR(__xludf.DUMMYFUNCTION("""COMPUTED_VALUE"""),220.0)</f>
        <v>220</v>
      </c>
      <c r="N673" s="262" t="str">
        <f>IFERROR(__xludf.DUMMYFUNCTION("""COMPUTED_VALUE"""),"")</f>
        <v/>
      </c>
      <c r="O673" s="259" t="str">
        <f>IFERROR(__xludf.DUMMYFUNCTION("""COMPUTED_VALUE"""),"")</f>
        <v/>
      </c>
      <c r="P673" s="259">
        <f>IFERROR(__xludf.DUMMYFUNCTION("""COMPUTED_VALUE"""),42668.0)</f>
        <v>42668</v>
      </c>
      <c r="Q673" s="258">
        <f>IFERROR(__xludf.DUMMYFUNCTION("""COMPUTED_VALUE"""),76800.0)</f>
        <v>76800</v>
      </c>
      <c r="R673" s="261">
        <f>IFERROR(__xludf.DUMMYFUNCTION("""COMPUTED_VALUE"""),376.0)</f>
        <v>376</v>
      </c>
      <c r="S673" s="258">
        <v>395.0</v>
      </c>
      <c r="T673" s="263">
        <v>0.9518987341772152</v>
      </c>
      <c r="U673" s="264">
        <v>47721.0</v>
      </c>
      <c r="V673" s="265">
        <v>76800.0</v>
      </c>
      <c r="W673" s="264">
        <v>47721.0</v>
      </c>
      <c r="X673" s="266"/>
      <c r="Y673" s="267">
        <v>-0.01</v>
      </c>
      <c r="Z673" s="267">
        <v>0.9521959737382806</v>
      </c>
      <c r="AA673" s="269"/>
      <c r="AB673" s="270"/>
      <c r="AC673" s="270"/>
      <c r="AD673" s="270"/>
      <c r="AE673" s="270"/>
    </row>
    <row r="674">
      <c r="A674" s="256">
        <f>IFERROR(__xludf.DUMMYFUNCTION("""COMPUTED_VALUE"""),42846.52638888889)</f>
        <v>42846.52639</v>
      </c>
      <c r="B674" s="257" t="str">
        <f>IFERROR(__xludf.DUMMYFUNCTION("""COMPUTED_VALUE"""),"jakoys")</f>
        <v>jakoys</v>
      </c>
      <c r="C674" s="258" t="str">
        <f>IFERROR(__xludf.DUMMYFUNCTION("""COMPUTED_VALUE"""),"Europe (excluding UK) &amp; Asia Pacific")</f>
        <v>Europe (excluding UK) &amp; Asia Pacific</v>
      </c>
      <c r="D674" s="258" t="str">
        <f>IFERROR(__xludf.DUMMYFUNCTION("""COMPUTED_VALUE"""),"km. My car displays range in kilometres and I will enter all range numbers in kilometres.")</f>
        <v>km. My car displays range in kilometres and I will enter all range numbers in kilometres.</v>
      </c>
      <c r="E674" s="259">
        <f>IFERROR(__xludf.DUMMYFUNCTION("""COMPUTED_VALUE"""),41800.0)</f>
        <v>41800</v>
      </c>
      <c r="F674" s="258" t="str">
        <f>IFERROR(__xludf.DUMMYFUNCTION("""COMPUTED_VALUE"""),"Model S 85")</f>
        <v>Model S 85</v>
      </c>
      <c r="G674" s="258" t="str">
        <f>IFERROR(__xludf.DUMMYFUNCTION("""COMPUTED_VALUE"""),"Weekly")</f>
        <v>Weekly</v>
      </c>
      <c r="H674" s="258" t="str">
        <f>IFERROR(__xludf.DUMMYFUNCTION("""COMPUTED_VALUE"""),"A few times a year")</f>
        <v>A few times a year</v>
      </c>
      <c r="I674" s="258" t="str">
        <f>IFERROR(__xludf.DUMMYFUNCTION("""COMPUTED_VALUE"""),"Never")</f>
        <v>Never</v>
      </c>
      <c r="J674" s="260">
        <f>IFERROR(__xludf.DUMMYFUNCTION("""COMPUTED_VALUE"""),0.6)</f>
        <v>0.6</v>
      </c>
      <c r="K674" s="258" t="str">
        <f>IFERROR(__xludf.DUMMYFUNCTION("""COMPUTED_VALUE"""),"")</f>
        <v/>
      </c>
      <c r="L674" s="258" t="str">
        <f>IFERROR(__xludf.DUMMYFUNCTION("""COMPUTED_VALUE"""),"")</f>
        <v/>
      </c>
      <c r="M674" s="261">
        <f>IFERROR(__xludf.DUMMYFUNCTION("""COMPUTED_VALUE"""),218.0)</f>
        <v>218</v>
      </c>
      <c r="N674" s="262" t="str">
        <f>IFERROR(__xludf.DUMMYFUNCTION("""COMPUTED_VALUE"""),"")</f>
        <v/>
      </c>
      <c r="O674" s="259" t="str">
        <f>IFERROR(__xludf.DUMMYFUNCTION("""COMPUTED_VALUE"""),"")</f>
        <v/>
      </c>
      <c r="P674" s="259">
        <f>IFERROR(__xludf.DUMMYFUNCTION("""COMPUTED_VALUE"""),42846.0)</f>
        <v>42846</v>
      </c>
      <c r="Q674" s="258">
        <f>IFERROR(__xludf.DUMMYFUNCTION("""COMPUTED_VALUE"""),84877.0)</f>
        <v>84877</v>
      </c>
      <c r="R674" s="261">
        <f>IFERROR(__xludf.DUMMYFUNCTION("""COMPUTED_VALUE"""),383.0)</f>
        <v>383</v>
      </c>
      <c r="S674" s="258">
        <v>395.0</v>
      </c>
      <c r="T674" s="263">
        <v>0.9696202531645569</v>
      </c>
      <c r="U674" s="264">
        <v>52740.0</v>
      </c>
      <c r="V674" s="265">
        <v>84877.0</v>
      </c>
      <c r="W674" s="264">
        <v>52740.0</v>
      </c>
      <c r="X674" s="266"/>
      <c r="Y674" s="267">
        <v>-0.01</v>
      </c>
      <c r="Z674" s="267">
        <v>0.9502018146980052</v>
      </c>
      <c r="AA674" s="269"/>
      <c r="AB674" s="270"/>
      <c r="AC674" s="270"/>
      <c r="AD674" s="270"/>
      <c r="AE674" s="270"/>
    </row>
    <row r="675">
      <c r="A675" s="256">
        <f>IFERROR(__xludf.DUMMYFUNCTION("""COMPUTED_VALUE"""),42959.57638888889)</f>
        <v>42959.57639</v>
      </c>
      <c r="B675" s="257" t="str">
        <f>IFERROR(__xludf.DUMMYFUNCTION("""COMPUTED_VALUE"""),"jakoys")</f>
        <v>jakoys</v>
      </c>
      <c r="C675" s="258" t="str">
        <f>IFERROR(__xludf.DUMMYFUNCTION("""COMPUTED_VALUE"""),"Europe (excluding UK) &amp; Asia Pacific")</f>
        <v>Europe (excluding UK) &amp; Asia Pacific</v>
      </c>
      <c r="D675" s="258" t="str">
        <f>IFERROR(__xludf.DUMMYFUNCTION("""COMPUTED_VALUE"""),"km. My car displays range in kilometres and I will enter all range numbers in kilometres.")</f>
        <v>km. My car displays range in kilometres and I will enter all range numbers in kilometres.</v>
      </c>
      <c r="E675" s="259">
        <f>IFERROR(__xludf.DUMMYFUNCTION("""COMPUTED_VALUE"""),41800.0)</f>
        <v>41800</v>
      </c>
      <c r="F675" s="258" t="str">
        <f>IFERROR(__xludf.DUMMYFUNCTION("""COMPUTED_VALUE"""),"Model S 85")</f>
        <v>Model S 85</v>
      </c>
      <c r="G675" s="258" t="str">
        <f>IFERROR(__xludf.DUMMYFUNCTION("""COMPUTED_VALUE"""),"Weekly")</f>
        <v>Weekly</v>
      </c>
      <c r="H675" s="258" t="str">
        <f>IFERROR(__xludf.DUMMYFUNCTION("""COMPUTED_VALUE"""),"A few times a year")</f>
        <v>A few times a year</v>
      </c>
      <c r="I675" s="258" t="str">
        <f>IFERROR(__xludf.DUMMYFUNCTION("""COMPUTED_VALUE"""),"Never")</f>
        <v>Never</v>
      </c>
      <c r="J675" s="260">
        <f>IFERROR(__xludf.DUMMYFUNCTION("""COMPUTED_VALUE"""),0.7)</f>
        <v>0.7</v>
      </c>
      <c r="K675" s="258">
        <f>IFERROR(__xludf.DUMMYFUNCTION("""COMPUTED_VALUE"""),388.0)</f>
        <v>388</v>
      </c>
      <c r="L675" s="258" t="str">
        <f>IFERROR(__xludf.DUMMYFUNCTION("""COMPUTED_VALUE"""),"")</f>
        <v/>
      </c>
      <c r="M675" s="261">
        <f>IFERROR(__xludf.DUMMYFUNCTION("""COMPUTED_VALUE"""),218.0)</f>
        <v>218</v>
      </c>
      <c r="N675" s="262" t="str">
        <f>IFERROR(__xludf.DUMMYFUNCTION("""COMPUTED_VALUE"""),"")</f>
        <v/>
      </c>
      <c r="O675" s="259" t="str">
        <f>IFERROR(__xludf.DUMMYFUNCTION("""COMPUTED_VALUE"""),"")</f>
        <v/>
      </c>
      <c r="P675" s="259">
        <f>IFERROR(__xludf.DUMMYFUNCTION("""COMPUTED_VALUE"""),42959.0)</f>
        <v>42959</v>
      </c>
      <c r="Q675" s="258">
        <f>IFERROR(__xludf.DUMMYFUNCTION("""COMPUTED_VALUE"""),95640.0)</f>
        <v>95640</v>
      </c>
      <c r="R675" s="261">
        <f>IFERROR(__xludf.DUMMYFUNCTION("""COMPUTED_VALUE"""),379.0)</f>
        <v>379</v>
      </c>
      <c r="S675" s="258">
        <v>395.0</v>
      </c>
      <c r="T675" s="263">
        <v>0.959493670886076</v>
      </c>
      <c r="U675" s="264">
        <v>59428.0</v>
      </c>
      <c r="V675" s="265">
        <v>95640.0</v>
      </c>
      <c r="W675" s="264">
        <v>59428.0</v>
      </c>
      <c r="X675" s="266"/>
      <c r="Y675" s="267">
        <v>-0.01</v>
      </c>
      <c r="Z675" s="267">
        <v>0.9476175202290127</v>
      </c>
      <c r="AA675" s="269"/>
      <c r="AB675" s="270"/>
      <c r="AC675" s="270"/>
      <c r="AD675" s="270"/>
      <c r="AE675" s="270"/>
    </row>
    <row r="676">
      <c r="A676" s="256">
        <f>IFERROR(__xludf.DUMMYFUNCTION("""COMPUTED_VALUE"""),43021.63333333333)</f>
        <v>43021.63333</v>
      </c>
      <c r="B676" s="257" t="str">
        <f>IFERROR(__xludf.DUMMYFUNCTION("""COMPUTED_VALUE"""),"jakoys")</f>
        <v>jakoys</v>
      </c>
      <c r="C676" s="258" t="str">
        <f>IFERROR(__xludf.DUMMYFUNCTION("""COMPUTED_VALUE"""),"Europe (excluding UK) &amp; Asia Pacific")</f>
        <v>Europe (excluding UK) &amp; Asia Pacific</v>
      </c>
      <c r="D676" s="258" t="str">
        <f>IFERROR(__xludf.DUMMYFUNCTION("""COMPUTED_VALUE"""),"km. My car displays range in kilometres and I will enter all range numbers in kilometres.")</f>
        <v>km. My car displays range in kilometres and I will enter all range numbers in kilometres.</v>
      </c>
      <c r="E676" s="259">
        <f>IFERROR(__xludf.DUMMYFUNCTION("""COMPUTED_VALUE"""),41800.0)</f>
        <v>41800</v>
      </c>
      <c r="F676" s="258" t="str">
        <f>IFERROR(__xludf.DUMMYFUNCTION("""COMPUTED_VALUE"""),"Model S 85")</f>
        <v>Model S 85</v>
      </c>
      <c r="G676" s="258" t="str">
        <f>IFERROR(__xludf.DUMMYFUNCTION("""COMPUTED_VALUE"""),"Twice a month")</f>
        <v>Twice a month</v>
      </c>
      <c r="H676" s="258" t="str">
        <f>IFERROR(__xludf.DUMMYFUNCTION("""COMPUTED_VALUE"""),"Monthly")</f>
        <v>Monthly</v>
      </c>
      <c r="I676" s="258" t="str">
        <f>IFERROR(__xludf.DUMMYFUNCTION("""COMPUTED_VALUE"""),"Never")</f>
        <v>Never</v>
      </c>
      <c r="J676" s="260">
        <f>IFERROR(__xludf.DUMMYFUNCTION("""COMPUTED_VALUE"""),0.7)</f>
        <v>0.7</v>
      </c>
      <c r="K676" s="258">
        <f>IFERROR(__xludf.DUMMYFUNCTION("""COMPUTED_VALUE"""),388.0)</f>
        <v>388</v>
      </c>
      <c r="L676" s="258" t="str">
        <f>IFERROR(__xludf.DUMMYFUNCTION("""COMPUTED_VALUE"""),"")</f>
        <v/>
      </c>
      <c r="M676" s="261">
        <f>IFERROR(__xludf.DUMMYFUNCTION("""COMPUTED_VALUE"""),218.0)</f>
        <v>218</v>
      </c>
      <c r="N676" s="262" t="str">
        <f>IFERROR(__xludf.DUMMYFUNCTION("""COMPUTED_VALUE"""),"")</f>
        <v/>
      </c>
      <c r="O676" s="259" t="str">
        <f>IFERROR(__xludf.DUMMYFUNCTION("""COMPUTED_VALUE"""),"")</f>
        <v/>
      </c>
      <c r="P676" s="259">
        <f>IFERROR(__xludf.DUMMYFUNCTION("""COMPUTED_VALUE"""),43021.0)</f>
        <v>43021</v>
      </c>
      <c r="Q676" s="258">
        <f>IFERROR(__xludf.DUMMYFUNCTION("""COMPUTED_VALUE"""),100790.0)</f>
        <v>100790</v>
      </c>
      <c r="R676" s="261">
        <f>IFERROR(__xludf.DUMMYFUNCTION("""COMPUTED_VALUE"""),378.0)</f>
        <v>378</v>
      </c>
      <c r="S676" s="258">
        <v>395.0</v>
      </c>
      <c r="T676" s="263">
        <v>0.9569620253164557</v>
      </c>
      <c r="U676" s="264">
        <v>62628.0</v>
      </c>
      <c r="V676" s="265">
        <v>100790.0</v>
      </c>
      <c r="W676" s="264">
        <v>62628.0</v>
      </c>
      <c r="X676" s="266"/>
      <c r="Y676" s="267">
        <v>-0.01</v>
      </c>
      <c r="Z676" s="267">
        <v>0.9463993872911761</v>
      </c>
      <c r="AA676" s="269"/>
      <c r="AB676" s="270"/>
      <c r="AC676" s="270"/>
      <c r="AD676" s="270"/>
      <c r="AE676" s="270"/>
    </row>
    <row r="677">
      <c r="A677" s="256">
        <f>IFERROR(__xludf.DUMMYFUNCTION("""COMPUTED_VALUE"""),43214.73263888889)</f>
        <v>43214.73264</v>
      </c>
      <c r="B677" s="257" t="str">
        <f>IFERROR(__xludf.DUMMYFUNCTION("""COMPUTED_VALUE"""),"jakoys")</f>
        <v>jakoys</v>
      </c>
      <c r="C677" s="258" t="str">
        <f>IFERROR(__xludf.DUMMYFUNCTION("""COMPUTED_VALUE"""),"Europe (excluding UK) &amp; Asia Pacific")</f>
        <v>Europe (excluding UK) &amp; Asia Pacific</v>
      </c>
      <c r="D677" s="258" t="str">
        <f>IFERROR(__xludf.DUMMYFUNCTION("""COMPUTED_VALUE"""),"km. My car displays range in kilometres and I will enter all range numbers in kilometres.")</f>
        <v>km. My car displays range in kilometres and I will enter all range numbers in kilometres.</v>
      </c>
      <c r="E677" s="259">
        <f>IFERROR(__xludf.DUMMYFUNCTION("""COMPUTED_VALUE"""),41800.0)</f>
        <v>41800</v>
      </c>
      <c r="F677" s="258" t="str">
        <f>IFERROR(__xludf.DUMMYFUNCTION("""COMPUTED_VALUE"""),"Model S 85")</f>
        <v>Model S 85</v>
      </c>
      <c r="G677" s="258" t="str">
        <f>IFERROR(__xludf.DUMMYFUNCTION("""COMPUTED_VALUE"""),"Weekly")</f>
        <v>Weekly</v>
      </c>
      <c r="H677" s="258" t="str">
        <f>IFERROR(__xludf.DUMMYFUNCTION("""COMPUTED_VALUE"""),"A few times a year")</f>
        <v>A few times a year</v>
      </c>
      <c r="I677" s="258" t="str">
        <f>IFERROR(__xludf.DUMMYFUNCTION("""COMPUTED_VALUE"""),"Never")</f>
        <v>Never</v>
      </c>
      <c r="J677" s="260">
        <f>IFERROR(__xludf.DUMMYFUNCTION("""COMPUTED_VALUE"""),0.7)</f>
        <v>0.7</v>
      </c>
      <c r="K677" s="258">
        <f>IFERROR(__xludf.DUMMYFUNCTION("""COMPUTED_VALUE"""),388.0)</f>
        <v>388</v>
      </c>
      <c r="L677" s="258" t="str">
        <f>IFERROR(__xludf.DUMMYFUNCTION("""COMPUTED_VALUE"""),"")</f>
        <v/>
      </c>
      <c r="M677" s="261" t="str">
        <f>IFERROR(__xludf.DUMMYFUNCTION("""COMPUTED_VALUE"""),"")</f>
        <v/>
      </c>
      <c r="N677" s="262" t="str">
        <f>IFERROR(__xludf.DUMMYFUNCTION("""COMPUTED_VALUE"""),"")</f>
        <v/>
      </c>
      <c r="O677" s="259" t="str">
        <f>IFERROR(__xludf.DUMMYFUNCTION("""COMPUTED_VALUE"""),"")</f>
        <v/>
      </c>
      <c r="P677" s="259">
        <f>IFERROR(__xludf.DUMMYFUNCTION("""COMPUTED_VALUE"""),43214.0)</f>
        <v>43214</v>
      </c>
      <c r="Q677" s="258">
        <f>IFERROR(__xludf.DUMMYFUNCTION("""COMPUTED_VALUE"""),112358.0)</f>
        <v>112358</v>
      </c>
      <c r="R677" s="261">
        <f>IFERROR(__xludf.DUMMYFUNCTION("""COMPUTED_VALUE"""),376.0)</f>
        <v>376</v>
      </c>
      <c r="S677" s="258">
        <v>395.0</v>
      </c>
      <c r="T677" s="263">
        <v>0.9518987341772152</v>
      </c>
      <c r="U677" s="264">
        <v>69816.0</v>
      </c>
      <c r="V677" s="265">
        <v>112358.0</v>
      </c>
      <c r="W677" s="264">
        <v>69816.0</v>
      </c>
      <c r="X677" s="266"/>
      <c r="Y677" s="267">
        <v>-0.01</v>
      </c>
      <c r="Z677" s="267">
        <v>0.9436887638242333</v>
      </c>
      <c r="AA677" s="269"/>
      <c r="AB677" s="270"/>
      <c r="AC677" s="270"/>
      <c r="AD677" s="270"/>
      <c r="AE677" s="270"/>
    </row>
    <row r="678">
      <c r="A678" s="256">
        <f>IFERROR(__xludf.DUMMYFUNCTION("""COMPUTED_VALUE"""),43776.38758717593)</f>
        <v>43776.38759</v>
      </c>
      <c r="B678" s="257" t="str">
        <f>IFERROR(__xludf.DUMMYFUNCTION("""COMPUTED_VALUE"""),"jakoys")</f>
        <v>jakoys</v>
      </c>
      <c r="C678" s="258" t="str">
        <f>IFERROR(__xludf.DUMMYFUNCTION("""COMPUTED_VALUE"""),"Europe (excluding UK) &amp; Asia Pacific")</f>
        <v>Europe (excluding UK) &amp; Asia Pacific</v>
      </c>
      <c r="D678" s="258" t="str">
        <f>IFERROR(__xludf.DUMMYFUNCTION("""COMPUTED_VALUE"""),"km. My car displays range in kilometres and I will enter all range numbers in kilometres.")</f>
        <v>km. My car displays range in kilometres and I will enter all range numbers in kilometres.</v>
      </c>
      <c r="E678" s="259">
        <f>IFERROR(__xludf.DUMMYFUNCTION("""COMPUTED_VALUE"""),41791.0)</f>
        <v>41791</v>
      </c>
      <c r="F678" s="258" t="str">
        <f>IFERROR(__xludf.DUMMYFUNCTION("""COMPUTED_VALUE"""),"Model S 85")</f>
        <v>Model S 85</v>
      </c>
      <c r="G678" s="258" t="str">
        <f>IFERROR(__xludf.DUMMYFUNCTION("""COMPUTED_VALUE"""),"Weekly")</f>
        <v>Weekly</v>
      </c>
      <c r="H678" s="258" t="str">
        <f>IFERROR(__xludf.DUMMYFUNCTION("""COMPUTED_VALUE"""),"A few times a year")</f>
        <v>A few times a year</v>
      </c>
      <c r="I678" s="258" t="str">
        <f>IFERROR(__xludf.DUMMYFUNCTION("""COMPUTED_VALUE"""),"Never")</f>
        <v>Never</v>
      </c>
      <c r="J678" s="260">
        <f>IFERROR(__xludf.DUMMYFUNCTION("""COMPUTED_VALUE"""),0.8)</f>
        <v>0.8</v>
      </c>
      <c r="K678" s="258">
        <f>IFERROR(__xludf.DUMMYFUNCTION("""COMPUTED_VALUE"""),388.0)</f>
        <v>388</v>
      </c>
      <c r="L678" s="258" t="str">
        <f>IFERROR(__xludf.DUMMYFUNCTION("""COMPUTED_VALUE"""),"")</f>
        <v/>
      </c>
      <c r="M678" s="261" t="str">
        <f>IFERROR(__xludf.DUMMYFUNCTION("""COMPUTED_VALUE"""),"")</f>
        <v/>
      </c>
      <c r="N678" s="262" t="str">
        <f>IFERROR(__xludf.DUMMYFUNCTION("""COMPUTED_VALUE"""),"")</f>
        <v/>
      </c>
      <c r="O678" s="259" t="str">
        <f>IFERROR(__xludf.DUMMYFUNCTION("""COMPUTED_VALUE"""),"")</f>
        <v/>
      </c>
      <c r="P678" s="259">
        <f>IFERROR(__xludf.DUMMYFUNCTION("""COMPUTED_VALUE"""),43739.0)</f>
        <v>43739</v>
      </c>
      <c r="Q678" s="258">
        <f>IFERROR(__xludf.DUMMYFUNCTION("""COMPUTED_VALUE"""),149995.0)</f>
        <v>149995</v>
      </c>
      <c r="R678" s="261">
        <f>IFERROR(__xludf.DUMMYFUNCTION("""COMPUTED_VALUE"""),372.0)</f>
        <v>372</v>
      </c>
      <c r="S678" s="258">
        <v>395.0</v>
      </c>
      <c r="T678" s="263">
        <v>0.9417721518987342</v>
      </c>
      <c r="U678" s="264">
        <v>93203.0</v>
      </c>
      <c r="V678" s="265">
        <v>149995.0</v>
      </c>
      <c r="W678" s="264">
        <v>93203.0</v>
      </c>
      <c r="X678" s="266"/>
      <c r="Y678" s="267">
        <v>-0.01</v>
      </c>
      <c r="Z678" s="267">
        <v>0.9349685650429057</v>
      </c>
      <c r="AA678" s="269"/>
      <c r="AB678" s="270"/>
      <c r="AC678" s="270"/>
      <c r="AD678" s="270"/>
      <c r="AE678" s="270"/>
    </row>
    <row r="679">
      <c r="A679" s="256">
        <f>IFERROR(__xludf.DUMMYFUNCTION("""COMPUTED_VALUE"""),42365.78611111111)</f>
        <v>42365.78611</v>
      </c>
      <c r="B679" s="257" t="str">
        <f>IFERROR(__xludf.DUMMYFUNCTION("""COMPUTED_VALUE"""),"James")</f>
        <v>James</v>
      </c>
      <c r="C679" s="258" t="str">
        <f>IFERROR(__xludf.DUMMYFUNCTION("""COMPUTED_VALUE"""),"USA")</f>
        <v>USA</v>
      </c>
      <c r="D679" s="258" t="str">
        <f>IFERROR(__xludf.DUMMYFUNCTION("""COMPUTED_VALUE"""),"mi. My car displays range in miles and I will enter all range numbers in miles.")</f>
        <v>mi. My car displays range in miles and I will enter all range numbers in miles.</v>
      </c>
      <c r="E679" s="259">
        <f>IFERROR(__xludf.DUMMYFUNCTION("""COMPUTED_VALUE"""),42244.0)</f>
        <v>42244</v>
      </c>
      <c r="F679" s="258" t="str">
        <f>IFERROR(__xludf.DUMMYFUNCTION("""COMPUTED_VALUE"""),"Model S 90D 2015")</f>
        <v>Model S 90D 2015</v>
      </c>
      <c r="G679" s="258" t="str">
        <f>IFERROR(__xludf.DUMMYFUNCTION("""COMPUTED_VALUE"""),"A few times a year")</f>
        <v>A few times a year</v>
      </c>
      <c r="H679" s="258" t="str">
        <f>IFERROR(__xludf.DUMMYFUNCTION("""COMPUTED_VALUE"""),"A few times a year")</f>
        <v>A few times a year</v>
      </c>
      <c r="I679" s="258" t="str">
        <f>IFERROR(__xludf.DUMMYFUNCTION("""COMPUTED_VALUE"""),"Never")</f>
        <v>Never</v>
      </c>
      <c r="J679" s="260">
        <f>IFERROR(__xludf.DUMMYFUNCTION("""COMPUTED_VALUE"""),0.9)</f>
        <v>0.9</v>
      </c>
      <c r="K679" s="258" t="str">
        <f>IFERROR(__xludf.DUMMYFUNCTION("""COMPUTED_VALUE"""),"")</f>
        <v/>
      </c>
      <c r="L679" s="258" t="str">
        <f>IFERROR(__xludf.DUMMYFUNCTION("""COMPUTED_VALUE"""),"")</f>
        <v/>
      </c>
      <c r="M679" s="261">
        <f>IFERROR(__xludf.DUMMYFUNCTION("""COMPUTED_VALUE"""),339.0)</f>
        <v>339</v>
      </c>
      <c r="N679" s="262" t="str">
        <f>IFERROR(__xludf.DUMMYFUNCTION("""COMPUTED_VALUE"""),"")</f>
        <v/>
      </c>
      <c r="O679" s="259" t="str">
        <f>IFERROR(__xludf.DUMMYFUNCTION("""COMPUTED_VALUE"""),"")</f>
        <v/>
      </c>
      <c r="P679" s="259">
        <f>IFERROR(__xludf.DUMMYFUNCTION("""COMPUTED_VALUE"""),42365.0)</f>
        <v>42365</v>
      </c>
      <c r="Q679" s="258">
        <f>IFERROR(__xludf.DUMMYFUNCTION("""COMPUTED_VALUE"""),5790.0)</f>
        <v>5790</v>
      </c>
      <c r="R679" s="261">
        <f>IFERROR(__xludf.DUMMYFUNCTION("""COMPUTED_VALUE"""),260.0)</f>
        <v>260</v>
      </c>
      <c r="S679" s="258">
        <v>277.0</v>
      </c>
      <c r="T679" s="263">
        <v>0.9386281588447654</v>
      </c>
      <c r="U679" s="264">
        <v>5790.0</v>
      </c>
      <c r="V679" s="265">
        <v>9318.0</v>
      </c>
      <c r="W679" s="264">
        <v>5790.0</v>
      </c>
      <c r="X679" s="266"/>
      <c r="Y679" s="267">
        <v>-0.01</v>
      </c>
      <c r="Z679" s="267">
        <v>0.9851185643416216</v>
      </c>
      <c r="AA679" s="269"/>
      <c r="AB679" s="270"/>
      <c r="AC679" s="270"/>
      <c r="AD679" s="270"/>
      <c r="AE679" s="270"/>
    </row>
    <row r="680">
      <c r="A680" s="256">
        <f>IFERROR(__xludf.DUMMYFUNCTION("""COMPUTED_VALUE"""),42487.79375)</f>
        <v>42487.79375</v>
      </c>
      <c r="B680" s="257" t="str">
        <f>IFERROR(__xludf.DUMMYFUNCTION("""COMPUTED_VALUE"""),"James")</f>
        <v>James</v>
      </c>
      <c r="C680" s="258" t="str">
        <f>IFERROR(__xludf.DUMMYFUNCTION("""COMPUTED_VALUE"""),"USA")</f>
        <v>USA</v>
      </c>
      <c r="D680" s="258" t="str">
        <f>IFERROR(__xludf.DUMMYFUNCTION("""COMPUTED_VALUE"""),"mi. My car displays range in miles and I will enter all range numbers in miles.")</f>
        <v>mi. My car displays range in miles and I will enter all range numbers in miles.</v>
      </c>
      <c r="E680" s="259">
        <f>IFERROR(__xludf.DUMMYFUNCTION("""COMPUTED_VALUE"""),42244.0)</f>
        <v>42244</v>
      </c>
      <c r="F680" s="258" t="str">
        <f>IFERROR(__xludf.DUMMYFUNCTION("""COMPUTED_VALUE"""),"Model S 90D 2015")</f>
        <v>Model S 90D 2015</v>
      </c>
      <c r="G680" s="258" t="str">
        <f>IFERROR(__xludf.DUMMYFUNCTION("""COMPUTED_VALUE"""),"A few times a year")</f>
        <v>A few times a year</v>
      </c>
      <c r="H680" s="258" t="str">
        <f>IFERROR(__xludf.DUMMYFUNCTION("""COMPUTED_VALUE"""),"A few times a year")</f>
        <v>A few times a year</v>
      </c>
      <c r="I680" s="258" t="str">
        <f>IFERROR(__xludf.DUMMYFUNCTION("""COMPUTED_VALUE"""),"Never")</f>
        <v>Never</v>
      </c>
      <c r="J680" s="260">
        <f>IFERROR(__xludf.DUMMYFUNCTION("""COMPUTED_VALUE"""),0.9)</f>
        <v>0.9</v>
      </c>
      <c r="K680" s="258" t="str">
        <f>IFERROR(__xludf.DUMMYFUNCTION("""COMPUTED_VALUE"""),"")</f>
        <v/>
      </c>
      <c r="L680" s="258" t="str">
        <f>IFERROR(__xludf.DUMMYFUNCTION("""COMPUTED_VALUE"""),"")</f>
        <v/>
      </c>
      <c r="M680" s="261">
        <f>IFERROR(__xludf.DUMMYFUNCTION("""COMPUTED_VALUE"""),339.0)</f>
        <v>339</v>
      </c>
      <c r="N680" s="262" t="str">
        <f>IFERROR(__xludf.DUMMYFUNCTION("""COMPUTED_VALUE"""),"")</f>
        <v/>
      </c>
      <c r="O680" s="259" t="str">
        <f>IFERROR(__xludf.DUMMYFUNCTION("""COMPUTED_VALUE"""),"")</f>
        <v/>
      </c>
      <c r="P680" s="259">
        <f>IFERROR(__xludf.DUMMYFUNCTION("""COMPUTED_VALUE"""),42487.0)</f>
        <v>42487</v>
      </c>
      <c r="Q680" s="258">
        <f>IFERROR(__xludf.DUMMYFUNCTION("""COMPUTED_VALUE"""),10780.0)</f>
        <v>10780</v>
      </c>
      <c r="R680" s="261">
        <f>IFERROR(__xludf.DUMMYFUNCTION("""COMPUTED_VALUE"""),267.0)</f>
        <v>267</v>
      </c>
      <c r="S680" s="258">
        <v>277.0</v>
      </c>
      <c r="T680" s="263">
        <v>0.9638989169675091</v>
      </c>
      <c r="U680" s="264">
        <v>10780.0</v>
      </c>
      <c r="V680" s="265">
        <v>17349.0</v>
      </c>
      <c r="W680" s="264">
        <v>10780.0</v>
      </c>
      <c r="X680" s="266"/>
      <c r="Y680" s="267">
        <v>-0.01</v>
      </c>
      <c r="Z680" s="267">
        <v>0.9766598460194833</v>
      </c>
      <c r="AA680" s="269"/>
      <c r="AB680" s="270"/>
      <c r="AC680" s="270"/>
      <c r="AD680" s="270"/>
      <c r="AE680" s="270"/>
    </row>
    <row r="681">
      <c r="A681" s="256">
        <f>IFERROR(__xludf.DUMMYFUNCTION("""COMPUTED_VALUE"""),42639.80694444444)</f>
        <v>42639.80694</v>
      </c>
      <c r="B681" s="257" t="str">
        <f>IFERROR(__xludf.DUMMYFUNCTION("""COMPUTED_VALUE"""),"James")</f>
        <v>James</v>
      </c>
      <c r="C681" s="258" t="str">
        <f>IFERROR(__xludf.DUMMYFUNCTION("""COMPUTED_VALUE"""),"USA")</f>
        <v>USA</v>
      </c>
      <c r="D681" s="258" t="str">
        <f>IFERROR(__xludf.DUMMYFUNCTION("""COMPUTED_VALUE"""),"mi. My car displays range in miles and I will enter all range numbers in miles.")</f>
        <v>mi. My car displays range in miles and I will enter all range numbers in miles.</v>
      </c>
      <c r="E681" s="259">
        <f>IFERROR(__xludf.DUMMYFUNCTION("""COMPUTED_VALUE"""),42244.0)</f>
        <v>42244</v>
      </c>
      <c r="F681" s="258" t="str">
        <f>IFERROR(__xludf.DUMMYFUNCTION("""COMPUTED_VALUE"""),"Model S 90D 2015")</f>
        <v>Model S 90D 2015</v>
      </c>
      <c r="G681" s="258" t="str">
        <f>IFERROR(__xludf.DUMMYFUNCTION("""COMPUTED_VALUE"""),"A few times a year")</f>
        <v>A few times a year</v>
      </c>
      <c r="H681" s="258" t="str">
        <f>IFERROR(__xludf.DUMMYFUNCTION("""COMPUTED_VALUE"""),"A few times a year")</f>
        <v>A few times a year</v>
      </c>
      <c r="I681" s="258" t="str">
        <f>IFERROR(__xludf.DUMMYFUNCTION("""COMPUTED_VALUE"""),"Never")</f>
        <v>Never</v>
      </c>
      <c r="J681" s="260">
        <f>IFERROR(__xludf.DUMMYFUNCTION("""COMPUTED_VALUE"""),0.9)</f>
        <v>0.9</v>
      </c>
      <c r="K681" s="258" t="str">
        <f>IFERROR(__xludf.DUMMYFUNCTION("""COMPUTED_VALUE"""),"")</f>
        <v/>
      </c>
      <c r="L681" s="258" t="str">
        <f>IFERROR(__xludf.DUMMYFUNCTION("""COMPUTED_VALUE"""),"")</f>
        <v/>
      </c>
      <c r="M681" s="261">
        <f>IFERROR(__xludf.DUMMYFUNCTION("""COMPUTED_VALUE"""),339.0)</f>
        <v>339</v>
      </c>
      <c r="N681" s="262" t="str">
        <f>IFERROR(__xludf.DUMMYFUNCTION("""COMPUTED_VALUE"""),"")</f>
        <v/>
      </c>
      <c r="O681" s="259" t="str">
        <f>IFERROR(__xludf.DUMMYFUNCTION("""COMPUTED_VALUE"""),"")</f>
        <v/>
      </c>
      <c r="P681" s="259">
        <f>IFERROR(__xludf.DUMMYFUNCTION("""COMPUTED_VALUE"""),42639.0)</f>
        <v>42639</v>
      </c>
      <c r="Q681" s="258">
        <f>IFERROR(__xludf.DUMMYFUNCTION("""COMPUTED_VALUE"""),17560.0)</f>
        <v>17560</v>
      </c>
      <c r="R681" s="261">
        <f>IFERROR(__xludf.DUMMYFUNCTION("""COMPUTED_VALUE"""),260.0)</f>
        <v>260</v>
      </c>
      <c r="S681" s="258">
        <v>277.0</v>
      </c>
      <c r="T681" s="263">
        <v>0.9386281588447654</v>
      </c>
      <c r="U681" s="264">
        <v>17560.0</v>
      </c>
      <c r="V681" s="265">
        <v>28260.0</v>
      </c>
      <c r="W681" s="264">
        <v>17560.0</v>
      </c>
      <c r="X681" s="266"/>
      <c r="Y681" s="267">
        <v>-0.01</v>
      </c>
      <c r="Z681" s="267">
        <v>0.968928436978853</v>
      </c>
      <c r="AA681" s="269"/>
      <c r="AB681" s="270"/>
      <c r="AC681" s="270"/>
      <c r="AD681" s="270"/>
      <c r="AE681" s="270"/>
    </row>
    <row r="682">
      <c r="A682" s="256">
        <f>IFERROR(__xludf.DUMMYFUNCTION("""COMPUTED_VALUE"""),41900.00277777778)</f>
        <v>41900.00278</v>
      </c>
      <c r="B682" s="257" t="str">
        <f>IFERROR(__xludf.DUMMYFUNCTION("""COMPUTED_VALUE"""),"Janc")</f>
        <v>Janc</v>
      </c>
      <c r="C682" s="258" t="str">
        <f>IFERROR(__xludf.DUMMYFUNCTION("""COMPUTED_VALUE"""),"Europe (excluding UK) &amp; Asia Pacific")</f>
        <v>Europe (excluding UK) &amp; Asia Pacific</v>
      </c>
      <c r="D682" s="258" t="str">
        <f>IFERROR(__xludf.DUMMYFUNCTION("""COMPUTED_VALUE"""),"km. My car displays range in kilometres and I will enter all range numbers in kilometres.")</f>
        <v>km. My car displays range in kilometres and I will enter all range numbers in kilometres.</v>
      </c>
      <c r="E682" s="259">
        <f>IFERROR(__xludf.DUMMYFUNCTION("""COMPUTED_VALUE"""),41814.0)</f>
        <v>41814</v>
      </c>
      <c r="F682" s="258" t="str">
        <f>IFERROR(__xludf.DUMMYFUNCTION("""COMPUTED_VALUE"""),"Model S 85")</f>
        <v>Model S 85</v>
      </c>
      <c r="G682" s="258" t="str">
        <f>IFERROR(__xludf.DUMMYFUNCTION("""COMPUTED_VALUE"""),"Never")</f>
        <v>Never</v>
      </c>
      <c r="H682" s="258" t="str">
        <f>IFERROR(__xludf.DUMMYFUNCTION("""COMPUTED_VALUE"""),"Never")</f>
        <v>Never</v>
      </c>
      <c r="I682" s="258" t="str">
        <f>IFERROR(__xludf.DUMMYFUNCTION("""COMPUTED_VALUE"""),"Never")</f>
        <v>Never</v>
      </c>
      <c r="J682" s="260" t="str">
        <f>IFERROR(__xludf.DUMMYFUNCTION("""COMPUTED_VALUE"""),"")</f>
        <v/>
      </c>
      <c r="K682" s="258" t="str">
        <f>IFERROR(__xludf.DUMMYFUNCTION("""COMPUTED_VALUE"""),"")</f>
        <v/>
      </c>
      <c r="L682" s="258" t="str">
        <f>IFERROR(__xludf.DUMMYFUNCTION("""COMPUTED_VALUE"""),"")</f>
        <v/>
      </c>
      <c r="M682" s="261">
        <f>IFERROR(__xludf.DUMMYFUNCTION("""COMPUTED_VALUE"""),215.0)</f>
        <v>215</v>
      </c>
      <c r="N682" s="262" t="str">
        <f>IFERROR(__xludf.DUMMYFUNCTION("""COMPUTED_VALUE"""),"")</f>
        <v/>
      </c>
      <c r="O682" s="259" t="str">
        <f>IFERROR(__xludf.DUMMYFUNCTION("""COMPUTED_VALUE"""),"")</f>
        <v/>
      </c>
      <c r="P682" s="259">
        <f>IFERROR(__xludf.DUMMYFUNCTION("""COMPUTED_VALUE"""),41900.0)</f>
        <v>41900</v>
      </c>
      <c r="Q682" s="258">
        <f>IFERROR(__xludf.DUMMYFUNCTION("""COMPUTED_VALUE"""),7100.0)</f>
        <v>7100</v>
      </c>
      <c r="R682" s="261">
        <f>IFERROR(__xludf.DUMMYFUNCTION("""COMPUTED_VALUE"""),391.0)</f>
        <v>391</v>
      </c>
      <c r="S682" s="258">
        <v>395.0</v>
      </c>
      <c r="T682" s="263">
        <v>0.9898734177215189</v>
      </c>
      <c r="U682" s="264">
        <v>4412.0</v>
      </c>
      <c r="V682" s="265">
        <v>7100.0</v>
      </c>
      <c r="W682" s="264">
        <v>4412.0</v>
      </c>
      <c r="X682" s="266"/>
      <c r="Y682" s="267">
        <v>-0.01</v>
      </c>
      <c r="Z682" s="267">
        <v>0.9880674517348066</v>
      </c>
      <c r="AA682" s="269"/>
      <c r="AB682" s="270"/>
      <c r="AC682" s="270"/>
      <c r="AD682" s="270"/>
      <c r="AE682" s="270"/>
    </row>
    <row r="683">
      <c r="A683" s="256">
        <f>IFERROR(__xludf.DUMMYFUNCTION("""COMPUTED_VALUE"""),42152.12569444445)</f>
        <v>42152.12569</v>
      </c>
      <c r="B683" s="257" t="str">
        <f>IFERROR(__xludf.DUMMYFUNCTION("""COMPUTED_VALUE"""),"Janc")</f>
        <v>Janc</v>
      </c>
      <c r="C683" s="258" t="str">
        <f>IFERROR(__xludf.DUMMYFUNCTION("""COMPUTED_VALUE"""),"Europe (excluding UK) &amp; Asia Pacific")</f>
        <v>Europe (excluding UK) &amp; Asia Pacific</v>
      </c>
      <c r="D683" s="258" t="str">
        <f>IFERROR(__xludf.DUMMYFUNCTION("""COMPUTED_VALUE"""),"km. My car displays range in kilometres and I will enter all range numbers in kilometres.")</f>
        <v>km. My car displays range in kilometres and I will enter all range numbers in kilometres.</v>
      </c>
      <c r="E683" s="259">
        <f>IFERROR(__xludf.DUMMYFUNCTION("""COMPUTED_VALUE"""),41814.0)</f>
        <v>41814</v>
      </c>
      <c r="F683" s="258" t="str">
        <f>IFERROR(__xludf.DUMMYFUNCTION("""COMPUTED_VALUE"""),"Model S 85")</f>
        <v>Model S 85</v>
      </c>
      <c r="G683" s="258" t="str">
        <f>IFERROR(__xludf.DUMMYFUNCTION("""COMPUTED_VALUE"""),"A few times a year")</f>
        <v>A few times a year</v>
      </c>
      <c r="H683" s="258" t="str">
        <f>IFERROR(__xludf.DUMMYFUNCTION("""COMPUTED_VALUE"""),"Monthly")</f>
        <v>Monthly</v>
      </c>
      <c r="I683" s="258" t="str">
        <f>IFERROR(__xludf.DUMMYFUNCTION("""COMPUTED_VALUE"""),"Never")</f>
        <v>Never</v>
      </c>
      <c r="J683" s="260">
        <f>IFERROR(__xludf.DUMMYFUNCTION("""COMPUTED_VALUE"""),0.9)</f>
        <v>0.9</v>
      </c>
      <c r="K683" s="258" t="str">
        <f>IFERROR(__xludf.DUMMYFUNCTION("""COMPUTED_VALUE"""),"")</f>
        <v/>
      </c>
      <c r="L683" s="258" t="str">
        <f>IFERROR(__xludf.DUMMYFUNCTION("""COMPUTED_VALUE"""),"")</f>
        <v/>
      </c>
      <c r="M683" s="261">
        <f>IFERROR(__xludf.DUMMYFUNCTION("""COMPUTED_VALUE"""),224.0)</f>
        <v>224</v>
      </c>
      <c r="N683" s="262" t="str">
        <f>IFERROR(__xludf.DUMMYFUNCTION("""COMPUTED_VALUE"""),"")</f>
        <v/>
      </c>
      <c r="O683" s="259" t="str">
        <f>IFERROR(__xludf.DUMMYFUNCTION("""COMPUTED_VALUE"""),"")</f>
        <v/>
      </c>
      <c r="P683" s="259">
        <f>IFERROR(__xludf.DUMMYFUNCTION("""COMPUTED_VALUE"""),42152.0)</f>
        <v>42152</v>
      </c>
      <c r="Q683" s="258">
        <f>IFERROR(__xludf.DUMMYFUNCTION("""COMPUTED_VALUE"""),28500.0)</f>
        <v>28500</v>
      </c>
      <c r="R683" s="261">
        <f>IFERROR(__xludf.DUMMYFUNCTION("""COMPUTED_VALUE"""),387.0)</f>
        <v>387</v>
      </c>
      <c r="S683" s="258">
        <v>395.0</v>
      </c>
      <c r="T683" s="263">
        <v>0.979746835443038</v>
      </c>
      <c r="U683" s="264">
        <v>17709.0</v>
      </c>
      <c r="V683" s="265">
        <v>28500.0</v>
      </c>
      <c r="W683" s="264">
        <v>17709.0</v>
      </c>
      <c r="X683" s="266"/>
      <c r="Y683" s="267">
        <v>-0.01</v>
      </c>
      <c r="Z683" s="267">
        <v>0.9687915076021427</v>
      </c>
      <c r="AA683" s="269"/>
      <c r="AB683" s="270"/>
      <c r="AC683" s="270"/>
      <c r="AD683" s="270"/>
      <c r="AE683" s="270"/>
    </row>
    <row r="684">
      <c r="A684" s="256">
        <f>IFERROR(__xludf.DUMMYFUNCTION("""COMPUTED_VALUE"""),42393.27777777778)</f>
        <v>42393.27778</v>
      </c>
      <c r="B684" s="257" t="str">
        <f>IFERROR(__xludf.DUMMYFUNCTION("""COMPUTED_VALUE"""),"Janc")</f>
        <v>Janc</v>
      </c>
      <c r="C684" s="258" t="str">
        <f>IFERROR(__xludf.DUMMYFUNCTION("""COMPUTED_VALUE"""),"Europe (excluding UK) &amp; Asia Pacific")</f>
        <v>Europe (excluding UK) &amp; Asia Pacific</v>
      </c>
      <c r="D684" s="258" t="str">
        <f>IFERROR(__xludf.DUMMYFUNCTION("""COMPUTED_VALUE"""),"km. My car displays range in kilometres and I will enter all range numbers in kilometres.")</f>
        <v>km. My car displays range in kilometres and I will enter all range numbers in kilometres.</v>
      </c>
      <c r="E684" s="259">
        <f>IFERROR(__xludf.DUMMYFUNCTION("""COMPUTED_VALUE"""),41817.0)</f>
        <v>41817</v>
      </c>
      <c r="F684" s="258" t="str">
        <f>IFERROR(__xludf.DUMMYFUNCTION("""COMPUTED_VALUE"""),"Model S 85")</f>
        <v>Model S 85</v>
      </c>
      <c r="G684" s="258" t="str">
        <f>IFERROR(__xludf.DUMMYFUNCTION("""COMPUTED_VALUE"""),"")</f>
        <v/>
      </c>
      <c r="H684" s="258" t="str">
        <f>IFERROR(__xludf.DUMMYFUNCTION("""COMPUTED_VALUE"""),"")</f>
        <v/>
      </c>
      <c r="I684" s="258" t="str">
        <f>IFERROR(__xludf.DUMMYFUNCTION("""COMPUTED_VALUE"""),"")</f>
        <v/>
      </c>
      <c r="J684" s="260" t="str">
        <f>IFERROR(__xludf.DUMMYFUNCTION("""COMPUTED_VALUE"""),"")</f>
        <v/>
      </c>
      <c r="K684" s="258" t="str">
        <f>IFERROR(__xludf.DUMMYFUNCTION("""COMPUTED_VALUE"""),"")</f>
        <v/>
      </c>
      <c r="L684" s="258" t="str">
        <f>IFERROR(__xludf.DUMMYFUNCTION("""COMPUTED_VALUE"""),"")</f>
        <v/>
      </c>
      <c r="M684" s="261">
        <f>IFERROR(__xludf.DUMMYFUNCTION("""COMPUTED_VALUE"""),230.0)</f>
        <v>230</v>
      </c>
      <c r="N684" s="262" t="str">
        <f>IFERROR(__xludf.DUMMYFUNCTION("""COMPUTED_VALUE"""),"")</f>
        <v/>
      </c>
      <c r="O684" s="259" t="str">
        <f>IFERROR(__xludf.DUMMYFUNCTION("""COMPUTED_VALUE"""),"")</f>
        <v/>
      </c>
      <c r="P684" s="259">
        <f>IFERROR(__xludf.DUMMYFUNCTION("""COMPUTED_VALUE"""),42393.0)</f>
        <v>42393</v>
      </c>
      <c r="Q684" s="258">
        <f>IFERROR(__xludf.DUMMYFUNCTION("""COMPUTED_VALUE"""),51000.0)</f>
        <v>51000</v>
      </c>
      <c r="R684" s="261">
        <f>IFERROR(__xludf.DUMMYFUNCTION("""COMPUTED_VALUE"""),380.0)</f>
        <v>380</v>
      </c>
      <c r="S684" s="258">
        <v>395.0</v>
      </c>
      <c r="T684" s="263">
        <v>0.9620253164556962</v>
      </c>
      <c r="U684" s="264">
        <v>31690.0</v>
      </c>
      <c r="V684" s="265">
        <v>51000.0</v>
      </c>
      <c r="W684" s="264">
        <v>31690.0</v>
      </c>
      <c r="X684" s="266"/>
      <c r="Y684" s="267">
        <v>-0.01</v>
      </c>
      <c r="Z684" s="267">
        <v>0.9593658427993017</v>
      </c>
      <c r="AA684" s="269"/>
      <c r="AB684" s="270"/>
      <c r="AC684" s="270"/>
      <c r="AD684" s="270"/>
      <c r="AE684" s="270"/>
    </row>
    <row r="685">
      <c r="A685" s="256">
        <f>IFERROR(__xludf.DUMMYFUNCTION("""COMPUTED_VALUE"""),42701.47013888889)</f>
        <v>42701.47014</v>
      </c>
      <c r="B685" s="257" t="str">
        <f>IFERROR(__xludf.DUMMYFUNCTION("""COMPUTED_VALUE"""),"Janc")</f>
        <v>Janc</v>
      </c>
      <c r="C685" s="258" t="str">
        <f>IFERROR(__xludf.DUMMYFUNCTION("""COMPUTED_VALUE"""),"Europe (excluding UK) &amp; Asia Pacific")</f>
        <v>Europe (excluding UK) &amp; Asia Pacific</v>
      </c>
      <c r="D685" s="258" t="str">
        <f>IFERROR(__xludf.DUMMYFUNCTION("""COMPUTED_VALUE"""),"km. My car displays range in kilometres and I will enter all range numbers in kilometres.")</f>
        <v>km. My car displays range in kilometres and I will enter all range numbers in kilometres.</v>
      </c>
      <c r="E685" s="259">
        <f>IFERROR(__xludf.DUMMYFUNCTION("""COMPUTED_VALUE"""),41814.0)</f>
        <v>41814</v>
      </c>
      <c r="F685" s="258" t="str">
        <f>IFERROR(__xludf.DUMMYFUNCTION("""COMPUTED_VALUE"""),"Model S 85")</f>
        <v>Model S 85</v>
      </c>
      <c r="G685" s="258" t="str">
        <f>IFERROR(__xludf.DUMMYFUNCTION("""COMPUTED_VALUE"""),"Daily")</f>
        <v>Daily</v>
      </c>
      <c r="H685" s="258" t="str">
        <f>IFERROR(__xludf.DUMMYFUNCTION("""COMPUTED_VALUE"""),"A few times a year")</f>
        <v>A few times a year</v>
      </c>
      <c r="I685" s="258" t="str">
        <f>IFERROR(__xludf.DUMMYFUNCTION("""COMPUTED_VALUE"""),"Never")</f>
        <v>Never</v>
      </c>
      <c r="J685" s="260">
        <f>IFERROR(__xludf.DUMMYFUNCTION("""COMPUTED_VALUE"""),0.9)</f>
        <v>0.9</v>
      </c>
      <c r="K685" s="258" t="str">
        <f>IFERROR(__xludf.DUMMYFUNCTION("""COMPUTED_VALUE"""),"")</f>
        <v/>
      </c>
      <c r="L685" s="258" t="str">
        <f>IFERROR(__xludf.DUMMYFUNCTION("""COMPUTED_VALUE"""),"")</f>
        <v/>
      </c>
      <c r="M685" s="261">
        <f>IFERROR(__xludf.DUMMYFUNCTION("""COMPUTED_VALUE"""),215.0)</f>
        <v>215</v>
      </c>
      <c r="N685" s="262" t="str">
        <f>IFERROR(__xludf.DUMMYFUNCTION("""COMPUTED_VALUE"""),"")</f>
        <v/>
      </c>
      <c r="O685" s="259" t="str">
        <f>IFERROR(__xludf.DUMMYFUNCTION("""COMPUTED_VALUE"""),"")</f>
        <v/>
      </c>
      <c r="P685" s="259">
        <f>IFERROR(__xludf.DUMMYFUNCTION("""COMPUTED_VALUE"""),42701.0)</f>
        <v>42701</v>
      </c>
      <c r="Q685" s="258">
        <f>IFERROR(__xludf.DUMMYFUNCTION("""COMPUTED_VALUE"""),83000.0)</f>
        <v>83000</v>
      </c>
      <c r="R685" s="261">
        <f>IFERROR(__xludf.DUMMYFUNCTION("""COMPUTED_VALUE"""),377.0)</f>
        <v>377</v>
      </c>
      <c r="S685" s="258">
        <v>395.0</v>
      </c>
      <c r="T685" s="263">
        <v>0.9544303797468354</v>
      </c>
      <c r="U685" s="264">
        <v>51574.0</v>
      </c>
      <c r="V685" s="265">
        <v>83000.0</v>
      </c>
      <c r="W685" s="264">
        <v>51574.0</v>
      </c>
      <c r="X685" s="266"/>
      <c r="Y685" s="267">
        <v>-0.01</v>
      </c>
      <c r="Z685" s="267">
        <v>0.950659984579507</v>
      </c>
      <c r="AA685" s="269"/>
      <c r="AB685" s="270"/>
      <c r="AC685" s="270"/>
      <c r="AD685" s="270"/>
      <c r="AE685" s="270"/>
    </row>
    <row r="686">
      <c r="A686" s="256">
        <f>IFERROR(__xludf.DUMMYFUNCTION("""COMPUTED_VALUE"""),43118.92916666667)</f>
        <v>43118.92917</v>
      </c>
      <c r="B686" s="257" t="str">
        <f>IFERROR(__xludf.DUMMYFUNCTION("""COMPUTED_VALUE"""),"Jaydee")</f>
        <v>Jaydee</v>
      </c>
      <c r="C686" s="258" t="str">
        <f>IFERROR(__xludf.DUMMYFUNCTION("""COMPUTED_VALUE"""),"Canada")</f>
        <v>Canada</v>
      </c>
      <c r="D686" s="258" t="str">
        <f>IFERROR(__xludf.DUMMYFUNCTION("""COMPUTED_VALUE"""),"km. My car displays range in kilometres and I will enter all range numbers in kilometres.")</f>
        <v>km. My car displays range in kilometres and I will enter all range numbers in kilometres.</v>
      </c>
      <c r="E686" s="259">
        <f>IFERROR(__xludf.DUMMYFUNCTION("""COMPUTED_VALUE"""),42856.0)</f>
        <v>42856</v>
      </c>
      <c r="F686" s="258" t="str">
        <f>IFERROR(__xludf.DUMMYFUNCTION("""COMPUTED_VALUE"""),"Model S 75")</f>
        <v>Model S 75</v>
      </c>
      <c r="G686" s="258" t="str">
        <f>IFERROR(__xludf.DUMMYFUNCTION("""COMPUTED_VALUE"""),"A few times a year")</f>
        <v>A few times a year</v>
      </c>
      <c r="H686" s="258" t="str">
        <f>IFERROR(__xludf.DUMMYFUNCTION("""COMPUTED_VALUE"""),"A few times a year")</f>
        <v>A few times a year</v>
      </c>
      <c r="I686" s="258" t="str">
        <f>IFERROR(__xludf.DUMMYFUNCTION("""COMPUTED_VALUE"""),"Never")</f>
        <v>Never</v>
      </c>
      <c r="J686" s="260">
        <f>IFERROR(__xludf.DUMMYFUNCTION("""COMPUTED_VALUE"""),0.7)</f>
        <v>0.7</v>
      </c>
      <c r="K686" s="258" t="str">
        <f>IFERROR(__xludf.DUMMYFUNCTION("""COMPUTED_VALUE"""),"")</f>
        <v/>
      </c>
      <c r="L686" s="258" t="str">
        <f>IFERROR(__xludf.DUMMYFUNCTION("""COMPUTED_VALUE"""),"")</f>
        <v/>
      </c>
      <c r="M686" s="261">
        <f>IFERROR(__xludf.DUMMYFUNCTION("""COMPUTED_VALUE"""),215.43)</f>
        <v>215.43</v>
      </c>
      <c r="N686" s="262" t="str">
        <f>IFERROR(__xludf.DUMMYFUNCTION("""COMPUTED_VALUE"""),"")</f>
        <v/>
      </c>
      <c r="O686" s="259" t="str">
        <f>IFERROR(__xludf.DUMMYFUNCTION("""COMPUTED_VALUE"""),"It didn't change")</f>
        <v>It didn't change</v>
      </c>
      <c r="P686" s="259">
        <f>IFERROR(__xludf.DUMMYFUNCTION("""COMPUTED_VALUE"""),43118.0)</f>
        <v>43118</v>
      </c>
      <c r="Q686" s="258">
        <f>IFERROR(__xludf.DUMMYFUNCTION("""COMPUTED_VALUE"""),18700.0)</f>
        <v>18700</v>
      </c>
      <c r="R686" s="261">
        <f>IFERROR(__xludf.DUMMYFUNCTION("""COMPUTED_VALUE"""),389.0)</f>
        <v>389</v>
      </c>
      <c r="S686" s="258">
        <v>396.0</v>
      </c>
      <c r="T686" s="263">
        <v>0.9823232323232324</v>
      </c>
      <c r="U686" s="264">
        <v>11620.0</v>
      </c>
      <c r="V686" s="265">
        <v>18700.0</v>
      </c>
      <c r="W686" s="264">
        <v>11620.0</v>
      </c>
      <c r="X686" s="266"/>
      <c r="Y686" s="267">
        <v>-0.01</v>
      </c>
      <c r="Z686" s="267">
        <v>0.9755095981248663</v>
      </c>
      <c r="AA686" s="269"/>
      <c r="AB686" s="270"/>
      <c r="AC686" s="270"/>
      <c r="AD686" s="270"/>
      <c r="AE686" s="270"/>
    </row>
    <row r="687">
      <c r="A687" s="256">
        <f>IFERROR(__xludf.DUMMYFUNCTION("""COMPUTED_VALUE"""),42298.20277777778)</f>
        <v>42298.20278</v>
      </c>
      <c r="B687" s="257" t="str">
        <f>IFERROR(__xludf.DUMMYFUNCTION("""COMPUTED_VALUE"""),"JBou")</f>
        <v>JBou</v>
      </c>
      <c r="C687" s="258" t="str">
        <f>IFERROR(__xludf.DUMMYFUNCTION("""COMPUTED_VALUE"""),"Europe (excluding UK) &amp; Asia Pacific")</f>
        <v>Europe (excluding UK) &amp; Asia Pacific</v>
      </c>
      <c r="D687" s="258" t="str">
        <f>IFERROR(__xludf.DUMMYFUNCTION("""COMPUTED_VALUE"""),"km. My car displays range in kilometres and I will enter all range numbers in kilometres.")</f>
        <v>km. My car displays range in kilometres and I will enter all range numbers in kilometres.</v>
      </c>
      <c r="E687" s="259">
        <f>IFERROR(__xludf.DUMMYFUNCTION("""COMPUTED_VALUE"""),41629.0)</f>
        <v>41629</v>
      </c>
      <c r="F687" s="258" t="str">
        <f>IFERROR(__xludf.DUMMYFUNCTION("""COMPUTED_VALUE"""),"Model S 85")</f>
        <v>Model S 85</v>
      </c>
      <c r="G687" s="258" t="str">
        <f>IFERROR(__xludf.DUMMYFUNCTION("""COMPUTED_VALUE"""),"Monthly")</f>
        <v>Monthly</v>
      </c>
      <c r="H687" s="258" t="str">
        <f>IFERROR(__xludf.DUMMYFUNCTION("""COMPUTED_VALUE"""),"A few times a year")</f>
        <v>A few times a year</v>
      </c>
      <c r="I687" s="258" t="str">
        <f>IFERROR(__xludf.DUMMYFUNCTION("""COMPUTED_VALUE"""),"Once or twice a year")</f>
        <v>Once or twice a year</v>
      </c>
      <c r="J687" s="260">
        <f>IFERROR(__xludf.DUMMYFUNCTION("""COMPUTED_VALUE"""),0.9)</f>
        <v>0.9</v>
      </c>
      <c r="K687" s="258" t="str">
        <f>IFERROR(__xludf.DUMMYFUNCTION("""COMPUTED_VALUE"""),"")</f>
        <v/>
      </c>
      <c r="L687" s="258" t="str">
        <f>IFERROR(__xludf.DUMMYFUNCTION("""COMPUTED_VALUE"""),"")</f>
        <v/>
      </c>
      <c r="M687" s="261">
        <f>IFERROR(__xludf.DUMMYFUNCTION("""COMPUTED_VALUE"""),227.0)</f>
        <v>227</v>
      </c>
      <c r="N687" s="262" t="str">
        <f>IFERROR(__xludf.DUMMYFUNCTION("""COMPUTED_VALUE"""),"")</f>
        <v/>
      </c>
      <c r="O687" s="259" t="str">
        <f>IFERROR(__xludf.DUMMYFUNCTION("""COMPUTED_VALUE"""),"")</f>
        <v/>
      </c>
      <c r="P687" s="259">
        <f>IFERROR(__xludf.DUMMYFUNCTION("""COMPUTED_VALUE"""),42298.0)</f>
        <v>42298</v>
      </c>
      <c r="Q687" s="258">
        <f>IFERROR(__xludf.DUMMYFUNCTION("""COMPUTED_VALUE"""),59000.0)</f>
        <v>59000</v>
      </c>
      <c r="R687" s="261">
        <f>IFERROR(__xludf.DUMMYFUNCTION("""COMPUTED_VALUE"""),372.0)</f>
        <v>372</v>
      </c>
      <c r="S687" s="258">
        <v>395.0</v>
      </c>
      <c r="T687" s="263">
        <v>0.9417721518987342</v>
      </c>
      <c r="U687" s="264">
        <v>36661.0</v>
      </c>
      <c r="V687" s="265">
        <v>59000.0</v>
      </c>
      <c r="W687" s="264">
        <v>36661.0</v>
      </c>
      <c r="X687" s="266"/>
      <c r="Y687" s="267">
        <v>-0.01</v>
      </c>
      <c r="Z687" s="267">
        <v>0.9569369680834567</v>
      </c>
      <c r="AA687" s="269"/>
      <c r="AB687" s="270"/>
      <c r="AC687" s="270"/>
      <c r="AD687" s="270"/>
      <c r="AE687" s="270"/>
    </row>
    <row r="688">
      <c r="A688" s="256">
        <f>IFERROR(__xludf.DUMMYFUNCTION("""COMPUTED_VALUE"""),42343.23819444445)</f>
        <v>42343.23819</v>
      </c>
      <c r="B688" s="257" t="str">
        <f>IFERROR(__xludf.DUMMYFUNCTION("""COMPUTED_VALUE"""),"JBou")</f>
        <v>JBou</v>
      </c>
      <c r="C688" s="258" t="str">
        <f>IFERROR(__xludf.DUMMYFUNCTION("""COMPUTED_VALUE"""),"Europe (excluding UK) &amp; Asia Pacific")</f>
        <v>Europe (excluding UK) &amp; Asia Pacific</v>
      </c>
      <c r="D688" s="258" t="str">
        <f>IFERROR(__xludf.DUMMYFUNCTION("""COMPUTED_VALUE"""),"km. My car displays range in kilometres and I will enter all range numbers in kilometres.")</f>
        <v>km. My car displays range in kilometres and I will enter all range numbers in kilometres.</v>
      </c>
      <c r="E688" s="259">
        <f>IFERROR(__xludf.DUMMYFUNCTION("""COMPUTED_VALUE"""),41629.0)</f>
        <v>41629</v>
      </c>
      <c r="F688" s="258" t="str">
        <f>IFERROR(__xludf.DUMMYFUNCTION("""COMPUTED_VALUE"""),"Model S 85")</f>
        <v>Model S 85</v>
      </c>
      <c r="G688" s="258" t="str">
        <f>IFERROR(__xludf.DUMMYFUNCTION("""COMPUTED_VALUE"""),"Twice a month")</f>
        <v>Twice a month</v>
      </c>
      <c r="H688" s="258" t="str">
        <f>IFERROR(__xludf.DUMMYFUNCTION("""COMPUTED_VALUE"""),"Monthly")</f>
        <v>Monthly</v>
      </c>
      <c r="I688" s="258" t="str">
        <f>IFERROR(__xludf.DUMMYFUNCTION("""COMPUTED_VALUE"""),"Once or twice a year")</f>
        <v>Once or twice a year</v>
      </c>
      <c r="J688" s="260">
        <f>IFERROR(__xludf.DUMMYFUNCTION("""COMPUTED_VALUE"""),0.9)</f>
        <v>0.9</v>
      </c>
      <c r="K688" s="258">
        <f>IFERROR(__xludf.DUMMYFUNCTION("""COMPUTED_VALUE"""),400.0)</f>
        <v>400</v>
      </c>
      <c r="L688" s="258" t="str">
        <f>IFERROR(__xludf.DUMMYFUNCTION("""COMPUTED_VALUE"""),"")</f>
        <v/>
      </c>
      <c r="M688" s="261">
        <f>IFERROR(__xludf.DUMMYFUNCTION("""COMPUTED_VALUE"""),212.0)</f>
        <v>212</v>
      </c>
      <c r="N688" s="262" t="str">
        <f>IFERROR(__xludf.DUMMYFUNCTION("""COMPUTED_VALUE"""),"")</f>
        <v/>
      </c>
      <c r="O688" s="259" t="str">
        <f>IFERROR(__xludf.DUMMYFUNCTION("""COMPUTED_VALUE"""),"")</f>
        <v/>
      </c>
      <c r="P688" s="259">
        <f>IFERROR(__xludf.DUMMYFUNCTION("""COMPUTED_VALUE"""),42343.0)</f>
        <v>42343</v>
      </c>
      <c r="Q688" s="258">
        <f>IFERROR(__xludf.DUMMYFUNCTION("""COMPUTED_VALUE"""),63000.0)</f>
        <v>63000</v>
      </c>
      <c r="R688" s="261">
        <f>IFERROR(__xludf.DUMMYFUNCTION("""COMPUTED_VALUE"""),365.0)</f>
        <v>365</v>
      </c>
      <c r="S688" s="258">
        <v>395.0</v>
      </c>
      <c r="T688" s="263">
        <v>0.9240506329113924</v>
      </c>
      <c r="U688" s="264">
        <v>39146.0</v>
      </c>
      <c r="V688" s="265">
        <v>63000.0</v>
      </c>
      <c r="W688" s="264">
        <v>39146.0</v>
      </c>
      <c r="X688" s="266"/>
      <c r="Y688" s="267">
        <v>-0.01</v>
      </c>
      <c r="Z688" s="267">
        <v>0.9558098622040557</v>
      </c>
      <c r="AA688" s="269"/>
      <c r="AB688" s="270"/>
      <c r="AC688" s="270"/>
      <c r="AD688" s="270"/>
      <c r="AE688" s="270"/>
    </row>
    <row r="689">
      <c r="A689" s="256">
        <f>IFERROR(__xludf.DUMMYFUNCTION("""COMPUTED_VALUE"""),42434.30138888889)</f>
        <v>42434.30139</v>
      </c>
      <c r="B689" s="257" t="str">
        <f>IFERROR(__xludf.DUMMYFUNCTION("""COMPUTED_VALUE"""),"JBou")</f>
        <v>JBou</v>
      </c>
      <c r="C689" s="258" t="str">
        <f>IFERROR(__xludf.DUMMYFUNCTION("""COMPUTED_VALUE"""),"Europe (excluding UK) &amp; Asia Pacific")</f>
        <v>Europe (excluding UK) &amp; Asia Pacific</v>
      </c>
      <c r="D689" s="258" t="str">
        <f>IFERROR(__xludf.DUMMYFUNCTION("""COMPUTED_VALUE"""),"km. My car displays range in kilometres and I will enter all range numbers in kilometres.")</f>
        <v>km. My car displays range in kilometres and I will enter all range numbers in kilometres.</v>
      </c>
      <c r="E689" s="259">
        <f>IFERROR(__xludf.DUMMYFUNCTION("""COMPUTED_VALUE"""),41629.0)</f>
        <v>41629</v>
      </c>
      <c r="F689" s="258" t="str">
        <f>IFERROR(__xludf.DUMMYFUNCTION("""COMPUTED_VALUE"""),"Model S 85")</f>
        <v>Model S 85</v>
      </c>
      <c r="G689" s="258" t="str">
        <f>IFERROR(__xludf.DUMMYFUNCTION("""COMPUTED_VALUE"""),"Twice a month")</f>
        <v>Twice a month</v>
      </c>
      <c r="H689" s="258" t="str">
        <f>IFERROR(__xludf.DUMMYFUNCTION("""COMPUTED_VALUE"""),"Monthly")</f>
        <v>Monthly</v>
      </c>
      <c r="I689" s="258" t="str">
        <f>IFERROR(__xludf.DUMMYFUNCTION("""COMPUTED_VALUE"""),"A few times a year")</f>
        <v>A few times a year</v>
      </c>
      <c r="J689" s="260">
        <f>IFERROR(__xludf.DUMMYFUNCTION("""COMPUTED_VALUE"""),0.8)</f>
        <v>0.8</v>
      </c>
      <c r="K689" s="258" t="str">
        <f>IFERROR(__xludf.DUMMYFUNCTION("""COMPUTED_VALUE"""),"")</f>
        <v/>
      </c>
      <c r="L689" s="258" t="str">
        <f>IFERROR(__xludf.DUMMYFUNCTION("""COMPUTED_VALUE"""),"")</f>
        <v/>
      </c>
      <c r="M689" s="261">
        <f>IFERROR(__xludf.DUMMYFUNCTION("""COMPUTED_VALUE"""),220.0)</f>
        <v>220</v>
      </c>
      <c r="N689" s="262" t="str">
        <f>IFERROR(__xludf.DUMMYFUNCTION("""COMPUTED_VALUE"""),"")</f>
        <v/>
      </c>
      <c r="O689" s="259" t="str">
        <f>IFERROR(__xludf.DUMMYFUNCTION("""COMPUTED_VALUE"""),"")</f>
        <v/>
      </c>
      <c r="P689" s="259">
        <f>IFERROR(__xludf.DUMMYFUNCTION("""COMPUTED_VALUE"""),42434.0)</f>
        <v>42434</v>
      </c>
      <c r="Q689" s="258">
        <f>IFERROR(__xludf.DUMMYFUNCTION("""COMPUTED_VALUE"""),70614.0)</f>
        <v>70614</v>
      </c>
      <c r="R689" s="261">
        <f>IFERROR(__xludf.DUMMYFUNCTION("""COMPUTED_VALUE"""),369.0)</f>
        <v>369</v>
      </c>
      <c r="S689" s="258">
        <v>395.0</v>
      </c>
      <c r="T689" s="263">
        <v>0.9341772151898734</v>
      </c>
      <c r="U689" s="264">
        <v>43878.0</v>
      </c>
      <c r="V689" s="265">
        <v>70614.0</v>
      </c>
      <c r="W689" s="264">
        <v>43878.0</v>
      </c>
      <c r="X689" s="266"/>
      <c r="Y689" s="267">
        <v>-0.01</v>
      </c>
      <c r="Z689" s="267">
        <v>0.9537743192027076</v>
      </c>
      <c r="AA689" s="269"/>
      <c r="AB689" s="270"/>
      <c r="AC689" s="270"/>
      <c r="AD689" s="270"/>
      <c r="AE689" s="270"/>
    </row>
    <row r="690">
      <c r="A690" s="256">
        <f>IFERROR(__xludf.DUMMYFUNCTION("""COMPUTED_VALUE"""),42526.34444444445)</f>
        <v>42526.34444</v>
      </c>
      <c r="B690" s="257" t="str">
        <f>IFERROR(__xludf.DUMMYFUNCTION("""COMPUTED_VALUE"""),"JBou")</f>
        <v>JBou</v>
      </c>
      <c r="C690" s="258" t="str">
        <f>IFERROR(__xludf.DUMMYFUNCTION("""COMPUTED_VALUE"""),"Europe (excluding UK) &amp; Asia Pacific")</f>
        <v>Europe (excluding UK) &amp; Asia Pacific</v>
      </c>
      <c r="D690" s="258" t="str">
        <f>IFERROR(__xludf.DUMMYFUNCTION("""COMPUTED_VALUE"""),"km. My car displays range in kilometres and I will enter all range numbers in kilometres.")</f>
        <v>km. My car displays range in kilometres and I will enter all range numbers in kilometres.</v>
      </c>
      <c r="E690" s="259">
        <f>IFERROR(__xludf.DUMMYFUNCTION("""COMPUTED_VALUE"""),41629.0)</f>
        <v>41629</v>
      </c>
      <c r="F690" s="258" t="str">
        <f>IFERROR(__xludf.DUMMYFUNCTION("""COMPUTED_VALUE"""),"Model S 85")</f>
        <v>Model S 85</v>
      </c>
      <c r="G690" s="258" t="str">
        <f>IFERROR(__xludf.DUMMYFUNCTION("""COMPUTED_VALUE"""),"Monthly")</f>
        <v>Monthly</v>
      </c>
      <c r="H690" s="258" t="str">
        <f>IFERROR(__xludf.DUMMYFUNCTION("""COMPUTED_VALUE"""),"A few times a year")</f>
        <v>A few times a year</v>
      </c>
      <c r="I690" s="258" t="str">
        <f>IFERROR(__xludf.DUMMYFUNCTION("""COMPUTED_VALUE"""),"Once or twice a year")</f>
        <v>Once or twice a year</v>
      </c>
      <c r="J690" s="260">
        <f>IFERROR(__xludf.DUMMYFUNCTION("""COMPUTED_VALUE"""),0.8)</f>
        <v>0.8</v>
      </c>
      <c r="K690" s="258" t="str">
        <f>IFERROR(__xludf.DUMMYFUNCTION("""COMPUTED_VALUE"""),"")</f>
        <v/>
      </c>
      <c r="L690" s="258" t="str">
        <f>IFERROR(__xludf.DUMMYFUNCTION("""COMPUTED_VALUE"""),"")</f>
        <v/>
      </c>
      <c r="M690" s="261">
        <f>IFERROR(__xludf.DUMMYFUNCTION("""COMPUTED_VALUE"""),217.0)</f>
        <v>217</v>
      </c>
      <c r="N690" s="262" t="str">
        <f>IFERROR(__xludf.DUMMYFUNCTION("""COMPUTED_VALUE"""),"")</f>
        <v/>
      </c>
      <c r="O690" s="259" t="str">
        <f>IFERROR(__xludf.DUMMYFUNCTION("""COMPUTED_VALUE"""),"")</f>
        <v/>
      </c>
      <c r="P690" s="259">
        <f>IFERROR(__xludf.DUMMYFUNCTION("""COMPUTED_VALUE"""),42526.0)</f>
        <v>42526</v>
      </c>
      <c r="Q690" s="258">
        <f>IFERROR(__xludf.DUMMYFUNCTION("""COMPUTED_VALUE"""),80500.0)</f>
        <v>80500</v>
      </c>
      <c r="R690" s="261">
        <f>IFERROR(__xludf.DUMMYFUNCTION("""COMPUTED_VALUE"""),371.0)</f>
        <v>371</v>
      </c>
      <c r="S690" s="258">
        <v>395.0</v>
      </c>
      <c r="T690" s="263">
        <v>0.9392405063291139</v>
      </c>
      <c r="U690" s="264">
        <v>50020.0</v>
      </c>
      <c r="V690" s="265">
        <v>80500.0</v>
      </c>
      <c r="W690" s="264">
        <v>50020.0</v>
      </c>
      <c r="X690" s="266"/>
      <c r="Y690" s="267">
        <v>-0.01</v>
      </c>
      <c r="Z690" s="267">
        <v>0.951274803955634</v>
      </c>
      <c r="AA690" s="269"/>
      <c r="AB690" s="270"/>
      <c r="AC690" s="270"/>
      <c r="AD690" s="270"/>
      <c r="AE690" s="270"/>
    </row>
    <row r="691">
      <c r="A691" s="256">
        <f>IFERROR(__xludf.DUMMYFUNCTION("""COMPUTED_VALUE"""),42619.393055555556)</f>
        <v>42619.39306</v>
      </c>
      <c r="B691" s="257" t="str">
        <f>IFERROR(__xludf.DUMMYFUNCTION("""COMPUTED_VALUE"""),"JBou")</f>
        <v>JBou</v>
      </c>
      <c r="C691" s="258" t="str">
        <f>IFERROR(__xludf.DUMMYFUNCTION("""COMPUTED_VALUE"""),"Europe (excluding UK) &amp; Asia Pacific")</f>
        <v>Europe (excluding UK) &amp; Asia Pacific</v>
      </c>
      <c r="D691" s="258" t="str">
        <f>IFERROR(__xludf.DUMMYFUNCTION("""COMPUTED_VALUE"""),"km. My car displays range in kilometres and I will enter all range numbers in kilometres.")</f>
        <v>km. My car displays range in kilometres and I will enter all range numbers in kilometres.</v>
      </c>
      <c r="E691" s="259">
        <f>IFERROR(__xludf.DUMMYFUNCTION("""COMPUTED_VALUE"""),41629.0)</f>
        <v>41629</v>
      </c>
      <c r="F691" s="258" t="str">
        <f>IFERROR(__xludf.DUMMYFUNCTION("""COMPUTED_VALUE"""),"Model S 85")</f>
        <v>Model S 85</v>
      </c>
      <c r="G691" s="258" t="str">
        <f>IFERROR(__xludf.DUMMYFUNCTION("""COMPUTED_VALUE"""),"Weekly")</f>
        <v>Weekly</v>
      </c>
      <c r="H691" s="258" t="str">
        <f>IFERROR(__xludf.DUMMYFUNCTION("""COMPUTED_VALUE"""),"Monthly")</f>
        <v>Monthly</v>
      </c>
      <c r="I691" s="258" t="str">
        <f>IFERROR(__xludf.DUMMYFUNCTION("""COMPUTED_VALUE"""),"Once or twice a year")</f>
        <v>Once or twice a year</v>
      </c>
      <c r="J691" s="260">
        <f>IFERROR(__xludf.DUMMYFUNCTION("""COMPUTED_VALUE"""),0.8)</f>
        <v>0.8</v>
      </c>
      <c r="K691" s="258" t="str">
        <f>IFERROR(__xludf.DUMMYFUNCTION("""COMPUTED_VALUE"""),"")</f>
        <v/>
      </c>
      <c r="L691" s="258" t="str">
        <f>IFERROR(__xludf.DUMMYFUNCTION("""COMPUTED_VALUE"""),"")</f>
        <v/>
      </c>
      <c r="M691" s="261">
        <f>IFERROR(__xludf.DUMMYFUNCTION("""COMPUTED_VALUE"""),211.0)</f>
        <v>211</v>
      </c>
      <c r="N691" s="262" t="str">
        <f>IFERROR(__xludf.DUMMYFUNCTION("""COMPUTED_VALUE"""),"")</f>
        <v/>
      </c>
      <c r="O691" s="259" t="str">
        <f>IFERROR(__xludf.DUMMYFUNCTION("""COMPUTED_VALUE"""),"")</f>
        <v/>
      </c>
      <c r="P691" s="259">
        <f>IFERROR(__xludf.DUMMYFUNCTION("""COMPUTED_VALUE"""),42619.0)</f>
        <v>42619</v>
      </c>
      <c r="Q691" s="258">
        <f>IFERROR(__xludf.DUMMYFUNCTION("""COMPUTED_VALUE"""),89000.0)</f>
        <v>89000</v>
      </c>
      <c r="R691" s="261">
        <f>IFERROR(__xludf.DUMMYFUNCTION("""COMPUTED_VALUE"""),372.0)</f>
        <v>372</v>
      </c>
      <c r="S691" s="258">
        <v>395.0</v>
      </c>
      <c r="T691" s="263">
        <v>0.9417721518987342</v>
      </c>
      <c r="U691" s="264">
        <v>55302.0</v>
      </c>
      <c r="V691" s="265">
        <v>89000.0</v>
      </c>
      <c r="W691" s="264">
        <v>55302.0</v>
      </c>
      <c r="X691" s="266"/>
      <c r="Y691" s="267">
        <v>-0.01</v>
      </c>
      <c r="Z691" s="267">
        <v>0.9492041904012382</v>
      </c>
      <c r="AA691" s="269"/>
      <c r="AB691" s="270"/>
      <c r="AC691" s="270"/>
      <c r="AD691" s="270"/>
      <c r="AE691" s="270"/>
    </row>
    <row r="692">
      <c r="A692" s="256">
        <f>IFERROR(__xludf.DUMMYFUNCTION("""COMPUTED_VALUE"""),42910.55208333333)</f>
        <v>42910.55208</v>
      </c>
      <c r="B692" s="257" t="str">
        <f>IFERROR(__xludf.DUMMYFUNCTION("""COMPUTED_VALUE"""),"JBou")</f>
        <v>JBou</v>
      </c>
      <c r="C692" s="258" t="str">
        <f>IFERROR(__xludf.DUMMYFUNCTION("""COMPUTED_VALUE"""),"Europe (excluding UK) &amp; Asia Pacific")</f>
        <v>Europe (excluding UK) &amp; Asia Pacific</v>
      </c>
      <c r="D692" s="258" t="str">
        <f>IFERROR(__xludf.DUMMYFUNCTION("""COMPUTED_VALUE"""),"km. My car displays range in kilometres and I will enter all range numbers in kilometres.")</f>
        <v>km. My car displays range in kilometres and I will enter all range numbers in kilometres.</v>
      </c>
      <c r="E692" s="259">
        <f>IFERROR(__xludf.DUMMYFUNCTION("""COMPUTED_VALUE"""),41629.0)</f>
        <v>41629</v>
      </c>
      <c r="F692" s="258" t="str">
        <f>IFERROR(__xludf.DUMMYFUNCTION("""COMPUTED_VALUE"""),"Model S 85")</f>
        <v>Model S 85</v>
      </c>
      <c r="G692" s="258" t="str">
        <f>IFERROR(__xludf.DUMMYFUNCTION("""COMPUTED_VALUE"""),"Twice a month")</f>
        <v>Twice a month</v>
      </c>
      <c r="H692" s="258" t="str">
        <f>IFERROR(__xludf.DUMMYFUNCTION("""COMPUTED_VALUE"""),"A few times a year")</f>
        <v>A few times a year</v>
      </c>
      <c r="I692" s="258" t="str">
        <f>IFERROR(__xludf.DUMMYFUNCTION("""COMPUTED_VALUE"""),"Once or twice a year")</f>
        <v>Once or twice a year</v>
      </c>
      <c r="J692" s="260">
        <f>IFERROR(__xludf.DUMMYFUNCTION("""COMPUTED_VALUE"""),0.9)</f>
        <v>0.9</v>
      </c>
      <c r="K692" s="258" t="str">
        <f>IFERROR(__xludf.DUMMYFUNCTION("""COMPUTED_VALUE"""),"")</f>
        <v/>
      </c>
      <c r="L692" s="258" t="str">
        <f>IFERROR(__xludf.DUMMYFUNCTION("""COMPUTED_VALUE"""),"")</f>
        <v/>
      </c>
      <c r="M692" s="261">
        <f>IFERROR(__xludf.DUMMYFUNCTION("""COMPUTED_VALUE"""),206.0)</f>
        <v>206</v>
      </c>
      <c r="N692" s="262" t="str">
        <f>IFERROR(__xludf.DUMMYFUNCTION("""COMPUTED_VALUE"""),"")</f>
        <v/>
      </c>
      <c r="O692" s="259" t="str">
        <f>IFERROR(__xludf.DUMMYFUNCTION("""COMPUTED_VALUE"""),"")</f>
        <v/>
      </c>
      <c r="P692" s="259">
        <f>IFERROR(__xludf.DUMMYFUNCTION("""COMPUTED_VALUE"""),42910.0)</f>
        <v>42910</v>
      </c>
      <c r="Q692" s="258">
        <f>IFERROR(__xludf.DUMMYFUNCTION("""COMPUTED_VALUE"""),116500.0)</f>
        <v>116500</v>
      </c>
      <c r="R692" s="261">
        <f>IFERROR(__xludf.DUMMYFUNCTION("""COMPUTED_VALUE"""),375.0)</f>
        <v>375</v>
      </c>
      <c r="S692" s="258">
        <v>395.0</v>
      </c>
      <c r="T692" s="263">
        <v>0.9493670886075949</v>
      </c>
      <c r="U692" s="264">
        <v>72390.0</v>
      </c>
      <c r="V692" s="265">
        <v>116500.0</v>
      </c>
      <c r="W692" s="264">
        <v>72390.0</v>
      </c>
      <c r="X692" s="266"/>
      <c r="Y692" s="267">
        <v>-0.01</v>
      </c>
      <c r="Z692" s="267">
        <v>0.9427239421868773</v>
      </c>
      <c r="AA692" s="269"/>
      <c r="AB692" s="270"/>
      <c r="AC692" s="270"/>
      <c r="AD692" s="270"/>
      <c r="AE692" s="270"/>
    </row>
    <row r="693">
      <c r="A693" s="256">
        <f>IFERROR(__xludf.DUMMYFUNCTION("""COMPUTED_VALUE"""),43026.62847222222)</f>
        <v>43026.62847</v>
      </c>
      <c r="B693" s="257" t="str">
        <f>IFERROR(__xludf.DUMMYFUNCTION("""COMPUTED_VALUE"""),"JBou")</f>
        <v>JBou</v>
      </c>
      <c r="C693" s="258" t="str">
        <f>IFERROR(__xludf.DUMMYFUNCTION("""COMPUTED_VALUE"""),"Europe (excluding UK) &amp; Asia Pacific")</f>
        <v>Europe (excluding UK) &amp; Asia Pacific</v>
      </c>
      <c r="D693" s="258" t="str">
        <f>IFERROR(__xludf.DUMMYFUNCTION("""COMPUTED_VALUE"""),"km. My car displays range in kilometres and I will enter all range numbers in kilometres.")</f>
        <v>km. My car displays range in kilometres and I will enter all range numbers in kilometres.</v>
      </c>
      <c r="E693" s="259">
        <f>IFERROR(__xludf.DUMMYFUNCTION("""COMPUTED_VALUE"""),41629.0)</f>
        <v>41629</v>
      </c>
      <c r="F693" s="258" t="str">
        <f>IFERROR(__xludf.DUMMYFUNCTION("""COMPUTED_VALUE"""),"Model S 85")</f>
        <v>Model S 85</v>
      </c>
      <c r="G693" s="258" t="str">
        <f>IFERROR(__xludf.DUMMYFUNCTION("""COMPUTED_VALUE"""),"Twice a month")</f>
        <v>Twice a month</v>
      </c>
      <c r="H693" s="258" t="str">
        <f>IFERROR(__xludf.DUMMYFUNCTION("""COMPUTED_VALUE"""),"A few times a year")</f>
        <v>A few times a year</v>
      </c>
      <c r="I693" s="258" t="str">
        <f>IFERROR(__xludf.DUMMYFUNCTION("""COMPUTED_VALUE"""),"Never")</f>
        <v>Never</v>
      </c>
      <c r="J693" s="260">
        <f>IFERROR(__xludf.DUMMYFUNCTION("""COMPUTED_VALUE"""),0.9)</f>
        <v>0.9</v>
      </c>
      <c r="K693" s="258" t="str">
        <f>IFERROR(__xludf.DUMMYFUNCTION("""COMPUTED_VALUE"""),"")</f>
        <v/>
      </c>
      <c r="L693" s="258" t="str">
        <f>IFERROR(__xludf.DUMMYFUNCTION("""COMPUTED_VALUE"""),"")</f>
        <v/>
      </c>
      <c r="M693" s="261">
        <f>IFERROR(__xludf.DUMMYFUNCTION("""COMPUTED_VALUE"""),206.0)</f>
        <v>206</v>
      </c>
      <c r="N693" s="262" t="str">
        <f>IFERROR(__xludf.DUMMYFUNCTION("""COMPUTED_VALUE"""),"")</f>
        <v/>
      </c>
      <c r="O693" s="259" t="str">
        <f>IFERROR(__xludf.DUMMYFUNCTION("""COMPUTED_VALUE"""),"")</f>
        <v/>
      </c>
      <c r="P693" s="259">
        <f>IFERROR(__xludf.DUMMYFUNCTION("""COMPUTED_VALUE"""),43026.0)</f>
        <v>43026</v>
      </c>
      <c r="Q693" s="258">
        <f>IFERROR(__xludf.DUMMYFUNCTION("""COMPUTED_VALUE"""),125000.0)</f>
        <v>125000</v>
      </c>
      <c r="R693" s="261">
        <f>IFERROR(__xludf.DUMMYFUNCTION("""COMPUTED_VALUE"""),370.0)</f>
        <v>370</v>
      </c>
      <c r="S693" s="258">
        <v>395.0</v>
      </c>
      <c r="T693" s="263">
        <v>0.9367088607594937</v>
      </c>
      <c r="U693" s="264">
        <v>77671.0</v>
      </c>
      <c r="V693" s="265">
        <v>125000.0</v>
      </c>
      <c r="W693" s="264">
        <v>77671.0</v>
      </c>
      <c r="X693" s="266"/>
      <c r="Y693" s="267">
        <v>-0.01</v>
      </c>
      <c r="Z693" s="267">
        <v>0.94074986401871</v>
      </c>
      <c r="AA693" s="269"/>
      <c r="AB693" s="270"/>
      <c r="AC693" s="270"/>
      <c r="AD693" s="270"/>
      <c r="AE693" s="270"/>
    </row>
    <row r="694">
      <c r="A694" s="256">
        <f>IFERROR(__xludf.DUMMYFUNCTION("""COMPUTED_VALUE"""),42056.07638888889)</f>
        <v>42056.07639</v>
      </c>
      <c r="B694" s="257" t="str">
        <f>IFERROR(__xludf.DUMMYFUNCTION("""COMPUTED_VALUE"""),"JCar")</f>
        <v>JCar</v>
      </c>
      <c r="C694" s="258" t="str">
        <f>IFERROR(__xludf.DUMMYFUNCTION("""COMPUTED_VALUE"""),"Europe (excluding UK) &amp; Asia Pacific")</f>
        <v>Europe (excluding UK) &amp; Asia Pacific</v>
      </c>
      <c r="D694" s="258" t="str">
        <f>IFERROR(__xludf.DUMMYFUNCTION("""COMPUTED_VALUE"""),"km. My car displays range in kilometres and I will enter all range numbers in kilometres.")</f>
        <v>km. My car displays range in kilometres and I will enter all range numbers in kilometres.</v>
      </c>
      <c r="E694" s="259">
        <f>IFERROR(__xludf.DUMMYFUNCTION("""COMPUTED_VALUE"""),41631.0)</f>
        <v>41631</v>
      </c>
      <c r="F694" s="258" t="str">
        <f>IFERROR(__xludf.DUMMYFUNCTION("""COMPUTED_VALUE"""),"Model S 85")</f>
        <v>Model S 85</v>
      </c>
      <c r="G694" s="258" t="str">
        <f>IFERROR(__xludf.DUMMYFUNCTION("""COMPUTED_VALUE"""),"Monthly")</f>
        <v>Monthly</v>
      </c>
      <c r="H694" s="258" t="str">
        <f>IFERROR(__xludf.DUMMYFUNCTION("""COMPUTED_VALUE"""),"A few times a year")</f>
        <v>A few times a year</v>
      </c>
      <c r="I694" s="258" t="str">
        <f>IFERROR(__xludf.DUMMYFUNCTION("""COMPUTED_VALUE"""),"Never")</f>
        <v>Never</v>
      </c>
      <c r="J694" s="260" t="str">
        <f>IFERROR(__xludf.DUMMYFUNCTION("""COMPUTED_VALUE"""),"")</f>
        <v/>
      </c>
      <c r="K694" s="258" t="str">
        <f>IFERROR(__xludf.DUMMYFUNCTION("""COMPUTED_VALUE"""),"")</f>
        <v/>
      </c>
      <c r="L694" s="258" t="str">
        <f>IFERROR(__xludf.DUMMYFUNCTION("""COMPUTED_VALUE"""),"")</f>
        <v/>
      </c>
      <c r="M694" s="261">
        <f>IFERROR(__xludf.DUMMYFUNCTION("""COMPUTED_VALUE"""),201.0)</f>
        <v>201</v>
      </c>
      <c r="N694" s="262" t="str">
        <f>IFERROR(__xludf.DUMMYFUNCTION("""COMPUTED_VALUE"""),"")</f>
        <v/>
      </c>
      <c r="O694" s="259" t="str">
        <f>IFERROR(__xludf.DUMMYFUNCTION("""COMPUTED_VALUE"""),"")</f>
        <v/>
      </c>
      <c r="P694" s="259">
        <f>IFERROR(__xludf.DUMMYFUNCTION("""COMPUTED_VALUE"""),42056.0)</f>
        <v>42056</v>
      </c>
      <c r="Q694" s="258">
        <f>IFERROR(__xludf.DUMMYFUNCTION("""COMPUTED_VALUE"""),33700.0)</f>
        <v>33700</v>
      </c>
      <c r="R694" s="261">
        <f>IFERROR(__xludf.DUMMYFUNCTION("""COMPUTED_VALUE"""),387.0)</f>
        <v>387</v>
      </c>
      <c r="S694" s="258">
        <v>395.0</v>
      </c>
      <c r="T694" s="263">
        <v>0.979746835443038</v>
      </c>
      <c r="U694" s="264">
        <v>20940.0</v>
      </c>
      <c r="V694" s="265">
        <v>33700.0</v>
      </c>
      <c r="W694" s="264">
        <v>20940.0</v>
      </c>
      <c r="X694" s="266"/>
      <c r="Y694" s="267">
        <v>-0.01</v>
      </c>
      <c r="Z694" s="267">
        <v>0.9660774857662805</v>
      </c>
      <c r="AA694" s="269"/>
      <c r="AB694" s="270"/>
      <c r="AC694" s="270"/>
      <c r="AD694" s="270"/>
      <c r="AE694" s="270"/>
    </row>
    <row r="695">
      <c r="A695" s="256">
        <f>IFERROR(__xludf.DUMMYFUNCTION("""COMPUTED_VALUE"""),42109.09583333333)</f>
        <v>42109.09583</v>
      </c>
      <c r="B695" s="257" t="str">
        <f>IFERROR(__xludf.DUMMYFUNCTION("""COMPUTED_VALUE"""),"JCar")</f>
        <v>JCar</v>
      </c>
      <c r="C695" s="258" t="str">
        <f>IFERROR(__xludf.DUMMYFUNCTION("""COMPUTED_VALUE"""),"Europe (excluding UK) &amp; Asia Pacific")</f>
        <v>Europe (excluding UK) &amp; Asia Pacific</v>
      </c>
      <c r="D695" s="258" t="str">
        <f>IFERROR(__xludf.DUMMYFUNCTION("""COMPUTED_VALUE"""),"km. My car displays range in kilometres and I will enter all range numbers in kilometres.")</f>
        <v>km. My car displays range in kilometres and I will enter all range numbers in kilometres.</v>
      </c>
      <c r="E695" s="259">
        <f>IFERROR(__xludf.DUMMYFUNCTION("""COMPUTED_VALUE"""),41631.0)</f>
        <v>41631</v>
      </c>
      <c r="F695" s="258" t="str">
        <f>IFERROR(__xludf.DUMMYFUNCTION("""COMPUTED_VALUE"""),"Model S 85")</f>
        <v>Model S 85</v>
      </c>
      <c r="G695" s="258" t="str">
        <f>IFERROR(__xludf.DUMMYFUNCTION("""COMPUTED_VALUE"""),"Twice a month")</f>
        <v>Twice a month</v>
      </c>
      <c r="H695" s="258" t="str">
        <f>IFERROR(__xludf.DUMMYFUNCTION("""COMPUTED_VALUE"""),"A few times a year")</f>
        <v>A few times a year</v>
      </c>
      <c r="I695" s="258" t="str">
        <f>IFERROR(__xludf.DUMMYFUNCTION("""COMPUTED_VALUE"""),"Never")</f>
        <v>Never</v>
      </c>
      <c r="J695" s="260" t="str">
        <f>IFERROR(__xludf.DUMMYFUNCTION("""COMPUTED_VALUE"""),"")</f>
        <v/>
      </c>
      <c r="K695" s="258" t="str">
        <f>IFERROR(__xludf.DUMMYFUNCTION("""COMPUTED_VALUE"""),"")</f>
        <v/>
      </c>
      <c r="L695" s="258" t="str">
        <f>IFERROR(__xludf.DUMMYFUNCTION("""COMPUTED_VALUE"""),"")</f>
        <v/>
      </c>
      <c r="M695" s="261">
        <f>IFERROR(__xludf.DUMMYFUNCTION("""COMPUTED_VALUE"""),202.0)</f>
        <v>202</v>
      </c>
      <c r="N695" s="262" t="str">
        <f>IFERROR(__xludf.DUMMYFUNCTION("""COMPUTED_VALUE"""),"")</f>
        <v/>
      </c>
      <c r="O695" s="259" t="str">
        <f>IFERROR(__xludf.DUMMYFUNCTION("""COMPUTED_VALUE"""),"")</f>
        <v/>
      </c>
      <c r="P695" s="259">
        <f>IFERROR(__xludf.DUMMYFUNCTION("""COMPUTED_VALUE"""),42109.0)</f>
        <v>42109</v>
      </c>
      <c r="Q695" s="258">
        <f>IFERROR(__xludf.DUMMYFUNCTION("""COMPUTED_VALUE"""),41000.0)</f>
        <v>41000</v>
      </c>
      <c r="R695" s="261">
        <f>IFERROR(__xludf.DUMMYFUNCTION("""COMPUTED_VALUE"""),384.0)</f>
        <v>384</v>
      </c>
      <c r="S695" s="258">
        <v>395.0</v>
      </c>
      <c r="T695" s="263">
        <v>0.9721518987341772</v>
      </c>
      <c r="U695" s="264">
        <v>25476.0</v>
      </c>
      <c r="V695" s="265">
        <v>41000.0</v>
      </c>
      <c r="W695" s="264">
        <v>25476.0</v>
      </c>
      <c r="X695" s="266"/>
      <c r="Y695" s="267">
        <v>-0.01</v>
      </c>
      <c r="Z695" s="267">
        <v>0.9629097915102499</v>
      </c>
      <c r="AA695" s="269"/>
      <c r="AB695" s="270"/>
      <c r="AC695" s="270"/>
      <c r="AD695" s="270"/>
      <c r="AE695" s="270"/>
    </row>
    <row r="696">
      <c r="A696" s="256">
        <f>IFERROR(__xludf.DUMMYFUNCTION("""COMPUTED_VALUE"""),42240.17222222222)</f>
        <v>42240.17222</v>
      </c>
      <c r="B696" s="257" t="str">
        <f>IFERROR(__xludf.DUMMYFUNCTION("""COMPUTED_VALUE"""),"JCar")</f>
        <v>JCar</v>
      </c>
      <c r="C696" s="258" t="str">
        <f>IFERROR(__xludf.DUMMYFUNCTION("""COMPUTED_VALUE"""),"Europe (excluding UK) &amp; Asia Pacific")</f>
        <v>Europe (excluding UK) &amp; Asia Pacific</v>
      </c>
      <c r="D696" s="258" t="str">
        <f>IFERROR(__xludf.DUMMYFUNCTION("""COMPUTED_VALUE"""),"km. My car displays range in kilometres and I will enter all range numbers in kilometres.")</f>
        <v>km. My car displays range in kilometres and I will enter all range numbers in kilometres.</v>
      </c>
      <c r="E696" s="259">
        <f>IFERROR(__xludf.DUMMYFUNCTION("""COMPUTED_VALUE"""),41631.0)</f>
        <v>41631</v>
      </c>
      <c r="F696" s="258" t="str">
        <f>IFERROR(__xludf.DUMMYFUNCTION("""COMPUTED_VALUE"""),"Model S 85")</f>
        <v>Model S 85</v>
      </c>
      <c r="G696" s="258" t="str">
        <f>IFERROR(__xludf.DUMMYFUNCTION("""COMPUTED_VALUE"""),"Twice a month")</f>
        <v>Twice a month</v>
      </c>
      <c r="H696" s="258" t="str">
        <f>IFERROR(__xludf.DUMMYFUNCTION("""COMPUTED_VALUE"""),"A few times a year")</f>
        <v>A few times a year</v>
      </c>
      <c r="I696" s="258" t="str">
        <f>IFERROR(__xludf.DUMMYFUNCTION("""COMPUTED_VALUE"""),"Never")</f>
        <v>Never</v>
      </c>
      <c r="J696" s="260">
        <f>IFERROR(__xludf.DUMMYFUNCTION("""COMPUTED_VALUE"""),0.7)</f>
        <v>0.7</v>
      </c>
      <c r="K696" s="258">
        <f>IFERROR(__xludf.DUMMYFUNCTION("""COMPUTED_VALUE"""),401.0)</f>
        <v>401</v>
      </c>
      <c r="L696" s="258" t="str">
        <f>IFERROR(__xludf.DUMMYFUNCTION("""COMPUTED_VALUE"""),"")</f>
        <v/>
      </c>
      <c r="M696" s="261">
        <f>IFERROR(__xludf.DUMMYFUNCTION("""COMPUTED_VALUE"""),200.0)</f>
        <v>200</v>
      </c>
      <c r="N696" s="262" t="str">
        <f>IFERROR(__xludf.DUMMYFUNCTION("""COMPUTED_VALUE"""),"")</f>
        <v/>
      </c>
      <c r="O696" s="259" t="str">
        <f>IFERROR(__xludf.DUMMYFUNCTION("""COMPUTED_VALUE"""),"")</f>
        <v/>
      </c>
      <c r="P696" s="259">
        <f>IFERROR(__xludf.DUMMYFUNCTION("""COMPUTED_VALUE"""),42240.0)</f>
        <v>42240</v>
      </c>
      <c r="Q696" s="258">
        <f>IFERROR(__xludf.DUMMYFUNCTION("""COMPUTED_VALUE"""),49500.0)</f>
        <v>49500</v>
      </c>
      <c r="R696" s="261">
        <f>IFERROR(__xludf.DUMMYFUNCTION("""COMPUTED_VALUE"""),378.0)</f>
        <v>378</v>
      </c>
      <c r="S696" s="258">
        <v>395.0</v>
      </c>
      <c r="T696" s="263">
        <v>0.9569620253164557</v>
      </c>
      <c r="U696" s="264">
        <v>30758.0</v>
      </c>
      <c r="V696" s="265">
        <v>49500.0</v>
      </c>
      <c r="W696" s="264">
        <v>30758.0</v>
      </c>
      <c r="X696" s="266"/>
      <c r="Y696" s="267">
        <v>-0.01</v>
      </c>
      <c r="Z696" s="267">
        <v>0.9598548198527886</v>
      </c>
      <c r="AA696" s="269"/>
      <c r="AB696" s="270"/>
      <c r="AC696" s="270"/>
      <c r="AD696" s="270"/>
      <c r="AE696" s="270"/>
    </row>
    <row r="697">
      <c r="A697" s="256">
        <f>IFERROR(__xludf.DUMMYFUNCTION("""COMPUTED_VALUE"""),42269.18541666667)</f>
        <v>42269.18542</v>
      </c>
      <c r="B697" s="257" t="str">
        <f>IFERROR(__xludf.DUMMYFUNCTION("""COMPUTED_VALUE"""),"JCar")</f>
        <v>JCar</v>
      </c>
      <c r="C697" s="258" t="str">
        <f>IFERROR(__xludf.DUMMYFUNCTION("""COMPUTED_VALUE"""),"Europe (excluding UK) &amp; Asia Pacific")</f>
        <v>Europe (excluding UK) &amp; Asia Pacific</v>
      </c>
      <c r="D697" s="258" t="str">
        <f>IFERROR(__xludf.DUMMYFUNCTION("""COMPUTED_VALUE"""),"km. My car displays range in kilometres and I will enter all range numbers in kilometres.")</f>
        <v>km. My car displays range in kilometres and I will enter all range numbers in kilometres.</v>
      </c>
      <c r="E697" s="259">
        <f>IFERROR(__xludf.DUMMYFUNCTION("""COMPUTED_VALUE"""),41631.0)</f>
        <v>41631</v>
      </c>
      <c r="F697" s="258" t="str">
        <f>IFERROR(__xludf.DUMMYFUNCTION("""COMPUTED_VALUE"""),"Model S 85")</f>
        <v>Model S 85</v>
      </c>
      <c r="G697" s="258" t="str">
        <f>IFERROR(__xludf.DUMMYFUNCTION("""COMPUTED_VALUE"""),"Twice a month")</f>
        <v>Twice a month</v>
      </c>
      <c r="H697" s="258" t="str">
        <f>IFERROR(__xludf.DUMMYFUNCTION("""COMPUTED_VALUE"""),"A few times a year")</f>
        <v>A few times a year</v>
      </c>
      <c r="I697" s="258" t="str">
        <f>IFERROR(__xludf.DUMMYFUNCTION("""COMPUTED_VALUE"""),"Never")</f>
        <v>Never</v>
      </c>
      <c r="J697" s="260">
        <f>IFERROR(__xludf.DUMMYFUNCTION("""COMPUTED_VALUE"""),0.7)</f>
        <v>0.7</v>
      </c>
      <c r="K697" s="258">
        <f>IFERROR(__xludf.DUMMYFUNCTION("""COMPUTED_VALUE"""),401.0)</f>
        <v>401</v>
      </c>
      <c r="L697" s="258" t="str">
        <f>IFERROR(__xludf.DUMMYFUNCTION("""COMPUTED_VALUE"""),"")</f>
        <v/>
      </c>
      <c r="M697" s="261">
        <f>IFERROR(__xludf.DUMMYFUNCTION("""COMPUTED_VALUE"""),198.0)</f>
        <v>198</v>
      </c>
      <c r="N697" s="262" t="str">
        <f>IFERROR(__xludf.DUMMYFUNCTION("""COMPUTED_VALUE"""),"")</f>
        <v/>
      </c>
      <c r="O697" s="259" t="str">
        <f>IFERROR(__xludf.DUMMYFUNCTION("""COMPUTED_VALUE"""),"")</f>
        <v/>
      </c>
      <c r="P697" s="259">
        <f>IFERROR(__xludf.DUMMYFUNCTION("""COMPUTED_VALUE"""),42269.0)</f>
        <v>42269</v>
      </c>
      <c r="Q697" s="258">
        <f>IFERROR(__xludf.DUMMYFUNCTION("""COMPUTED_VALUE"""),51815.0)</f>
        <v>51815</v>
      </c>
      <c r="R697" s="261">
        <f>IFERROR(__xludf.DUMMYFUNCTION("""COMPUTED_VALUE"""),375.0)</f>
        <v>375</v>
      </c>
      <c r="S697" s="258">
        <v>395.0</v>
      </c>
      <c r="T697" s="263">
        <v>0.9493670886075949</v>
      </c>
      <c r="U697" s="264">
        <v>32196.0</v>
      </c>
      <c r="V697" s="265">
        <v>51815.0</v>
      </c>
      <c r="W697" s="264">
        <v>32196.0</v>
      </c>
      <c r="X697" s="266"/>
      <c r="Y697" s="267">
        <v>-0.01</v>
      </c>
      <c r="Z697" s="267">
        <v>0.9591052383779245</v>
      </c>
      <c r="AA697" s="269"/>
      <c r="AB697" s="270"/>
      <c r="AC697" s="270"/>
      <c r="AD697" s="270"/>
      <c r="AE697" s="270"/>
    </row>
    <row r="698">
      <c r="A698" s="256">
        <f>IFERROR(__xludf.DUMMYFUNCTION("""COMPUTED_VALUE"""),42349.24861111111)</f>
        <v>42349.24861</v>
      </c>
      <c r="B698" s="257" t="str">
        <f>IFERROR(__xludf.DUMMYFUNCTION("""COMPUTED_VALUE"""),"JCar")</f>
        <v>JCar</v>
      </c>
      <c r="C698" s="258" t="str">
        <f>IFERROR(__xludf.DUMMYFUNCTION("""COMPUTED_VALUE"""),"Europe (excluding UK) &amp; Asia Pacific")</f>
        <v>Europe (excluding UK) &amp; Asia Pacific</v>
      </c>
      <c r="D698" s="258" t="str">
        <f>IFERROR(__xludf.DUMMYFUNCTION("""COMPUTED_VALUE"""),"km. My car displays range in kilometres and I will enter all range numbers in kilometres.")</f>
        <v>km. My car displays range in kilometres and I will enter all range numbers in kilometres.</v>
      </c>
      <c r="E698" s="259">
        <f>IFERROR(__xludf.DUMMYFUNCTION("""COMPUTED_VALUE"""),41631.0)</f>
        <v>41631</v>
      </c>
      <c r="F698" s="258" t="str">
        <f>IFERROR(__xludf.DUMMYFUNCTION("""COMPUTED_VALUE"""),"Model S 85")</f>
        <v>Model S 85</v>
      </c>
      <c r="G698" s="258" t="str">
        <f>IFERROR(__xludf.DUMMYFUNCTION("""COMPUTED_VALUE"""),"Monthly")</f>
        <v>Monthly</v>
      </c>
      <c r="H698" s="258" t="str">
        <f>IFERROR(__xludf.DUMMYFUNCTION("""COMPUTED_VALUE"""),"A few times a year")</f>
        <v>A few times a year</v>
      </c>
      <c r="I698" s="258" t="str">
        <f>IFERROR(__xludf.DUMMYFUNCTION("""COMPUTED_VALUE"""),"Never")</f>
        <v>Never</v>
      </c>
      <c r="J698" s="260">
        <f>IFERROR(__xludf.DUMMYFUNCTION("""COMPUTED_VALUE"""),0.7)</f>
        <v>0.7</v>
      </c>
      <c r="K698" s="258">
        <f>IFERROR(__xludf.DUMMYFUNCTION("""COMPUTED_VALUE"""),400.0)</f>
        <v>400</v>
      </c>
      <c r="L698" s="258" t="str">
        <f>IFERROR(__xludf.DUMMYFUNCTION("""COMPUTED_VALUE"""),"")</f>
        <v/>
      </c>
      <c r="M698" s="261">
        <f>IFERROR(__xludf.DUMMYFUNCTION("""COMPUTED_VALUE"""),198.0)</f>
        <v>198</v>
      </c>
      <c r="N698" s="262" t="str">
        <f>IFERROR(__xludf.DUMMYFUNCTION("""COMPUTED_VALUE"""),"")</f>
        <v/>
      </c>
      <c r="O698" s="259" t="str">
        <f>IFERROR(__xludf.DUMMYFUNCTION("""COMPUTED_VALUE"""),"")</f>
        <v/>
      </c>
      <c r="P698" s="259">
        <f>IFERROR(__xludf.DUMMYFUNCTION("""COMPUTED_VALUE"""),42349.0)</f>
        <v>42349</v>
      </c>
      <c r="Q698" s="258">
        <f>IFERROR(__xludf.DUMMYFUNCTION("""COMPUTED_VALUE"""),58000.0)</f>
        <v>58000</v>
      </c>
      <c r="R698" s="261">
        <f>IFERROR(__xludf.DUMMYFUNCTION("""COMPUTED_VALUE"""),369.0)</f>
        <v>369</v>
      </c>
      <c r="S698" s="258">
        <v>395.0</v>
      </c>
      <c r="T698" s="263">
        <v>0.9341772151898734</v>
      </c>
      <c r="U698" s="264">
        <v>36040.0</v>
      </c>
      <c r="V698" s="265">
        <v>58000.0</v>
      </c>
      <c r="W698" s="264">
        <v>36040.0</v>
      </c>
      <c r="X698" s="266"/>
      <c r="Y698" s="267">
        <v>-0.01</v>
      </c>
      <c r="Z698" s="267">
        <v>0.957226618669855</v>
      </c>
      <c r="AA698" s="269"/>
      <c r="AB698" s="270"/>
      <c r="AC698" s="270"/>
      <c r="AD698" s="270"/>
      <c r="AE698" s="270"/>
    </row>
    <row r="699">
      <c r="A699" s="256">
        <f>IFERROR(__xludf.DUMMYFUNCTION("""COMPUTED_VALUE"""),42678.81388888889)</f>
        <v>42678.81389</v>
      </c>
      <c r="B699" s="257" t="str">
        <f>IFERROR(__xludf.DUMMYFUNCTION("""COMPUTED_VALUE"""),"jcaspar")</f>
        <v>jcaspar</v>
      </c>
      <c r="C699" s="258" t="str">
        <f>IFERROR(__xludf.DUMMYFUNCTION("""COMPUTED_VALUE"""),"USA")</f>
        <v>USA</v>
      </c>
      <c r="D699" s="258" t="str">
        <f>IFERROR(__xludf.DUMMYFUNCTION("""COMPUTED_VALUE"""),"mi. My car displays range in miles and I will enter all range numbers in miles.")</f>
        <v>mi. My car displays range in miles and I will enter all range numbers in miles.</v>
      </c>
      <c r="E699" s="259">
        <f>IFERROR(__xludf.DUMMYFUNCTION("""COMPUTED_VALUE"""),41573.0)</f>
        <v>41573</v>
      </c>
      <c r="F699" s="258" t="str">
        <f>IFERROR(__xludf.DUMMYFUNCTION("""COMPUTED_VALUE"""),"Model S P85")</f>
        <v>Model S P85</v>
      </c>
      <c r="G699" s="258" t="str">
        <f>IFERROR(__xludf.DUMMYFUNCTION("""COMPUTED_VALUE"""),"A few times a year")</f>
        <v>A few times a year</v>
      </c>
      <c r="H699" s="258" t="str">
        <f>IFERROR(__xludf.DUMMYFUNCTION("""COMPUTED_VALUE"""),"Monthly")</f>
        <v>Monthly</v>
      </c>
      <c r="I699" s="258" t="str">
        <f>IFERROR(__xludf.DUMMYFUNCTION("""COMPUTED_VALUE"""),"Never")</f>
        <v>Never</v>
      </c>
      <c r="J699" s="260">
        <f>IFERROR(__xludf.DUMMYFUNCTION("""COMPUTED_VALUE"""),0.8)</f>
        <v>0.8</v>
      </c>
      <c r="K699" s="258" t="str">
        <f>IFERROR(__xludf.DUMMYFUNCTION("""COMPUTED_VALUE"""),"")</f>
        <v/>
      </c>
      <c r="L699" s="258" t="str">
        <f>IFERROR(__xludf.DUMMYFUNCTION("""COMPUTED_VALUE"""),"")</f>
        <v/>
      </c>
      <c r="M699" s="261">
        <f>IFERROR(__xludf.DUMMYFUNCTION("""COMPUTED_VALUE"""),326.0)</f>
        <v>326</v>
      </c>
      <c r="N699" s="262" t="str">
        <f>IFERROR(__xludf.DUMMYFUNCTION("""COMPUTED_VALUE"""),"")</f>
        <v/>
      </c>
      <c r="O699" s="259" t="str">
        <f>IFERROR(__xludf.DUMMYFUNCTION("""COMPUTED_VALUE"""),"")</f>
        <v/>
      </c>
      <c r="P699" s="259">
        <f>IFERROR(__xludf.DUMMYFUNCTION("""COMPUTED_VALUE"""),42678.0)</f>
        <v>42678</v>
      </c>
      <c r="Q699" s="258">
        <f>IFERROR(__xludf.DUMMYFUNCTION("""COMPUTED_VALUE"""),32418.0)</f>
        <v>32418</v>
      </c>
      <c r="R699" s="261">
        <f>IFERROR(__xludf.DUMMYFUNCTION("""COMPUTED_VALUE"""),255.0)</f>
        <v>255</v>
      </c>
      <c r="S699" s="258">
        <v>266.0</v>
      </c>
      <c r="T699" s="263">
        <v>0.9586466165413534</v>
      </c>
      <c r="U699" s="264">
        <v>32418.0</v>
      </c>
      <c r="V699" s="265">
        <v>52172.0</v>
      </c>
      <c r="W699" s="264">
        <v>32418.0</v>
      </c>
      <c r="X699" s="266"/>
      <c r="Y699" s="267">
        <v>-0.01</v>
      </c>
      <c r="Z699" s="267">
        <v>0.9589921519905225</v>
      </c>
      <c r="AA699" s="269"/>
      <c r="AB699" s="270"/>
      <c r="AC699" s="270"/>
      <c r="AD699" s="270"/>
      <c r="AE699" s="270"/>
    </row>
    <row r="700">
      <c r="A700" s="256">
        <f>IFERROR(__xludf.DUMMYFUNCTION("""COMPUTED_VALUE"""),41907.01666666666)</f>
        <v>41907.01667</v>
      </c>
      <c r="B700" s="257" t="str">
        <f>IFERROR(__xludf.DUMMYFUNCTION("""COMPUTED_VALUE"""),"JCK")</f>
        <v>JCK</v>
      </c>
      <c r="C700" s="258" t="str">
        <f>IFERROR(__xludf.DUMMYFUNCTION("""COMPUTED_VALUE"""),"Europe (excluding UK) &amp; Asia Pacific")</f>
        <v>Europe (excluding UK) &amp; Asia Pacific</v>
      </c>
      <c r="D700" s="258" t="str">
        <f>IFERROR(__xludf.DUMMYFUNCTION("""COMPUTED_VALUE"""),"km. My car displays range in kilometres and I will enter all range numbers in kilometres.")</f>
        <v>km. My car displays range in kilometres and I will enter all range numbers in kilometres.</v>
      </c>
      <c r="E700" s="259">
        <f>IFERROR(__xludf.DUMMYFUNCTION("""COMPUTED_VALUE"""),41536.0)</f>
        <v>41536</v>
      </c>
      <c r="F700" s="258" t="str">
        <f>IFERROR(__xludf.DUMMYFUNCTION("""COMPUTED_VALUE"""),"Model S 85")</f>
        <v>Model S 85</v>
      </c>
      <c r="G700" s="258" t="str">
        <f>IFERROR(__xludf.DUMMYFUNCTION("""COMPUTED_VALUE"""),"Twice a month")</f>
        <v>Twice a month</v>
      </c>
      <c r="H700" s="258" t="str">
        <f>IFERROR(__xludf.DUMMYFUNCTION("""COMPUTED_VALUE"""),"Twice a month")</f>
        <v>Twice a month</v>
      </c>
      <c r="I700" s="258" t="str">
        <f>IFERROR(__xludf.DUMMYFUNCTION("""COMPUTED_VALUE"""),"Never")</f>
        <v>Never</v>
      </c>
      <c r="J700" s="260" t="str">
        <f>IFERROR(__xludf.DUMMYFUNCTION("""COMPUTED_VALUE"""),"")</f>
        <v/>
      </c>
      <c r="K700" s="258" t="str">
        <f>IFERROR(__xludf.DUMMYFUNCTION("""COMPUTED_VALUE"""),"")</f>
        <v/>
      </c>
      <c r="L700" s="258" t="str">
        <f>IFERROR(__xludf.DUMMYFUNCTION("""COMPUTED_VALUE"""),"")</f>
        <v/>
      </c>
      <c r="M700" s="261">
        <f>IFERROR(__xludf.DUMMYFUNCTION("""COMPUTED_VALUE"""),204.0)</f>
        <v>204</v>
      </c>
      <c r="N700" s="262" t="str">
        <f>IFERROR(__xludf.DUMMYFUNCTION("""COMPUTED_VALUE"""),"")</f>
        <v/>
      </c>
      <c r="O700" s="259" t="str">
        <f>IFERROR(__xludf.DUMMYFUNCTION("""COMPUTED_VALUE"""),"")</f>
        <v/>
      </c>
      <c r="P700" s="259">
        <f>IFERROR(__xludf.DUMMYFUNCTION("""COMPUTED_VALUE"""),41907.0)</f>
        <v>41907</v>
      </c>
      <c r="Q700" s="258">
        <f>IFERROR(__xludf.DUMMYFUNCTION("""COMPUTED_VALUE"""),39200.0)</f>
        <v>39200</v>
      </c>
      <c r="R700" s="261">
        <f>IFERROR(__xludf.DUMMYFUNCTION("""COMPUTED_VALUE"""),385.0)</f>
        <v>385</v>
      </c>
      <c r="S700" s="258">
        <v>395.0</v>
      </c>
      <c r="T700" s="263">
        <v>0.9746835443037974</v>
      </c>
      <c r="U700" s="264">
        <v>24358.0</v>
      </c>
      <c r="V700" s="265">
        <v>39200.0</v>
      </c>
      <c r="W700" s="264">
        <v>24358.0</v>
      </c>
      <c r="X700" s="266"/>
      <c r="Y700" s="267">
        <v>-0.01</v>
      </c>
      <c r="Z700" s="267">
        <v>0.9636346138583591</v>
      </c>
      <c r="AA700" s="269"/>
      <c r="AB700" s="270"/>
      <c r="AC700" s="270"/>
      <c r="AD700" s="270"/>
      <c r="AE700" s="270"/>
    </row>
    <row r="701">
      <c r="A701" s="256">
        <f>IFERROR(__xludf.DUMMYFUNCTION("""COMPUTED_VALUE"""),42227.15416666667)</f>
        <v>42227.15417</v>
      </c>
      <c r="B701" s="257" t="str">
        <f>IFERROR(__xludf.DUMMYFUNCTION("""COMPUTED_VALUE"""),"JCK")</f>
        <v>JCK</v>
      </c>
      <c r="C701" s="258" t="str">
        <f>IFERROR(__xludf.DUMMYFUNCTION("""COMPUTED_VALUE"""),"Europe (excluding UK) &amp; Asia Pacific")</f>
        <v>Europe (excluding UK) &amp; Asia Pacific</v>
      </c>
      <c r="D701" s="258" t="str">
        <f>IFERROR(__xludf.DUMMYFUNCTION("""COMPUTED_VALUE"""),"km. My car displays range in kilometres and I will enter all range numbers in kilometres.")</f>
        <v>km. My car displays range in kilometres and I will enter all range numbers in kilometres.</v>
      </c>
      <c r="E701" s="259">
        <f>IFERROR(__xludf.DUMMYFUNCTION("""COMPUTED_VALUE"""),41536.0)</f>
        <v>41536</v>
      </c>
      <c r="F701" s="258" t="str">
        <f>IFERROR(__xludf.DUMMYFUNCTION("""COMPUTED_VALUE"""),"Model S 85")</f>
        <v>Model S 85</v>
      </c>
      <c r="G701" s="258" t="str">
        <f>IFERROR(__xludf.DUMMYFUNCTION("""COMPUTED_VALUE"""),"Twice a month")</f>
        <v>Twice a month</v>
      </c>
      <c r="H701" s="258" t="str">
        <f>IFERROR(__xludf.DUMMYFUNCTION("""COMPUTED_VALUE"""),"Monthly")</f>
        <v>Monthly</v>
      </c>
      <c r="I701" s="258" t="str">
        <f>IFERROR(__xludf.DUMMYFUNCTION("""COMPUTED_VALUE"""),"Once or twice a year")</f>
        <v>Once or twice a year</v>
      </c>
      <c r="J701" s="260">
        <f>IFERROR(__xludf.DUMMYFUNCTION("""COMPUTED_VALUE"""),0.9)</f>
        <v>0.9</v>
      </c>
      <c r="K701" s="258">
        <f>IFERROR(__xludf.DUMMYFUNCTION("""COMPUTED_VALUE"""),395.0)</f>
        <v>395</v>
      </c>
      <c r="L701" s="258" t="str">
        <f>IFERROR(__xludf.DUMMYFUNCTION("""COMPUTED_VALUE"""),"")</f>
        <v/>
      </c>
      <c r="M701" s="261">
        <f>IFERROR(__xludf.DUMMYFUNCTION("""COMPUTED_VALUE"""),238.0)</f>
        <v>238</v>
      </c>
      <c r="N701" s="262">
        <f>IFERROR(__xludf.DUMMYFUNCTION("""COMPUTED_VALUE"""),53982.0)</f>
        <v>53982</v>
      </c>
      <c r="O701" s="259" t="str">
        <f>IFERROR(__xludf.DUMMYFUNCTION("""COMPUTED_VALUE"""),"It didn't change")</f>
        <v>It didn't change</v>
      </c>
      <c r="P701" s="259">
        <f>IFERROR(__xludf.DUMMYFUNCTION("""COMPUTED_VALUE"""),42227.0)</f>
        <v>42227</v>
      </c>
      <c r="Q701" s="258">
        <f>IFERROR(__xludf.DUMMYFUNCTION("""COMPUTED_VALUE"""),77500.0)</f>
        <v>77500</v>
      </c>
      <c r="R701" s="261">
        <f>IFERROR(__xludf.DUMMYFUNCTION("""COMPUTED_VALUE"""),382.0)</f>
        <v>382</v>
      </c>
      <c r="S701" s="258">
        <v>395.0</v>
      </c>
      <c r="T701" s="263">
        <v>0.9670886075949368</v>
      </c>
      <c r="U701" s="264">
        <v>48156.0</v>
      </c>
      <c r="V701" s="265">
        <v>77500.0</v>
      </c>
      <c r="W701" s="264">
        <v>48156.0</v>
      </c>
      <c r="X701" s="266"/>
      <c r="Y701" s="267">
        <v>-0.01</v>
      </c>
      <c r="Z701" s="267">
        <v>0.9520205559034549</v>
      </c>
      <c r="AA701" s="269"/>
      <c r="AB701" s="270"/>
      <c r="AC701" s="270"/>
      <c r="AD701" s="270"/>
      <c r="AE701" s="270"/>
    </row>
    <row r="702">
      <c r="A702" s="256">
        <f>IFERROR(__xludf.DUMMYFUNCTION("""COMPUTED_VALUE"""),42735.48125)</f>
        <v>42735.48125</v>
      </c>
      <c r="B702" s="257" t="str">
        <f>IFERROR(__xludf.DUMMYFUNCTION("""COMPUTED_VALUE"""),"JCK")</f>
        <v>JCK</v>
      </c>
      <c r="C702" s="258" t="str">
        <f>IFERROR(__xludf.DUMMYFUNCTION("""COMPUTED_VALUE"""),"Europe (excluding UK) &amp; Asia Pacific")</f>
        <v>Europe (excluding UK) &amp; Asia Pacific</v>
      </c>
      <c r="D702" s="258" t="str">
        <f>IFERROR(__xludf.DUMMYFUNCTION("""COMPUTED_VALUE"""),"km. My car displays range in kilometres and I will enter all range numbers in kilometres.")</f>
        <v>km. My car displays range in kilometres and I will enter all range numbers in kilometres.</v>
      </c>
      <c r="E702" s="259">
        <f>IFERROR(__xludf.DUMMYFUNCTION("""COMPUTED_VALUE"""),41536.0)</f>
        <v>41536</v>
      </c>
      <c r="F702" s="258" t="str">
        <f>IFERROR(__xludf.DUMMYFUNCTION("""COMPUTED_VALUE"""),"Model S 85")</f>
        <v>Model S 85</v>
      </c>
      <c r="G702" s="258" t="str">
        <f>IFERROR(__xludf.DUMMYFUNCTION("""COMPUTED_VALUE"""),"Twice a week")</f>
        <v>Twice a week</v>
      </c>
      <c r="H702" s="258" t="str">
        <f>IFERROR(__xludf.DUMMYFUNCTION("""COMPUTED_VALUE"""),"Monthly")</f>
        <v>Monthly</v>
      </c>
      <c r="I702" s="258" t="str">
        <f>IFERROR(__xludf.DUMMYFUNCTION("""COMPUTED_VALUE"""),"Twice a week")</f>
        <v>Twice a week</v>
      </c>
      <c r="J702" s="260">
        <f>IFERROR(__xludf.DUMMYFUNCTION("""COMPUTED_VALUE"""),0.9)</f>
        <v>0.9</v>
      </c>
      <c r="K702" s="258" t="str">
        <f>IFERROR(__xludf.DUMMYFUNCTION("""COMPUTED_VALUE"""),"")</f>
        <v/>
      </c>
      <c r="L702" s="258" t="str">
        <f>IFERROR(__xludf.DUMMYFUNCTION("""COMPUTED_VALUE"""),"")</f>
        <v/>
      </c>
      <c r="M702" s="261">
        <f>IFERROR(__xludf.DUMMYFUNCTION("""COMPUTED_VALUE"""),241.0)</f>
        <v>241</v>
      </c>
      <c r="N702" s="262" t="str">
        <f>IFERROR(__xludf.DUMMYFUNCTION("""COMPUTED_VALUE"""),"")</f>
        <v/>
      </c>
      <c r="O702" s="259" t="str">
        <f>IFERROR(__xludf.DUMMYFUNCTION("""COMPUTED_VALUE"""),"")</f>
        <v/>
      </c>
      <c r="P702" s="259">
        <f>IFERROR(__xludf.DUMMYFUNCTION("""COMPUTED_VALUE"""),42735.0)</f>
        <v>42735</v>
      </c>
      <c r="Q702" s="258">
        <f>IFERROR(__xludf.DUMMYFUNCTION("""COMPUTED_VALUE"""),135000.0)</f>
        <v>135000</v>
      </c>
      <c r="R702" s="261">
        <f>IFERROR(__xludf.DUMMYFUNCTION("""COMPUTED_VALUE"""),368.0)</f>
        <v>368</v>
      </c>
      <c r="S702" s="258">
        <v>395.0</v>
      </c>
      <c r="T702" s="263">
        <v>0.9316455696202531</v>
      </c>
      <c r="U702" s="264">
        <v>83885.0</v>
      </c>
      <c r="V702" s="265">
        <v>135000.0</v>
      </c>
      <c r="W702" s="264">
        <v>83885.0</v>
      </c>
      <c r="X702" s="266"/>
      <c r="Y702" s="267">
        <v>-0.01</v>
      </c>
      <c r="Z702" s="267">
        <v>0.9384340276719876</v>
      </c>
      <c r="AA702" s="269"/>
      <c r="AB702" s="270"/>
      <c r="AC702" s="270"/>
      <c r="AD702" s="270"/>
      <c r="AE702" s="270"/>
    </row>
    <row r="703">
      <c r="A703" s="256">
        <f>IFERROR(__xludf.DUMMYFUNCTION("""COMPUTED_VALUE"""),42968.58194444445)</f>
        <v>42968.58194</v>
      </c>
      <c r="B703" s="257" t="str">
        <f>IFERROR(__xludf.DUMMYFUNCTION("""COMPUTED_VALUE"""),"JCK")</f>
        <v>JCK</v>
      </c>
      <c r="C703" s="258" t="str">
        <f>IFERROR(__xludf.DUMMYFUNCTION("""COMPUTED_VALUE"""),"Europe (excluding UK) &amp; Asia Pacific")</f>
        <v>Europe (excluding UK) &amp; Asia Pacific</v>
      </c>
      <c r="D703" s="258" t="str">
        <f>IFERROR(__xludf.DUMMYFUNCTION("""COMPUTED_VALUE"""),"km. My car displays range in kilometres and I will enter all range numbers in kilometres.")</f>
        <v>km. My car displays range in kilometres and I will enter all range numbers in kilometres.</v>
      </c>
      <c r="E703" s="259">
        <f>IFERROR(__xludf.DUMMYFUNCTION("""COMPUTED_VALUE"""),41536.0)</f>
        <v>41536</v>
      </c>
      <c r="F703" s="258" t="str">
        <f>IFERROR(__xludf.DUMMYFUNCTION("""COMPUTED_VALUE"""),"Model S 85")</f>
        <v>Model S 85</v>
      </c>
      <c r="G703" s="258" t="str">
        <f>IFERROR(__xludf.DUMMYFUNCTION("""COMPUTED_VALUE"""),"Twice a month")</f>
        <v>Twice a month</v>
      </c>
      <c r="H703" s="258" t="str">
        <f>IFERROR(__xludf.DUMMYFUNCTION("""COMPUTED_VALUE"""),"A few times a year")</f>
        <v>A few times a year</v>
      </c>
      <c r="I703" s="258" t="str">
        <f>IFERROR(__xludf.DUMMYFUNCTION("""COMPUTED_VALUE"""),"A few times a year")</f>
        <v>A few times a year</v>
      </c>
      <c r="J703" s="260">
        <f>IFERROR(__xludf.DUMMYFUNCTION("""COMPUTED_VALUE"""),0.9)</f>
        <v>0.9</v>
      </c>
      <c r="K703" s="258">
        <f>IFERROR(__xludf.DUMMYFUNCTION("""COMPUTED_VALUE"""),392.0)</f>
        <v>392</v>
      </c>
      <c r="L703" s="258" t="str">
        <f>IFERROR(__xludf.DUMMYFUNCTION("""COMPUTED_VALUE"""),"")</f>
        <v/>
      </c>
      <c r="M703" s="261">
        <f>IFERROR(__xludf.DUMMYFUNCTION("""COMPUTED_VALUE"""),201.0)</f>
        <v>201</v>
      </c>
      <c r="N703" s="262">
        <f>IFERROR(__xludf.DUMMYFUNCTION("""COMPUTED_VALUE"""),53982.0)</f>
        <v>53982</v>
      </c>
      <c r="O703" s="259" t="str">
        <f>IFERROR(__xludf.DUMMYFUNCTION("""COMPUTED_VALUE"""),"It didn't change")</f>
        <v>It didn't change</v>
      </c>
      <c r="P703" s="259">
        <f>IFERROR(__xludf.DUMMYFUNCTION("""COMPUTED_VALUE"""),42968.0)</f>
        <v>42968</v>
      </c>
      <c r="Q703" s="258">
        <f>IFERROR(__xludf.DUMMYFUNCTION("""COMPUTED_VALUE"""),158400.0)</f>
        <v>158400</v>
      </c>
      <c r="R703" s="261">
        <f>IFERROR(__xludf.DUMMYFUNCTION("""COMPUTED_VALUE"""),368.0)</f>
        <v>368</v>
      </c>
      <c r="S703" s="258">
        <v>395.0</v>
      </c>
      <c r="T703" s="263">
        <v>0.9316455696202531</v>
      </c>
      <c r="U703" s="264">
        <v>98425.0</v>
      </c>
      <c r="V703" s="265">
        <v>158400.0</v>
      </c>
      <c r="W703" s="264">
        <v>98425.0</v>
      </c>
      <c r="X703" s="266"/>
      <c r="Y703" s="267">
        <v>-0.01</v>
      </c>
      <c r="Z703" s="267">
        <v>0.9330280567519742</v>
      </c>
      <c r="AA703" s="269"/>
      <c r="AB703" s="270"/>
      <c r="AC703" s="270"/>
      <c r="AD703" s="270"/>
      <c r="AE703" s="270"/>
    </row>
    <row r="704">
      <c r="A704" s="256">
        <f>IFERROR(__xludf.DUMMYFUNCTION("""COMPUTED_VALUE"""),43013.61666666667)</f>
        <v>43013.61667</v>
      </c>
      <c r="B704" s="257" t="str">
        <f>IFERROR(__xludf.DUMMYFUNCTION("""COMPUTED_VALUE"""),"JCK")</f>
        <v>JCK</v>
      </c>
      <c r="C704" s="258" t="str">
        <f>IFERROR(__xludf.DUMMYFUNCTION("""COMPUTED_VALUE"""),"Europe (excluding UK) &amp; Asia Pacific")</f>
        <v>Europe (excluding UK) &amp; Asia Pacific</v>
      </c>
      <c r="D704" s="258" t="str">
        <f>IFERROR(__xludf.DUMMYFUNCTION("""COMPUTED_VALUE"""),"km. My car displays range in kilometres and I will enter all range numbers in kilometres.")</f>
        <v>km. My car displays range in kilometres and I will enter all range numbers in kilometres.</v>
      </c>
      <c r="E704" s="259">
        <f>IFERROR(__xludf.DUMMYFUNCTION("""COMPUTED_VALUE"""),42920.0)</f>
        <v>42920</v>
      </c>
      <c r="F704" s="258" t="str">
        <f>IFERROR(__xludf.DUMMYFUNCTION("""COMPUTED_VALUE"""),"Model X 100D")</f>
        <v>Model X 100D</v>
      </c>
      <c r="G704" s="258" t="str">
        <f>IFERROR(__xludf.DUMMYFUNCTION("""COMPUTED_VALUE"""),"Daily")</f>
        <v>Daily</v>
      </c>
      <c r="H704" s="258" t="str">
        <f>IFERROR(__xludf.DUMMYFUNCTION("""COMPUTED_VALUE"""),"Once or twice a year")</f>
        <v>Once or twice a year</v>
      </c>
      <c r="I704" s="258" t="str">
        <f>IFERROR(__xludf.DUMMYFUNCTION("""COMPUTED_VALUE"""),"Never")</f>
        <v>Never</v>
      </c>
      <c r="J704" s="260">
        <f>IFERROR(__xludf.DUMMYFUNCTION("""COMPUTED_VALUE"""),0.9)</f>
        <v>0.9</v>
      </c>
      <c r="K704" s="258">
        <f>IFERROR(__xludf.DUMMYFUNCTION("""COMPUTED_VALUE"""),453.0)</f>
        <v>453</v>
      </c>
      <c r="L704" s="258" t="str">
        <f>IFERROR(__xludf.DUMMYFUNCTION("""COMPUTED_VALUE"""),"")</f>
        <v/>
      </c>
      <c r="M704" s="261">
        <f>IFERROR(__xludf.DUMMYFUNCTION("""COMPUTED_VALUE"""),247.0)</f>
        <v>247</v>
      </c>
      <c r="N704" s="262" t="str">
        <f>IFERROR(__xludf.DUMMYFUNCTION("""COMPUTED_VALUE"""),"")</f>
        <v/>
      </c>
      <c r="O704" s="259" t="str">
        <f>IFERROR(__xludf.DUMMYFUNCTION("""COMPUTED_VALUE"""),"")</f>
        <v/>
      </c>
      <c r="P704" s="259">
        <f>IFERROR(__xludf.DUMMYFUNCTION("""COMPUTED_VALUE"""),43013.0)</f>
        <v>43013</v>
      </c>
      <c r="Q704" s="258">
        <f>IFERROR(__xludf.DUMMYFUNCTION("""COMPUTED_VALUE"""),2000.0)</f>
        <v>2000</v>
      </c>
      <c r="R704" s="261">
        <f>IFERROR(__xludf.DUMMYFUNCTION("""COMPUTED_VALUE"""),453.0)</f>
        <v>453</v>
      </c>
      <c r="S704" s="258">
        <v>448.0</v>
      </c>
      <c r="T704" s="263">
        <v>1.0111607142857142</v>
      </c>
      <c r="U704" s="264">
        <v>1243.0</v>
      </c>
      <c r="V704" s="265">
        <v>2000.0</v>
      </c>
      <c r="W704" s="264">
        <v>1243.0</v>
      </c>
      <c r="X704" s="266"/>
      <c r="Y704" s="267">
        <v>-0.01</v>
      </c>
      <c r="Z704" s="267">
        <v>0.9961971530466138</v>
      </c>
      <c r="AA704" s="269"/>
      <c r="AB704" s="270"/>
      <c r="AC704" s="270"/>
      <c r="AD704" s="270"/>
      <c r="AE704" s="270"/>
    </row>
    <row r="705">
      <c r="A705" s="256">
        <f>IFERROR(__xludf.DUMMYFUNCTION("""COMPUTED_VALUE"""),42315.90416666667)</f>
        <v>42315.90417</v>
      </c>
      <c r="B705" s="257" t="str">
        <f>IFERROR(__xludf.DUMMYFUNCTION("""COMPUTED_VALUE"""),"jdw")</f>
        <v>jdw</v>
      </c>
      <c r="C705" s="258" t="str">
        <f>IFERROR(__xludf.DUMMYFUNCTION("""COMPUTED_VALUE"""),"Canada")</f>
        <v>Canada</v>
      </c>
      <c r="D705" s="258" t="str">
        <f>IFERROR(__xludf.DUMMYFUNCTION("""COMPUTED_VALUE"""),"km. My car displays range in kilometres and I will enter all range numbers in kilometres.")</f>
        <v>km. My car displays range in kilometres and I will enter all range numbers in kilometres.</v>
      </c>
      <c r="E705" s="259">
        <f>IFERROR(__xludf.DUMMYFUNCTION("""COMPUTED_VALUE"""),42173.0)</f>
        <v>42173</v>
      </c>
      <c r="F705" s="258" t="str">
        <f>IFERROR(__xludf.DUMMYFUNCTION("""COMPUTED_VALUE"""),"Model S 85D")</f>
        <v>Model S 85D</v>
      </c>
      <c r="G705" s="258" t="str">
        <f>IFERROR(__xludf.DUMMYFUNCTION("""COMPUTED_VALUE"""),"Monthly")</f>
        <v>Monthly</v>
      </c>
      <c r="H705" s="258" t="str">
        <f>IFERROR(__xludf.DUMMYFUNCTION("""COMPUTED_VALUE"""),"A few times a year")</f>
        <v>A few times a year</v>
      </c>
      <c r="I705" s="258" t="str">
        <f>IFERROR(__xludf.DUMMYFUNCTION("""COMPUTED_VALUE"""),"Never")</f>
        <v>Never</v>
      </c>
      <c r="J705" s="260">
        <f>IFERROR(__xludf.DUMMYFUNCTION("""COMPUTED_VALUE"""),0.9)</f>
        <v>0.9</v>
      </c>
      <c r="K705" s="258">
        <f>IFERROR(__xludf.DUMMYFUNCTION("""COMPUTED_VALUE"""),435.0)</f>
        <v>435</v>
      </c>
      <c r="L705" s="258" t="str">
        <f>IFERROR(__xludf.DUMMYFUNCTION("""COMPUTED_VALUE"""),"")</f>
        <v/>
      </c>
      <c r="M705" s="261">
        <f>IFERROR(__xludf.DUMMYFUNCTION("""COMPUTED_VALUE"""),209.0)</f>
        <v>209</v>
      </c>
      <c r="N705" s="262" t="str">
        <f>IFERROR(__xludf.DUMMYFUNCTION("""COMPUTED_VALUE"""),"")</f>
        <v/>
      </c>
      <c r="O705" s="259" t="str">
        <f>IFERROR(__xludf.DUMMYFUNCTION("""COMPUTED_VALUE"""),"")</f>
        <v/>
      </c>
      <c r="P705" s="259">
        <f>IFERROR(__xludf.DUMMYFUNCTION("""COMPUTED_VALUE"""),42315.0)</f>
        <v>42315</v>
      </c>
      <c r="Q705" s="258">
        <f>IFERROR(__xludf.DUMMYFUNCTION("""COMPUTED_VALUE"""),6900.0)</f>
        <v>6900</v>
      </c>
      <c r="R705" s="261">
        <f>IFERROR(__xludf.DUMMYFUNCTION("""COMPUTED_VALUE"""),428.0)</f>
        <v>428</v>
      </c>
      <c r="S705" s="258">
        <v>435.0</v>
      </c>
      <c r="T705" s="263">
        <v>0.9839080459770115</v>
      </c>
      <c r="U705" s="264">
        <v>4287.0</v>
      </c>
      <c r="V705" s="265">
        <v>6900.0</v>
      </c>
      <c r="W705" s="264">
        <v>4287.0</v>
      </c>
      <c r="X705" s="266"/>
      <c r="Y705" s="267">
        <v>-0.01</v>
      </c>
      <c r="Z705" s="267">
        <v>0.9883491989262244</v>
      </c>
      <c r="AA705" s="269"/>
      <c r="AB705" s="270"/>
      <c r="AC705" s="270"/>
      <c r="AD705" s="270"/>
      <c r="AE705" s="270"/>
    </row>
    <row r="706">
      <c r="A706" s="256">
        <f>IFERROR(__xludf.DUMMYFUNCTION("""COMPUTED_VALUE"""),42428.90902777778)</f>
        <v>42428.90903</v>
      </c>
      <c r="B706" s="257" t="str">
        <f>IFERROR(__xludf.DUMMYFUNCTION("""COMPUTED_VALUE"""),"jdw")</f>
        <v>jdw</v>
      </c>
      <c r="C706" s="258" t="str">
        <f>IFERROR(__xludf.DUMMYFUNCTION("""COMPUTED_VALUE"""),"Canada")</f>
        <v>Canada</v>
      </c>
      <c r="D706" s="258" t="str">
        <f>IFERROR(__xludf.DUMMYFUNCTION("""COMPUTED_VALUE"""),"km. My car displays range in kilometres and I will enter all range numbers in kilometres.")</f>
        <v>km. My car displays range in kilometres and I will enter all range numbers in kilometres.</v>
      </c>
      <c r="E706" s="259">
        <f>IFERROR(__xludf.DUMMYFUNCTION("""COMPUTED_VALUE"""),42173.0)</f>
        <v>42173</v>
      </c>
      <c r="F706" s="258" t="str">
        <f>IFERROR(__xludf.DUMMYFUNCTION("""COMPUTED_VALUE"""),"Model S 85D")</f>
        <v>Model S 85D</v>
      </c>
      <c r="G706" s="258" t="str">
        <f>IFERROR(__xludf.DUMMYFUNCTION("""COMPUTED_VALUE"""),"Monthly")</f>
        <v>Monthly</v>
      </c>
      <c r="H706" s="258" t="str">
        <f>IFERROR(__xludf.DUMMYFUNCTION("""COMPUTED_VALUE"""),"A few times a year")</f>
        <v>A few times a year</v>
      </c>
      <c r="I706" s="258" t="str">
        <f>IFERROR(__xludf.DUMMYFUNCTION("""COMPUTED_VALUE"""),"Never")</f>
        <v>Never</v>
      </c>
      <c r="J706" s="260">
        <f>IFERROR(__xludf.DUMMYFUNCTION("""COMPUTED_VALUE"""),0.9)</f>
        <v>0.9</v>
      </c>
      <c r="K706" s="258">
        <f>IFERROR(__xludf.DUMMYFUNCTION("""COMPUTED_VALUE"""),435.0)</f>
        <v>435</v>
      </c>
      <c r="L706" s="258" t="str">
        <f>IFERROR(__xludf.DUMMYFUNCTION("""COMPUTED_VALUE"""),"")</f>
        <v/>
      </c>
      <c r="M706" s="261">
        <f>IFERROR(__xludf.DUMMYFUNCTION("""COMPUTED_VALUE"""),209.0)</f>
        <v>209</v>
      </c>
      <c r="N706" s="262" t="str">
        <f>IFERROR(__xludf.DUMMYFUNCTION("""COMPUTED_VALUE"""),"")</f>
        <v/>
      </c>
      <c r="O706" s="259" t="str">
        <f>IFERROR(__xludf.DUMMYFUNCTION("""COMPUTED_VALUE"""),"")</f>
        <v/>
      </c>
      <c r="P706" s="259">
        <f>IFERROR(__xludf.DUMMYFUNCTION("""COMPUTED_VALUE"""),42428.0)</f>
        <v>42428</v>
      </c>
      <c r="Q706" s="258">
        <f>IFERROR(__xludf.DUMMYFUNCTION("""COMPUTED_VALUE"""),10680.0)</f>
        <v>10680</v>
      </c>
      <c r="R706" s="261">
        <f>IFERROR(__xludf.DUMMYFUNCTION("""COMPUTED_VALUE"""),428.0)</f>
        <v>428</v>
      </c>
      <c r="S706" s="258">
        <v>435.0</v>
      </c>
      <c r="T706" s="263">
        <v>0.9839080459770115</v>
      </c>
      <c r="U706" s="264">
        <v>6636.0</v>
      </c>
      <c r="V706" s="265">
        <v>10680.0</v>
      </c>
      <c r="W706" s="264">
        <v>6636.0</v>
      </c>
      <c r="X706" s="266"/>
      <c r="Y706" s="267">
        <v>-0.01</v>
      </c>
      <c r="Z706" s="267">
        <v>0.9834562600766286</v>
      </c>
      <c r="AA706" s="269"/>
      <c r="AB706" s="270"/>
      <c r="AC706" s="270"/>
      <c r="AD706" s="270"/>
      <c r="AE706" s="270"/>
    </row>
    <row r="707">
      <c r="A707" s="256">
        <f>IFERROR(__xludf.DUMMYFUNCTION("""COMPUTED_VALUE"""),42659.9125)</f>
        <v>42659.9125</v>
      </c>
      <c r="B707" s="257" t="str">
        <f>IFERROR(__xludf.DUMMYFUNCTION("""COMPUTED_VALUE"""),"jdw")</f>
        <v>jdw</v>
      </c>
      <c r="C707" s="258" t="str">
        <f>IFERROR(__xludf.DUMMYFUNCTION("""COMPUTED_VALUE"""),"Canada")</f>
        <v>Canada</v>
      </c>
      <c r="D707" s="258" t="str">
        <f>IFERROR(__xludf.DUMMYFUNCTION("""COMPUTED_VALUE"""),"km. My car displays range in kilometres and I will enter all range numbers in kilometres.")</f>
        <v>km. My car displays range in kilometres and I will enter all range numbers in kilometres.</v>
      </c>
      <c r="E707" s="259">
        <f>IFERROR(__xludf.DUMMYFUNCTION("""COMPUTED_VALUE"""),42173.0)</f>
        <v>42173</v>
      </c>
      <c r="F707" s="258" t="str">
        <f>IFERROR(__xludf.DUMMYFUNCTION("""COMPUTED_VALUE"""),"Model S 85D")</f>
        <v>Model S 85D</v>
      </c>
      <c r="G707" s="258" t="str">
        <f>IFERROR(__xludf.DUMMYFUNCTION("""COMPUTED_VALUE"""),"Monthly")</f>
        <v>Monthly</v>
      </c>
      <c r="H707" s="258" t="str">
        <f>IFERROR(__xludf.DUMMYFUNCTION("""COMPUTED_VALUE"""),"Monthly")</f>
        <v>Monthly</v>
      </c>
      <c r="I707" s="258" t="str">
        <f>IFERROR(__xludf.DUMMYFUNCTION("""COMPUTED_VALUE"""),"Never")</f>
        <v>Never</v>
      </c>
      <c r="J707" s="260">
        <f>IFERROR(__xludf.DUMMYFUNCTION("""COMPUTED_VALUE"""),0.9)</f>
        <v>0.9</v>
      </c>
      <c r="K707" s="258">
        <f>IFERROR(__xludf.DUMMYFUNCTION("""COMPUTED_VALUE"""),435.0)</f>
        <v>435</v>
      </c>
      <c r="L707" s="258" t="str">
        <f>IFERROR(__xludf.DUMMYFUNCTION("""COMPUTED_VALUE"""),"")</f>
        <v/>
      </c>
      <c r="M707" s="261">
        <f>IFERROR(__xludf.DUMMYFUNCTION("""COMPUTED_VALUE"""),212.0)</f>
        <v>212</v>
      </c>
      <c r="N707" s="262" t="str">
        <f>IFERROR(__xludf.DUMMYFUNCTION("""COMPUTED_VALUE"""),"")</f>
        <v/>
      </c>
      <c r="O707" s="259" t="str">
        <f>IFERROR(__xludf.DUMMYFUNCTION("""COMPUTED_VALUE"""),"")</f>
        <v/>
      </c>
      <c r="P707" s="259">
        <f>IFERROR(__xludf.DUMMYFUNCTION("""COMPUTED_VALUE"""),42659.0)</f>
        <v>42659</v>
      </c>
      <c r="Q707" s="258">
        <f>IFERROR(__xludf.DUMMYFUNCTION("""COMPUTED_VALUE"""),19550.0)</f>
        <v>19550</v>
      </c>
      <c r="R707" s="261">
        <f>IFERROR(__xludf.DUMMYFUNCTION("""COMPUTED_VALUE"""),432.0)</f>
        <v>432</v>
      </c>
      <c r="S707" s="258">
        <v>435.0</v>
      </c>
      <c r="T707" s="263">
        <v>0.993103448275862</v>
      </c>
      <c r="U707" s="264">
        <v>12148.0</v>
      </c>
      <c r="V707" s="265">
        <v>19550.0</v>
      </c>
      <c r="W707" s="264">
        <v>12148.0</v>
      </c>
      <c r="X707" s="266"/>
      <c r="Y707" s="267">
        <v>-0.01</v>
      </c>
      <c r="Z707" s="267">
        <v>0.9748186835600424</v>
      </c>
      <c r="AA707" s="269"/>
      <c r="AB707" s="270"/>
      <c r="AC707" s="270"/>
      <c r="AD707" s="270"/>
      <c r="AE707" s="270"/>
    </row>
    <row r="708">
      <c r="A708" s="256">
        <f>IFERROR(__xludf.DUMMYFUNCTION("""COMPUTED_VALUE"""),42733.915972222225)</f>
        <v>42733.91597</v>
      </c>
      <c r="B708" s="257" t="str">
        <f>IFERROR(__xludf.DUMMYFUNCTION("""COMPUTED_VALUE"""),"jdw")</f>
        <v>jdw</v>
      </c>
      <c r="C708" s="258" t="str">
        <f>IFERROR(__xludf.DUMMYFUNCTION("""COMPUTED_VALUE"""),"Canada")</f>
        <v>Canada</v>
      </c>
      <c r="D708" s="258" t="str">
        <f>IFERROR(__xludf.DUMMYFUNCTION("""COMPUTED_VALUE"""),"km. My car displays range in kilometres and I will enter all range numbers in kilometres.")</f>
        <v>km. My car displays range in kilometres and I will enter all range numbers in kilometres.</v>
      </c>
      <c r="E708" s="259">
        <f>IFERROR(__xludf.DUMMYFUNCTION("""COMPUTED_VALUE"""),42173.0)</f>
        <v>42173</v>
      </c>
      <c r="F708" s="258" t="str">
        <f>IFERROR(__xludf.DUMMYFUNCTION("""COMPUTED_VALUE"""),"Model S 85D")</f>
        <v>Model S 85D</v>
      </c>
      <c r="G708" s="258" t="str">
        <f>IFERROR(__xludf.DUMMYFUNCTION("""COMPUTED_VALUE"""),"A few times a year")</f>
        <v>A few times a year</v>
      </c>
      <c r="H708" s="258" t="str">
        <f>IFERROR(__xludf.DUMMYFUNCTION("""COMPUTED_VALUE"""),"A few times a year")</f>
        <v>A few times a year</v>
      </c>
      <c r="I708" s="258" t="str">
        <f>IFERROR(__xludf.DUMMYFUNCTION("""COMPUTED_VALUE"""),"Never")</f>
        <v>Never</v>
      </c>
      <c r="J708" s="260">
        <f>IFERROR(__xludf.DUMMYFUNCTION("""COMPUTED_VALUE"""),0.9)</f>
        <v>0.9</v>
      </c>
      <c r="K708" s="258">
        <f>IFERROR(__xludf.DUMMYFUNCTION("""COMPUTED_VALUE"""),435.0)</f>
        <v>435</v>
      </c>
      <c r="L708" s="258" t="str">
        <f>IFERROR(__xludf.DUMMYFUNCTION("""COMPUTED_VALUE"""),"")</f>
        <v/>
      </c>
      <c r="M708" s="261">
        <f>IFERROR(__xludf.DUMMYFUNCTION("""COMPUTED_VALUE"""),218.0)</f>
        <v>218</v>
      </c>
      <c r="N708" s="262" t="str">
        <f>IFERROR(__xludf.DUMMYFUNCTION("""COMPUTED_VALUE"""),"")</f>
        <v/>
      </c>
      <c r="O708" s="259" t="str">
        <f>IFERROR(__xludf.DUMMYFUNCTION("""COMPUTED_VALUE"""),"")</f>
        <v/>
      </c>
      <c r="P708" s="259">
        <f>IFERROR(__xludf.DUMMYFUNCTION("""COMPUTED_VALUE"""),42733.0)</f>
        <v>42733</v>
      </c>
      <c r="Q708" s="258">
        <f>IFERROR(__xludf.DUMMYFUNCTION("""COMPUTED_VALUE"""),22611.0)</f>
        <v>22611</v>
      </c>
      <c r="R708" s="261">
        <f>IFERROR(__xludf.DUMMYFUNCTION("""COMPUTED_VALUE"""),435.0)</f>
        <v>435</v>
      </c>
      <c r="S708" s="258">
        <v>435.0</v>
      </c>
      <c r="T708" s="263">
        <v>1.0</v>
      </c>
      <c r="U708" s="264">
        <v>14050.0</v>
      </c>
      <c r="V708" s="265">
        <v>22611.0</v>
      </c>
      <c r="W708" s="264">
        <v>14050.0</v>
      </c>
      <c r="X708" s="266"/>
      <c r="Y708" s="267">
        <v>-0.01</v>
      </c>
      <c r="Z708" s="267">
        <v>0.9725201569948199</v>
      </c>
      <c r="AA708" s="269"/>
      <c r="AB708" s="270"/>
      <c r="AC708" s="270"/>
      <c r="AD708" s="270"/>
      <c r="AE708" s="270"/>
    </row>
    <row r="709">
      <c r="A709" s="256">
        <f>IFERROR(__xludf.DUMMYFUNCTION("""COMPUTED_VALUE"""),42862.92083333334)</f>
        <v>42862.92083</v>
      </c>
      <c r="B709" s="257" t="str">
        <f>IFERROR(__xludf.DUMMYFUNCTION("""COMPUTED_VALUE"""),"jdw")</f>
        <v>jdw</v>
      </c>
      <c r="C709" s="258" t="str">
        <f>IFERROR(__xludf.DUMMYFUNCTION("""COMPUTED_VALUE"""),"Canada")</f>
        <v>Canada</v>
      </c>
      <c r="D709" s="258" t="str">
        <f>IFERROR(__xludf.DUMMYFUNCTION("""COMPUTED_VALUE"""),"km. My car displays range in kilometres and I will enter all range numbers in kilometres.")</f>
        <v>km. My car displays range in kilometres and I will enter all range numbers in kilometres.</v>
      </c>
      <c r="E709" s="259">
        <f>IFERROR(__xludf.DUMMYFUNCTION("""COMPUTED_VALUE"""),42173.0)</f>
        <v>42173</v>
      </c>
      <c r="F709" s="258" t="str">
        <f>IFERROR(__xludf.DUMMYFUNCTION("""COMPUTED_VALUE"""),"Model S 85D")</f>
        <v>Model S 85D</v>
      </c>
      <c r="G709" s="258" t="str">
        <f>IFERROR(__xludf.DUMMYFUNCTION("""COMPUTED_VALUE"""),"A few times a year")</f>
        <v>A few times a year</v>
      </c>
      <c r="H709" s="258" t="str">
        <f>IFERROR(__xludf.DUMMYFUNCTION("""COMPUTED_VALUE"""),"A few times a year")</f>
        <v>A few times a year</v>
      </c>
      <c r="I709" s="258" t="str">
        <f>IFERROR(__xludf.DUMMYFUNCTION("""COMPUTED_VALUE"""),"Never")</f>
        <v>Never</v>
      </c>
      <c r="J709" s="260">
        <f>IFERROR(__xludf.DUMMYFUNCTION("""COMPUTED_VALUE"""),0.9)</f>
        <v>0.9</v>
      </c>
      <c r="K709" s="258">
        <f>IFERROR(__xludf.DUMMYFUNCTION("""COMPUTED_VALUE"""),435.0)</f>
        <v>435</v>
      </c>
      <c r="L709" s="258" t="str">
        <f>IFERROR(__xludf.DUMMYFUNCTION("""COMPUTED_VALUE"""),"")</f>
        <v/>
      </c>
      <c r="M709" s="261">
        <f>IFERROR(__xludf.DUMMYFUNCTION("""COMPUTED_VALUE"""),209.0)</f>
        <v>209</v>
      </c>
      <c r="N709" s="262" t="str">
        <f>IFERROR(__xludf.DUMMYFUNCTION("""COMPUTED_VALUE"""),"")</f>
        <v/>
      </c>
      <c r="O709" s="259" t="str">
        <f>IFERROR(__xludf.DUMMYFUNCTION("""COMPUTED_VALUE"""),"")</f>
        <v/>
      </c>
      <c r="P709" s="259">
        <f>IFERROR(__xludf.DUMMYFUNCTION("""COMPUTED_VALUE"""),42862.0)</f>
        <v>42862</v>
      </c>
      <c r="Q709" s="258">
        <f>IFERROR(__xludf.DUMMYFUNCTION("""COMPUTED_VALUE"""),27015.0)</f>
        <v>27015</v>
      </c>
      <c r="R709" s="261">
        <f>IFERROR(__xludf.DUMMYFUNCTION("""COMPUTED_VALUE"""),433.14)</f>
        <v>433.14</v>
      </c>
      <c r="S709" s="258">
        <v>435.0</v>
      </c>
      <c r="T709" s="263">
        <v>0.9957241379310344</v>
      </c>
      <c r="U709" s="264">
        <v>16786.0</v>
      </c>
      <c r="V709" s="265">
        <v>27015.0</v>
      </c>
      <c r="W709" s="264">
        <v>16786.0</v>
      </c>
      <c r="X709" s="266"/>
      <c r="Y709" s="267">
        <v>-0.01</v>
      </c>
      <c r="Z709" s="267">
        <v>0.9696575184926173</v>
      </c>
      <c r="AA709" s="269"/>
      <c r="AB709" s="270"/>
      <c r="AC709" s="270"/>
      <c r="AD709" s="270"/>
      <c r="AE709" s="270"/>
    </row>
    <row r="710">
      <c r="A710" s="256">
        <f>IFERROR(__xludf.DUMMYFUNCTION("""COMPUTED_VALUE"""),42952.92291666666)</f>
        <v>42952.92292</v>
      </c>
      <c r="B710" s="257" t="str">
        <f>IFERROR(__xludf.DUMMYFUNCTION("""COMPUTED_VALUE"""),"jdw")</f>
        <v>jdw</v>
      </c>
      <c r="C710" s="258" t="str">
        <f>IFERROR(__xludf.DUMMYFUNCTION("""COMPUTED_VALUE"""),"Canada")</f>
        <v>Canada</v>
      </c>
      <c r="D710" s="258" t="str">
        <f>IFERROR(__xludf.DUMMYFUNCTION("""COMPUTED_VALUE"""),"km. My car displays range in kilometres and I will enter all range numbers in kilometres.")</f>
        <v>km. My car displays range in kilometres and I will enter all range numbers in kilometres.</v>
      </c>
      <c r="E710" s="259">
        <f>IFERROR(__xludf.DUMMYFUNCTION("""COMPUTED_VALUE"""),42173.0)</f>
        <v>42173</v>
      </c>
      <c r="F710" s="258" t="str">
        <f>IFERROR(__xludf.DUMMYFUNCTION("""COMPUTED_VALUE"""),"Model S 85D")</f>
        <v>Model S 85D</v>
      </c>
      <c r="G710" s="258" t="str">
        <f>IFERROR(__xludf.DUMMYFUNCTION("""COMPUTED_VALUE"""),"A few times a year")</f>
        <v>A few times a year</v>
      </c>
      <c r="H710" s="258" t="str">
        <f>IFERROR(__xludf.DUMMYFUNCTION("""COMPUTED_VALUE"""),"A few times a year")</f>
        <v>A few times a year</v>
      </c>
      <c r="I710" s="258" t="str">
        <f>IFERROR(__xludf.DUMMYFUNCTION("""COMPUTED_VALUE"""),"Never")</f>
        <v>Never</v>
      </c>
      <c r="J710" s="260">
        <f>IFERROR(__xludf.DUMMYFUNCTION("""COMPUTED_VALUE"""),0.9)</f>
        <v>0.9</v>
      </c>
      <c r="K710" s="258">
        <f>IFERROR(__xludf.DUMMYFUNCTION("""COMPUTED_VALUE"""),435.0)</f>
        <v>435</v>
      </c>
      <c r="L710" s="258" t="str">
        <f>IFERROR(__xludf.DUMMYFUNCTION("""COMPUTED_VALUE"""),"")</f>
        <v/>
      </c>
      <c r="M710" s="261">
        <f>IFERROR(__xludf.DUMMYFUNCTION("""COMPUTED_VALUE"""),206.0)</f>
        <v>206</v>
      </c>
      <c r="N710" s="262" t="str">
        <f>IFERROR(__xludf.DUMMYFUNCTION("""COMPUTED_VALUE"""),"")</f>
        <v/>
      </c>
      <c r="O710" s="259" t="str">
        <f>IFERROR(__xludf.DUMMYFUNCTION("""COMPUTED_VALUE"""),"")</f>
        <v/>
      </c>
      <c r="P710" s="259">
        <f>IFERROR(__xludf.DUMMYFUNCTION("""COMPUTED_VALUE"""),42952.0)</f>
        <v>42952</v>
      </c>
      <c r="Q710" s="258">
        <f>IFERROR(__xludf.DUMMYFUNCTION("""COMPUTED_VALUE"""),31589.0)</f>
        <v>31589</v>
      </c>
      <c r="R710" s="261">
        <f>IFERROR(__xludf.DUMMYFUNCTION("""COMPUTED_VALUE"""),435.0)</f>
        <v>435</v>
      </c>
      <c r="S710" s="258">
        <v>435.0</v>
      </c>
      <c r="T710" s="263">
        <v>1.0</v>
      </c>
      <c r="U710" s="264">
        <v>19628.0</v>
      </c>
      <c r="V710" s="265">
        <v>31589.0</v>
      </c>
      <c r="W710" s="264">
        <v>19628.0</v>
      </c>
      <c r="X710" s="266"/>
      <c r="Y710" s="267">
        <v>-0.01</v>
      </c>
      <c r="Z710" s="267">
        <v>0.9671246821145144</v>
      </c>
      <c r="AA710" s="269"/>
      <c r="AB710" s="270"/>
      <c r="AC710" s="270"/>
      <c r="AD710" s="270"/>
      <c r="AE710" s="270"/>
    </row>
    <row r="711">
      <c r="A711" s="256">
        <f>IFERROR(__xludf.DUMMYFUNCTION("""COMPUTED_VALUE"""),43758.662567997686)</f>
        <v>43758.66257</v>
      </c>
      <c r="B711" s="257" t="str">
        <f>IFERROR(__xludf.DUMMYFUNCTION("""COMPUTED_VALUE"""),"jdw")</f>
        <v>jdw</v>
      </c>
      <c r="C711" s="258" t="str">
        <f>IFERROR(__xludf.DUMMYFUNCTION("""COMPUTED_VALUE"""),"Canada")</f>
        <v>Canada</v>
      </c>
      <c r="D711" s="258" t="str">
        <f>IFERROR(__xludf.DUMMYFUNCTION("""COMPUTED_VALUE"""),"km. My car displays range in kilometres and I will enter all range numbers in kilometres.")</f>
        <v>km. My car displays range in kilometres and I will enter all range numbers in kilometres.</v>
      </c>
      <c r="E711" s="259">
        <f>IFERROR(__xludf.DUMMYFUNCTION("""COMPUTED_VALUE"""),43631.0)</f>
        <v>43631</v>
      </c>
      <c r="F711" s="258" t="str">
        <f>IFERROR(__xludf.DUMMYFUNCTION("""COMPUTED_VALUE"""),"Model S P100D")</f>
        <v>Model S P100D</v>
      </c>
      <c r="G711" s="258" t="str">
        <f>IFERROR(__xludf.DUMMYFUNCTION("""COMPUTED_VALUE"""),"A few times a year")</f>
        <v>A few times a year</v>
      </c>
      <c r="H711" s="258" t="str">
        <f>IFERROR(__xludf.DUMMYFUNCTION("""COMPUTED_VALUE"""),"A few times a year")</f>
        <v>A few times a year</v>
      </c>
      <c r="I711" s="258" t="str">
        <f>IFERROR(__xludf.DUMMYFUNCTION("""COMPUTED_VALUE"""),"Never")</f>
        <v>Never</v>
      </c>
      <c r="J711" s="260">
        <f>IFERROR(__xludf.DUMMYFUNCTION("""COMPUTED_VALUE"""),0.9)</f>
        <v>0.9</v>
      </c>
      <c r="K711" s="258">
        <f>IFERROR(__xludf.DUMMYFUNCTION("""COMPUTED_VALUE"""),555.0)</f>
        <v>555</v>
      </c>
      <c r="L711" s="258" t="str">
        <f>IFERROR(__xludf.DUMMYFUNCTION("""COMPUTED_VALUE"""),"")</f>
        <v/>
      </c>
      <c r="M711" s="261">
        <f>IFERROR(__xludf.DUMMYFUNCTION("""COMPUTED_VALUE"""),168.0)</f>
        <v>168</v>
      </c>
      <c r="N711" s="262" t="str">
        <f>IFERROR(__xludf.DUMMYFUNCTION("""COMPUTED_VALUE"""),"")</f>
        <v/>
      </c>
      <c r="O711" s="259" t="str">
        <f>IFERROR(__xludf.DUMMYFUNCTION("""COMPUTED_VALUE"""),"")</f>
        <v/>
      </c>
      <c r="P711" s="259">
        <f>IFERROR(__xludf.DUMMYFUNCTION("""COMPUTED_VALUE"""),43657.0)</f>
        <v>43657</v>
      </c>
      <c r="Q711" s="258">
        <f>IFERROR(__xludf.DUMMYFUNCTION("""COMPUTED_VALUE"""),800.0)</f>
        <v>800</v>
      </c>
      <c r="R711" s="261">
        <f>IFERROR(__xludf.DUMMYFUNCTION("""COMPUTED_VALUE"""),555.0)</f>
        <v>555</v>
      </c>
      <c r="S711" s="258">
        <v>505.0</v>
      </c>
      <c r="T711" s="263">
        <v>1.099009900990099</v>
      </c>
      <c r="U711" s="264">
        <v>497.0</v>
      </c>
      <c r="V711" s="265">
        <v>800.0</v>
      </c>
      <c r="W711" s="264">
        <v>497.0</v>
      </c>
      <c r="X711" s="266"/>
      <c r="Y711" s="267">
        <v>-0.01</v>
      </c>
      <c r="Z711" s="267">
        <v>0.9984320668508742</v>
      </c>
      <c r="AA711" s="269"/>
      <c r="AB711" s="270"/>
      <c r="AC711" s="270"/>
      <c r="AD711" s="270"/>
      <c r="AE711" s="270"/>
    </row>
    <row r="712">
      <c r="A712" s="256">
        <f>IFERROR(__xludf.DUMMYFUNCTION("""COMPUTED_VALUE"""),43758.662567997686)</f>
        <v>43758.66257</v>
      </c>
      <c r="B712" s="257" t="str">
        <f>IFERROR(__xludf.DUMMYFUNCTION("""COMPUTED_VALUE"""),"jdw")</f>
        <v>jdw</v>
      </c>
      <c r="C712" s="258" t="str">
        <f>IFERROR(__xludf.DUMMYFUNCTION("""COMPUTED_VALUE"""),"Canada")</f>
        <v>Canada</v>
      </c>
      <c r="D712" s="258" t="str">
        <f>IFERROR(__xludf.DUMMYFUNCTION("""COMPUTED_VALUE"""),"km. My car displays range in kilometres and I will enter all range numbers in kilometres.")</f>
        <v>km. My car displays range in kilometres and I will enter all range numbers in kilometres.</v>
      </c>
      <c r="E712" s="259">
        <f>IFERROR(__xludf.DUMMYFUNCTION("""COMPUTED_VALUE"""),43631.0)</f>
        <v>43631</v>
      </c>
      <c r="F712" s="258" t="str">
        <f>IFERROR(__xludf.DUMMYFUNCTION("""COMPUTED_VALUE"""),"Model S P100D")</f>
        <v>Model S P100D</v>
      </c>
      <c r="G712" s="258" t="str">
        <f>IFERROR(__xludf.DUMMYFUNCTION("""COMPUTED_VALUE"""),"A few times a year")</f>
        <v>A few times a year</v>
      </c>
      <c r="H712" s="258" t="str">
        <f>IFERROR(__xludf.DUMMYFUNCTION("""COMPUTED_VALUE"""),"A few times a year")</f>
        <v>A few times a year</v>
      </c>
      <c r="I712" s="258" t="str">
        <f>IFERROR(__xludf.DUMMYFUNCTION("""COMPUTED_VALUE"""),"Never")</f>
        <v>Never</v>
      </c>
      <c r="J712" s="260">
        <f>IFERROR(__xludf.DUMMYFUNCTION("""COMPUTED_VALUE"""),0.9)</f>
        <v>0.9</v>
      </c>
      <c r="K712" s="258">
        <f>IFERROR(__xludf.DUMMYFUNCTION("""COMPUTED_VALUE"""),555.0)</f>
        <v>555</v>
      </c>
      <c r="L712" s="258" t="str">
        <f>IFERROR(__xludf.DUMMYFUNCTION("""COMPUTED_VALUE"""),"")</f>
        <v/>
      </c>
      <c r="M712" s="261">
        <f>IFERROR(__xludf.DUMMYFUNCTION("""COMPUTED_VALUE"""),168.0)</f>
        <v>168</v>
      </c>
      <c r="N712" s="262" t="str">
        <f>IFERROR(__xludf.DUMMYFUNCTION("""COMPUTED_VALUE"""),"")</f>
        <v/>
      </c>
      <c r="O712" s="259" t="str">
        <f>IFERROR(__xludf.DUMMYFUNCTION("""COMPUTED_VALUE"""),"")</f>
        <v/>
      </c>
      <c r="P712" s="259">
        <f>IFERROR(__xludf.DUMMYFUNCTION("""COMPUTED_VALUE"""),43754.0)</f>
        <v>43754</v>
      </c>
      <c r="Q712" s="258">
        <f>IFERROR(__xludf.DUMMYFUNCTION("""COMPUTED_VALUE"""),5896.0)</f>
        <v>5896</v>
      </c>
      <c r="R712" s="261">
        <f>IFERROR(__xludf.DUMMYFUNCTION("""COMPUTED_VALUE"""),554.0)</f>
        <v>554</v>
      </c>
      <c r="S712" s="258">
        <v>505.0</v>
      </c>
      <c r="T712" s="263">
        <v>1.0970297029702971</v>
      </c>
      <c r="U712" s="264">
        <v>3664.0</v>
      </c>
      <c r="V712" s="265">
        <v>5896.0</v>
      </c>
      <c r="W712" s="264">
        <v>3664.0</v>
      </c>
      <c r="X712" s="266"/>
      <c r="Y712" s="267">
        <v>-0.01</v>
      </c>
      <c r="Z712" s="267">
        <v>0.9898058678753562</v>
      </c>
      <c r="AA712" s="269"/>
      <c r="AB712" s="270"/>
      <c r="AC712" s="270"/>
      <c r="AD712" s="270"/>
      <c r="AE712" s="270"/>
    </row>
    <row r="713">
      <c r="A713" s="256">
        <f>IFERROR(__xludf.DUMMYFUNCTION("""COMPUTED_VALUE"""),42031.066666666666)</f>
        <v>42031.06667</v>
      </c>
      <c r="B713" s="257" t="str">
        <f>IFERROR(__xludf.DUMMYFUNCTION("""COMPUTED_VALUE"""),"Jean")</f>
        <v>Jean</v>
      </c>
      <c r="C713" s="258" t="str">
        <f>IFERROR(__xludf.DUMMYFUNCTION("""COMPUTED_VALUE"""),"Europe (excluding UK) &amp; Asia Pacific")</f>
        <v>Europe (excluding UK) &amp; Asia Pacific</v>
      </c>
      <c r="D713" s="258" t="str">
        <f>IFERROR(__xludf.DUMMYFUNCTION("""COMPUTED_VALUE"""),"km. My car displays range in kilometres and I will enter all range numbers in kilometres.")</f>
        <v>km. My car displays range in kilometres and I will enter all range numbers in kilometres.</v>
      </c>
      <c r="E713" s="259">
        <f>IFERROR(__xludf.DUMMYFUNCTION("""COMPUTED_VALUE"""),41615.0)</f>
        <v>41615</v>
      </c>
      <c r="F713" s="258" t="str">
        <f>IFERROR(__xludf.DUMMYFUNCTION("""COMPUTED_VALUE"""),"Unspecified 85 kWh")</f>
        <v>Unspecified 85 kWh</v>
      </c>
      <c r="G713" s="258" t="str">
        <f>IFERROR(__xludf.DUMMYFUNCTION("""COMPUTED_VALUE"""),"Monthly")</f>
        <v>Monthly</v>
      </c>
      <c r="H713" s="258" t="str">
        <f>IFERROR(__xludf.DUMMYFUNCTION("""COMPUTED_VALUE"""),"Twice a month")</f>
        <v>Twice a month</v>
      </c>
      <c r="I713" s="258" t="str">
        <f>IFERROR(__xludf.DUMMYFUNCTION("""COMPUTED_VALUE"""),"Never")</f>
        <v>Never</v>
      </c>
      <c r="J713" s="260" t="str">
        <f>IFERROR(__xludf.DUMMYFUNCTION("""COMPUTED_VALUE"""),"")</f>
        <v/>
      </c>
      <c r="K713" s="258" t="str">
        <f>IFERROR(__xludf.DUMMYFUNCTION("""COMPUTED_VALUE"""),"")</f>
        <v/>
      </c>
      <c r="L713" s="258" t="str">
        <f>IFERROR(__xludf.DUMMYFUNCTION("""COMPUTED_VALUE"""),"")</f>
        <v/>
      </c>
      <c r="M713" s="261">
        <f>IFERROR(__xludf.DUMMYFUNCTION("""COMPUTED_VALUE"""),212.0)</f>
        <v>212</v>
      </c>
      <c r="N713" s="262" t="str">
        <f>IFERROR(__xludf.DUMMYFUNCTION("""COMPUTED_VALUE"""),"")</f>
        <v/>
      </c>
      <c r="O713" s="259" t="str">
        <f>IFERROR(__xludf.DUMMYFUNCTION("""COMPUTED_VALUE"""),"")</f>
        <v/>
      </c>
      <c r="P713" s="259">
        <f>IFERROR(__xludf.DUMMYFUNCTION("""COMPUTED_VALUE"""),42031.0)</f>
        <v>42031</v>
      </c>
      <c r="Q713" s="258">
        <f>IFERROR(__xludf.DUMMYFUNCTION("""COMPUTED_VALUE"""),65065.0)</f>
        <v>65065</v>
      </c>
      <c r="R713" s="261">
        <f>IFERROR(__xludf.DUMMYFUNCTION("""COMPUTED_VALUE"""),373.0)</f>
        <v>373</v>
      </c>
      <c r="S713" s="258">
        <v>395.0</v>
      </c>
      <c r="T713" s="263">
        <v>0.9443037974683545</v>
      </c>
      <c r="U713" s="264">
        <v>40430.0</v>
      </c>
      <c r="V713" s="265">
        <v>65065.0</v>
      </c>
      <c r="W713" s="264">
        <v>40430.0</v>
      </c>
      <c r="X713" s="266"/>
      <c r="Y713" s="267">
        <v>-0.01</v>
      </c>
      <c r="Z713" s="267">
        <v>0.9552452062655756</v>
      </c>
      <c r="AA713" s="269"/>
      <c r="AB713" s="270"/>
      <c r="AC713" s="270"/>
      <c r="AD713" s="270"/>
      <c r="AE713" s="270"/>
    </row>
    <row r="714">
      <c r="A714" s="256">
        <f>IFERROR(__xludf.DUMMYFUNCTION("""COMPUTED_VALUE"""),42084.0875)</f>
        <v>42084.0875</v>
      </c>
      <c r="B714" s="257" t="str">
        <f>IFERROR(__xludf.DUMMYFUNCTION("""COMPUTED_VALUE"""),"Jean")</f>
        <v>Jean</v>
      </c>
      <c r="C714" s="258" t="str">
        <f>IFERROR(__xludf.DUMMYFUNCTION("""COMPUTED_VALUE"""),"Europe (excluding UK) &amp; Asia Pacific")</f>
        <v>Europe (excluding UK) &amp; Asia Pacific</v>
      </c>
      <c r="D714" s="258" t="str">
        <f>IFERROR(__xludf.DUMMYFUNCTION("""COMPUTED_VALUE"""),"km. My car displays range in kilometres and I will enter all range numbers in kilometres.")</f>
        <v>km. My car displays range in kilometres and I will enter all range numbers in kilometres.</v>
      </c>
      <c r="E714" s="259">
        <f>IFERROR(__xludf.DUMMYFUNCTION("""COMPUTED_VALUE"""),41615.0)</f>
        <v>41615</v>
      </c>
      <c r="F714" s="258" t="str">
        <f>IFERROR(__xludf.DUMMYFUNCTION("""COMPUTED_VALUE"""),"Unspecified 85 kWh")</f>
        <v>Unspecified 85 kWh</v>
      </c>
      <c r="G714" s="258" t="str">
        <f>IFERROR(__xludf.DUMMYFUNCTION("""COMPUTED_VALUE"""),"Monthly")</f>
        <v>Monthly</v>
      </c>
      <c r="H714" s="258" t="str">
        <f>IFERROR(__xludf.DUMMYFUNCTION("""COMPUTED_VALUE"""),"Twice a month")</f>
        <v>Twice a month</v>
      </c>
      <c r="I714" s="258" t="str">
        <f>IFERROR(__xludf.DUMMYFUNCTION("""COMPUTED_VALUE"""),"Never")</f>
        <v>Never</v>
      </c>
      <c r="J714" s="260" t="str">
        <f>IFERROR(__xludf.DUMMYFUNCTION("""COMPUTED_VALUE"""),"")</f>
        <v/>
      </c>
      <c r="K714" s="258" t="str">
        <f>IFERROR(__xludf.DUMMYFUNCTION("""COMPUTED_VALUE"""),"")</f>
        <v/>
      </c>
      <c r="L714" s="258" t="str">
        <f>IFERROR(__xludf.DUMMYFUNCTION("""COMPUTED_VALUE"""),"")</f>
        <v/>
      </c>
      <c r="M714" s="261">
        <f>IFERROR(__xludf.DUMMYFUNCTION("""COMPUTED_VALUE"""),214.0)</f>
        <v>214</v>
      </c>
      <c r="N714" s="262" t="str">
        <f>IFERROR(__xludf.DUMMYFUNCTION("""COMPUTED_VALUE"""),"")</f>
        <v/>
      </c>
      <c r="O714" s="259" t="str">
        <f>IFERROR(__xludf.DUMMYFUNCTION("""COMPUTED_VALUE"""),"")</f>
        <v/>
      </c>
      <c r="P714" s="259">
        <f>IFERROR(__xludf.DUMMYFUNCTION("""COMPUTED_VALUE"""),42084.0)</f>
        <v>42084</v>
      </c>
      <c r="Q714" s="258">
        <f>IFERROR(__xludf.DUMMYFUNCTION("""COMPUTED_VALUE"""),72778.0)</f>
        <v>72778</v>
      </c>
      <c r="R714" s="261">
        <f>IFERROR(__xludf.DUMMYFUNCTION("""COMPUTED_VALUE"""),378.0)</f>
        <v>378</v>
      </c>
      <c r="S714" s="258">
        <v>395.0</v>
      </c>
      <c r="T714" s="263">
        <v>0.9569620253164557</v>
      </c>
      <c r="U714" s="264">
        <v>45222.0</v>
      </c>
      <c r="V714" s="265">
        <v>72778.0</v>
      </c>
      <c r="W714" s="264">
        <v>45222.0</v>
      </c>
      <c r="X714" s="266"/>
      <c r="Y714" s="267">
        <v>-0.01</v>
      </c>
      <c r="Z714" s="267">
        <v>0.9532158838621645</v>
      </c>
      <c r="AA714" s="269"/>
      <c r="AB714" s="270"/>
      <c r="AC714" s="270"/>
      <c r="AD714" s="270"/>
      <c r="AE714" s="270"/>
    </row>
    <row r="715">
      <c r="A715" s="256">
        <f>IFERROR(__xludf.DUMMYFUNCTION("""COMPUTED_VALUE"""),42084.302777777775)</f>
        <v>42084.30278</v>
      </c>
      <c r="B715" s="257" t="str">
        <f>IFERROR(__xludf.DUMMYFUNCTION("""COMPUTED_VALUE"""),"Jean")</f>
        <v>Jean</v>
      </c>
      <c r="C715" s="258" t="str">
        <f>IFERROR(__xludf.DUMMYFUNCTION("""COMPUTED_VALUE"""),"Europe (excluding UK) &amp; Asia Pacific")</f>
        <v>Europe (excluding UK) &amp; Asia Pacific</v>
      </c>
      <c r="D715" s="258" t="str">
        <f>IFERROR(__xludf.DUMMYFUNCTION("""COMPUTED_VALUE"""),"km. My car displays range in kilometres and I will enter all range numbers in kilometres.")</f>
        <v>km. My car displays range in kilometres and I will enter all range numbers in kilometres.</v>
      </c>
      <c r="E715" s="259">
        <f>IFERROR(__xludf.DUMMYFUNCTION("""COMPUTED_VALUE"""),41615.0)</f>
        <v>41615</v>
      </c>
      <c r="F715" s="258" t="str">
        <f>IFERROR(__xludf.DUMMYFUNCTION("""COMPUTED_VALUE"""),"Model S 85")</f>
        <v>Model S 85</v>
      </c>
      <c r="G715" s="258" t="str">
        <f>IFERROR(__xludf.DUMMYFUNCTION("""COMPUTED_VALUE"""),"A few times a year")</f>
        <v>A few times a year</v>
      </c>
      <c r="H715" s="258" t="str">
        <f>IFERROR(__xludf.DUMMYFUNCTION("""COMPUTED_VALUE"""),"Twice a week")</f>
        <v>Twice a week</v>
      </c>
      <c r="I715" s="258" t="str">
        <f>IFERROR(__xludf.DUMMYFUNCTION("""COMPUTED_VALUE"""),"Once or twice a year")</f>
        <v>Once or twice a year</v>
      </c>
      <c r="J715" s="260">
        <f>IFERROR(__xludf.DUMMYFUNCTION("""COMPUTED_VALUE"""),0.9)</f>
        <v>0.9</v>
      </c>
      <c r="K715" s="258">
        <f>IFERROR(__xludf.DUMMYFUNCTION("""COMPUTED_VALUE"""),399.0)</f>
        <v>399</v>
      </c>
      <c r="L715" s="258" t="str">
        <f>IFERROR(__xludf.DUMMYFUNCTION("""COMPUTED_VALUE"""),"")</f>
        <v/>
      </c>
      <c r="M715" s="261">
        <f>IFERROR(__xludf.DUMMYFUNCTION("""COMPUTED_VALUE"""),220.0)</f>
        <v>220</v>
      </c>
      <c r="N715" s="262" t="str">
        <f>IFERROR(__xludf.DUMMYFUNCTION("""COMPUTED_VALUE"""),"")</f>
        <v/>
      </c>
      <c r="O715" s="259" t="str">
        <f>IFERROR(__xludf.DUMMYFUNCTION("""COMPUTED_VALUE"""),"")</f>
        <v/>
      </c>
      <c r="P715" s="259">
        <f>IFERROR(__xludf.DUMMYFUNCTION("""COMPUTED_VALUE"""),42084.0)</f>
        <v>42084</v>
      </c>
      <c r="Q715" s="258">
        <f>IFERROR(__xludf.DUMMYFUNCTION("""COMPUTED_VALUE"""),132950.0)</f>
        <v>132950</v>
      </c>
      <c r="R715" s="261">
        <f>IFERROR(__xludf.DUMMYFUNCTION("""COMPUTED_VALUE"""),372.0)</f>
        <v>372</v>
      </c>
      <c r="S715" s="258">
        <v>395.0</v>
      </c>
      <c r="T715" s="263">
        <v>0.9417721518987342</v>
      </c>
      <c r="U715" s="264">
        <v>82611.0</v>
      </c>
      <c r="V715" s="265">
        <v>132950.0</v>
      </c>
      <c r="W715" s="264">
        <v>82611.0</v>
      </c>
      <c r="X715" s="266"/>
      <c r="Y715" s="267">
        <v>-0.01</v>
      </c>
      <c r="Z715" s="267">
        <v>0.9389083575642502</v>
      </c>
      <c r="AA715" s="269"/>
      <c r="AB715" s="270"/>
      <c r="AC715" s="270"/>
      <c r="AD715" s="270"/>
      <c r="AE715" s="270"/>
    </row>
    <row r="716">
      <c r="A716" s="256">
        <f>IFERROR(__xludf.DUMMYFUNCTION("""COMPUTED_VALUE"""),43873.78684043982)</f>
        <v>43873.78684</v>
      </c>
      <c r="B716" s="257" t="str">
        <f>IFERROR(__xludf.DUMMYFUNCTION("""COMPUTED_VALUE"""),"jedi2b")</f>
        <v>jedi2b</v>
      </c>
      <c r="C716" s="258" t="str">
        <f>IFERROR(__xludf.DUMMYFUNCTION("""COMPUTED_VALUE"""),"Canada")</f>
        <v>Canada</v>
      </c>
      <c r="D716" s="258" t="str">
        <f>IFERROR(__xludf.DUMMYFUNCTION("""COMPUTED_VALUE"""),"km. My car displays range in kilometres and I will enter all range numbers in kilometres.")</f>
        <v>km. My car displays range in kilometres and I will enter all range numbers in kilometres.</v>
      </c>
      <c r="E716" s="259">
        <f>IFERROR(__xludf.DUMMYFUNCTION("""COMPUTED_VALUE"""),43631.0)</f>
        <v>43631</v>
      </c>
      <c r="F716" s="258" t="str">
        <f>IFERROR(__xludf.DUMMYFUNCTION("""COMPUTED_VALUE"""),"Model 3 SR+")</f>
        <v>Model 3 SR+</v>
      </c>
      <c r="G716" s="258" t="str">
        <f>IFERROR(__xludf.DUMMYFUNCTION("""COMPUTED_VALUE"""),"Twice a week")</f>
        <v>Twice a week</v>
      </c>
      <c r="H716" s="258" t="str">
        <f>IFERROR(__xludf.DUMMYFUNCTION("""COMPUTED_VALUE"""),"A few times a year")</f>
        <v>A few times a year</v>
      </c>
      <c r="I716" s="258" t="str">
        <f>IFERROR(__xludf.DUMMYFUNCTION("""COMPUTED_VALUE"""),"Never")</f>
        <v>Never</v>
      </c>
      <c r="J716" s="260">
        <f>IFERROR(__xludf.DUMMYFUNCTION("""COMPUTED_VALUE"""),0.9)</f>
        <v>0.9</v>
      </c>
      <c r="K716" s="258">
        <f>IFERROR(__xludf.DUMMYFUNCTION("""COMPUTED_VALUE"""),380.0)</f>
        <v>380</v>
      </c>
      <c r="L716" s="258">
        <f>IFERROR(__xludf.DUMMYFUNCTION("""COMPUTED_VALUE"""),136.0)</f>
        <v>136</v>
      </c>
      <c r="M716" s="261">
        <f>IFERROR(__xludf.DUMMYFUNCTION("""COMPUTED_VALUE"""),170.0)</f>
        <v>170</v>
      </c>
      <c r="N716" s="262" t="str">
        <f>IFERROR(__xludf.DUMMYFUNCTION("""COMPUTED_VALUE"""),"")</f>
        <v/>
      </c>
      <c r="O716" s="259" t="str">
        <f>IFERROR(__xludf.DUMMYFUNCTION("""COMPUTED_VALUE"""),"")</f>
        <v/>
      </c>
      <c r="P716" s="259">
        <f>IFERROR(__xludf.DUMMYFUNCTION("""COMPUTED_VALUE"""),43800.0)</f>
        <v>43800</v>
      </c>
      <c r="Q716" s="258">
        <f>IFERROR(__xludf.DUMMYFUNCTION("""COMPUTED_VALUE"""),15500.0)</f>
        <v>15500</v>
      </c>
      <c r="R716" s="261">
        <f>IFERROR(__xludf.DUMMYFUNCTION("""COMPUTED_VALUE"""),362.0)</f>
        <v>362</v>
      </c>
      <c r="S716" s="258">
        <v>386.0</v>
      </c>
      <c r="T716" s="263">
        <v>0.9378238341968912</v>
      </c>
      <c r="U716" s="264">
        <v>9631.0</v>
      </c>
      <c r="V716" s="265">
        <v>15500.0</v>
      </c>
      <c r="W716" s="264">
        <v>9631.0</v>
      </c>
      <c r="X716" s="266"/>
      <c r="Y716" s="267">
        <v>-0.01</v>
      </c>
      <c r="Z716" s="267">
        <v>0.9783462702650213</v>
      </c>
      <c r="AA716" s="269"/>
      <c r="AB716" s="270"/>
      <c r="AC716" s="270"/>
      <c r="AD716" s="270"/>
      <c r="AE716" s="270"/>
    </row>
    <row r="717">
      <c r="A717" s="256">
        <f>IFERROR(__xludf.DUMMYFUNCTION("""COMPUTED_VALUE"""),43873.78684043982)</f>
        <v>43873.78684</v>
      </c>
      <c r="B717" s="257" t="str">
        <f>IFERROR(__xludf.DUMMYFUNCTION("""COMPUTED_VALUE"""),"jedi2b")</f>
        <v>jedi2b</v>
      </c>
      <c r="C717" s="258" t="str">
        <f>IFERROR(__xludf.DUMMYFUNCTION("""COMPUTED_VALUE"""),"Canada")</f>
        <v>Canada</v>
      </c>
      <c r="D717" s="258" t="str">
        <f>IFERROR(__xludf.DUMMYFUNCTION("""COMPUTED_VALUE"""),"km. My car displays range in kilometres and I will enter all range numbers in kilometres.")</f>
        <v>km. My car displays range in kilometres and I will enter all range numbers in kilometres.</v>
      </c>
      <c r="E717" s="259">
        <f>IFERROR(__xludf.DUMMYFUNCTION("""COMPUTED_VALUE"""),43631.0)</f>
        <v>43631</v>
      </c>
      <c r="F717" s="258" t="str">
        <f>IFERROR(__xludf.DUMMYFUNCTION("""COMPUTED_VALUE"""),"Model 3 SR+")</f>
        <v>Model 3 SR+</v>
      </c>
      <c r="G717" s="258" t="str">
        <f>IFERROR(__xludf.DUMMYFUNCTION("""COMPUTED_VALUE"""),"Twice a week")</f>
        <v>Twice a week</v>
      </c>
      <c r="H717" s="258" t="str">
        <f>IFERROR(__xludf.DUMMYFUNCTION("""COMPUTED_VALUE"""),"A few times a year")</f>
        <v>A few times a year</v>
      </c>
      <c r="I717" s="258" t="str">
        <f>IFERROR(__xludf.DUMMYFUNCTION("""COMPUTED_VALUE"""),"Never")</f>
        <v>Never</v>
      </c>
      <c r="J717" s="260">
        <f>IFERROR(__xludf.DUMMYFUNCTION("""COMPUTED_VALUE"""),0.9)</f>
        <v>0.9</v>
      </c>
      <c r="K717" s="258">
        <f>IFERROR(__xludf.DUMMYFUNCTION("""COMPUTED_VALUE"""),380.0)</f>
        <v>380</v>
      </c>
      <c r="L717" s="258">
        <f>IFERROR(__xludf.DUMMYFUNCTION("""COMPUTED_VALUE"""),136.0)</f>
        <v>136</v>
      </c>
      <c r="M717" s="261">
        <f>IFERROR(__xludf.DUMMYFUNCTION("""COMPUTED_VALUE"""),170.0)</f>
        <v>170</v>
      </c>
      <c r="N717" s="262" t="str">
        <f>IFERROR(__xludf.DUMMYFUNCTION("""COMPUTED_VALUE"""),"")</f>
        <v/>
      </c>
      <c r="O717" s="259" t="str">
        <f>IFERROR(__xludf.DUMMYFUNCTION("""COMPUTED_VALUE"""),"")</f>
        <v/>
      </c>
      <c r="P717" s="259">
        <f>IFERROR(__xludf.DUMMYFUNCTION("""COMPUTED_VALUE"""),43873.0)</f>
        <v>43873</v>
      </c>
      <c r="Q717" s="258">
        <f>IFERROR(__xludf.DUMMYFUNCTION("""COMPUTED_VALUE"""),21000.0)</f>
        <v>21000</v>
      </c>
      <c r="R717" s="261">
        <f>IFERROR(__xludf.DUMMYFUNCTION("""COMPUTED_VALUE"""),355.0)</f>
        <v>355</v>
      </c>
      <c r="S717" s="258">
        <v>386.0</v>
      </c>
      <c r="T717" s="263">
        <v>0.9196891191709845</v>
      </c>
      <c r="U717" s="264">
        <v>13049.0</v>
      </c>
      <c r="V717" s="265">
        <v>21000.0</v>
      </c>
      <c r="W717" s="264">
        <v>13049.0</v>
      </c>
      <c r="X717" s="266"/>
      <c r="Y717" s="267">
        <v>-0.01</v>
      </c>
      <c r="Z717" s="267">
        <v>0.9736945079285355</v>
      </c>
      <c r="AA717" s="269"/>
      <c r="AB717" s="270"/>
      <c r="AC717" s="270"/>
      <c r="AD717" s="270"/>
      <c r="AE717" s="270"/>
    </row>
    <row r="718">
      <c r="A718" s="256">
        <f>IFERROR(__xludf.DUMMYFUNCTION("""COMPUTED_VALUE"""),42830.82847222222)</f>
        <v>42830.82847</v>
      </c>
      <c r="B718" s="257" t="str">
        <f>IFERROR(__xludf.DUMMYFUNCTION("""COMPUTED_VALUE"""),"jelloslug")</f>
        <v>jelloslug</v>
      </c>
      <c r="C718" s="258" t="str">
        <f>IFERROR(__xludf.DUMMYFUNCTION("""COMPUTED_VALUE"""),"USA")</f>
        <v>USA</v>
      </c>
      <c r="D718" s="258" t="str">
        <f>IFERROR(__xludf.DUMMYFUNCTION("""COMPUTED_VALUE"""),"mi. My car displays range in miles and I will enter all range numbers in miles.")</f>
        <v>mi. My car displays range in miles and I will enter all range numbers in miles.</v>
      </c>
      <c r="E718" s="259">
        <f>IFERROR(__xludf.DUMMYFUNCTION("""COMPUTED_VALUE"""),42577.0)</f>
        <v>42577</v>
      </c>
      <c r="F718" s="258" t="str">
        <f>IFERROR(__xludf.DUMMYFUNCTION("""COMPUTED_VALUE"""),"Model S 75D")</f>
        <v>Model S 75D</v>
      </c>
      <c r="G718" s="258" t="str">
        <f>IFERROR(__xludf.DUMMYFUNCTION("""COMPUTED_VALUE"""),"Twice a month")</f>
        <v>Twice a month</v>
      </c>
      <c r="H718" s="258" t="str">
        <f>IFERROR(__xludf.DUMMYFUNCTION("""COMPUTED_VALUE"""),"Twice a month")</f>
        <v>Twice a month</v>
      </c>
      <c r="I718" s="258" t="str">
        <f>IFERROR(__xludf.DUMMYFUNCTION("""COMPUTED_VALUE"""),"Never")</f>
        <v>Never</v>
      </c>
      <c r="J718" s="260">
        <f>IFERROR(__xludf.DUMMYFUNCTION("""COMPUTED_VALUE"""),0.9)</f>
        <v>0.9</v>
      </c>
      <c r="K718" s="258">
        <f>IFERROR(__xludf.DUMMYFUNCTION("""COMPUTED_VALUE"""),259.0)</f>
        <v>259</v>
      </c>
      <c r="L718" s="258" t="str">
        <f>IFERROR(__xludf.DUMMYFUNCTION("""COMPUTED_VALUE"""),"")</f>
        <v/>
      </c>
      <c r="M718" s="261">
        <f>IFERROR(__xludf.DUMMYFUNCTION("""COMPUTED_VALUE"""),280.0)</f>
        <v>280</v>
      </c>
      <c r="N718" s="262" t="str">
        <f>IFERROR(__xludf.DUMMYFUNCTION("""COMPUTED_VALUE"""),"")</f>
        <v/>
      </c>
      <c r="O718" s="259" t="str">
        <f>IFERROR(__xludf.DUMMYFUNCTION("""COMPUTED_VALUE"""),"")</f>
        <v/>
      </c>
      <c r="P718" s="259">
        <f>IFERROR(__xludf.DUMMYFUNCTION("""COMPUTED_VALUE"""),42830.0)</f>
        <v>42830</v>
      </c>
      <c r="Q718" s="258">
        <f>IFERROR(__xludf.DUMMYFUNCTION("""COMPUTED_VALUE"""),20500.0)</f>
        <v>20500</v>
      </c>
      <c r="R718" s="261">
        <f>IFERROR(__xludf.DUMMYFUNCTION("""COMPUTED_VALUE"""),255.0)</f>
        <v>255</v>
      </c>
      <c r="S718" s="258">
        <v>259.0</v>
      </c>
      <c r="T718" s="263">
        <v>0.9845559845559846</v>
      </c>
      <c r="U718" s="264">
        <v>20500.0</v>
      </c>
      <c r="V718" s="265">
        <v>32992.0</v>
      </c>
      <c r="W718" s="264">
        <v>20500.0</v>
      </c>
      <c r="X718" s="266"/>
      <c r="Y718" s="267">
        <v>-0.01</v>
      </c>
      <c r="Z718" s="267">
        <v>0.9664210904010949</v>
      </c>
      <c r="AA718" s="269"/>
      <c r="AB718" s="270"/>
      <c r="AC718" s="270"/>
      <c r="AD718" s="270"/>
      <c r="AE718" s="270"/>
    </row>
    <row r="719">
      <c r="A719" s="256">
        <f>IFERROR(__xludf.DUMMYFUNCTION("""COMPUTED_VALUE"""),42326.785416666666)</f>
        <v>42326.78542</v>
      </c>
      <c r="B719" s="257" t="str">
        <f>IFERROR(__xludf.DUMMYFUNCTION("""COMPUTED_VALUE"""),"jepicken")</f>
        <v>jepicken</v>
      </c>
      <c r="C719" s="258" t="str">
        <f>IFERROR(__xludf.DUMMYFUNCTION("""COMPUTED_VALUE"""),"USA")</f>
        <v>USA</v>
      </c>
      <c r="D719" s="258" t="str">
        <f>IFERROR(__xludf.DUMMYFUNCTION("""COMPUTED_VALUE"""),"mi. My car displays range in miles and I will enter all range numbers in miles.")</f>
        <v>mi. My car displays range in miles and I will enter all range numbers in miles.</v>
      </c>
      <c r="E719" s="259">
        <f>IFERROR(__xludf.DUMMYFUNCTION("""COMPUTED_VALUE"""),42078.0)</f>
        <v>42078</v>
      </c>
      <c r="F719" s="258" t="str">
        <f>IFERROR(__xludf.DUMMYFUNCTION("""COMPUTED_VALUE"""),"Model S 85")</f>
        <v>Model S 85</v>
      </c>
      <c r="G719" s="258" t="str">
        <f>IFERROR(__xludf.DUMMYFUNCTION("""COMPUTED_VALUE"""),"A few times a year")</f>
        <v>A few times a year</v>
      </c>
      <c r="H719" s="258" t="str">
        <f>IFERROR(__xludf.DUMMYFUNCTION("""COMPUTED_VALUE"""),"A few times a year")</f>
        <v>A few times a year</v>
      </c>
      <c r="I719" s="258" t="str">
        <f>IFERROR(__xludf.DUMMYFUNCTION("""COMPUTED_VALUE"""),"Never")</f>
        <v>Never</v>
      </c>
      <c r="J719" s="260">
        <f>IFERROR(__xludf.DUMMYFUNCTION("""COMPUTED_VALUE"""),0.8)</f>
        <v>0.8</v>
      </c>
      <c r="K719" s="258">
        <f>IFERROR(__xludf.DUMMYFUNCTION("""COMPUTED_VALUE"""),264.0)</f>
        <v>264</v>
      </c>
      <c r="L719" s="258" t="str">
        <f>IFERROR(__xludf.DUMMYFUNCTION("""COMPUTED_VALUE"""),"")</f>
        <v/>
      </c>
      <c r="M719" s="261">
        <f>IFERROR(__xludf.DUMMYFUNCTION("""COMPUTED_VALUE"""),315.0)</f>
        <v>315</v>
      </c>
      <c r="N719" s="262" t="str">
        <f>IFERROR(__xludf.DUMMYFUNCTION("""COMPUTED_VALUE"""),"")</f>
        <v/>
      </c>
      <c r="O719" s="259" t="str">
        <f>IFERROR(__xludf.DUMMYFUNCTION("""COMPUTED_VALUE"""),"")</f>
        <v/>
      </c>
      <c r="P719" s="259">
        <f>IFERROR(__xludf.DUMMYFUNCTION("""COMPUTED_VALUE"""),42326.0)</f>
        <v>42326</v>
      </c>
      <c r="Q719" s="258">
        <f>IFERROR(__xludf.DUMMYFUNCTION("""COMPUTED_VALUE"""),9640.0)</f>
        <v>9640</v>
      </c>
      <c r="R719" s="261">
        <f>IFERROR(__xludf.DUMMYFUNCTION("""COMPUTED_VALUE"""),252.0)</f>
        <v>252</v>
      </c>
      <c r="S719" s="258">
        <v>266.0</v>
      </c>
      <c r="T719" s="263">
        <v>0.9473684210526315</v>
      </c>
      <c r="U719" s="264">
        <v>9640.0</v>
      </c>
      <c r="V719" s="265">
        <v>15514.0</v>
      </c>
      <c r="W719" s="264">
        <v>9640.0</v>
      </c>
      <c r="X719" s="266"/>
      <c r="Y719" s="267">
        <v>-0.01</v>
      </c>
      <c r="Z719" s="267">
        <v>0.9783329833682816</v>
      </c>
      <c r="AA719" s="269"/>
      <c r="AB719" s="270"/>
      <c r="AC719" s="270"/>
      <c r="AD719" s="270"/>
      <c r="AE719" s="270"/>
    </row>
    <row r="720">
      <c r="A720" s="256">
        <f>IFERROR(__xludf.DUMMYFUNCTION("""COMPUTED_VALUE"""),42328.78125)</f>
        <v>42328.78125</v>
      </c>
      <c r="B720" s="257" t="str">
        <f>IFERROR(__xludf.DUMMYFUNCTION("""COMPUTED_VALUE"""),"jgallops")</f>
        <v>jgallops</v>
      </c>
      <c r="C720" s="258" t="str">
        <f>IFERROR(__xludf.DUMMYFUNCTION("""COMPUTED_VALUE"""),"USA")</f>
        <v>USA</v>
      </c>
      <c r="D720" s="258" t="str">
        <f>IFERROR(__xludf.DUMMYFUNCTION("""COMPUTED_VALUE"""),"mi. My car displays range in miles and I will enter all range numbers in miles.")</f>
        <v>mi. My car displays range in miles and I will enter all range numbers in miles.</v>
      </c>
      <c r="E720" s="259">
        <f>IFERROR(__xludf.DUMMYFUNCTION("""COMPUTED_VALUE"""),42054.0)</f>
        <v>42054</v>
      </c>
      <c r="F720" s="258" t="str">
        <f>IFERROR(__xludf.DUMMYFUNCTION("""COMPUTED_VALUE"""),"Model S 85D")</f>
        <v>Model S 85D</v>
      </c>
      <c r="G720" s="258" t="str">
        <f>IFERROR(__xludf.DUMMYFUNCTION("""COMPUTED_VALUE"""),"")</f>
        <v/>
      </c>
      <c r="H720" s="258" t="str">
        <f>IFERROR(__xludf.DUMMYFUNCTION("""COMPUTED_VALUE"""),"")</f>
        <v/>
      </c>
      <c r="I720" s="258" t="str">
        <f>IFERROR(__xludf.DUMMYFUNCTION("""COMPUTED_VALUE"""),"")</f>
        <v/>
      </c>
      <c r="J720" s="260" t="str">
        <f>IFERROR(__xludf.DUMMYFUNCTION("""COMPUTED_VALUE"""),"")</f>
        <v/>
      </c>
      <c r="K720" s="258" t="str">
        <f>IFERROR(__xludf.DUMMYFUNCTION("""COMPUTED_VALUE"""),"")</f>
        <v/>
      </c>
      <c r="L720" s="258" t="str">
        <f>IFERROR(__xludf.DUMMYFUNCTION("""COMPUTED_VALUE"""),"")</f>
        <v/>
      </c>
      <c r="M720" s="261">
        <f>IFERROR(__xludf.DUMMYFUNCTION("""COMPUTED_VALUE"""),335.0)</f>
        <v>335</v>
      </c>
      <c r="N720" s="262" t="str">
        <f>IFERROR(__xludf.DUMMYFUNCTION("""COMPUTED_VALUE"""),"")</f>
        <v/>
      </c>
      <c r="O720" s="259" t="str">
        <f>IFERROR(__xludf.DUMMYFUNCTION("""COMPUTED_VALUE"""),"")</f>
        <v/>
      </c>
      <c r="P720" s="259">
        <f>IFERROR(__xludf.DUMMYFUNCTION("""COMPUTED_VALUE"""),42328.0)</f>
        <v>42328</v>
      </c>
      <c r="Q720" s="258">
        <f>IFERROR(__xludf.DUMMYFUNCTION("""COMPUTED_VALUE"""),9634.0)</f>
        <v>9634</v>
      </c>
      <c r="R720" s="261">
        <f>IFERROR(__xludf.DUMMYFUNCTION("""COMPUTED_VALUE"""),261.0)</f>
        <v>261</v>
      </c>
      <c r="S720" s="258">
        <v>270.0</v>
      </c>
      <c r="T720" s="263">
        <v>0.9666666666666667</v>
      </c>
      <c r="U720" s="264">
        <v>9634.0</v>
      </c>
      <c r="V720" s="265">
        <v>15504.0</v>
      </c>
      <c r="W720" s="264">
        <v>9634.0</v>
      </c>
      <c r="X720" s="266"/>
      <c r="Y720" s="267">
        <v>-0.01</v>
      </c>
      <c r="Z720" s="267">
        <v>0.9783424731733927</v>
      </c>
      <c r="AA720" s="269"/>
      <c r="AB720" s="270"/>
      <c r="AC720" s="270"/>
      <c r="AD720" s="270"/>
      <c r="AE720" s="270"/>
    </row>
    <row r="721">
      <c r="A721" s="256">
        <f>IFERROR(__xludf.DUMMYFUNCTION("""COMPUTED_VALUE"""),42477.79236111111)</f>
        <v>42477.79236</v>
      </c>
      <c r="B721" s="257" t="str">
        <f>IFERROR(__xludf.DUMMYFUNCTION("""COMPUTED_VALUE"""),"jgallops")</f>
        <v>jgallops</v>
      </c>
      <c r="C721" s="258" t="str">
        <f>IFERROR(__xludf.DUMMYFUNCTION("""COMPUTED_VALUE"""),"USA")</f>
        <v>USA</v>
      </c>
      <c r="D721" s="258" t="str">
        <f>IFERROR(__xludf.DUMMYFUNCTION("""COMPUTED_VALUE"""),"mi. My car displays range in miles and I will enter all range numbers in miles.")</f>
        <v>mi. My car displays range in miles and I will enter all range numbers in miles.</v>
      </c>
      <c r="E721" s="259">
        <f>IFERROR(__xludf.DUMMYFUNCTION("""COMPUTED_VALUE"""),42054.0)</f>
        <v>42054</v>
      </c>
      <c r="F721" s="258" t="str">
        <f>IFERROR(__xludf.DUMMYFUNCTION("""COMPUTED_VALUE"""),"Model S 85D")</f>
        <v>Model S 85D</v>
      </c>
      <c r="G721" s="258" t="str">
        <f>IFERROR(__xludf.DUMMYFUNCTION("""COMPUTED_VALUE"""),"A few times a year")</f>
        <v>A few times a year</v>
      </c>
      <c r="H721" s="258" t="str">
        <f>IFERROR(__xludf.DUMMYFUNCTION("""COMPUTED_VALUE"""),"A few times a year")</f>
        <v>A few times a year</v>
      </c>
      <c r="I721" s="258" t="str">
        <f>IFERROR(__xludf.DUMMYFUNCTION("""COMPUTED_VALUE"""),"Never")</f>
        <v>Never</v>
      </c>
      <c r="J721" s="260">
        <f>IFERROR(__xludf.DUMMYFUNCTION("""COMPUTED_VALUE"""),0.9)</f>
        <v>0.9</v>
      </c>
      <c r="K721" s="258" t="str">
        <f>IFERROR(__xludf.DUMMYFUNCTION("""COMPUTED_VALUE"""),"")</f>
        <v/>
      </c>
      <c r="L721" s="258" t="str">
        <f>IFERROR(__xludf.DUMMYFUNCTION("""COMPUTED_VALUE"""),"")</f>
        <v/>
      </c>
      <c r="M721" s="261">
        <f>IFERROR(__xludf.DUMMYFUNCTION("""COMPUTED_VALUE"""),328.0)</f>
        <v>328</v>
      </c>
      <c r="N721" s="262" t="str">
        <f>IFERROR(__xludf.DUMMYFUNCTION("""COMPUTED_VALUE"""),"")</f>
        <v/>
      </c>
      <c r="O721" s="259" t="str">
        <f>IFERROR(__xludf.DUMMYFUNCTION("""COMPUTED_VALUE"""),"")</f>
        <v/>
      </c>
      <c r="P721" s="259">
        <f>IFERROR(__xludf.DUMMYFUNCTION("""COMPUTED_VALUE"""),42477.0)</f>
        <v>42477</v>
      </c>
      <c r="Q721" s="258">
        <f>IFERROR(__xludf.DUMMYFUNCTION("""COMPUTED_VALUE"""),12236.0)</f>
        <v>12236</v>
      </c>
      <c r="R721" s="261">
        <f>IFERROR(__xludf.DUMMYFUNCTION("""COMPUTED_VALUE"""),268.0)</f>
        <v>268</v>
      </c>
      <c r="S721" s="258">
        <v>270.0</v>
      </c>
      <c r="T721" s="263">
        <v>0.9925925925925926</v>
      </c>
      <c r="U721" s="264">
        <v>12236.0</v>
      </c>
      <c r="V721" s="265">
        <v>19692.0</v>
      </c>
      <c r="W721" s="264">
        <v>12236.0</v>
      </c>
      <c r="X721" s="266"/>
      <c r="Y721" s="267">
        <v>-0.01</v>
      </c>
      <c r="Z721" s="267">
        <v>0.9747056180995819</v>
      </c>
      <c r="AA721" s="269"/>
      <c r="AB721" s="270"/>
      <c r="AC721" s="270"/>
      <c r="AD721" s="270"/>
      <c r="AE721" s="270"/>
    </row>
    <row r="722">
      <c r="A722" s="256">
        <f>IFERROR(__xludf.DUMMYFUNCTION("""COMPUTED_VALUE"""),42668.80972222222)</f>
        <v>42668.80972</v>
      </c>
      <c r="B722" s="257" t="str">
        <f>IFERROR(__xludf.DUMMYFUNCTION("""COMPUTED_VALUE"""),"jgallops")</f>
        <v>jgallops</v>
      </c>
      <c r="C722" s="258" t="str">
        <f>IFERROR(__xludf.DUMMYFUNCTION("""COMPUTED_VALUE"""),"USA")</f>
        <v>USA</v>
      </c>
      <c r="D722" s="258" t="str">
        <f>IFERROR(__xludf.DUMMYFUNCTION("""COMPUTED_VALUE"""),"mi. My car displays range in miles and I will enter all range numbers in miles.")</f>
        <v>mi. My car displays range in miles and I will enter all range numbers in miles.</v>
      </c>
      <c r="E722" s="259">
        <f>IFERROR(__xludf.DUMMYFUNCTION("""COMPUTED_VALUE"""),42054.0)</f>
        <v>42054</v>
      </c>
      <c r="F722" s="258" t="str">
        <f>IFERROR(__xludf.DUMMYFUNCTION("""COMPUTED_VALUE"""),"Model S 85D")</f>
        <v>Model S 85D</v>
      </c>
      <c r="G722" s="258" t="str">
        <f>IFERROR(__xludf.DUMMYFUNCTION("""COMPUTED_VALUE"""),"Monthly")</f>
        <v>Monthly</v>
      </c>
      <c r="H722" s="258" t="str">
        <f>IFERROR(__xludf.DUMMYFUNCTION("""COMPUTED_VALUE"""),"A few times a year")</f>
        <v>A few times a year</v>
      </c>
      <c r="I722" s="258" t="str">
        <f>IFERROR(__xludf.DUMMYFUNCTION("""COMPUTED_VALUE"""),"Once or twice a year")</f>
        <v>Once or twice a year</v>
      </c>
      <c r="J722" s="260">
        <f>IFERROR(__xludf.DUMMYFUNCTION("""COMPUTED_VALUE"""),0.9)</f>
        <v>0.9</v>
      </c>
      <c r="K722" s="258" t="str">
        <f>IFERROR(__xludf.DUMMYFUNCTION("""COMPUTED_VALUE"""),"")</f>
        <v/>
      </c>
      <c r="L722" s="258" t="str">
        <f>IFERROR(__xludf.DUMMYFUNCTION("""COMPUTED_VALUE"""),"")</f>
        <v/>
      </c>
      <c r="M722" s="261">
        <f>IFERROR(__xludf.DUMMYFUNCTION("""COMPUTED_VALUE"""),323.0)</f>
        <v>323</v>
      </c>
      <c r="N722" s="262" t="str">
        <f>IFERROR(__xludf.DUMMYFUNCTION("""COMPUTED_VALUE"""),"")</f>
        <v/>
      </c>
      <c r="O722" s="259" t="str">
        <f>IFERROR(__xludf.DUMMYFUNCTION("""COMPUTED_VALUE"""),"")</f>
        <v/>
      </c>
      <c r="P722" s="259">
        <f>IFERROR(__xludf.DUMMYFUNCTION("""COMPUTED_VALUE"""),42668.0)</f>
        <v>42668</v>
      </c>
      <c r="Q722" s="258">
        <f>IFERROR(__xludf.DUMMYFUNCTION("""COMPUTED_VALUE"""),18642.0)</f>
        <v>18642</v>
      </c>
      <c r="R722" s="261">
        <f>IFERROR(__xludf.DUMMYFUNCTION("""COMPUTED_VALUE"""),268.0)</f>
        <v>268</v>
      </c>
      <c r="S722" s="258">
        <v>270.0</v>
      </c>
      <c r="T722" s="263">
        <v>0.9925925925925926</v>
      </c>
      <c r="U722" s="264">
        <v>18642.0</v>
      </c>
      <c r="V722" s="265">
        <v>30001.0</v>
      </c>
      <c r="W722" s="264">
        <v>18642.0</v>
      </c>
      <c r="X722" s="266"/>
      <c r="Y722" s="267">
        <v>-0.01</v>
      </c>
      <c r="Z722" s="267">
        <v>0.9679601563206839</v>
      </c>
      <c r="AA722" s="269"/>
      <c r="AB722" s="270"/>
      <c r="AC722" s="270"/>
      <c r="AD722" s="270"/>
      <c r="AE722" s="270"/>
    </row>
    <row r="723">
      <c r="A723" s="256">
        <f>IFERROR(__xludf.DUMMYFUNCTION("""COMPUTED_VALUE"""),43219.73472222222)</f>
        <v>43219.73472</v>
      </c>
      <c r="B723" s="257" t="str">
        <f>IFERROR(__xludf.DUMMYFUNCTION("""COMPUTED_VALUE"""),"JHO")</f>
        <v>JHO</v>
      </c>
      <c r="C723" s="258" t="str">
        <f>IFERROR(__xludf.DUMMYFUNCTION("""COMPUTED_VALUE"""),"Europe (excluding UK) &amp; Asia Pacific")</f>
        <v>Europe (excluding UK) &amp; Asia Pacific</v>
      </c>
      <c r="D723" s="258" t="str">
        <f>IFERROR(__xludf.DUMMYFUNCTION("""COMPUTED_VALUE"""),"km. My car displays range in kilometres and I will enter all range numbers in kilometres.")</f>
        <v>km. My car displays range in kilometres and I will enter all range numbers in kilometres.</v>
      </c>
      <c r="E723" s="259" t="str">
        <f>IFERROR(__xludf.DUMMYFUNCTION("""COMPUTED_VALUE"""),"")</f>
        <v/>
      </c>
      <c r="F723" s="258" t="str">
        <f>IFERROR(__xludf.DUMMYFUNCTION("""COMPUTED_VALUE"""),"Model S 85")</f>
        <v>Model S 85</v>
      </c>
      <c r="G723" s="258" t="str">
        <f>IFERROR(__xludf.DUMMYFUNCTION("""COMPUTED_VALUE"""),"Twice a month")</f>
        <v>Twice a month</v>
      </c>
      <c r="H723" s="258" t="str">
        <f>IFERROR(__xludf.DUMMYFUNCTION("""COMPUTED_VALUE"""),"Monthly")</f>
        <v>Monthly</v>
      </c>
      <c r="I723" s="258" t="str">
        <f>IFERROR(__xludf.DUMMYFUNCTION("""COMPUTED_VALUE"""),"A few times a year")</f>
        <v>A few times a year</v>
      </c>
      <c r="J723" s="260">
        <f>IFERROR(__xludf.DUMMYFUNCTION("""COMPUTED_VALUE"""),0.9)</f>
        <v>0.9</v>
      </c>
      <c r="K723" s="258">
        <f>IFERROR(__xludf.DUMMYFUNCTION("""COMPUTED_VALUE"""),400.0)</f>
        <v>400</v>
      </c>
      <c r="L723" s="258" t="str">
        <f>IFERROR(__xludf.DUMMYFUNCTION("""COMPUTED_VALUE"""),"")</f>
        <v/>
      </c>
      <c r="M723" s="261">
        <f>IFERROR(__xludf.DUMMYFUNCTION("""COMPUTED_VALUE"""),218.0)</f>
        <v>218</v>
      </c>
      <c r="N723" s="262" t="str">
        <f>IFERROR(__xludf.DUMMYFUNCTION("""COMPUTED_VALUE"""),"")</f>
        <v/>
      </c>
      <c r="O723" s="259" t="str">
        <f>IFERROR(__xludf.DUMMYFUNCTION("""COMPUTED_VALUE"""),"")</f>
        <v/>
      </c>
      <c r="P723" s="259">
        <f>IFERROR(__xludf.DUMMYFUNCTION("""COMPUTED_VALUE"""),43219.0)</f>
        <v>43219</v>
      </c>
      <c r="Q723" s="258">
        <f>IFERROR(__xludf.DUMMYFUNCTION("""COMPUTED_VALUE"""),265546.0)</f>
        <v>265546</v>
      </c>
      <c r="R723" s="261">
        <f>IFERROR(__xludf.DUMMYFUNCTION("""COMPUTED_VALUE"""),378.0)</f>
        <v>378</v>
      </c>
      <c r="S723" s="258">
        <v>395.0</v>
      </c>
      <c r="T723" s="263">
        <v>0.9569620253164557</v>
      </c>
      <c r="U723" s="264">
        <v>165003.0</v>
      </c>
      <c r="V723" s="265">
        <v>265546.0</v>
      </c>
      <c r="W723" s="264">
        <v>165003.0</v>
      </c>
      <c r="X723" s="266"/>
      <c r="Y723" s="267">
        <v>-0.01</v>
      </c>
      <c r="Z723" s="267">
        <v>0.9083121107917468</v>
      </c>
      <c r="AA723" s="269"/>
      <c r="AB723" s="270"/>
      <c r="AC723" s="270"/>
      <c r="AD723" s="270"/>
      <c r="AE723" s="270"/>
    </row>
    <row r="724">
      <c r="A724" s="256">
        <f>IFERROR(__xludf.DUMMYFUNCTION("""COMPUTED_VALUE"""),42204.14583333333)</f>
        <v>42204.14583</v>
      </c>
      <c r="B724" s="257" t="str">
        <f>IFERROR(__xludf.DUMMYFUNCTION("""COMPUTED_VALUE"""),"JimmyJam")</f>
        <v>JimmyJam</v>
      </c>
      <c r="C724" s="258" t="str">
        <f>IFERROR(__xludf.DUMMYFUNCTION("""COMPUTED_VALUE"""),"Europe (excluding UK) &amp; Asia Pacific")</f>
        <v>Europe (excluding UK) &amp; Asia Pacific</v>
      </c>
      <c r="D724" s="258" t="str">
        <f>IFERROR(__xludf.DUMMYFUNCTION("""COMPUTED_VALUE"""),"km. My car displays range in kilometres and I will enter all range numbers in kilometres.")</f>
        <v>km. My car displays range in kilometres and I will enter all range numbers in kilometres.</v>
      </c>
      <c r="E724" s="259">
        <f>IFERROR(__xludf.DUMMYFUNCTION("""COMPUTED_VALUE"""),41814.0)</f>
        <v>41814</v>
      </c>
      <c r="F724" s="258" t="str">
        <f>IFERROR(__xludf.DUMMYFUNCTION("""COMPUTED_VALUE"""),"Model S 85")</f>
        <v>Model S 85</v>
      </c>
      <c r="G724" s="258" t="str">
        <f>IFERROR(__xludf.DUMMYFUNCTION("""COMPUTED_VALUE"""),"Monthly")</f>
        <v>Monthly</v>
      </c>
      <c r="H724" s="258" t="str">
        <f>IFERROR(__xludf.DUMMYFUNCTION("""COMPUTED_VALUE"""),"A few times a year")</f>
        <v>A few times a year</v>
      </c>
      <c r="I724" s="258" t="str">
        <f>IFERROR(__xludf.DUMMYFUNCTION("""COMPUTED_VALUE"""),"Once or twice a year")</f>
        <v>Once or twice a year</v>
      </c>
      <c r="J724" s="260">
        <f>IFERROR(__xludf.DUMMYFUNCTION("""COMPUTED_VALUE"""),0.9)</f>
        <v>0.9</v>
      </c>
      <c r="K724" s="258">
        <f>IFERROR(__xludf.DUMMYFUNCTION("""COMPUTED_VALUE"""),398.0)</f>
        <v>398</v>
      </c>
      <c r="L724" s="258" t="str">
        <f>IFERROR(__xludf.DUMMYFUNCTION("""COMPUTED_VALUE"""),"")</f>
        <v/>
      </c>
      <c r="M724" s="261">
        <f>IFERROR(__xludf.DUMMYFUNCTION("""COMPUTED_VALUE"""),225.0)</f>
        <v>225</v>
      </c>
      <c r="N724" s="262" t="str">
        <f>IFERROR(__xludf.DUMMYFUNCTION("""COMPUTED_VALUE"""),"")</f>
        <v/>
      </c>
      <c r="O724" s="259" t="str">
        <f>IFERROR(__xludf.DUMMYFUNCTION("""COMPUTED_VALUE"""),"")</f>
        <v/>
      </c>
      <c r="P724" s="259">
        <f>IFERROR(__xludf.DUMMYFUNCTION("""COMPUTED_VALUE"""),42204.0)</f>
        <v>42204</v>
      </c>
      <c r="Q724" s="258">
        <f>IFERROR(__xludf.DUMMYFUNCTION("""COMPUTED_VALUE"""),52221.0)</f>
        <v>52221</v>
      </c>
      <c r="R724" s="261">
        <f>IFERROR(__xludf.DUMMYFUNCTION("""COMPUTED_VALUE"""),382.0)</f>
        <v>382</v>
      </c>
      <c r="S724" s="258">
        <v>395.0</v>
      </c>
      <c r="T724" s="263">
        <v>0.9670886075949368</v>
      </c>
      <c r="U724" s="264">
        <v>32449.0</v>
      </c>
      <c r="V724" s="265">
        <v>52221.0</v>
      </c>
      <c r="W724" s="264">
        <v>32449.0</v>
      </c>
      <c r="X724" s="266"/>
      <c r="Y724" s="267">
        <v>-0.01</v>
      </c>
      <c r="Z724" s="267">
        <v>0.9589766799155105</v>
      </c>
      <c r="AA724" s="269"/>
      <c r="AB724" s="270"/>
      <c r="AC724" s="270"/>
      <c r="AD724" s="270"/>
      <c r="AE724" s="270"/>
    </row>
    <row r="725">
      <c r="A725" s="256">
        <f>IFERROR(__xludf.DUMMYFUNCTION("""COMPUTED_VALUE"""),42242.174305555556)</f>
        <v>42242.17431</v>
      </c>
      <c r="B725" s="257" t="str">
        <f>IFERROR(__xludf.DUMMYFUNCTION("""COMPUTED_VALUE"""),"JimmyJam")</f>
        <v>JimmyJam</v>
      </c>
      <c r="C725" s="258" t="str">
        <f>IFERROR(__xludf.DUMMYFUNCTION("""COMPUTED_VALUE"""),"Europe (excluding UK) &amp; Asia Pacific")</f>
        <v>Europe (excluding UK) &amp; Asia Pacific</v>
      </c>
      <c r="D725" s="258" t="str">
        <f>IFERROR(__xludf.DUMMYFUNCTION("""COMPUTED_VALUE"""),"km. My car displays range in kilometres and I will enter all range numbers in kilometres.")</f>
        <v>km. My car displays range in kilometres and I will enter all range numbers in kilometres.</v>
      </c>
      <c r="E725" s="259">
        <f>IFERROR(__xludf.DUMMYFUNCTION("""COMPUTED_VALUE"""),41814.0)</f>
        <v>41814</v>
      </c>
      <c r="F725" s="258" t="str">
        <f>IFERROR(__xludf.DUMMYFUNCTION("""COMPUTED_VALUE"""),"Model S 85")</f>
        <v>Model S 85</v>
      </c>
      <c r="G725" s="258" t="str">
        <f>IFERROR(__xludf.DUMMYFUNCTION("""COMPUTED_VALUE"""),"Monthly")</f>
        <v>Monthly</v>
      </c>
      <c r="H725" s="258" t="str">
        <f>IFERROR(__xludf.DUMMYFUNCTION("""COMPUTED_VALUE"""),"A few times a year")</f>
        <v>A few times a year</v>
      </c>
      <c r="I725" s="258" t="str">
        <f>IFERROR(__xludf.DUMMYFUNCTION("""COMPUTED_VALUE"""),"Once or twice a year")</f>
        <v>Once or twice a year</v>
      </c>
      <c r="J725" s="260">
        <f>IFERROR(__xludf.DUMMYFUNCTION("""COMPUTED_VALUE"""),0.9)</f>
        <v>0.9</v>
      </c>
      <c r="K725" s="258">
        <f>IFERROR(__xludf.DUMMYFUNCTION("""COMPUTED_VALUE"""),398.0)</f>
        <v>398</v>
      </c>
      <c r="L725" s="258" t="str">
        <f>IFERROR(__xludf.DUMMYFUNCTION("""COMPUTED_VALUE"""),"")</f>
        <v/>
      </c>
      <c r="M725" s="261">
        <f>IFERROR(__xludf.DUMMYFUNCTION("""COMPUTED_VALUE"""),223.0)</f>
        <v>223</v>
      </c>
      <c r="N725" s="262" t="str">
        <f>IFERROR(__xludf.DUMMYFUNCTION("""COMPUTED_VALUE"""),"")</f>
        <v/>
      </c>
      <c r="O725" s="259" t="str">
        <f>IFERROR(__xludf.DUMMYFUNCTION("""COMPUTED_VALUE"""),"")</f>
        <v/>
      </c>
      <c r="P725" s="259">
        <f>IFERROR(__xludf.DUMMYFUNCTION("""COMPUTED_VALUE"""),42242.0)</f>
        <v>42242</v>
      </c>
      <c r="Q725" s="258">
        <f>IFERROR(__xludf.DUMMYFUNCTION("""COMPUTED_VALUE"""),60000.0)</f>
        <v>60000</v>
      </c>
      <c r="R725" s="261">
        <f>IFERROR(__xludf.DUMMYFUNCTION("""COMPUTED_VALUE"""),384.0)</f>
        <v>384</v>
      </c>
      <c r="S725" s="258">
        <v>395.0</v>
      </c>
      <c r="T725" s="263">
        <v>0.9721518987341772</v>
      </c>
      <c r="U725" s="264">
        <v>37282.0</v>
      </c>
      <c r="V725" s="265">
        <v>60000.0</v>
      </c>
      <c r="W725" s="264">
        <v>37282.0</v>
      </c>
      <c r="X725" s="266"/>
      <c r="Y725" s="267">
        <v>-0.01</v>
      </c>
      <c r="Z725" s="267">
        <v>0.9566506501201559</v>
      </c>
      <c r="AA725" s="269"/>
      <c r="AB725" s="270"/>
      <c r="AC725" s="270"/>
      <c r="AD725" s="270"/>
      <c r="AE725" s="270"/>
    </row>
    <row r="726">
      <c r="A726" s="256">
        <f>IFERROR(__xludf.DUMMYFUNCTION("""COMPUTED_VALUE"""),42361.25902777778)</f>
        <v>42361.25903</v>
      </c>
      <c r="B726" s="257" t="str">
        <f>IFERROR(__xludf.DUMMYFUNCTION("""COMPUTED_VALUE"""),"JimmyJam")</f>
        <v>JimmyJam</v>
      </c>
      <c r="C726" s="258" t="str">
        <f>IFERROR(__xludf.DUMMYFUNCTION("""COMPUTED_VALUE"""),"Europe (excluding UK) &amp; Asia Pacific")</f>
        <v>Europe (excluding UK) &amp; Asia Pacific</v>
      </c>
      <c r="D726" s="258" t="str">
        <f>IFERROR(__xludf.DUMMYFUNCTION("""COMPUTED_VALUE"""),"km. My car displays range in kilometres and I will enter all range numbers in kilometres.")</f>
        <v>km. My car displays range in kilometres and I will enter all range numbers in kilometres.</v>
      </c>
      <c r="E726" s="259">
        <f>IFERROR(__xludf.DUMMYFUNCTION("""COMPUTED_VALUE"""),41814.0)</f>
        <v>41814</v>
      </c>
      <c r="F726" s="258" t="str">
        <f>IFERROR(__xludf.DUMMYFUNCTION("""COMPUTED_VALUE"""),"Model S 85")</f>
        <v>Model S 85</v>
      </c>
      <c r="G726" s="258" t="str">
        <f>IFERROR(__xludf.DUMMYFUNCTION("""COMPUTED_VALUE"""),"Monthly")</f>
        <v>Monthly</v>
      </c>
      <c r="H726" s="258" t="str">
        <f>IFERROR(__xludf.DUMMYFUNCTION("""COMPUTED_VALUE"""),"A few times a year")</f>
        <v>A few times a year</v>
      </c>
      <c r="I726" s="258" t="str">
        <f>IFERROR(__xludf.DUMMYFUNCTION("""COMPUTED_VALUE"""),"A few times a year")</f>
        <v>A few times a year</v>
      </c>
      <c r="J726" s="260">
        <f>IFERROR(__xludf.DUMMYFUNCTION("""COMPUTED_VALUE"""),0.8)</f>
        <v>0.8</v>
      </c>
      <c r="K726" s="258">
        <f>IFERROR(__xludf.DUMMYFUNCTION("""COMPUTED_VALUE"""),398.0)</f>
        <v>398</v>
      </c>
      <c r="L726" s="258" t="str">
        <f>IFERROR(__xludf.DUMMYFUNCTION("""COMPUTED_VALUE"""),"")</f>
        <v/>
      </c>
      <c r="M726" s="261">
        <f>IFERROR(__xludf.DUMMYFUNCTION("""COMPUTED_VALUE"""),222.0)</f>
        <v>222</v>
      </c>
      <c r="N726" s="262" t="str">
        <f>IFERROR(__xludf.DUMMYFUNCTION("""COMPUTED_VALUE"""),"")</f>
        <v/>
      </c>
      <c r="O726" s="259" t="str">
        <f>IFERROR(__xludf.DUMMYFUNCTION("""COMPUTED_VALUE"""),"")</f>
        <v/>
      </c>
      <c r="P726" s="259">
        <f>IFERROR(__xludf.DUMMYFUNCTION("""COMPUTED_VALUE"""),42361.0)</f>
        <v>42361</v>
      </c>
      <c r="Q726" s="258">
        <f>IFERROR(__xludf.DUMMYFUNCTION("""COMPUTED_VALUE"""),75000.0)</f>
        <v>75000</v>
      </c>
      <c r="R726" s="261">
        <f>IFERROR(__xludf.DUMMYFUNCTION("""COMPUTED_VALUE"""),378.0)</f>
        <v>378</v>
      </c>
      <c r="S726" s="258">
        <v>395.0</v>
      </c>
      <c r="T726" s="263">
        <v>0.9569620253164557</v>
      </c>
      <c r="U726" s="264">
        <v>46603.0</v>
      </c>
      <c r="V726" s="265">
        <v>75000.0</v>
      </c>
      <c r="W726" s="264">
        <v>46603.0</v>
      </c>
      <c r="X726" s="266"/>
      <c r="Y726" s="267">
        <v>-0.01</v>
      </c>
      <c r="Z726" s="267">
        <v>0.9526497700231702</v>
      </c>
      <c r="AA726" s="269"/>
      <c r="AB726" s="270"/>
      <c r="AC726" s="270"/>
      <c r="AD726" s="270"/>
      <c r="AE726" s="270"/>
    </row>
    <row r="727">
      <c r="A727" s="256">
        <f>IFERROR(__xludf.DUMMYFUNCTION("""COMPUTED_VALUE"""),42491.33194444445)</f>
        <v>42491.33194</v>
      </c>
      <c r="B727" s="257" t="str">
        <f>IFERROR(__xludf.DUMMYFUNCTION("""COMPUTED_VALUE"""),"JimmyJam")</f>
        <v>JimmyJam</v>
      </c>
      <c r="C727" s="258" t="str">
        <f>IFERROR(__xludf.DUMMYFUNCTION("""COMPUTED_VALUE"""),"Europe (excluding UK) &amp; Asia Pacific")</f>
        <v>Europe (excluding UK) &amp; Asia Pacific</v>
      </c>
      <c r="D727" s="258" t="str">
        <f>IFERROR(__xludf.DUMMYFUNCTION("""COMPUTED_VALUE"""),"km. My car displays range in kilometres and I will enter all range numbers in kilometres.")</f>
        <v>km. My car displays range in kilometres and I will enter all range numbers in kilometres.</v>
      </c>
      <c r="E727" s="259">
        <f>IFERROR(__xludf.DUMMYFUNCTION("""COMPUTED_VALUE"""),41814.0)</f>
        <v>41814</v>
      </c>
      <c r="F727" s="258" t="str">
        <f>IFERROR(__xludf.DUMMYFUNCTION("""COMPUTED_VALUE"""),"Model S 85")</f>
        <v>Model S 85</v>
      </c>
      <c r="G727" s="258" t="str">
        <f>IFERROR(__xludf.DUMMYFUNCTION("""COMPUTED_VALUE"""),"Twice a month")</f>
        <v>Twice a month</v>
      </c>
      <c r="H727" s="258" t="str">
        <f>IFERROR(__xludf.DUMMYFUNCTION("""COMPUTED_VALUE"""),"Twice a month")</f>
        <v>Twice a month</v>
      </c>
      <c r="I727" s="258" t="str">
        <f>IFERROR(__xludf.DUMMYFUNCTION("""COMPUTED_VALUE"""),"A few times a year")</f>
        <v>A few times a year</v>
      </c>
      <c r="J727" s="260">
        <f>IFERROR(__xludf.DUMMYFUNCTION("""COMPUTED_VALUE"""),0.9)</f>
        <v>0.9</v>
      </c>
      <c r="K727" s="258">
        <f>IFERROR(__xludf.DUMMYFUNCTION("""COMPUTED_VALUE"""),398.0)</f>
        <v>398</v>
      </c>
      <c r="L727" s="258" t="str">
        <f>IFERROR(__xludf.DUMMYFUNCTION("""COMPUTED_VALUE"""),"")</f>
        <v/>
      </c>
      <c r="M727" s="261">
        <f>IFERROR(__xludf.DUMMYFUNCTION("""COMPUTED_VALUE"""),222.0)</f>
        <v>222</v>
      </c>
      <c r="N727" s="262" t="str">
        <f>IFERROR(__xludf.DUMMYFUNCTION("""COMPUTED_VALUE"""),"")</f>
        <v/>
      </c>
      <c r="O727" s="259" t="str">
        <f>IFERROR(__xludf.DUMMYFUNCTION("""COMPUTED_VALUE"""),"")</f>
        <v/>
      </c>
      <c r="P727" s="259">
        <f>IFERROR(__xludf.DUMMYFUNCTION("""COMPUTED_VALUE"""),42491.0)</f>
        <v>42491</v>
      </c>
      <c r="Q727" s="258">
        <f>IFERROR(__xludf.DUMMYFUNCTION("""COMPUTED_VALUE"""),89983.0)</f>
        <v>89983</v>
      </c>
      <c r="R727" s="261">
        <f>IFERROR(__xludf.DUMMYFUNCTION("""COMPUTED_VALUE"""),377.0)</f>
        <v>377</v>
      </c>
      <c r="S727" s="258">
        <v>395.0</v>
      </c>
      <c r="T727" s="263">
        <v>0.9544303797468354</v>
      </c>
      <c r="U727" s="264">
        <v>55913.0</v>
      </c>
      <c r="V727" s="265">
        <v>89983.0</v>
      </c>
      <c r="W727" s="264">
        <v>55913.0</v>
      </c>
      <c r="X727" s="266"/>
      <c r="Y727" s="267">
        <v>-0.01</v>
      </c>
      <c r="Z727" s="267">
        <v>0.9489678945557039</v>
      </c>
      <c r="AA727" s="269"/>
      <c r="AB727" s="270"/>
      <c r="AC727" s="270"/>
      <c r="AD727" s="270"/>
      <c r="AE727" s="270"/>
    </row>
    <row r="728">
      <c r="A728" s="256">
        <f>IFERROR(__xludf.DUMMYFUNCTION("""COMPUTED_VALUE"""),42586.37361111111)</f>
        <v>42586.37361</v>
      </c>
      <c r="B728" s="257" t="str">
        <f>IFERROR(__xludf.DUMMYFUNCTION("""COMPUTED_VALUE"""),"JimmyJam")</f>
        <v>JimmyJam</v>
      </c>
      <c r="C728" s="258" t="str">
        <f>IFERROR(__xludf.DUMMYFUNCTION("""COMPUTED_VALUE"""),"Europe (excluding UK) &amp; Asia Pacific")</f>
        <v>Europe (excluding UK) &amp; Asia Pacific</v>
      </c>
      <c r="D728" s="258" t="str">
        <f>IFERROR(__xludf.DUMMYFUNCTION("""COMPUTED_VALUE"""),"km. My car displays range in kilometres and I will enter all range numbers in kilometres.")</f>
        <v>km. My car displays range in kilometres and I will enter all range numbers in kilometres.</v>
      </c>
      <c r="E728" s="259">
        <f>IFERROR(__xludf.DUMMYFUNCTION("""COMPUTED_VALUE"""),41814.0)</f>
        <v>41814</v>
      </c>
      <c r="F728" s="258" t="str">
        <f>IFERROR(__xludf.DUMMYFUNCTION("""COMPUTED_VALUE"""),"Model S 85")</f>
        <v>Model S 85</v>
      </c>
      <c r="G728" s="258" t="str">
        <f>IFERROR(__xludf.DUMMYFUNCTION("""COMPUTED_VALUE"""),"Monthly")</f>
        <v>Monthly</v>
      </c>
      <c r="H728" s="258" t="str">
        <f>IFERROR(__xludf.DUMMYFUNCTION("""COMPUTED_VALUE"""),"Monthly")</f>
        <v>Monthly</v>
      </c>
      <c r="I728" s="258" t="str">
        <f>IFERROR(__xludf.DUMMYFUNCTION("""COMPUTED_VALUE"""),"Once or twice a year")</f>
        <v>Once or twice a year</v>
      </c>
      <c r="J728" s="260">
        <f>IFERROR(__xludf.DUMMYFUNCTION("""COMPUTED_VALUE"""),0.8)</f>
        <v>0.8</v>
      </c>
      <c r="K728" s="258">
        <f>IFERROR(__xludf.DUMMYFUNCTION("""COMPUTED_VALUE"""),398.0)</f>
        <v>398</v>
      </c>
      <c r="L728" s="258" t="str">
        <f>IFERROR(__xludf.DUMMYFUNCTION("""COMPUTED_VALUE"""),"")</f>
        <v/>
      </c>
      <c r="M728" s="261">
        <f>IFERROR(__xludf.DUMMYFUNCTION("""COMPUTED_VALUE"""),220.0)</f>
        <v>220</v>
      </c>
      <c r="N728" s="262" t="str">
        <f>IFERROR(__xludf.DUMMYFUNCTION("""COMPUTED_VALUE"""),"")</f>
        <v/>
      </c>
      <c r="O728" s="259" t="str">
        <f>IFERROR(__xludf.DUMMYFUNCTION("""COMPUTED_VALUE"""),"")</f>
        <v/>
      </c>
      <c r="P728" s="259">
        <f>IFERROR(__xludf.DUMMYFUNCTION("""COMPUTED_VALUE"""),42586.0)</f>
        <v>42586</v>
      </c>
      <c r="Q728" s="258">
        <f>IFERROR(__xludf.DUMMYFUNCTION("""COMPUTED_VALUE"""),100500.0)</f>
        <v>100500</v>
      </c>
      <c r="R728" s="261">
        <f>IFERROR(__xludf.DUMMYFUNCTION("""COMPUTED_VALUE"""),381.0)</f>
        <v>381</v>
      </c>
      <c r="S728" s="258">
        <v>395.0</v>
      </c>
      <c r="T728" s="263">
        <v>0.9645569620253165</v>
      </c>
      <c r="U728" s="264">
        <v>62448.0</v>
      </c>
      <c r="V728" s="265">
        <v>100500.0</v>
      </c>
      <c r="W728" s="264">
        <v>62448.0</v>
      </c>
      <c r="X728" s="266"/>
      <c r="Y728" s="267">
        <v>-0.01</v>
      </c>
      <c r="Z728" s="267">
        <v>0.9464677508778102</v>
      </c>
      <c r="AA728" s="269"/>
      <c r="AB728" s="270"/>
      <c r="AC728" s="270"/>
      <c r="AD728" s="270"/>
      <c r="AE728" s="270"/>
    </row>
    <row r="729">
      <c r="A729" s="256">
        <f>IFERROR(__xludf.DUMMYFUNCTION("""COMPUTED_VALUE"""),42685.43541666667)</f>
        <v>42685.43542</v>
      </c>
      <c r="B729" s="257" t="str">
        <f>IFERROR(__xludf.DUMMYFUNCTION("""COMPUTED_VALUE"""),"JimmyJam")</f>
        <v>JimmyJam</v>
      </c>
      <c r="C729" s="258" t="str">
        <f>IFERROR(__xludf.DUMMYFUNCTION("""COMPUTED_VALUE"""),"Europe (excluding UK) &amp; Asia Pacific")</f>
        <v>Europe (excluding UK) &amp; Asia Pacific</v>
      </c>
      <c r="D729" s="258" t="str">
        <f>IFERROR(__xludf.DUMMYFUNCTION("""COMPUTED_VALUE"""),"km. My car displays range in kilometres and I will enter all range numbers in kilometres.")</f>
        <v>km. My car displays range in kilometres and I will enter all range numbers in kilometres.</v>
      </c>
      <c r="E729" s="259">
        <f>IFERROR(__xludf.DUMMYFUNCTION("""COMPUTED_VALUE"""),41814.0)</f>
        <v>41814</v>
      </c>
      <c r="F729" s="258" t="str">
        <f>IFERROR(__xludf.DUMMYFUNCTION("""COMPUTED_VALUE"""),"Model S 85")</f>
        <v>Model S 85</v>
      </c>
      <c r="G729" s="258" t="str">
        <f>IFERROR(__xludf.DUMMYFUNCTION("""COMPUTED_VALUE"""),"Monthly")</f>
        <v>Monthly</v>
      </c>
      <c r="H729" s="258" t="str">
        <f>IFERROR(__xludf.DUMMYFUNCTION("""COMPUTED_VALUE"""),"Monthly")</f>
        <v>Monthly</v>
      </c>
      <c r="I729" s="258" t="str">
        <f>IFERROR(__xludf.DUMMYFUNCTION("""COMPUTED_VALUE"""),"A few times a year")</f>
        <v>A few times a year</v>
      </c>
      <c r="J729" s="260">
        <f>IFERROR(__xludf.DUMMYFUNCTION("""COMPUTED_VALUE"""),0.9)</f>
        <v>0.9</v>
      </c>
      <c r="K729" s="258">
        <f>IFERROR(__xludf.DUMMYFUNCTION("""COMPUTED_VALUE"""),398.0)</f>
        <v>398</v>
      </c>
      <c r="L729" s="258" t="str">
        <f>IFERROR(__xludf.DUMMYFUNCTION("""COMPUTED_VALUE"""),"")</f>
        <v/>
      </c>
      <c r="M729" s="261">
        <f>IFERROR(__xludf.DUMMYFUNCTION("""COMPUTED_VALUE"""),221.0)</f>
        <v>221</v>
      </c>
      <c r="N729" s="262" t="str">
        <f>IFERROR(__xludf.DUMMYFUNCTION("""COMPUTED_VALUE"""),"")</f>
        <v/>
      </c>
      <c r="O729" s="259" t="str">
        <f>IFERROR(__xludf.DUMMYFUNCTION("""COMPUTED_VALUE"""),"")</f>
        <v/>
      </c>
      <c r="P729" s="259">
        <f>IFERROR(__xludf.DUMMYFUNCTION("""COMPUTED_VALUE"""),42685.0)</f>
        <v>42685</v>
      </c>
      <c r="Q729" s="258">
        <f>IFERROR(__xludf.DUMMYFUNCTION("""COMPUTED_VALUE"""),112000.0)</f>
        <v>112000</v>
      </c>
      <c r="R729" s="261">
        <f>IFERROR(__xludf.DUMMYFUNCTION("""COMPUTED_VALUE"""),377.0)</f>
        <v>377</v>
      </c>
      <c r="S729" s="258">
        <v>395.0</v>
      </c>
      <c r="T729" s="263">
        <v>0.9544303797468354</v>
      </c>
      <c r="U729" s="264">
        <v>69594.0</v>
      </c>
      <c r="V729" s="265">
        <v>112000.0</v>
      </c>
      <c r="W729" s="264">
        <v>69594.0</v>
      </c>
      <c r="X729" s="266"/>
      <c r="Y729" s="267">
        <v>-0.01</v>
      </c>
      <c r="Z729" s="267">
        <v>0.9437722672712557</v>
      </c>
      <c r="AA729" s="269"/>
      <c r="AB729" s="270"/>
      <c r="AC729" s="270"/>
      <c r="AD729" s="270"/>
      <c r="AE729" s="270"/>
    </row>
    <row r="730">
      <c r="A730" s="256">
        <f>IFERROR(__xludf.DUMMYFUNCTION("""COMPUTED_VALUE"""),42963.57847222222)</f>
        <v>42963.57847</v>
      </c>
      <c r="B730" s="257" t="str">
        <f>IFERROR(__xludf.DUMMYFUNCTION("""COMPUTED_VALUE"""),"JimmyJam")</f>
        <v>JimmyJam</v>
      </c>
      <c r="C730" s="258" t="str">
        <f>IFERROR(__xludf.DUMMYFUNCTION("""COMPUTED_VALUE"""),"Europe (excluding UK) &amp; Asia Pacific")</f>
        <v>Europe (excluding UK) &amp; Asia Pacific</v>
      </c>
      <c r="D730" s="258" t="str">
        <f>IFERROR(__xludf.DUMMYFUNCTION("""COMPUTED_VALUE"""),"km. My car displays range in kilometres and I will enter all range numbers in kilometres.")</f>
        <v>km. My car displays range in kilometres and I will enter all range numbers in kilometres.</v>
      </c>
      <c r="E730" s="259">
        <f>IFERROR(__xludf.DUMMYFUNCTION("""COMPUTED_VALUE"""),41814.0)</f>
        <v>41814</v>
      </c>
      <c r="F730" s="258" t="str">
        <f>IFERROR(__xludf.DUMMYFUNCTION("""COMPUTED_VALUE"""),"Model S 85")</f>
        <v>Model S 85</v>
      </c>
      <c r="G730" s="258" t="str">
        <f>IFERROR(__xludf.DUMMYFUNCTION("""COMPUTED_VALUE"""),"Twice a month")</f>
        <v>Twice a month</v>
      </c>
      <c r="H730" s="258" t="str">
        <f>IFERROR(__xludf.DUMMYFUNCTION("""COMPUTED_VALUE"""),"Monthly")</f>
        <v>Monthly</v>
      </c>
      <c r="I730" s="258" t="str">
        <f>IFERROR(__xludf.DUMMYFUNCTION("""COMPUTED_VALUE"""),"A few times a year")</f>
        <v>A few times a year</v>
      </c>
      <c r="J730" s="260">
        <f>IFERROR(__xludf.DUMMYFUNCTION("""COMPUTED_VALUE"""),0.9)</f>
        <v>0.9</v>
      </c>
      <c r="K730" s="258">
        <f>IFERROR(__xludf.DUMMYFUNCTION("""COMPUTED_VALUE"""),398.0)</f>
        <v>398</v>
      </c>
      <c r="L730" s="258" t="str">
        <f>IFERROR(__xludf.DUMMYFUNCTION("""COMPUTED_VALUE"""),"")</f>
        <v/>
      </c>
      <c r="M730" s="261">
        <f>IFERROR(__xludf.DUMMYFUNCTION("""COMPUTED_VALUE"""),217.0)</f>
        <v>217</v>
      </c>
      <c r="N730" s="262" t="str">
        <f>IFERROR(__xludf.DUMMYFUNCTION("""COMPUTED_VALUE"""),"")</f>
        <v/>
      </c>
      <c r="O730" s="259" t="str">
        <f>IFERROR(__xludf.DUMMYFUNCTION("""COMPUTED_VALUE"""),"")</f>
        <v/>
      </c>
      <c r="P730" s="259">
        <f>IFERROR(__xludf.DUMMYFUNCTION("""COMPUTED_VALUE"""),42963.0)</f>
        <v>42963</v>
      </c>
      <c r="Q730" s="258">
        <f>IFERROR(__xludf.DUMMYFUNCTION("""COMPUTED_VALUE"""),143425.0)</f>
        <v>143425</v>
      </c>
      <c r="R730" s="261">
        <f>IFERROR(__xludf.DUMMYFUNCTION("""COMPUTED_VALUE"""),371.0)</f>
        <v>371</v>
      </c>
      <c r="S730" s="258">
        <v>395.0</v>
      </c>
      <c r="T730" s="263">
        <v>0.9392405063291139</v>
      </c>
      <c r="U730" s="264">
        <v>89120.0</v>
      </c>
      <c r="V730" s="265">
        <v>143425.0</v>
      </c>
      <c r="W730" s="264">
        <v>89120.0</v>
      </c>
      <c r="X730" s="266"/>
      <c r="Y730" s="267">
        <v>-0.01</v>
      </c>
      <c r="Z730" s="267">
        <v>0.9364862266217584</v>
      </c>
      <c r="AA730" s="269"/>
      <c r="AB730" s="270"/>
      <c r="AC730" s="270"/>
      <c r="AD730" s="270"/>
      <c r="AE730" s="270"/>
    </row>
    <row r="731">
      <c r="A731" s="256">
        <f>IFERROR(__xludf.DUMMYFUNCTION("""COMPUTED_VALUE"""),43117.67013888889)</f>
        <v>43117.67014</v>
      </c>
      <c r="B731" s="257" t="str">
        <f>IFERROR(__xludf.DUMMYFUNCTION("""COMPUTED_VALUE"""),"JimmyJam")</f>
        <v>JimmyJam</v>
      </c>
      <c r="C731" s="258" t="str">
        <f>IFERROR(__xludf.DUMMYFUNCTION("""COMPUTED_VALUE"""),"Europe (excluding UK) &amp; Asia Pacific")</f>
        <v>Europe (excluding UK) &amp; Asia Pacific</v>
      </c>
      <c r="D731" s="258" t="str">
        <f>IFERROR(__xludf.DUMMYFUNCTION("""COMPUTED_VALUE"""),"km. My car displays range in kilometres and I will enter all range numbers in kilometres.")</f>
        <v>km. My car displays range in kilometres and I will enter all range numbers in kilometres.</v>
      </c>
      <c r="E731" s="259">
        <f>IFERROR(__xludf.DUMMYFUNCTION("""COMPUTED_VALUE"""),41814.0)</f>
        <v>41814</v>
      </c>
      <c r="F731" s="258" t="str">
        <f>IFERROR(__xludf.DUMMYFUNCTION("""COMPUTED_VALUE"""),"Model S 85")</f>
        <v>Model S 85</v>
      </c>
      <c r="G731" s="258" t="str">
        <f>IFERROR(__xludf.DUMMYFUNCTION("""COMPUTED_VALUE"""),"Twice a month")</f>
        <v>Twice a month</v>
      </c>
      <c r="H731" s="258" t="str">
        <f>IFERROR(__xludf.DUMMYFUNCTION("""COMPUTED_VALUE"""),"Monthly")</f>
        <v>Monthly</v>
      </c>
      <c r="I731" s="258" t="str">
        <f>IFERROR(__xludf.DUMMYFUNCTION("""COMPUTED_VALUE"""),"A few times a year")</f>
        <v>A few times a year</v>
      </c>
      <c r="J731" s="260">
        <f>IFERROR(__xludf.DUMMYFUNCTION("""COMPUTED_VALUE"""),0.9)</f>
        <v>0.9</v>
      </c>
      <c r="K731" s="258">
        <f>IFERROR(__xludf.DUMMYFUNCTION("""COMPUTED_VALUE"""),398.0)</f>
        <v>398</v>
      </c>
      <c r="L731" s="258" t="str">
        <f>IFERROR(__xludf.DUMMYFUNCTION("""COMPUTED_VALUE"""),"")</f>
        <v/>
      </c>
      <c r="M731" s="261">
        <f>IFERROR(__xludf.DUMMYFUNCTION("""COMPUTED_VALUE"""),218.0)</f>
        <v>218</v>
      </c>
      <c r="N731" s="262" t="str">
        <f>IFERROR(__xludf.DUMMYFUNCTION("""COMPUTED_VALUE"""),"")</f>
        <v/>
      </c>
      <c r="O731" s="259" t="str">
        <f>IFERROR(__xludf.DUMMYFUNCTION("""COMPUTED_VALUE"""),"")</f>
        <v/>
      </c>
      <c r="P731" s="259">
        <f>IFERROR(__xludf.DUMMYFUNCTION("""COMPUTED_VALUE"""),43117.0)</f>
        <v>43117</v>
      </c>
      <c r="Q731" s="258">
        <f>IFERROR(__xludf.DUMMYFUNCTION("""COMPUTED_VALUE"""),159812.0)</f>
        <v>159812</v>
      </c>
      <c r="R731" s="261">
        <f>IFERROR(__xludf.DUMMYFUNCTION("""COMPUTED_VALUE"""),373.0)</f>
        <v>373</v>
      </c>
      <c r="S731" s="258">
        <v>395.0</v>
      </c>
      <c r="T731" s="263">
        <v>0.9443037974683545</v>
      </c>
      <c r="U731" s="264">
        <v>99303.0</v>
      </c>
      <c r="V731" s="265">
        <v>159812.0</v>
      </c>
      <c r="W731" s="264">
        <v>99303.0</v>
      </c>
      <c r="X731" s="266"/>
      <c r="Y731" s="267">
        <v>-0.01</v>
      </c>
      <c r="Z731" s="267">
        <v>0.9327021430088027</v>
      </c>
      <c r="AA731" s="269"/>
      <c r="AB731" s="270"/>
      <c r="AC731" s="270"/>
      <c r="AD731" s="270"/>
      <c r="AE731" s="270"/>
    </row>
    <row r="732">
      <c r="A732" s="256">
        <f>IFERROR(__xludf.DUMMYFUNCTION("""COMPUTED_VALUE"""),41910.024305555555)</f>
        <v>41910.02431</v>
      </c>
      <c r="B732" s="257" t="str">
        <f>IFERROR(__xludf.DUMMYFUNCTION("""COMPUTED_VALUE"""),"jja")</f>
        <v>jja</v>
      </c>
      <c r="C732" s="258" t="str">
        <f>IFERROR(__xludf.DUMMYFUNCTION("""COMPUTED_VALUE"""),"Europe (excluding UK) &amp; Asia Pacific")</f>
        <v>Europe (excluding UK) &amp; Asia Pacific</v>
      </c>
      <c r="D732" s="258" t="str">
        <f>IFERROR(__xludf.DUMMYFUNCTION("""COMPUTED_VALUE"""),"km. My car displays range in kilometres and I will enter all range numbers in kilometres.")</f>
        <v>km. My car displays range in kilometres and I will enter all range numbers in kilometres.</v>
      </c>
      <c r="E732" s="259">
        <f>IFERROR(__xludf.DUMMYFUNCTION("""COMPUTED_VALUE"""),41604.0)</f>
        <v>41604</v>
      </c>
      <c r="F732" s="258" t="str">
        <f>IFERROR(__xludf.DUMMYFUNCTION("""COMPUTED_VALUE"""),"Model S 85")</f>
        <v>Model S 85</v>
      </c>
      <c r="G732" s="258" t="str">
        <f>IFERROR(__xludf.DUMMYFUNCTION("""COMPUTED_VALUE"""),"A few times a year")</f>
        <v>A few times a year</v>
      </c>
      <c r="H732" s="258" t="str">
        <f>IFERROR(__xludf.DUMMYFUNCTION("""COMPUTED_VALUE"""),"A few times a year")</f>
        <v>A few times a year</v>
      </c>
      <c r="I732" s="258" t="str">
        <f>IFERROR(__xludf.DUMMYFUNCTION("""COMPUTED_VALUE"""),"Never")</f>
        <v>Never</v>
      </c>
      <c r="J732" s="260" t="str">
        <f>IFERROR(__xludf.DUMMYFUNCTION("""COMPUTED_VALUE"""),"")</f>
        <v/>
      </c>
      <c r="K732" s="258" t="str">
        <f>IFERROR(__xludf.DUMMYFUNCTION("""COMPUTED_VALUE"""),"")</f>
        <v/>
      </c>
      <c r="L732" s="258" t="str">
        <f>IFERROR(__xludf.DUMMYFUNCTION("""COMPUTED_VALUE"""),"")</f>
        <v/>
      </c>
      <c r="M732" s="261">
        <f>IFERROR(__xludf.DUMMYFUNCTION("""COMPUTED_VALUE"""),196.0)</f>
        <v>196</v>
      </c>
      <c r="N732" s="262" t="str">
        <f>IFERROR(__xludf.DUMMYFUNCTION("""COMPUTED_VALUE"""),"")</f>
        <v/>
      </c>
      <c r="O732" s="259" t="str">
        <f>IFERROR(__xludf.DUMMYFUNCTION("""COMPUTED_VALUE"""),"")</f>
        <v/>
      </c>
      <c r="P732" s="259">
        <f>IFERROR(__xludf.DUMMYFUNCTION("""COMPUTED_VALUE"""),41910.0)</f>
        <v>41910</v>
      </c>
      <c r="Q732" s="258">
        <f>IFERROR(__xludf.DUMMYFUNCTION("""COMPUTED_VALUE"""),20200.0)</f>
        <v>20200</v>
      </c>
      <c r="R732" s="261">
        <f>IFERROR(__xludf.DUMMYFUNCTION("""COMPUTED_VALUE"""),384.0)</f>
        <v>384</v>
      </c>
      <c r="S732" s="258">
        <v>395.0</v>
      </c>
      <c r="T732" s="263">
        <v>0.9721518987341772</v>
      </c>
      <c r="U732" s="264">
        <v>12552.0</v>
      </c>
      <c r="V732" s="265">
        <v>20200.0</v>
      </c>
      <c r="W732" s="264">
        <v>12552.0</v>
      </c>
      <c r="X732" s="266"/>
      <c r="Y732" s="267">
        <v>-0.01</v>
      </c>
      <c r="Z732" s="267">
        <v>0.9743064989723974</v>
      </c>
      <c r="AA732" s="269"/>
      <c r="AB732" s="270"/>
      <c r="AC732" s="270"/>
      <c r="AD732" s="270"/>
      <c r="AE732" s="270"/>
    </row>
    <row r="733">
      <c r="A733" s="256">
        <f>IFERROR(__xludf.DUMMYFUNCTION("""COMPUTED_VALUE"""),42110.09861111111)</f>
        <v>42110.09861</v>
      </c>
      <c r="B733" s="257" t="str">
        <f>IFERROR(__xludf.DUMMYFUNCTION("""COMPUTED_VALUE"""),"jja")</f>
        <v>jja</v>
      </c>
      <c r="C733" s="258" t="str">
        <f>IFERROR(__xludf.DUMMYFUNCTION("""COMPUTED_VALUE"""),"Europe (excluding UK) &amp; Asia Pacific")</f>
        <v>Europe (excluding UK) &amp; Asia Pacific</v>
      </c>
      <c r="D733" s="258" t="str">
        <f>IFERROR(__xludf.DUMMYFUNCTION("""COMPUTED_VALUE"""),"km. My car displays range in kilometres and I will enter all range numbers in kilometres.")</f>
        <v>km. My car displays range in kilometres and I will enter all range numbers in kilometres.</v>
      </c>
      <c r="E733" s="259">
        <f>IFERROR(__xludf.DUMMYFUNCTION("""COMPUTED_VALUE"""),41604.0)</f>
        <v>41604</v>
      </c>
      <c r="F733" s="258" t="str">
        <f>IFERROR(__xludf.DUMMYFUNCTION("""COMPUTED_VALUE"""),"Model S 85")</f>
        <v>Model S 85</v>
      </c>
      <c r="G733" s="258" t="str">
        <f>IFERROR(__xludf.DUMMYFUNCTION("""COMPUTED_VALUE"""),"Monthly")</f>
        <v>Monthly</v>
      </c>
      <c r="H733" s="258" t="str">
        <f>IFERROR(__xludf.DUMMYFUNCTION("""COMPUTED_VALUE"""),"A few times a year")</f>
        <v>A few times a year</v>
      </c>
      <c r="I733" s="258" t="str">
        <f>IFERROR(__xludf.DUMMYFUNCTION("""COMPUTED_VALUE"""),"Never")</f>
        <v>Never</v>
      </c>
      <c r="J733" s="260" t="str">
        <f>IFERROR(__xludf.DUMMYFUNCTION("""COMPUTED_VALUE"""),"")</f>
        <v/>
      </c>
      <c r="K733" s="258" t="str">
        <f>IFERROR(__xludf.DUMMYFUNCTION("""COMPUTED_VALUE"""),"")</f>
        <v/>
      </c>
      <c r="L733" s="258" t="str">
        <f>IFERROR(__xludf.DUMMYFUNCTION("""COMPUTED_VALUE"""),"")</f>
        <v/>
      </c>
      <c r="M733" s="261">
        <f>IFERROR(__xludf.DUMMYFUNCTION("""COMPUTED_VALUE"""),200.0)</f>
        <v>200</v>
      </c>
      <c r="N733" s="262" t="str">
        <f>IFERROR(__xludf.DUMMYFUNCTION("""COMPUTED_VALUE"""),"")</f>
        <v/>
      </c>
      <c r="O733" s="259" t="str">
        <f>IFERROR(__xludf.DUMMYFUNCTION("""COMPUTED_VALUE"""),"")</f>
        <v/>
      </c>
      <c r="P733" s="259">
        <f>IFERROR(__xludf.DUMMYFUNCTION("""COMPUTED_VALUE"""),42110.0)</f>
        <v>42110</v>
      </c>
      <c r="Q733" s="258">
        <f>IFERROR(__xludf.DUMMYFUNCTION("""COMPUTED_VALUE"""),31618.0)</f>
        <v>31618</v>
      </c>
      <c r="R733" s="261">
        <f>IFERROR(__xludf.DUMMYFUNCTION("""COMPUTED_VALUE"""),378.0)</f>
        <v>378</v>
      </c>
      <c r="S733" s="258">
        <v>395.0</v>
      </c>
      <c r="T733" s="263">
        <v>0.9569620253164557</v>
      </c>
      <c r="U733" s="264">
        <v>19647.0</v>
      </c>
      <c r="V733" s="265">
        <v>31618.0</v>
      </c>
      <c r="W733" s="264">
        <v>19647.0</v>
      </c>
      <c r="X733" s="266"/>
      <c r="Y733" s="267">
        <v>-0.01</v>
      </c>
      <c r="Z733" s="267">
        <v>0.9671098210718511</v>
      </c>
      <c r="AA733" s="269"/>
      <c r="AB733" s="270"/>
      <c r="AC733" s="270"/>
      <c r="AD733" s="270"/>
      <c r="AE733" s="270"/>
    </row>
    <row r="734">
      <c r="A734" s="256">
        <f>IFERROR(__xludf.DUMMYFUNCTION("""COMPUTED_VALUE"""),42727.48402777778)</f>
        <v>42727.48403</v>
      </c>
      <c r="B734" s="257" t="str">
        <f>IFERROR(__xludf.DUMMYFUNCTION("""COMPUTED_VALUE"""),"jja")</f>
        <v>jja</v>
      </c>
      <c r="C734" s="258" t="str">
        <f>IFERROR(__xludf.DUMMYFUNCTION("""COMPUTED_VALUE"""),"Europe (excluding UK) &amp; Asia Pacific")</f>
        <v>Europe (excluding UK) &amp; Asia Pacific</v>
      </c>
      <c r="D734" s="258" t="str">
        <f>IFERROR(__xludf.DUMMYFUNCTION("""COMPUTED_VALUE"""),"km. My car displays range in kilometres and I will enter all range numbers in kilometres.")</f>
        <v>km. My car displays range in kilometres and I will enter all range numbers in kilometres.</v>
      </c>
      <c r="E734" s="259">
        <f>IFERROR(__xludf.DUMMYFUNCTION("""COMPUTED_VALUE"""),41604.0)</f>
        <v>41604</v>
      </c>
      <c r="F734" s="258" t="str">
        <f>IFERROR(__xludf.DUMMYFUNCTION("""COMPUTED_VALUE"""),"Model S 85")</f>
        <v>Model S 85</v>
      </c>
      <c r="G734" s="258" t="str">
        <f>IFERROR(__xludf.DUMMYFUNCTION("""COMPUTED_VALUE"""),"Monthly")</f>
        <v>Monthly</v>
      </c>
      <c r="H734" s="258" t="str">
        <f>IFERROR(__xludf.DUMMYFUNCTION("""COMPUTED_VALUE"""),"A few times a year")</f>
        <v>A few times a year</v>
      </c>
      <c r="I734" s="258" t="str">
        <f>IFERROR(__xludf.DUMMYFUNCTION("""COMPUTED_VALUE"""),"Once or twice a year")</f>
        <v>Once or twice a year</v>
      </c>
      <c r="J734" s="260">
        <f>IFERROR(__xludf.DUMMYFUNCTION("""COMPUTED_VALUE"""),0.8)</f>
        <v>0.8</v>
      </c>
      <c r="K734" s="258">
        <f>IFERROR(__xludf.DUMMYFUNCTION("""COMPUTED_VALUE"""),396.0)</f>
        <v>396</v>
      </c>
      <c r="L734" s="258" t="str">
        <f>IFERROR(__xludf.DUMMYFUNCTION("""COMPUTED_VALUE"""),"")</f>
        <v/>
      </c>
      <c r="M734" s="261">
        <f>IFERROR(__xludf.DUMMYFUNCTION("""COMPUTED_VALUE"""),200.0)</f>
        <v>200</v>
      </c>
      <c r="N734" s="262" t="str">
        <f>IFERROR(__xludf.DUMMYFUNCTION("""COMPUTED_VALUE"""),"")</f>
        <v/>
      </c>
      <c r="O734" s="259" t="str">
        <f>IFERROR(__xludf.DUMMYFUNCTION("""COMPUTED_VALUE"""),"")</f>
        <v/>
      </c>
      <c r="P734" s="259">
        <f>IFERROR(__xludf.DUMMYFUNCTION("""COMPUTED_VALUE"""),42727.0)</f>
        <v>42727</v>
      </c>
      <c r="Q734" s="258">
        <f>IFERROR(__xludf.DUMMYFUNCTION("""COMPUTED_VALUE"""),70300.0)</f>
        <v>70300</v>
      </c>
      <c r="R734" s="261">
        <f>IFERROR(__xludf.DUMMYFUNCTION("""COMPUTED_VALUE"""),382.0)</f>
        <v>382</v>
      </c>
      <c r="S734" s="258">
        <v>395.0</v>
      </c>
      <c r="T734" s="263">
        <v>0.9670886075949368</v>
      </c>
      <c r="U734" s="264">
        <v>43682.0</v>
      </c>
      <c r="V734" s="265">
        <v>70300.0</v>
      </c>
      <c r="W734" s="264">
        <v>43682.0</v>
      </c>
      <c r="X734" s="266"/>
      <c r="Y734" s="267">
        <v>-0.01</v>
      </c>
      <c r="Z734" s="267">
        <v>0.9538559859916758</v>
      </c>
      <c r="AA734" s="269"/>
      <c r="AB734" s="270"/>
      <c r="AC734" s="270"/>
      <c r="AD734" s="270"/>
      <c r="AE734" s="270"/>
    </row>
    <row r="735">
      <c r="A735" s="256">
        <f>IFERROR(__xludf.DUMMYFUNCTION("""COMPUTED_VALUE"""),43727.794143125)</f>
        <v>43727.79414</v>
      </c>
      <c r="B735" s="257" t="str">
        <f>IFERROR(__xludf.DUMMYFUNCTION("""COMPUTED_VALUE"""),"Jlk")</f>
        <v>Jlk</v>
      </c>
      <c r="C735" s="258" t="str">
        <f>IFERROR(__xludf.DUMMYFUNCTION("""COMPUTED_VALUE"""),"Europe (excluding UK) &amp; Asia Pacific")</f>
        <v>Europe (excluding UK) &amp; Asia Pacific</v>
      </c>
      <c r="D735" s="258" t="str">
        <f>IFERROR(__xludf.DUMMYFUNCTION("""COMPUTED_VALUE"""),"km. My car displays range in kilometres and I will enter all range numbers in kilometres.")</f>
        <v>km. My car displays range in kilometres and I will enter all range numbers in kilometres.</v>
      </c>
      <c r="E735" s="259">
        <f>IFERROR(__xludf.DUMMYFUNCTION("""COMPUTED_VALUE"""),42102.0)</f>
        <v>42102</v>
      </c>
      <c r="F735" s="258" t="str">
        <f>IFERROR(__xludf.DUMMYFUNCTION("""COMPUTED_VALUE"""),"Model S 85D")</f>
        <v>Model S 85D</v>
      </c>
      <c r="G735" s="258" t="str">
        <f>IFERROR(__xludf.DUMMYFUNCTION("""COMPUTED_VALUE"""),"A few times a year")</f>
        <v>A few times a year</v>
      </c>
      <c r="H735" s="258" t="str">
        <f>IFERROR(__xludf.DUMMYFUNCTION("""COMPUTED_VALUE"""),"Once or twice a year")</f>
        <v>Once or twice a year</v>
      </c>
      <c r="I735" s="258" t="str">
        <f>IFERROR(__xludf.DUMMYFUNCTION("""COMPUTED_VALUE"""),"Once or twice a year")</f>
        <v>Once or twice a year</v>
      </c>
      <c r="J735" s="260">
        <f>IFERROR(__xludf.DUMMYFUNCTION("""COMPUTED_VALUE"""),0.8)</f>
        <v>0.8</v>
      </c>
      <c r="K735" s="258">
        <f>IFERROR(__xludf.DUMMYFUNCTION("""COMPUTED_VALUE"""),420.0)</f>
        <v>420</v>
      </c>
      <c r="L735" s="258" t="str">
        <f>IFERROR(__xludf.DUMMYFUNCTION("""COMPUTED_VALUE"""),"")</f>
        <v/>
      </c>
      <c r="M735" s="261" t="str">
        <f>IFERROR(__xludf.DUMMYFUNCTION("""COMPUTED_VALUE"""),"")</f>
        <v/>
      </c>
      <c r="N735" s="262" t="str">
        <f>IFERROR(__xludf.DUMMYFUNCTION("""COMPUTED_VALUE"""),"")</f>
        <v/>
      </c>
      <c r="O735" s="259" t="str">
        <f>IFERROR(__xludf.DUMMYFUNCTION("""COMPUTED_VALUE"""),"")</f>
        <v/>
      </c>
      <c r="P735" s="259">
        <f>IFERROR(__xludf.DUMMYFUNCTION("""COMPUTED_VALUE"""),43666.0)</f>
        <v>43666</v>
      </c>
      <c r="Q735" s="258">
        <f>IFERROR(__xludf.DUMMYFUNCTION("""COMPUTED_VALUE"""),58000.0)</f>
        <v>58000</v>
      </c>
      <c r="R735" s="261">
        <f>IFERROR(__xludf.DUMMYFUNCTION("""COMPUTED_VALUE"""),410.0)</f>
        <v>410</v>
      </c>
      <c r="S735" s="258">
        <v>425.0</v>
      </c>
      <c r="T735" s="263">
        <v>0.9647058823529412</v>
      </c>
      <c r="U735" s="264">
        <v>36040.0</v>
      </c>
      <c r="V735" s="265">
        <v>58000.0</v>
      </c>
      <c r="W735" s="264">
        <v>36040.0</v>
      </c>
      <c r="X735" s="266"/>
      <c r="Y735" s="267">
        <v>-0.01</v>
      </c>
      <c r="Z735" s="267">
        <v>0.957226618669855</v>
      </c>
      <c r="AA735" s="269"/>
      <c r="AB735" s="270"/>
      <c r="AC735" s="270"/>
      <c r="AD735" s="270"/>
      <c r="AE735" s="270"/>
    </row>
    <row r="736">
      <c r="A736" s="256">
        <f>IFERROR(__xludf.DUMMYFUNCTION("""COMPUTED_VALUE"""),42347.24097222222)</f>
        <v>42347.24097</v>
      </c>
      <c r="B736" s="257" t="str">
        <f>IFERROR(__xludf.DUMMYFUNCTION("""COMPUTED_VALUE"""),"JM_AU")</f>
        <v>JM_AU</v>
      </c>
      <c r="C736" s="258" t="str">
        <f>IFERROR(__xludf.DUMMYFUNCTION("""COMPUTED_VALUE"""),"Europe (excluding UK) &amp; Asia Pacific")</f>
        <v>Europe (excluding UK) &amp; Asia Pacific</v>
      </c>
      <c r="D736" s="258" t="str">
        <f>IFERROR(__xludf.DUMMYFUNCTION("""COMPUTED_VALUE"""),"km. My car displays range in kilometres and I will enter all range numbers in kilometres.")</f>
        <v>km. My car displays range in kilometres and I will enter all range numbers in kilometres.</v>
      </c>
      <c r="E736" s="259">
        <f>IFERROR(__xludf.DUMMYFUNCTION("""COMPUTED_VALUE"""),41949.0)</f>
        <v>41949</v>
      </c>
      <c r="F736" s="258" t="str">
        <f>IFERROR(__xludf.DUMMYFUNCTION("""COMPUTED_VALUE"""),"Model S 60")</f>
        <v>Model S 60</v>
      </c>
      <c r="G736" s="258" t="str">
        <f>IFERROR(__xludf.DUMMYFUNCTION("""COMPUTED_VALUE"""),"Monthly")</f>
        <v>Monthly</v>
      </c>
      <c r="H736" s="258" t="str">
        <f>IFERROR(__xludf.DUMMYFUNCTION("""COMPUTED_VALUE"""),"A few times a year")</f>
        <v>A few times a year</v>
      </c>
      <c r="I736" s="258" t="str">
        <f>IFERROR(__xludf.DUMMYFUNCTION("""COMPUTED_VALUE"""),"Monthly")</f>
        <v>Monthly</v>
      </c>
      <c r="J736" s="260">
        <f>IFERROR(__xludf.DUMMYFUNCTION("""COMPUTED_VALUE"""),0.9)</f>
        <v>0.9</v>
      </c>
      <c r="K736" s="258" t="str">
        <f>IFERROR(__xludf.DUMMYFUNCTION("""COMPUTED_VALUE"""),"")</f>
        <v/>
      </c>
      <c r="L736" s="258" t="str">
        <f>IFERROR(__xludf.DUMMYFUNCTION("""COMPUTED_VALUE"""),"")</f>
        <v/>
      </c>
      <c r="M736" s="261">
        <f>IFERROR(__xludf.DUMMYFUNCTION("""COMPUTED_VALUE"""),189.0)</f>
        <v>189</v>
      </c>
      <c r="N736" s="262" t="str">
        <f>IFERROR(__xludf.DUMMYFUNCTION("""COMPUTED_VALUE"""),"")</f>
        <v/>
      </c>
      <c r="O736" s="259" t="str">
        <f>IFERROR(__xludf.DUMMYFUNCTION("""COMPUTED_VALUE"""),"")</f>
        <v/>
      </c>
      <c r="P736" s="259">
        <f>IFERROR(__xludf.DUMMYFUNCTION("""COMPUTED_VALUE"""),42347.0)</f>
        <v>42347</v>
      </c>
      <c r="Q736" s="258">
        <f>IFERROR(__xludf.DUMMYFUNCTION("""COMPUTED_VALUE"""),20100.0)</f>
        <v>20100</v>
      </c>
      <c r="R736" s="261">
        <f>IFERROR(__xludf.DUMMYFUNCTION("""COMPUTED_VALUE"""),303.0)</f>
        <v>303</v>
      </c>
      <c r="S736" s="258">
        <v>284.0</v>
      </c>
      <c r="T736" s="263">
        <v>1.0669014084507042</v>
      </c>
      <c r="U736" s="264">
        <v>12490.0</v>
      </c>
      <c r="V736" s="265">
        <v>20100.0</v>
      </c>
      <c r="W736" s="264">
        <v>12490.0</v>
      </c>
      <c r="X736" s="266"/>
      <c r="Y736" s="267">
        <v>-0.01</v>
      </c>
      <c r="Z736" s="267">
        <v>0.9743844094216747</v>
      </c>
      <c r="AA736" s="269"/>
      <c r="AB736" s="270"/>
      <c r="AC736" s="270"/>
      <c r="AD736" s="270"/>
      <c r="AE736" s="270"/>
    </row>
    <row r="737">
      <c r="A737" s="256">
        <f>IFERROR(__xludf.DUMMYFUNCTION("""COMPUTED_VALUE"""),42601.80416666667)</f>
        <v>42601.80417</v>
      </c>
      <c r="B737" s="257" t="str">
        <f>IFERROR(__xludf.DUMMYFUNCTION("""COMPUTED_VALUE"""),"JMG")</f>
        <v>JMG</v>
      </c>
      <c r="C737" s="258" t="str">
        <f>IFERROR(__xludf.DUMMYFUNCTION("""COMPUTED_VALUE"""),"USA")</f>
        <v>USA</v>
      </c>
      <c r="D737" s="258" t="str">
        <f>IFERROR(__xludf.DUMMYFUNCTION("""COMPUTED_VALUE"""),"mi. My car displays range in miles and I will enter all range numbers in miles.")</f>
        <v>mi. My car displays range in miles and I will enter all range numbers in miles.</v>
      </c>
      <c r="E737" s="259">
        <f>IFERROR(__xludf.DUMMYFUNCTION("""COMPUTED_VALUE"""),42111.0)</f>
        <v>42111</v>
      </c>
      <c r="F737" s="258" t="str">
        <f>IFERROR(__xludf.DUMMYFUNCTION("""COMPUTED_VALUE"""),"Model S 85D")</f>
        <v>Model S 85D</v>
      </c>
      <c r="G737" s="258" t="str">
        <f>IFERROR(__xludf.DUMMYFUNCTION("""COMPUTED_VALUE"""),"Monthly")</f>
        <v>Monthly</v>
      </c>
      <c r="H737" s="258" t="str">
        <f>IFERROR(__xludf.DUMMYFUNCTION("""COMPUTED_VALUE"""),"Monthly")</f>
        <v>Monthly</v>
      </c>
      <c r="I737" s="258" t="str">
        <f>IFERROR(__xludf.DUMMYFUNCTION("""COMPUTED_VALUE"""),"Once or twice a year")</f>
        <v>Once or twice a year</v>
      </c>
      <c r="J737" s="260">
        <f>IFERROR(__xludf.DUMMYFUNCTION("""COMPUTED_VALUE"""),0.9)</f>
        <v>0.9</v>
      </c>
      <c r="K737" s="258">
        <f>IFERROR(__xludf.DUMMYFUNCTION("""COMPUTED_VALUE"""),272.0)</f>
        <v>272</v>
      </c>
      <c r="L737" s="258" t="str">
        <f>IFERROR(__xludf.DUMMYFUNCTION("""COMPUTED_VALUE"""),"")</f>
        <v/>
      </c>
      <c r="M737" s="261">
        <f>IFERROR(__xludf.DUMMYFUNCTION("""COMPUTED_VALUE"""),341.0)</f>
        <v>341</v>
      </c>
      <c r="N737" s="262" t="str">
        <f>IFERROR(__xludf.DUMMYFUNCTION("""COMPUTED_VALUE"""),"")</f>
        <v/>
      </c>
      <c r="O737" s="259" t="str">
        <f>IFERROR(__xludf.DUMMYFUNCTION("""COMPUTED_VALUE"""),"")</f>
        <v/>
      </c>
      <c r="P737" s="259">
        <f>IFERROR(__xludf.DUMMYFUNCTION("""COMPUTED_VALUE"""),42601.0)</f>
        <v>42601</v>
      </c>
      <c r="Q737" s="258">
        <f>IFERROR(__xludf.DUMMYFUNCTION("""COMPUTED_VALUE"""),37951.0)</f>
        <v>37951</v>
      </c>
      <c r="R737" s="261">
        <f>IFERROR(__xludf.DUMMYFUNCTION("""COMPUTED_VALUE"""),261.0)</f>
        <v>261</v>
      </c>
      <c r="S737" s="258">
        <v>270.0</v>
      </c>
      <c r="T737" s="263">
        <v>0.9666666666666667</v>
      </c>
      <c r="U737" s="264">
        <v>37951.0</v>
      </c>
      <c r="V737" s="265">
        <v>61076.0</v>
      </c>
      <c r="W737" s="264">
        <v>37951.0</v>
      </c>
      <c r="X737" s="266"/>
      <c r="Y737" s="267">
        <v>-0.01</v>
      </c>
      <c r="Z737" s="267">
        <v>0.9563460788318787</v>
      </c>
      <c r="AA737" s="269"/>
      <c r="AB737" s="270"/>
      <c r="AC737" s="270"/>
      <c r="AD737" s="270"/>
      <c r="AE737" s="270"/>
    </row>
    <row r="738">
      <c r="A738" s="256">
        <f>IFERROR(__xludf.DUMMYFUNCTION("""COMPUTED_VALUE"""),43601.22502716435)</f>
        <v>43601.22503</v>
      </c>
      <c r="B738" s="257" t="str">
        <f>IFERROR(__xludf.DUMMYFUNCTION("""COMPUTED_VALUE"""),"joech26")</f>
        <v>joech26</v>
      </c>
      <c r="C738" s="258" t="str">
        <f>IFERROR(__xludf.DUMMYFUNCTION("""COMPUTED_VALUE"""),"Europe (excluding UK) &amp; Asia Pacific")</f>
        <v>Europe (excluding UK) &amp; Asia Pacific</v>
      </c>
      <c r="D738" s="258" t="str">
        <f>IFERROR(__xludf.DUMMYFUNCTION("""COMPUTED_VALUE"""),"km. My car displays range in kilometres and I will enter all range numbers in kilometres.")</f>
        <v>km. My car displays range in kilometres and I will enter all range numbers in kilometres.</v>
      </c>
      <c r="E738" s="259">
        <f>IFERROR(__xludf.DUMMYFUNCTION("""COMPUTED_VALUE"""),43018.0)</f>
        <v>43018</v>
      </c>
      <c r="F738" s="258" t="str">
        <f>IFERROR(__xludf.DUMMYFUNCTION("""COMPUTED_VALUE"""),"Model X 75D")</f>
        <v>Model X 75D</v>
      </c>
      <c r="G738" s="258" t="str">
        <f>IFERROR(__xludf.DUMMYFUNCTION("""COMPUTED_VALUE"""),"Weekly")</f>
        <v>Weekly</v>
      </c>
      <c r="H738" s="258" t="str">
        <f>IFERROR(__xludf.DUMMYFUNCTION("""COMPUTED_VALUE"""),"A few times a year")</f>
        <v>A few times a year</v>
      </c>
      <c r="I738" s="258" t="str">
        <f>IFERROR(__xludf.DUMMYFUNCTION("""COMPUTED_VALUE"""),"Once or twice a year")</f>
        <v>Once or twice a year</v>
      </c>
      <c r="J738" s="260">
        <f>IFERROR(__xludf.DUMMYFUNCTION("""COMPUTED_VALUE"""),0.9)</f>
        <v>0.9</v>
      </c>
      <c r="K738" s="258">
        <f>IFERROR(__xludf.DUMMYFUNCTION("""COMPUTED_VALUE"""),334.0)</f>
        <v>334</v>
      </c>
      <c r="L738" s="258" t="str">
        <f>IFERROR(__xludf.DUMMYFUNCTION("""COMPUTED_VALUE"""),"")</f>
        <v/>
      </c>
      <c r="M738" s="261">
        <f>IFERROR(__xludf.DUMMYFUNCTION("""COMPUTED_VALUE"""),221.0)</f>
        <v>221</v>
      </c>
      <c r="N738" s="262" t="str">
        <f>IFERROR(__xludf.DUMMYFUNCTION("""COMPUTED_VALUE"""),"")</f>
        <v/>
      </c>
      <c r="O738" s="259" t="str">
        <f>IFERROR(__xludf.DUMMYFUNCTION("""COMPUTED_VALUE"""),"")</f>
        <v/>
      </c>
      <c r="P738" s="259">
        <f>IFERROR(__xludf.DUMMYFUNCTION("""COMPUTED_VALUE"""),43586.0)</f>
        <v>43586</v>
      </c>
      <c r="Q738" s="258">
        <f>IFERROR(__xludf.DUMMYFUNCTION("""COMPUTED_VALUE"""),31718.0)</f>
        <v>31718</v>
      </c>
      <c r="R738" s="261">
        <f>IFERROR(__xludf.DUMMYFUNCTION("""COMPUTED_VALUE"""),316.0)</f>
        <v>316</v>
      </c>
      <c r="S738" s="258">
        <v>329.0</v>
      </c>
      <c r="T738" s="263">
        <v>0.9604863221884499</v>
      </c>
      <c r="U738" s="264">
        <v>19709.0</v>
      </c>
      <c r="V738" s="265">
        <v>31718.0</v>
      </c>
      <c r="W738" s="264">
        <v>19709.0</v>
      </c>
      <c r="X738" s="266"/>
      <c r="Y738" s="267">
        <v>-0.01</v>
      </c>
      <c r="Z738" s="267">
        <v>0.9670586815390645</v>
      </c>
      <c r="AA738" s="269"/>
      <c r="AB738" s="270"/>
      <c r="AC738" s="270"/>
      <c r="AD738" s="270"/>
      <c r="AE738" s="270"/>
    </row>
    <row r="739">
      <c r="A739" s="256">
        <f>IFERROR(__xludf.DUMMYFUNCTION("""COMPUTED_VALUE"""),43601.22502716435)</f>
        <v>43601.22503</v>
      </c>
      <c r="B739" s="257" t="str">
        <f>IFERROR(__xludf.DUMMYFUNCTION("""COMPUTED_VALUE"""),"joech26")</f>
        <v>joech26</v>
      </c>
      <c r="C739" s="258" t="str">
        <f>IFERROR(__xludf.DUMMYFUNCTION("""COMPUTED_VALUE"""),"Europe (excluding UK) &amp; Asia Pacific")</f>
        <v>Europe (excluding UK) &amp; Asia Pacific</v>
      </c>
      <c r="D739" s="258" t="str">
        <f>IFERROR(__xludf.DUMMYFUNCTION("""COMPUTED_VALUE"""),"km. My car displays range in kilometres and I will enter all range numbers in kilometres.")</f>
        <v>km. My car displays range in kilometres and I will enter all range numbers in kilometres.</v>
      </c>
      <c r="E739" s="259">
        <f>IFERROR(__xludf.DUMMYFUNCTION("""COMPUTED_VALUE"""),43018.0)</f>
        <v>43018</v>
      </c>
      <c r="F739" s="258" t="str">
        <f>IFERROR(__xludf.DUMMYFUNCTION("""COMPUTED_VALUE"""),"Model X 75D")</f>
        <v>Model X 75D</v>
      </c>
      <c r="G739" s="258" t="str">
        <f>IFERROR(__xludf.DUMMYFUNCTION("""COMPUTED_VALUE"""),"Weekly")</f>
        <v>Weekly</v>
      </c>
      <c r="H739" s="258" t="str">
        <f>IFERROR(__xludf.DUMMYFUNCTION("""COMPUTED_VALUE"""),"A few times a year")</f>
        <v>A few times a year</v>
      </c>
      <c r="I739" s="258" t="str">
        <f>IFERROR(__xludf.DUMMYFUNCTION("""COMPUTED_VALUE"""),"Once or twice a year")</f>
        <v>Once or twice a year</v>
      </c>
      <c r="J739" s="260">
        <f>IFERROR(__xludf.DUMMYFUNCTION("""COMPUTED_VALUE"""),0.9)</f>
        <v>0.9</v>
      </c>
      <c r="K739" s="258">
        <f>IFERROR(__xludf.DUMMYFUNCTION("""COMPUTED_VALUE"""),334.0)</f>
        <v>334</v>
      </c>
      <c r="L739" s="258" t="str">
        <f>IFERROR(__xludf.DUMMYFUNCTION("""COMPUTED_VALUE"""),"")</f>
        <v/>
      </c>
      <c r="M739" s="261">
        <f>IFERROR(__xludf.DUMMYFUNCTION("""COMPUTED_VALUE"""),221.0)</f>
        <v>221</v>
      </c>
      <c r="N739" s="262" t="str">
        <f>IFERROR(__xludf.DUMMYFUNCTION("""COMPUTED_VALUE"""),"")</f>
        <v/>
      </c>
      <c r="O739" s="259" t="str">
        <f>IFERROR(__xludf.DUMMYFUNCTION("""COMPUTED_VALUE"""),"")</f>
        <v/>
      </c>
      <c r="P739" s="259">
        <f>IFERROR(__xludf.DUMMYFUNCTION("""COMPUTED_VALUE"""),43520.0)</f>
        <v>43520</v>
      </c>
      <c r="Q739" s="258">
        <f>IFERROR(__xludf.DUMMYFUNCTION("""COMPUTED_VALUE"""),24748.0)</f>
        <v>24748</v>
      </c>
      <c r="R739" s="261">
        <f>IFERROR(__xludf.DUMMYFUNCTION("""COMPUTED_VALUE"""),317.0)</f>
        <v>317</v>
      </c>
      <c r="S739" s="258">
        <v>329.0</v>
      </c>
      <c r="T739" s="263">
        <v>0.9635258358662614</v>
      </c>
      <c r="U739" s="264">
        <v>15378.0</v>
      </c>
      <c r="V739" s="265">
        <v>24748.0</v>
      </c>
      <c r="W739" s="264">
        <v>15378.0</v>
      </c>
      <c r="X739" s="266"/>
      <c r="Y739" s="267">
        <v>-0.01</v>
      </c>
      <c r="Z739" s="267">
        <v>0.9710720354786647</v>
      </c>
      <c r="AA739" s="269"/>
      <c r="AB739" s="270"/>
      <c r="AC739" s="270"/>
      <c r="AD739" s="270"/>
      <c r="AE739" s="270"/>
    </row>
    <row r="740">
      <c r="A740" s="256">
        <f>IFERROR(__xludf.DUMMYFUNCTION("""COMPUTED_VALUE"""),43601.22502716435)</f>
        <v>43601.22503</v>
      </c>
      <c r="B740" s="257" t="str">
        <f>IFERROR(__xludf.DUMMYFUNCTION("""COMPUTED_VALUE"""),"joech26")</f>
        <v>joech26</v>
      </c>
      <c r="C740" s="258" t="str">
        <f>IFERROR(__xludf.DUMMYFUNCTION("""COMPUTED_VALUE"""),"Europe (excluding UK) &amp; Asia Pacific")</f>
        <v>Europe (excluding UK) &amp; Asia Pacific</v>
      </c>
      <c r="D740" s="258" t="str">
        <f>IFERROR(__xludf.DUMMYFUNCTION("""COMPUTED_VALUE"""),"km. My car displays range in kilometres and I will enter all range numbers in kilometres.")</f>
        <v>km. My car displays range in kilometres and I will enter all range numbers in kilometres.</v>
      </c>
      <c r="E740" s="259">
        <f>IFERROR(__xludf.DUMMYFUNCTION("""COMPUTED_VALUE"""),43018.0)</f>
        <v>43018</v>
      </c>
      <c r="F740" s="258" t="str">
        <f>IFERROR(__xludf.DUMMYFUNCTION("""COMPUTED_VALUE"""),"Model X 75D")</f>
        <v>Model X 75D</v>
      </c>
      <c r="G740" s="258" t="str">
        <f>IFERROR(__xludf.DUMMYFUNCTION("""COMPUTED_VALUE"""),"Weekly")</f>
        <v>Weekly</v>
      </c>
      <c r="H740" s="258" t="str">
        <f>IFERROR(__xludf.DUMMYFUNCTION("""COMPUTED_VALUE"""),"A few times a year")</f>
        <v>A few times a year</v>
      </c>
      <c r="I740" s="258" t="str">
        <f>IFERROR(__xludf.DUMMYFUNCTION("""COMPUTED_VALUE"""),"Once or twice a year")</f>
        <v>Once or twice a year</v>
      </c>
      <c r="J740" s="260">
        <f>IFERROR(__xludf.DUMMYFUNCTION("""COMPUTED_VALUE"""),0.9)</f>
        <v>0.9</v>
      </c>
      <c r="K740" s="258">
        <f>IFERROR(__xludf.DUMMYFUNCTION("""COMPUTED_VALUE"""),334.0)</f>
        <v>334</v>
      </c>
      <c r="L740" s="258" t="str">
        <f>IFERROR(__xludf.DUMMYFUNCTION("""COMPUTED_VALUE"""),"")</f>
        <v/>
      </c>
      <c r="M740" s="261">
        <f>IFERROR(__xludf.DUMMYFUNCTION("""COMPUTED_VALUE"""),221.0)</f>
        <v>221</v>
      </c>
      <c r="N740" s="262" t="str">
        <f>IFERROR(__xludf.DUMMYFUNCTION("""COMPUTED_VALUE"""),"")</f>
        <v/>
      </c>
      <c r="O740" s="259" t="str">
        <f>IFERROR(__xludf.DUMMYFUNCTION("""COMPUTED_VALUE"""),"")</f>
        <v/>
      </c>
      <c r="P740" s="259">
        <f>IFERROR(__xludf.DUMMYFUNCTION("""COMPUTED_VALUE"""),43446.0)</f>
        <v>43446</v>
      </c>
      <c r="Q740" s="258">
        <f>IFERROR(__xludf.DUMMYFUNCTION("""COMPUTED_VALUE"""),21913.0)</f>
        <v>21913</v>
      </c>
      <c r="R740" s="261">
        <f>IFERROR(__xludf.DUMMYFUNCTION("""COMPUTED_VALUE"""),325.0)</f>
        <v>325</v>
      </c>
      <c r="S740" s="258">
        <v>329.0</v>
      </c>
      <c r="T740" s="263">
        <v>0.9878419452887538</v>
      </c>
      <c r="U740" s="264">
        <v>13616.0</v>
      </c>
      <c r="V740" s="265">
        <v>21913.0</v>
      </c>
      <c r="W740" s="264">
        <v>13616.0</v>
      </c>
      <c r="X740" s="266"/>
      <c r="Y740" s="267">
        <v>-0.01</v>
      </c>
      <c r="Z740" s="267">
        <v>0.9730197589784384</v>
      </c>
      <c r="AA740" s="269"/>
      <c r="AB740" s="270"/>
      <c r="AC740" s="270"/>
      <c r="AD740" s="270"/>
      <c r="AE740" s="270"/>
    </row>
    <row r="741">
      <c r="A741" s="256">
        <f>IFERROR(__xludf.DUMMYFUNCTION("""COMPUTED_VALUE"""),43601.22502716435)</f>
        <v>43601.22503</v>
      </c>
      <c r="B741" s="257" t="str">
        <f>IFERROR(__xludf.DUMMYFUNCTION("""COMPUTED_VALUE"""),"joech26")</f>
        <v>joech26</v>
      </c>
      <c r="C741" s="258" t="str">
        <f>IFERROR(__xludf.DUMMYFUNCTION("""COMPUTED_VALUE"""),"Europe (excluding UK) &amp; Asia Pacific")</f>
        <v>Europe (excluding UK) &amp; Asia Pacific</v>
      </c>
      <c r="D741" s="258" t="str">
        <f>IFERROR(__xludf.DUMMYFUNCTION("""COMPUTED_VALUE"""),"km. My car displays range in kilometres and I will enter all range numbers in kilometres.")</f>
        <v>km. My car displays range in kilometres and I will enter all range numbers in kilometres.</v>
      </c>
      <c r="E741" s="259">
        <f>IFERROR(__xludf.DUMMYFUNCTION("""COMPUTED_VALUE"""),43018.0)</f>
        <v>43018</v>
      </c>
      <c r="F741" s="258" t="str">
        <f>IFERROR(__xludf.DUMMYFUNCTION("""COMPUTED_VALUE"""),"Model X 75D")</f>
        <v>Model X 75D</v>
      </c>
      <c r="G741" s="258" t="str">
        <f>IFERROR(__xludf.DUMMYFUNCTION("""COMPUTED_VALUE"""),"Weekly")</f>
        <v>Weekly</v>
      </c>
      <c r="H741" s="258" t="str">
        <f>IFERROR(__xludf.DUMMYFUNCTION("""COMPUTED_VALUE"""),"A few times a year")</f>
        <v>A few times a year</v>
      </c>
      <c r="I741" s="258" t="str">
        <f>IFERROR(__xludf.DUMMYFUNCTION("""COMPUTED_VALUE"""),"Once or twice a year")</f>
        <v>Once or twice a year</v>
      </c>
      <c r="J741" s="260">
        <f>IFERROR(__xludf.DUMMYFUNCTION("""COMPUTED_VALUE"""),0.9)</f>
        <v>0.9</v>
      </c>
      <c r="K741" s="258">
        <f>IFERROR(__xludf.DUMMYFUNCTION("""COMPUTED_VALUE"""),334.0)</f>
        <v>334</v>
      </c>
      <c r="L741" s="258" t="str">
        <f>IFERROR(__xludf.DUMMYFUNCTION("""COMPUTED_VALUE"""),"")</f>
        <v/>
      </c>
      <c r="M741" s="261">
        <f>IFERROR(__xludf.DUMMYFUNCTION("""COMPUTED_VALUE"""),221.0)</f>
        <v>221</v>
      </c>
      <c r="N741" s="262" t="str">
        <f>IFERROR(__xludf.DUMMYFUNCTION("""COMPUTED_VALUE"""),"")</f>
        <v/>
      </c>
      <c r="O741" s="259" t="str">
        <f>IFERROR(__xludf.DUMMYFUNCTION("""COMPUTED_VALUE"""),"")</f>
        <v/>
      </c>
      <c r="P741" s="259">
        <f>IFERROR(__xludf.DUMMYFUNCTION("""COMPUTED_VALUE"""),43285.0)</f>
        <v>43285</v>
      </c>
      <c r="Q741" s="258">
        <f>IFERROR(__xludf.DUMMYFUNCTION("""COMPUTED_VALUE"""),10574.0)</f>
        <v>10574</v>
      </c>
      <c r="R741" s="261">
        <f>IFERROR(__xludf.DUMMYFUNCTION("""COMPUTED_VALUE"""),329.0)</f>
        <v>329</v>
      </c>
      <c r="S741" s="258">
        <v>329.0</v>
      </c>
      <c r="T741" s="263">
        <v>1.0</v>
      </c>
      <c r="U741" s="264">
        <v>6570.0</v>
      </c>
      <c r="V741" s="265">
        <v>10574.0</v>
      </c>
      <c r="W741" s="264">
        <v>6570.0</v>
      </c>
      <c r="X741" s="266"/>
      <c r="Y741" s="267">
        <v>-0.01</v>
      </c>
      <c r="Z741" s="267">
        <v>0.9835818436881649</v>
      </c>
      <c r="AA741" s="269"/>
      <c r="AB741" s="270"/>
      <c r="AC741" s="270"/>
      <c r="AD741" s="270"/>
      <c r="AE741" s="270"/>
    </row>
    <row r="742">
      <c r="A742" s="256">
        <f>IFERROR(__xludf.DUMMYFUNCTION("""COMPUTED_VALUE"""),42369.268055555556)</f>
        <v>42369.26806</v>
      </c>
      <c r="B742" s="257" t="str">
        <f>IFERROR(__xludf.DUMMYFUNCTION("""COMPUTED_VALUE"""),"JoeJoe")</f>
        <v>JoeJoe</v>
      </c>
      <c r="C742" s="258" t="str">
        <f>IFERROR(__xludf.DUMMYFUNCTION("""COMPUTED_VALUE"""),"Europe (excluding UK) &amp; Asia Pacific")</f>
        <v>Europe (excluding UK) &amp; Asia Pacific</v>
      </c>
      <c r="D742" s="258" t="str">
        <f>IFERROR(__xludf.DUMMYFUNCTION("""COMPUTED_VALUE"""),"km. My car displays range in kilometres and I will enter all range numbers in kilometres.")</f>
        <v>km. My car displays range in kilometres and I will enter all range numbers in kilometres.</v>
      </c>
      <c r="E742" s="259">
        <f>IFERROR(__xludf.DUMMYFUNCTION("""COMPUTED_VALUE"""),42185.0)</f>
        <v>42185</v>
      </c>
      <c r="F742" s="258" t="str">
        <f>IFERROR(__xludf.DUMMYFUNCTION("""COMPUTED_VALUE"""),"Model S 70D")</f>
        <v>Model S 70D</v>
      </c>
      <c r="G742" s="258" t="str">
        <f>IFERROR(__xludf.DUMMYFUNCTION("""COMPUTED_VALUE"""),"Weekly")</f>
        <v>Weekly</v>
      </c>
      <c r="H742" s="258" t="str">
        <f>IFERROR(__xludf.DUMMYFUNCTION("""COMPUTED_VALUE"""),"A few times a year")</f>
        <v>A few times a year</v>
      </c>
      <c r="I742" s="258" t="str">
        <f>IFERROR(__xludf.DUMMYFUNCTION("""COMPUTED_VALUE"""),"Once or twice a year")</f>
        <v>Once or twice a year</v>
      </c>
      <c r="J742" s="260" t="str">
        <f>IFERROR(__xludf.DUMMYFUNCTION("""COMPUTED_VALUE"""),"")</f>
        <v/>
      </c>
      <c r="K742" s="258" t="str">
        <f>IFERROR(__xludf.DUMMYFUNCTION("""COMPUTED_VALUE"""),"")</f>
        <v/>
      </c>
      <c r="L742" s="258" t="str">
        <f>IFERROR(__xludf.DUMMYFUNCTION("""COMPUTED_VALUE"""),"")</f>
        <v/>
      </c>
      <c r="M742" s="261">
        <f>IFERROR(__xludf.DUMMYFUNCTION("""COMPUTED_VALUE"""),221.0)</f>
        <v>221</v>
      </c>
      <c r="N742" s="262" t="str">
        <f>IFERROR(__xludf.DUMMYFUNCTION("""COMPUTED_VALUE"""),"")</f>
        <v/>
      </c>
      <c r="O742" s="259" t="str">
        <f>IFERROR(__xludf.DUMMYFUNCTION("""COMPUTED_VALUE"""),"")</f>
        <v/>
      </c>
      <c r="P742" s="259">
        <f>IFERROR(__xludf.DUMMYFUNCTION("""COMPUTED_VALUE"""),42369.0)</f>
        <v>42369</v>
      </c>
      <c r="Q742" s="258">
        <f>IFERROR(__xludf.DUMMYFUNCTION("""COMPUTED_VALUE"""),15300.0)</f>
        <v>15300</v>
      </c>
      <c r="R742" s="261">
        <f>IFERROR(__xludf.DUMMYFUNCTION("""COMPUTED_VALUE"""),360.0)</f>
        <v>360</v>
      </c>
      <c r="S742" s="258">
        <v>360.0</v>
      </c>
      <c r="T742" s="263">
        <v>1.0</v>
      </c>
      <c r="U742" s="264">
        <v>9507.0</v>
      </c>
      <c r="V742" s="265">
        <v>15300.0</v>
      </c>
      <c r="W742" s="264">
        <v>9507.0</v>
      </c>
      <c r="X742" s="266"/>
      <c r="Y742" s="267">
        <v>-0.01</v>
      </c>
      <c r="Z742" s="267">
        <v>0.9785369805166184</v>
      </c>
      <c r="AA742" s="269"/>
      <c r="AB742" s="270"/>
      <c r="AC742" s="270"/>
      <c r="AD742" s="270"/>
      <c r="AE742" s="270"/>
    </row>
    <row r="743">
      <c r="A743" s="256">
        <f>IFERROR(__xludf.DUMMYFUNCTION("""COMPUTED_VALUE"""),41921.03194444445)</f>
        <v>41921.03194</v>
      </c>
      <c r="B743" s="257" t="str">
        <f>IFERROR(__xludf.DUMMYFUNCTION("""COMPUTED_VALUE"""),"JoeNe")</f>
        <v>JoeNe</v>
      </c>
      <c r="C743" s="258" t="str">
        <f>IFERROR(__xludf.DUMMYFUNCTION("""COMPUTED_VALUE"""),"Europe (excluding UK) &amp; Asia Pacific")</f>
        <v>Europe (excluding UK) &amp; Asia Pacific</v>
      </c>
      <c r="D743" s="258" t="str">
        <f>IFERROR(__xludf.DUMMYFUNCTION("""COMPUTED_VALUE"""),"km. My car displays range in kilometres and I will enter all range numbers in kilometres.")</f>
        <v>km. My car displays range in kilometres and I will enter all range numbers in kilometres.</v>
      </c>
      <c r="E743" s="259">
        <f>IFERROR(__xludf.DUMMYFUNCTION("""COMPUTED_VALUE"""),41604.0)</f>
        <v>41604</v>
      </c>
      <c r="F743" s="258" t="str">
        <f>IFERROR(__xludf.DUMMYFUNCTION("""COMPUTED_VALUE"""),"Model S 85")</f>
        <v>Model S 85</v>
      </c>
      <c r="G743" s="258" t="str">
        <f>IFERROR(__xludf.DUMMYFUNCTION("""COMPUTED_VALUE"""),"A few times a year")</f>
        <v>A few times a year</v>
      </c>
      <c r="H743" s="258" t="str">
        <f>IFERROR(__xludf.DUMMYFUNCTION("""COMPUTED_VALUE"""),"Monthly")</f>
        <v>Monthly</v>
      </c>
      <c r="I743" s="258" t="str">
        <f>IFERROR(__xludf.DUMMYFUNCTION("""COMPUTED_VALUE"""),"Once or twice a year")</f>
        <v>Once or twice a year</v>
      </c>
      <c r="J743" s="260" t="str">
        <f>IFERROR(__xludf.DUMMYFUNCTION("""COMPUTED_VALUE"""),"")</f>
        <v/>
      </c>
      <c r="K743" s="258" t="str">
        <f>IFERROR(__xludf.DUMMYFUNCTION("""COMPUTED_VALUE"""),"")</f>
        <v/>
      </c>
      <c r="L743" s="258" t="str">
        <f>IFERROR(__xludf.DUMMYFUNCTION("""COMPUTED_VALUE"""),"")</f>
        <v/>
      </c>
      <c r="M743" s="261">
        <f>IFERROR(__xludf.DUMMYFUNCTION("""COMPUTED_VALUE"""),229.0)</f>
        <v>229</v>
      </c>
      <c r="N743" s="262" t="str">
        <f>IFERROR(__xludf.DUMMYFUNCTION("""COMPUTED_VALUE"""),"")</f>
        <v/>
      </c>
      <c r="O743" s="259" t="str">
        <f>IFERROR(__xludf.DUMMYFUNCTION("""COMPUTED_VALUE"""),"")</f>
        <v/>
      </c>
      <c r="P743" s="259">
        <f>IFERROR(__xludf.DUMMYFUNCTION("""COMPUTED_VALUE"""),41921.0)</f>
        <v>41921</v>
      </c>
      <c r="Q743" s="258">
        <f>IFERROR(__xludf.DUMMYFUNCTION("""COMPUTED_VALUE"""),33150.0)</f>
        <v>33150</v>
      </c>
      <c r="R743" s="261">
        <f>IFERROR(__xludf.DUMMYFUNCTION("""COMPUTED_VALUE"""),377.0)</f>
        <v>377</v>
      </c>
      <c r="S743" s="258">
        <v>395.0</v>
      </c>
      <c r="T743" s="263">
        <v>0.9544303797468354</v>
      </c>
      <c r="U743" s="264">
        <v>20598.0</v>
      </c>
      <c r="V743" s="265">
        <v>33150.0</v>
      </c>
      <c r="W743" s="264">
        <v>20598.0</v>
      </c>
      <c r="X743" s="266"/>
      <c r="Y743" s="267">
        <v>-0.01</v>
      </c>
      <c r="Z743" s="267">
        <v>0.9663437645043329</v>
      </c>
      <c r="AA743" s="269"/>
      <c r="AB743" s="270"/>
      <c r="AC743" s="270"/>
      <c r="AD743" s="270"/>
      <c r="AE743" s="270"/>
    </row>
    <row r="744">
      <c r="A744" s="256">
        <f>IFERROR(__xludf.DUMMYFUNCTION("""COMPUTED_VALUE"""),42035.06805555556)</f>
        <v>42035.06806</v>
      </c>
      <c r="B744" s="257" t="str">
        <f>IFERROR(__xludf.DUMMYFUNCTION("""COMPUTED_VALUE"""),"JoeNe")</f>
        <v>JoeNe</v>
      </c>
      <c r="C744" s="258" t="str">
        <f>IFERROR(__xludf.DUMMYFUNCTION("""COMPUTED_VALUE"""),"Europe (excluding UK) &amp; Asia Pacific")</f>
        <v>Europe (excluding UK) &amp; Asia Pacific</v>
      </c>
      <c r="D744" s="258" t="str">
        <f>IFERROR(__xludf.DUMMYFUNCTION("""COMPUTED_VALUE"""),"km. My car displays range in kilometres and I will enter all range numbers in kilometres.")</f>
        <v>km. My car displays range in kilometres and I will enter all range numbers in kilometres.</v>
      </c>
      <c r="E744" s="259">
        <f>IFERROR(__xludf.DUMMYFUNCTION("""COMPUTED_VALUE"""),41604.0)</f>
        <v>41604</v>
      </c>
      <c r="F744" s="258" t="str">
        <f>IFERROR(__xludf.DUMMYFUNCTION("""COMPUTED_VALUE"""),"Model S 85")</f>
        <v>Model S 85</v>
      </c>
      <c r="G744" s="258" t="str">
        <f>IFERROR(__xludf.DUMMYFUNCTION("""COMPUTED_VALUE"""),"A few times a year")</f>
        <v>A few times a year</v>
      </c>
      <c r="H744" s="258" t="str">
        <f>IFERROR(__xludf.DUMMYFUNCTION("""COMPUTED_VALUE"""),"Monthly")</f>
        <v>Monthly</v>
      </c>
      <c r="I744" s="258" t="str">
        <f>IFERROR(__xludf.DUMMYFUNCTION("""COMPUTED_VALUE"""),"A few times a year")</f>
        <v>A few times a year</v>
      </c>
      <c r="J744" s="260" t="str">
        <f>IFERROR(__xludf.DUMMYFUNCTION("""COMPUTED_VALUE"""),"")</f>
        <v/>
      </c>
      <c r="K744" s="258" t="str">
        <f>IFERROR(__xludf.DUMMYFUNCTION("""COMPUTED_VALUE"""),"")</f>
        <v/>
      </c>
      <c r="L744" s="258" t="str">
        <f>IFERROR(__xludf.DUMMYFUNCTION("""COMPUTED_VALUE"""),"")</f>
        <v/>
      </c>
      <c r="M744" s="261">
        <f>IFERROR(__xludf.DUMMYFUNCTION("""COMPUTED_VALUE"""),231.0)</f>
        <v>231</v>
      </c>
      <c r="N744" s="262" t="str">
        <f>IFERROR(__xludf.DUMMYFUNCTION("""COMPUTED_VALUE"""),"")</f>
        <v/>
      </c>
      <c r="O744" s="259" t="str">
        <f>IFERROR(__xludf.DUMMYFUNCTION("""COMPUTED_VALUE"""),"")</f>
        <v/>
      </c>
      <c r="P744" s="259">
        <f>IFERROR(__xludf.DUMMYFUNCTION("""COMPUTED_VALUE"""),42035.0)</f>
        <v>42035</v>
      </c>
      <c r="Q744" s="258">
        <f>IFERROR(__xludf.DUMMYFUNCTION("""COMPUTED_VALUE"""),45845.0)</f>
        <v>45845</v>
      </c>
      <c r="R744" s="261">
        <f>IFERROR(__xludf.DUMMYFUNCTION("""COMPUTED_VALUE"""),391.0)</f>
        <v>391</v>
      </c>
      <c r="S744" s="258">
        <v>395.0</v>
      </c>
      <c r="T744" s="263">
        <v>0.9898734177215189</v>
      </c>
      <c r="U744" s="264">
        <v>28487.0</v>
      </c>
      <c r="V744" s="265">
        <v>45845.0</v>
      </c>
      <c r="W744" s="264">
        <v>28487.0</v>
      </c>
      <c r="X744" s="266"/>
      <c r="Y744" s="267">
        <v>-0.01</v>
      </c>
      <c r="Z744" s="267">
        <v>0.9611032613022247</v>
      </c>
      <c r="AA744" s="269"/>
      <c r="AB744" s="270"/>
      <c r="AC744" s="270"/>
      <c r="AD744" s="270"/>
      <c r="AE744" s="270"/>
    </row>
    <row r="745">
      <c r="A745" s="256">
        <f>IFERROR(__xludf.DUMMYFUNCTION("""COMPUTED_VALUE"""),42142.12847222222)</f>
        <v>42142.12847</v>
      </c>
      <c r="B745" s="257" t="str">
        <f>IFERROR(__xludf.DUMMYFUNCTION("""COMPUTED_VALUE"""),"JoeNe")</f>
        <v>JoeNe</v>
      </c>
      <c r="C745" s="258" t="str">
        <f>IFERROR(__xludf.DUMMYFUNCTION("""COMPUTED_VALUE"""),"Europe (excluding UK) &amp; Asia Pacific")</f>
        <v>Europe (excluding UK) &amp; Asia Pacific</v>
      </c>
      <c r="D745" s="258" t="str">
        <f>IFERROR(__xludf.DUMMYFUNCTION("""COMPUTED_VALUE"""),"km. My car displays range in kilometres and I will enter all range numbers in kilometres.")</f>
        <v>km. My car displays range in kilometres and I will enter all range numbers in kilometres.</v>
      </c>
      <c r="E745" s="259">
        <f>IFERROR(__xludf.DUMMYFUNCTION("""COMPUTED_VALUE"""),41604.0)</f>
        <v>41604</v>
      </c>
      <c r="F745" s="258" t="str">
        <f>IFERROR(__xludf.DUMMYFUNCTION("""COMPUTED_VALUE"""),"Model S 85")</f>
        <v>Model S 85</v>
      </c>
      <c r="G745" s="258" t="str">
        <f>IFERROR(__xludf.DUMMYFUNCTION("""COMPUTED_VALUE"""),"A few times a year")</f>
        <v>A few times a year</v>
      </c>
      <c r="H745" s="258" t="str">
        <f>IFERROR(__xludf.DUMMYFUNCTION("""COMPUTED_VALUE"""),"A few times a year")</f>
        <v>A few times a year</v>
      </c>
      <c r="I745" s="258" t="str">
        <f>IFERROR(__xludf.DUMMYFUNCTION("""COMPUTED_VALUE"""),"A few times a year")</f>
        <v>A few times a year</v>
      </c>
      <c r="J745" s="260">
        <f>IFERROR(__xludf.DUMMYFUNCTION("""COMPUTED_VALUE"""),0.7)</f>
        <v>0.7</v>
      </c>
      <c r="K745" s="258" t="str">
        <f>IFERROR(__xludf.DUMMYFUNCTION("""COMPUTED_VALUE"""),"")</f>
        <v/>
      </c>
      <c r="L745" s="258" t="str">
        <f>IFERROR(__xludf.DUMMYFUNCTION("""COMPUTED_VALUE"""),"")</f>
        <v/>
      </c>
      <c r="M745" s="261">
        <f>IFERROR(__xludf.DUMMYFUNCTION("""COMPUTED_VALUE"""),230.0)</f>
        <v>230</v>
      </c>
      <c r="N745" s="262">
        <f>IFERROR(__xludf.DUMMYFUNCTION("""COMPUTED_VALUE"""),58000.0)</f>
        <v>58000</v>
      </c>
      <c r="O745" s="259" t="str">
        <f>IFERROR(__xludf.DUMMYFUNCTION("""COMPUTED_VALUE"""),"Increased by 5 km or mi")</f>
        <v>Increased by 5 km or mi</v>
      </c>
      <c r="P745" s="259">
        <f>IFERROR(__xludf.DUMMYFUNCTION("""COMPUTED_VALUE"""),42142.0)</f>
        <v>42142</v>
      </c>
      <c r="Q745" s="258">
        <f>IFERROR(__xludf.DUMMYFUNCTION("""COMPUTED_VALUE"""),60476.0)</f>
        <v>60476</v>
      </c>
      <c r="R745" s="261">
        <f>IFERROR(__xludf.DUMMYFUNCTION("""COMPUTED_VALUE"""),384.0)</f>
        <v>384</v>
      </c>
      <c r="S745" s="258">
        <v>395.0</v>
      </c>
      <c r="T745" s="263">
        <v>0.9721518987341772</v>
      </c>
      <c r="U745" s="264">
        <v>37578.0</v>
      </c>
      <c r="V745" s="265">
        <v>60476.0</v>
      </c>
      <c r="W745" s="264">
        <v>37578.0</v>
      </c>
      <c r="X745" s="266"/>
      <c r="Y745" s="267">
        <v>-0.01</v>
      </c>
      <c r="Z745" s="267">
        <v>0.9565154784950815</v>
      </c>
      <c r="AA745" s="269"/>
      <c r="AB745" s="270"/>
      <c r="AC745" s="270"/>
      <c r="AD745" s="270"/>
      <c r="AE745" s="270"/>
    </row>
    <row r="746">
      <c r="A746" s="256">
        <f>IFERROR(__xludf.DUMMYFUNCTION("""COMPUTED_VALUE"""),42238.17291666666)</f>
        <v>42238.17292</v>
      </c>
      <c r="B746" s="257" t="str">
        <f>IFERROR(__xludf.DUMMYFUNCTION("""COMPUTED_VALUE"""),"JoeNe")</f>
        <v>JoeNe</v>
      </c>
      <c r="C746" s="258" t="str">
        <f>IFERROR(__xludf.DUMMYFUNCTION("""COMPUTED_VALUE"""),"Europe (excluding UK) &amp; Asia Pacific")</f>
        <v>Europe (excluding UK) &amp; Asia Pacific</v>
      </c>
      <c r="D746" s="258" t="str">
        <f>IFERROR(__xludf.DUMMYFUNCTION("""COMPUTED_VALUE"""),"km. My car displays range in kilometres and I will enter all range numbers in kilometres.")</f>
        <v>km. My car displays range in kilometres and I will enter all range numbers in kilometres.</v>
      </c>
      <c r="E746" s="259">
        <f>IFERROR(__xludf.DUMMYFUNCTION("""COMPUTED_VALUE"""),41604.0)</f>
        <v>41604</v>
      </c>
      <c r="F746" s="258" t="str">
        <f>IFERROR(__xludf.DUMMYFUNCTION("""COMPUTED_VALUE"""),"Model S 85")</f>
        <v>Model S 85</v>
      </c>
      <c r="G746" s="258" t="str">
        <f>IFERROR(__xludf.DUMMYFUNCTION("""COMPUTED_VALUE"""),"Monthly")</f>
        <v>Monthly</v>
      </c>
      <c r="H746" s="258" t="str">
        <f>IFERROR(__xludf.DUMMYFUNCTION("""COMPUTED_VALUE"""),"A few times a year")</f>
        <v>A few times a year</v>
      </c>
      <c r="I746" s="258" t="str">
        <f>IFERROR(__xludf.DUMMYFUNCTION("""COMPUTED_VALUE"""),"A few times a year")</f>
        <v>A few times a year</v>
      </c>
      <c r="J746" s="260">
        <f>IFERROR(__xludf.DUMMYFUNCTION("""COMPUTED_VALUE"""),0.7)</f>
        <v>0.7</v>
      </c>
      <c r="K746" s="258">
        <f>IFERROR(__xludf.DUMMYFUNCTION("""COMPUTED_VALUE"""),399.0)</f>
        <v>399</v>
      </c>
      <c r="L746" s="258" t="str">
        <f>IFERROR(__xludf.DUMMYFUNCTION("""COMPUTED_VALUE"""),"")</f>
        <v/>
      </c>
      <c r="M746" s="261">
        <f>IFERROR(__xludf.DUMMYFUNCTION("""COMPUTED_VALUE"""),223.0)</f>
        <v>223</v>
      </c>
      <c r="N746" s="262">
        <f>IFERROR(__xludf.DUMMYFUNCTION("""COMPUTED_VALUE"""),60000.0)</f>
        <v>60000</v>
      </c>
      <c r="O746" s="259" t="str">
        <f>IFERROR(__xludf.DUMMYFUNCTION("""COMPUTED_VALUE"""),"I don't know")</f>
        <v>I don't know</v>
      </c>
      <c r="P746" s="259">
        <f>IFERROR(__xludf.DUMMYFUNCTION("""COMPUTED_VALUE"""),42238.0)</f>
        <v>42238</v>
      </c>
      <c r="Q746" s="258">
        <f>IFERROR(__xludf.DUMMYFUNCTION("""COMPUTED_VALUE"""),70030.0)</f>
        <v>70030</v>
      </c>
      <c r="R746" s="261">
        <f>IFERROR(__xludf.DUMMYFUNCTION("""COMPUTED_VALUE"""),370.0)</f>
        <v>370</v>
      </c>
      <c r="S746" s="258">
        <v>395.0</v>
      </c>
      <c r="T746" s="263">
        <v>0.9367088607594937</v>
      </c>
      <c r="U746" s="264">
        <v>43515.0</v>
      </c>
      <c r="V746" s="265">
        <v>70030.0</v>
      </c>
      <c r="W746" s="264">
        <v>43515.0</v>
      </c>
      <c r="X746" s="266"/>
      <c r="Y746" s="267">
        <v>-0.01</v>
      </c>
      <c r="Z746" s="267">
        <v>0.9539263450863885</v>
      </c>
      <c r="AA746" s="269"/>
      <c r="AB746" s="270"/>
      <c r="AC746" s="270"/>
      <c r="AD746" s="270"/>
      <c r="AE746" s="270"/>
    </row>
    <row r="747">
      <c r="A747" s="256">
        <f>IFERROR(__xludf.DUMMYFUNCTION("""COMPUTED_VALUE"""),42298.20347222222)</f>
        <v>42298.20347</v>
      </c>
      <c r="B747" s="257" t="str">
        <f>IFERROR(__xludf.DUMMYFUNCTION("""COMPUTED_VALUE"""),"JoeNe")</f>
        <v>JoeNe</v>
      </c>
      <c r="C747" s="258" t="str">
        <f>IFERROR(__xludf.DUMMYFUNCTION("""COMPUTED_VALUE"""),"Europe (excluding UK) &amp; Asia Pacific")</f>
        <v>Europe (excluding UK) &amp; Asia Pacific</v>
      </c>
      <c r="D747" s="258" t="str">
        <f>IFERROR(__xludf.DUMMYFUNCTION("""COMPUTED_VALUE"""),"km. My car displays range in kilometres and I will enter all range numbers in kilometres.")</f>
        <v>km. My car displays range in kilometres and I will enter all range numbers in kilometres.</v>
      </c>
      <c r="E747" s="259">
        <f>IFERROR(__xludf.DUMMYFUNCTION("""COMPUTED_VALUE"""),41604.0)</f>
        <v>41604</v>
      </c>
      <c r="F747" s="258" t="str">
        <f>IFERROR(__xludf.DUMMYFUNCTION("""COMPUTED_VALUE"""),"Model S 85")</f>
        <v>Model S 85</v>
      </c>
      <c r="G747" s="258" t="str">
        <f>IFERROR(__xludf.DUMMYFUNCTION("""COMPUTED_VALUE"""),"A few times a year")</f>
        <v>A few times a year</v>
      </c>
      <c r="H747" s="258" t="str">
        <f>IFERROR(__xludf.DUMMYFUNCTION("""COMPUTED_VALUE"""),"A few times a year")</f>
        <v>A few times a year</v>
      </c>
      <c r="I747" s="258" t="str">
        <f>IFERROR(__xludf.DUMMYFUNCTION("""COMPUTED_VALUE"""),"Once or twice a year")</f>
        <v>Once or twice a year</v>
      </c>
      <c r="J747" s="260">
        <f>IFERROR(__xludf.DUMMYFUNCTION("""COMPUTED_VALUE"""),0.7)</f>
        <v>0.7</v>
      </c>
      <c r="K747" s="258">
        <f>IFERROR(__xludf.DUMMYFUNCTION("""COMPUTED_VALUE"""),399.0)</f>
        <v>399</v>
      </c>
      <c r="L747" s="258" t="str">
        <f>IFERROR(__xludf.DUMMYFUNCTION("""COMPUTED_VALUE"""),"")</f>
        <v/>
      </c>
      <c r="M747" s="261">
        <f>IFERROR(__xludf.DUMMYFUNCTION("""COMPUTED_VALUE"""),226.0)</f>
        <v>226</v>
      </c>
      <c r="N747" s="262" t="str">
        <f>IFERROR(__xludf.DUMMYFUNCTION("""COMPUTED_VALUE"""),"")</f>
        <v/>
      </c>
      <c r="O747" s="259" t="str">
        <f>IFERROR(__xludf.DUMMYFUNCTION("""COMPUTED_VALUE"""),"")</f>
        <v/>
      </c>
      <c r="P747" s="259">
        <f>IFERROR(__xludf.DUMMYFUNCTION("""COMPUTED_VALUE"""),42298.0)</f>
        <v>42298</v>
      </c>
      <c r="Q747" s="258">
        <f>IFERROR(__xludf.DUMMYFUNCTION("""COMPUTED_VALUE"""),78676.0)</f>
        <v>78676</v>
      </c>
      <c r="R747" s="261">
        <f>IFERROR(__xludf.DUMMYFUNCTION("""COMPUTED_VALUE"""),365.0)</f>
        <v>365</v>
      </c>
      <c r="S747" s="258">
        <v>395.0</v>
      </c>
      <c r="T747" s="263">
        <v>0.9240506329113924</v>
      </c>
      <c r="U747" s="264">
        <v>48887.0</v>
      </c>
      <c r="V747" s="265">
        <v>78676.0</v>
      </c>
      <c r="W747" s="264">
        <v>48887.0</v>
      </c>
      <c r="X747" s="266"/>
      <c r="Y747" s="267">
        <v>-0.01</v>
      </c>
      <c r="Z747" s="267">
        <v>0.9517270963323209</v>
      </c>
      <c r="AA747" s="269"/>
      <c r="AB747" s="270"/>
      <c r="AC747" s="270"/>
      <c r="AD747" s="270"/>
      <c r="AE747" s="270"/>
    </row>
    <row r="748">
      <c r="A748" s="256">
        <f>IFERROR(__xludf.DUMMYFUNCTION("""COMPUTED_VALUE"""),42321.22986111111)</f>
        <v>42321.22986</v>
      </c>
      <c r="B748" s="257" t="str">
        <f>IFERROR(__xludf.DUMMYFUNCTION("""COMPUTED_VALUE"""),"JoeNe")</f>
        <v>JoeNe</v>
      </c>
      <c r="C748" s="258" t="str">
        <f>IFERROR(__xludf.DUMMYFUNCTION("""COMPUTED_VALUE"""),"Europe (excluding UK) &amp; Asia Pacific")</f>
        <v>Europe (excluding UK) &amp; Asia Pacific</v>
      </c>
      <c r="D748" s="258" t="str">
        <f>IFERROR(__xludf.DUMMYFUNCTION("""COMPUTED_VALUE"""),"km. My car displays range in kilometres and I will enter all range numbers in kilometres.")</f>
        <v>km. My car displays range in kilometres and I will enter all range numbers in kilometres.</v>
      </c>
      <c r="E748" s="259">
        <f>IFERROR(__xludf.DUMMYFUNCTION("""COMPUTED_VALUE"""),41604.0)</f>
        <v>41604</v>
      </c>
      <c r="F748" s="258" t="str">
        <f>IFERROR(__xludf.DUMMYFUNCTION("""COMPUTED_VALUE"""),"Model S 85")</f>
        <v>Model S 85</v>
      </c>
      <c r="G748" s="258" t="str">
        <f>IFERROR(__xludf.DUMMYFUNCTION("""COMPUTED_VALUE"""),"A few times a year")</f>
        <v>A few times a year</v>
      </c>
      <c r="H748" s="258" t="str">
        <f>IFERROR(__xludf.DUMMYFUNCTION("""COMPUTED_VALUE"""),"A few times a year")</f>
        <v>A few times a year</v>
      </c>
      <c r="I748" s="258" t="str">
        <f>IFERROR(__xludf.DUMMYFUNCTION("""COMPUTED_VALUE"""),"A few times a year")</f>
        <v>A few times a year</v>
      </c>
      <c r="J748" s="260">
        <f>IFERROR(__xludf.DUMMYFUNCTION("""COMPUTED_VALUE"""),0.7)</f>
        <v>0.7</v>
      </c>
      <c r="K748" s="258">
        <f>IFERROR(__xludf.DUMMYFUNCTION("""COMPUTED_VALUE"""),400.0)</f>
        <v>400</v>
      </c>
      <c r="L748" s="258" t="str">
        <f>IFERROR(__xludf.DUMMYFUNCTION("""COMPUTED_VALUE"""),"")</f>
        <v/>
      </c>
      <c r="M748" s="261">
        <f>IFERROR(__xludf.DUMMYFUNCTION("""COMPUTED_VALUE"""),228.0)</f>
        <v>228</v>
      </c>
      <c r="N748" s="262" t="str">
        <f>IFERROR(__xludf.DUMMYFUNCTION("""COMPUTED_VALUE"""),"")</f>
        <v/>
      </c>
      <c r="O748" s="259" t="str">
        <f>IFERROR(__xludf.DUMMYFUNCTION("""COMPUTED_VALUE"""),"")</f>
        <v/>
      </c>
      <c r="P748" s="259">
        <f>IFERROR(__xludf.DUMMYFUNCTION("""COMPUTED_VALUE"""),42321.0)</f>
        <v>42321</v>
      </c>
      <c r="Q748" s="258">
        <f>IFERROR(__xludf.DUMMYFUNCTION("""COMPUTED_VALUE"""),81614.0)</f>
        <v>81614</v>
      </c>
      <c r="R748" s="261">
        <f>IFERROR(__xludf.DUMMYFUNCTION("""COMPUTED_VALUE"""),361.0)</f>
        <v>361</v>
      </c>
      <c r="S748" s="258">
        <v>395.0</v>
      </c>
      <c r="T748" s="263">
        <v>0.9139240506329114</v>
      </c>
      <c r="U748" s="264">
        <v>50713.0</v>
      </c>
      <c r="V748" s="265">
        <v>81614.0</v>
      </c>
      <c r="W748" s="264">
        <v>50713.0</v>
      </c>
      <c r="X748" s="266"/>
      <c r="Y748" s="267">
        <v>-0.01</v>
      </c>
      <c r="Z748" s="267">
        <v>0.9510001530750136</v>
      </c>
      <c r="AA748" s="269"/>
      <c r="AB748" s="270"/>
      <c r="AC748" s="270"/>
      <c r="AD748" s="270"/>
      <c r="AE748" s="270"/>
    </row>
    <row r="749">
      <c r="A749" s="256">
        <f>IFERROR(__xludf.DUMMYFUNCTION("""COMPUTED_VALUE"""),42438.30347222222)</f>
        <v>42438.30347</v>
      </c>
      <c r="B749" s="257" t="str">
        <f>IFERROR(__xludf.DUMMYFUNCTION("""COMPUTED_VALUE"""),"JoeNe")</f>
        <v>JoeNe</v>
      </c>
      <c r="C749" s="258" t="str">
        <f>IFERROR(__xludf.DUMMYFUNCTION("""COMPUTED_VALUE"""),"Europe (excluding UK) &amp; Asia Pacific")</f>
        <v>Europe (excluding UK) &amp; Asia Pacific</v>
      </c>
      <c r="D749" s="258" t="str">
        <f>IFERROR(__xludf.DUMMYFUNCTION("""COMPUTED_VALUE"""),"km. My car displays range in kilometres and I will enter all range numbers in kilometres.")</f>
        <v>km. My car displays range in kilometres and I will enter all range numbers in kilometres.</v>
      </c>
      <c r="E749" s="259">
        <f>IFERROR(__xludf.DUMMYFUNCTION("""COMPUTED_VALUE"""),41604.0)</f>
        <v>41604</v>
      </c>
      <c r="F749" s="258" t="str">
        <f>IFERROR(__xludf.DUMMYFUNCTION("""COMPUTED_VALUE"""),"Model S 85")</f>
        <v>Model S 85</v>
      </c>
      <c r="G749" s="258" t="str">
        <f>IFERROR(__xludf.DUMMYFUNCTION("""COMPUTED_VALUE"""),"A few times a year")</f>
        <v>A few times a year</v>
      </c>
      <c r="H749" s="258" t="str">
        <f>IFERROR(__xludf.DUMMYFUNCTION("""COMPUTED_VALUE"""),"A few times a year")</f>
        <v>A few times a year</v>
      </c>
      <c r="I749" s="258" t="str">
        <f>IFERROR(__xludf.DUMMYFUNCTION("""COMPUTED_VALUE"""),"A few times a year")</f>
        <v>A few times a year</v>
      </c>
      <c r="J749" s="260">
        <f>IFERROR(__xludf.DUMMYFUNCTION("""COMPUTED_VALUE"""),0.7)</f>
        <v>0.7</v>
      </c>
      <c r="K749" s="258">
        <f>IFERROR(__xludf.DUMMYFUNCTION("""COMPUTED_VALUE"""),399.0)</f>
        <v>399</v>
      </c>
      <c r="L749" s="258" t="str">
        <f>IFERROR(__xludf.DUMMYFUNCTION("""COMPUTED_VALUE"""),"")</f>
        <v/>
      </c>
      <c r="M749" s="261">
        <f>IFERROR(__xludf.DUMMYFUNCTION("""COMPUTED_VALUE"""),228.0)</f>
        <v>228</v>
      </c>
      <c r="N749" s="262" t="str">
        <f>IFERROR(__xludf.DUMMYFUNCTION("""COMPUTED_VALUE"""),"")</f>
        <v/>
      </c>
      <c r="O749" s="259" t="str">
        <f>IFERROR(__xludf.DUMMYFUNCTION("""COMPUTED_VALUE"""),"")</f>
        <v/>
      </c>
      <c r="P749" s="259">
        <f>IFERROR(__xludf.DUMMYFUNCTION("""COMPUTED_VALUE"""),42438.0)</f>
        <v>42438</v>
      </c>
      <c r="Q749" s="258">
        <f>IFERROR(__xludf.DUMMYFUNCTION("""COMPUTED_VALUE"""),92560.2733704338)</f>
        <v>92560.27337</v>
      </c>
      <c r="R749" s="261">
        <f>IFERROR(__xludf.DUMMYFUNCTION("""COMPUTED_VALUE"""),368.0)</f>
        <v>368</v>
      </c>
      <c r="S749" s="258">
        <v>395.0</v>
      </c>
      <c r="T749" s="263">
        <v>0.9316455696202531</v>
      </c>
      <c r="U749" s="264">
        <v>57514.0</v>
      </c>
      <c r="V749" s="265">
        <v>92560.2733704338</v>
      </c>
      <c r="W749" s="264">
        <v>57514.0</v>
      </c>
      <c r="X749" s="266"/>
      <c r="Y749" s="267">
        <v>-0.01</v>
      </c>
      <c r="Z749" s="267">
        <v>0.9483508123746778</v>
      </c>
      <c r="AA749" s="269"/>
      <c r="AB749" s="270"/>
      <c r="AC749" s="270"/>
      <c r="AD749" s="270"/>
      <c r="AE749" s="270"/>
    </row>
    <row r="750">
      <c r="A750" s="256">
        <f>IFERROR(__xludf.DUMMYFUNCTION("""COMPUTED_VALUE"""),42482.32986111111)</f>
        <v>42482.32986</v>
      </c>
      <c r="B750" s="257" t="str">
        <f>IFERROR(__xludf.DUMMYFUNCTION("""COMPUTED_VALUE"""),"JoeNe")</f>
        <v>JoeNe</v>
      </c>
      <c r="C750" s="258" t="str">
        <f>IFERROR(__xludf.DUMMYFUNCTION("""COMPUTED_VALUE"""),"Europe (excluding UK) &amp; Asia Pacific")</f>
        <v>Europe (excluding UK) &amp; Asia Pacific</v>
      </c>
      <c r="D750" s="258" t="str">
        <f>IFERROR(__xludf.DUMMYFUNCTION("""COMPUTED_VALUE"""),"km. My car displays range in kilometres and I will enter all range numbers in kilometres.")</f>
        <v>km. My car displays range in kilometres and I will enter all range numbers in kilometres.</v>
      </c>
      <c r="E750" s="259">
        <f>IFERROR(__xludf.DUMMYFUNCTION("""COMPUTED_VALUE"""),41604.0)</f>
        <v>41604</v>
      </c>
      <c r="F750" s="258" t="str">
        <f>IFERROR(__xludf.DUMMYFUNCTION("""COMPUTED_VALUE"""),"Model S 85")</f>
        <v>Model S 85</v>
      </c>
      <c r="G750" s="258" t="str">
        <f>IFERROR(__xludf.DUMMYFUNCTION("""COMPUTED_VALUE"""),"A few times a year")</f>
        <v>A few times a year</v>
      </c>
      <c r="H750" s="258" t="str">
        <f>IFERROR(__xludf.DUMMYFUNCTION("""COMPUTED_VALUE"""),"A few times a year")</f>
        <v>A few times a year</v>
      </c>
      <c r="I750" s="258" t="str">
        <f>IFERROR(__xludf.DUMMYFUNCTION("""COMPUTED_VALUE"""),"A few times a year")</f>
        <v>A few times a year</v>
      </c>
      <c r="J750" s="260">
        <f>IFERROR(__xludf.DUMMYFUNCTION("""COMPUTED_VALUE"""),0.7)</f>
        <v>0.7</v>
      </c>
      <c r="K750" s="258" t="str">
        <f>IFERROR(__xludf.DUMMYFUNCTION("""COMPUTED_VALUE"""),"")</f>
        <v/>
      </c>
      <c r="L750" s="258" t="str">
        <f>IFERROR(__xludf.DUMMYFUNCTION("""COMPUTED_VALUE"""),"")</f>
        <v/>
      </c>
      <c r="M750" s="261">
        <f>IFERROR(__xludf.DUMMYFUNCTION("""COMPUTED_VALUE"""),228.0)</f>
        <v>228</v>
      </c>
      <c r="N750" s="262" t="str">
        <f>IFERROR(__xludf.DUMMYFUNCTION("""COMPUTED_VALUE"""),"")</f>
        <v/>
      </c>
      <c r="O750" s="259" t="str">
        <f>IFERROR(__xludf.DUMMYFUNCTION("""COMPUTED_VALUE"""),"")</f>
        <v/>
      </c>
      <c r="P750" s="259">
        <f>IFERROR(__xludf.DUMMYFUNCTION("""COMPUTED_VALUE"""),42482.0)</f>
        <v>42482</v>
      </c>
      <c r="Q750" s="258">
        <f>IFERROR(__xludf.DUMMYFUNCTION("""COMPUTED_VALUE"""),98528.0)</f>
        <v>98528</v>
      </c>
      <c r="R750" s="261">
        <f>IFERROR(__xludf.DUMMYFUNCTION("""COMPUTED_VALUE"""),374.0)</f>
        <v>374</v>
      </c>
      <c r="S750" s="258">
        <v>395.0</v>
      </c>
      <c r="T750" s="263">
        <v>0.9468354430379747</v>
      </c>
      <c r="U750" s="264">
        <v>61222.0</v>
      </c>
      <c r="V750" s="265">
        <v>98528.0</v>
      </c>
      <c r="W750" s="264">
        <v>61222.0</v>
      </c>
      <c r="X750" s="266"/>
      <c r="Y750" s="267">
        <v>-0.01</v>
      </c>
      <c r="Z750" s="267">
        <v>0.9469333111500046</v>
      </c>
      <c r="AA750" s="269"/>
      <c r="AB750" s="270"/>
      <c r="AC750" s="270"/>
      <c r="AD750" s="270"/>
      <c r="AE750" s="270"/>
    </row>
    <row r="751">
      <c r="A751" s="256">
        <f>IFERROR(__xludf.DUMMYFUNCTION("""COMPUTED_VALUE"""),42647.40972222222)</f>
        <v>42647.40972</v>
      </c>
      <c r="B751" s="257" t="str">
        <f>IFERROR(__xludf.DUMMYFUNCTION("""COMPUTED_VALUE"""),"JoeNe")</f>
        <v>JoeNe</v>
      </c>
      <c r="C751" s="258" t="str">
        <f>IFERROR(__xludf.DUMMYFUNCTION("""COMPUTED_VALUE"""),"Europe (excluding UK) &amp; Asia Pacific")</f>
        <v>Europe (excluding UK) &amp; Asia Pacific</v>
      </c>
      <c r="D751" s="258" t="str">
        <f>IFERROR(__xludf.DUMMYFUNCTION("""COMPUTED_VALUE"""),"km. My car displays range in kilometres and I will enter all range numbers in kilometres.")</f>
        <v>km. My car displays range in kilometres and I will enter all range numbers in kilometres.</v>
      </c>
      <c r="E751" s="259">
        <f>IFERROR(__xludf.DUMMYFUNCTION("""COMPUTED_VALUE"""),41603.0)</f>
        <v>41603</v>
      </c>
      <c r="F751" s="258" t="str">
        <f>IFERROR(__xludf.DUMMYFUNCTION("""COMPUTED_VALUE"""),"Model S 85")</f>
        <v>Model S 85</v>
      </c>
      <c r="G751" s="258" t="str">
        <f>IFERROR(__xludf.DUMMYFUNCTION("""COMPUTED_VALUE"""),"A few times a year")</f>
        <v>A few times a year</v>
      </c>
      <c r="H751" s="258" t="str">
        <f>IFERROR(__xludf.DUMMYFUNCTION("""COMPUTED_VALUE"""),"A few times a year")</f>
        <v>A few times a year</v>
      </c>
      <c r="I751" s="258" t="str">
        <f>IFERROR(__xludf.DUMMYFUNCTION("""COMPUTED_VALUE"""),"A few times a year")</f>
        <v>A few times a year</v>
      </c>
      <c r="J751" s="260">
        <f>IFERROR(__xludf.DUMMYFUNCTION("""COMPUTED_VALUE"""),0.7)</f>
        <v>0.7</v>
      </c>
      <c r="K751" s="258">
        <f>IFERROR(__xludf.DUMMYFUNCTION("""COMPUTED_VALUE"""),399.0)</f>
        <v>399</v>
      </c>
      <c r="L751" s="258" t="str">
        <f>IFERROR(__xludf.DUMMYFUNCTION("""COMPUTED_VALUE"""),"")</f>
        <v/>
      </c>
      <c r="M751" s="261">
        <f>IFERROR(__xludf.DUMMYFUNCTION("""COMPUTED_VALUE"""),223.0)</f>
        <v>223</v>
      </c>
      <c r="N751" s="262" t="str">
        <f>IFERROR(__xludf.DUMMYFUNCTION("""COMPUTED_VALUE"""),"")</f>
        <v/>
      </c>
      <c r="O751" s="259" t="str">
        <f>IFERROR(__xludf.DUMMYFUNCTION("""COMPUTED_VALUE"""),"")</f>
        <v/>
      </c>
      <c r="P751" s="259">
        <f>IFERROR(__xludf.DUMMYFUNCTION("""COMPUTED_VALUE"""),42647.0)</f>
        <v>42647</v>
      </c>
      <c r="Q751" s="258">
        <f>IFERROR(__xludf.DUMMYFUNCTION("""COMPUTED_VALUE"""),117434.0)</f>
        <v>117434</v>
      </c>
      <c r="R751" s="261">
        <f>IFERROR(__xludf.DUMMYFUNCTION("""COMPUTED_VALUE"""),375.0)</f>
        <v>375</v>
      </c>
      <c r="S751" s="258">
        <v>395.0</v>
      </c>
      <c r="T751" s="263">
        <v>0.9493670886075949</v>
      </c>
      <c r="U751" s="264">
        <v>72970.0</v>
      </c>
      <c r="V751" s="265">
        <v>117434.0</v>
      </c>
      <c r="W751" s="264">
        <v>72970.0</v>
      </c>
      <c r="X751" s="266"/>
      <c r="Y751" s="267">
        <v>-0.01</v>
      </c>
      <c r="Z751" s="267">
        <v>0.9425066773412774</v>
      </c>
      <c r="AA751" s="269"/>
      <c r="AB751" s="270"/>
      <c r="AC751" s="270"/>
      <c r="AD751" s="270"/>
      <c r="AE751" s="270"/>
    </row>
    <row r="752">
      <c r="A752" s="256">
        <f>IFERROR(__xludf.DUMMYFUNCTION("""COMPUTED_VALUE"""),42744.490277777775)</f>
        <v>42744.49028</v>
      </c>
      <c r="B752" s="257" t="str">
        <f>IFERROR(__xludf.DUMMYFUNCTION("""COMPUTED_VALUE"""),"JoeNe")</f>
        <v>JoeNe</v>
      </c>
      <c r="C752" s="258" t="str">
        <f>IFERROR(__xludf.DUMMYFUNCTION("""COMPUTED_VALUE"""),"Europe (excluding UK) &amp; Asia Pacific")</f>
        <v>Europe (excluding UK) &amp; Asia Pacific</v>
      </c>
      <c r="D752" s="258" t="str">
        <f>IFERROR(__xludf.DUMMYFUNCTION("""COMPUTED_VALUE"""),"km. My car displays range in kilometres and I will enter all range numbers in kilometres.")</f>
        <v>km. My car displays range in kilometres and I will enter all range numbers in kilometres.</v>
      </c>
      <c r="E752" s="259">
        <f>IFERROR(__xludf.DUMMYFUNCTION("""COMPUTED_VALUE"""),41604.0)</f>
        <v>41604</v>
      </c>
      <c r="F752" s="258" t="str">
        <f>IFERROR(__xludf.DUMMYFUNCTION("""COMPUTED_VALUE"""),"Model S 85")</f>
        <v>Model S 85</v>
      </c>
      <c r="G752" s="258" t="str">
        <f>IFERROR(__xludf.DUMMYFUNCTION("""COMPUTED_VALUE"""),"A few times a year")</f>
        <v>A few times a year</v>
      </c>
      <c r="H752" s="258" t="str">
        <f>IFERROR(__xludf.DUMMYFUNCTION("""COMPUTED_VALUE"""),"A few times a year")</f>
        <v>A few times a year</v>
      </c>
      <c r="I752" s="258" t="str">
        <f>IFERROR(__xludf.DUMMYFUNCTION("""COMPUTED_VALUE"""),"Once or twice a year")</f>
        <v>Once or twice a year</v>
      </c>
      <c r="J752" s="260">
        <f>IFERROR(__xludf.DUMMYFUNCTION("""COMPUTED_VALUE"""),0.8)</f>
        <v>0.8</v>
      </c>
      <c r="K752" s="258">
        <f>IFERROR(__xludf.DUMMYFUNCTION("""COMPUTED_VALUE"""),399.0)</f>
        <v>399</v>
      </c>
      <c r="L752" s="258" t="str">
        <f>IFERROR(__xludf.DUMMYFUNCTION("""COMPUTED_VALUE"""),"")</f>
        <v/>
      </c>
      <c r="M752" s="261">
        <f>IFERROR(__xludf.DUMMYFUNCTION("""COMPUTED_VALUE"""),223.0)</f>
        <v>223</v>
      </c>
      <c r="N752" s="262" t="str">
        <f>IFERROR(__xludf.DUMMYFUNCTION("""COMPUTED_VALUE"""),"")</f>
        <v/>
      </c>
      <c r="O752" s="259" t="str">
        <f>IFERROR(__xludf.DUMMYFUNCTION("""COMPUTED_VALUE"""),"")</f>
        <v/>
      </c>
      <c r="P752" s="259">
        <f>IFERROR(__xludf.DUMMYFUNCTION("""COMPUTED_VALUE"""),42744.0)</f>
        <v>42744</v>
      </c>
      <c r="Q752" s="258">
        <f>IFERROR(__xludf.DUMMYFUNCTION("""COMPUTED_VALUE"""),127174.0)</f>
        <v>127174</v>
      </c>
      <c r="R752" s="261">
        <f>IFERROR(__xludf.DUMMYFUNCTION("""COMPUTED_VALUE"""),374.0)</f>
        <v>374</v>
      </c>
      <c r="S752" s="258">
        <v>395.0</v>
      </c>
      <c r="T752" s="263">
        <v>0.9468354430379747</v>
      </c>
      <c r="U752" s="264">
        <v>79022.0</v>
      </c>
      <c r="V752" s="265">
        <v>127174.0</v>
      </c>
      <c r="W752" s="264">
        <v>79022.0</v>
      </c>
      <c r="X752" s="266"/>
      <c r="Y752" s="267">
        <v>-0.01</v>
      </c>
      <c r="Z752" s="267">
        <v>0.9402459150044963</v>
      </c>
      <c r="AA752" s="269"/>
      <c r="AB752" s="270"/>
      <c r="AC752" s="270"/>
      <c r="AD752" s="270"/>
      <c r="AE752" s="270"/>
    </row>
    <row r="753">
      <c r="A753" s="256">
        <f>IFERROR(__xludf.DUMMYFUNCTION("""COMPUTED_VALUE"""),42998.60902777778)</f>
        <v>42998.60903</v>
      </c>
      <c r="B753" s="257" t="str">
        <f>IFERROR(__xludf.DUMMYFUNCTION("""COMPUTED_VALUE"""),"JoeNe")</f>
        <v>JoeNe</v>
      </c>
      <c r="C753" s="258" t="str">
        <f>IFERROR(__xludf.DUMMYFUNCTION("""COMPUTED_VALUE"""),"Europe (excluding UK) &amp; Asia Pacific")</f>
        <v>Europe (excluding UK) &amp; Asia Pacific</v>
      </c>
      <c r="D753" s="258" t="str">
        <f>IFERROR(__xludf.DUMMYFUNCTION("""COMPUTED_VALUE"""),"km. My car displays range in kilometres and I will enter all range numbers in kilometres.")</f>
        <v>km. My car displays range in kilometres and I will enter all range numbers in kilometres.</v>
      </c>
      <c r="E753" s="259">
        <f>IFERROR(__xludf.DUMMYFUNCTION("""COMPUTED_VALUE"""),41604.0)</f>
        <v>41604</v>
      </c>
      <c r="F753" s="258" t="str">
        <f>IFERROR(__xludf.DUMMYFUNCTION("""COMPUTED_VALUE"""),"Model S 85")</f>
        <v>Model S 85</v>
      </c>
      <c r="G753" s="258" t="str">
        <f>IFERROR(__xludf.DUMMYFUNCTION("""COMPUTED_VALUE"""),"A few times a year")</f>
        <v>A few times a year</v>
      </c>
      <c r="H753" s="258" t="str">
        <f>IFERROR(__xludf.DUMMYFUNCTION("""COMPUTED_VALUE"""),"Once or twice a year")</f>
        <v>Once or twice a year</v>
      </c>
      <c r="I753" s="258" t="str">
        <f>IFERROR(__xludf.DUMMYFUNCTION("""COMPUTED_VALUE"""),"Once or twice a year")</f>
        <v>Once or twice a year</v>
      </c>
      <c r="J753" s="260">
        <f>IFERROR(__xludf.DUMMYFUNCTION("""COMPUTED_VALUE"""),0.8)</f>
        <v>0.8</v>
      </c>
      <c r="K753" s="258">
        <f>IFERROR(__xludf.DUMMYFUNCTION("""COMPUTED_VALUE"""),399.0)</f>
        <v>399</v>
      </c>
      <c r="L753" s="258" t="str">
        <f>IFERROR(__xludf.DUMMYFUNCTION("""COMPUTED_VALUE"""),"")</f>
        <v/>
      </c>
      <c r="M753" s="261">
        <f>IFERROR(__xludf.DUMMYFUNCTION("""COMPUTED_VALUE"""),222.0)</f>
        <v>222</v>
      </c>
      <c r="N753" s="262" t="str">
        <f>IFERROR(__xludf.DUMMYFUNCTION("""COMPUTED_VALUE"""),"")</f>
        <v/>
      </c>
      <c r="O753" s="259" t="str">
        <f>IFERROR(__xludf.DUMMYFUNCTION("""COMPUTED_VALUE"""),"")</f>
        <v/>
      </c>
      <c r="P753" s="259">
        <f>IFERROR(__xludf.DUMMYFUNCTION("""COMPUTED_VALUE"""),42998.0)</f>
        <v>42998</v>
      </c>
      <c r="Q753" s="258">
        <f>IFERROR(__xludf.DUMMYFUNCTION("""COMPUTED_VALUE"""),152072.0)</f>
        <v>152072</v>
      </c>
      <c r="R753" s="261">
        <f>IFERROR(__xludf.DUMMYFUNCTION("""COMPUTED_VALUE"""),376.0)</f>
        <v>376</v>
      </c>
      <c r="S753" s="258">
        <v>395.0</v>
      </c>
      <c r="T753" s="263">
        <v>0.9518987341772152</v>
      </c>
      <c r="U753" s="264">
        <v>94493.0</v>
      </c>
      <c r="V753" s="265">
        <v>152072.0</v>
      </c>
      <c r="W753" s="264">
        <v>94493.0</v>
      </c>
      <c r="X753" s="266"/>
      <c r="Y753" s="267">
        <v>-0.01</v>
      </c>
      <c r="Z753" s="267">
        <v>0.9344889461626386</v>
      </c>
      <c r="AA753" s="269"/>
      <c r="AB753" s="270"/>
      <c r="AC753" s="270"/>
      <c r="AD753" s="270"/>
      <c r="AE753" s="270"/>
    </row>
    <row r="754">
      <c r="A754" s="256">
        <f>IFERROR(__xludf.DUMMYFUNCTION("""COMPUTED_VALUE"""),43182.71041666667)</f>
        <v>43182.71042</v>
      </c>
      <c r="B754" s="257" t="str">
        <f>IFERROR(__xludf.DUMMYFUNCTION("""COMPUTED_VALUE"""),"JoeNe")</f>
        <v>JoeNe</v>
      </c>
      <c r="C754" s="258" t="str">
        <f>IFERROR(__xludf.DUMMYFUNCTION("""COMPUTED_VALUE"""),"Europe (excluding UK) &amp; Asia Pacific")</f>
        <v>Europe (excluding UK) &amp; Asia Pacific</v>
      </c>
      <c r="D754" s="258" t="str">
        <f>IFERROR(__xludf.DUMMYFUNCTION("""COMPUTED_VALUE"""),"km. My car displays range in kilometres and I will enter all range numbers in kilometres.")</f>
        <v>km. My car displays range in kilometres and I will enter all range numbers in kilometres.</v>
      </c>
      <c r="E754" s="259">
        <f>IFERROR(__xludf.DUMMYFUNCTION("""COMPUTED_VALUE"""),41604.0)</f>
        <v>41604</v>
      </c>
      <c r="F754" s="258" t="str">
        <f>IFERROR(__xludf.DUMMYFUNCTION("""COMPUTED_VALUE"""),"Model S 85")</f>
        <v>Model S 85</v>
      </c>
      <c r="G754" s="258" t="str">
        <f>IFERROR(__xludf.DUMMYFUNCTION("""COMPUTED_VALUE"""),"A few times a year")</f>
        <v>A few times a year</v>
      </c>
      <c r="H754" s="258" t="str">
        <f>IFERROR(__xludf.DUMMYFUNCTION("""COMPUTED_VALUE"""),"A few times a year")</f>
        <v>A few times a year</v>
      </c>
      <c r="I754" s="258" t="str">
        <f>IFERROR(__xludf.DUMMYFUNCTION("""COMPUTED_VALUE"""),"A few times a year")</f>
        <v>A few times a year</v>
      </c>
      <c r="J754" s="260">
        <f>IFERROR(__xludf.DUMMYFUNCTION("""COMPUTED_VALUE"""),0.7)</f>
        <v>0.7</v>
      </c>
      <c r="K754" s="258">
        <f>IFERROR(__xludf.DUMMYFUNCTION("""COMPUTED_VALUE"""),399.0)</f>
        <v>399</v>
      </c>
      <c r="L754" s="258" t="str">
        <f>IFERROR(__xludf.DUMMYFUNCTION("""COMPUTED_VALUE"""),"")</f>
        <v/>
      </c>
      <c r="M754" s="261">
        <f>IFERROR(__xludf.DUMMYFUNCTION("""COMPUTED_VALUE"""),218.0)</f>
        <v>218</v>
      </c>
      <c r="N754" s="262" t="str">
        <f>IFERROR(__xludf.DUMMYFUNCTION("""COMPUTED_VALUE"""),"")</f>
        <v/>
      </c>
      <c r="O754" s="259" t="str">
        <f>IFERROR(__xludf.DUMMYFUNCTION("""COMPUTED_VALUE"""),"")</f>
        <v/>
      </c>
      <c r="P754" s="259">
        <f>IFERROR(__xludf.DUMMYFUNCTION("""COMPUTED_VALUE"""),43182.0)</f>
        <v>43182</v>
      </c>
      <c r="Q754" s="258">
        <f>IFERROR(__xludf.DUMMYFUNCTION("""COMPUTED_VALUE"""),168691.0)</f>
        <v>168691</v>
      </c>
      <c r="R754" s="261">
        <f>IFERROR(__xludf.DUMMYFUNCTION("""COMPUTED_VALUE"""),366.0)</f>
        <v>366</v>
      </c>
      <c r="S754" s="258">
        <v>395.0</v>
      </c>
      <c r="T754" s="263">
        <v>0.9265822784810127</v>
      </c>
      <c r="U754" s="264">
        <v>104820.0</v>
      </c>
      <c r="V754" s="265">
        <v>168691.0</v>
      </c>
      <c r="W754" s="264">
        <v>104820.0</v>
      </c>
      <c r="X754" s="266"/>
      <c r="Y754" s="267">
        <v>-0.01</v>
      </c>
      <c r="Z754" s="267">
        <v>0.9306530963064487</v>
      </c>
      <c r="AA754" s="269"/>
      <c r="AB754" s="270"/>
      <c r="AC754" s="270"/>
      <c r="AD754" s="270"/>
      <c r="AE754" s="270"/>
    </row>
    <row r="755">
      <c r="A755" s="256">
        <f>IFERROR(__xludf.DUMMYFUNCTION("""COMPUTED_VALUE"""),43841.72040236111)</f>
        <v>43841.7204</v>
      </c>
      <c r="B755" s="257" t="str">
        <f>IFERROR(__xludf.DUMMYFUNCTION("""COMPUTED_VALUE"""),"Johan")</f>
        <v>Johan</v>
      </c>
      <c r="C755" s="258" t="str">
        <f>IFERROR(__xludf.DUMMYFUNCTION("""COMPUTED_VALUE"""),"Europe (excluding UK) &amp; Asia Pacific")</f>
        <v>Europe (excluding UK) &amp; Asia Pacific</v>
      </c>
      <c r="D755" s="258" t="str">
        <f>IFERROR(__xludf.DUMMYFUNCTION("""COMPUTED_VALUE"""),"km. My car displays range in kilometres and I will enter all range numbers in kilometres.")</f>
        <v>km. My car displays range in kilometres and I will enter all range numbers in kilometres.</v>
      </c>
      <c r="E755" s="259">
        <f>IFERROR(__xludf.DUMMYFUNCTION("""COMPUTED_VALUE"""),43511.0)</f>
        <v>43511</v>
      </c>
      <c r="F755" s="258" t="str">
        <f>IFERROR(__xludf.DUMMYFUNCTION("""COMPUTED_VALUE"""),"Model 3 LR AWD")</f>
        <v>Model 3 LR AWD</v>
      </c>
      <c r="G755" s="258" t="str">
        <f>IFERROR(__xludf.DUMMYFUNCTION("""COMPUTED_VALUE"""),"A few times a year")</f>
        <v>A few times a year</v>
      </c>
      <c r="H755" s="258" t="str">
        <f>IFERROR(__xludf.DUMMYFUNCTION("""COMPUTED_VALUE"""),"Once or twice a year")</f>
        <v>Once or twice a year</v>
      </c>
      <c r="I755" s="258" t="str">
        <f>IFERROR(__xludf.DUMMYFUNCTION("""COMPUTED_VALUE"""),"Never")</f>
        <v>Never</v>
      </c>
      <c r="J755" s="260">
        <f>IFERROR(__xludf.DUMMYFUNCTION("""COMPUTED_VALUE"""),0.8)</f>
        <v>0.8</v>
      </c>
      <c r="K755" s="258">
        <f>IFERROR(__xludf.DUMMYFUNCTION("""COMPUTED_VALUE"""),500.0)</f>
        <v>500</v>
      </c>
      <c r="L755" s="258">
        <f>IFERROR(__xludf.DUMMYFUNCTION("""COMPUTED_VALUE"""),149.0)</f>
        <v>149</v>
      </c>
      <c r="M755" s="261">
        <f>IFERROR(__xludf.DUMMYFUNCTION("""COMPUTED_VALUE"""),148.0)</f>
        <v>148</v>
      </c>
      <c r="N755" s="262" t="str">
        <f>IFERROR(__xludf.DUMMYFUNCTION("""COMPUTED_VALUE"""),"")</f>
        <v/>
      </c>
      <c r="O755" s="259" t="str">
        <f>IFERROR(__xludf.DUMMYFUNCTION("""COMPUTED_VALUE"""),"")</f>
        <v/>
      </c>
      <c r="P755" s="259">
        <f>IFERROR(__xludf.DUMMYFUNCTION("""COMPUTED_VALUE"""),43685.0)</f>
        <v>43685</v>
      </c>
      <c r="Q755" s="258">
        <f>IFERROR(__xludf.DUMMYFUNCTION("""COMPUTED_VALUE"""),21820.0)</f>
        <v>21820</v>
      </c>
      <c r="R755" s="261">
        <f>IFERROR(__xludf.DUMMYFUNCTION("""COMPUTED_VALUE"""),500.0)</f>
        <v>500</v>
      </c>
      <c r="S755" s="258">
        <v>544.0</v>
      </c>
      <c r="T755" s="263">
        <v>0.9191176470588235</v>
      </c>
      <c r="U755" s="264">
        <v>13558.0</v>
      </c>
      <c r="V755" s="265">
        <v>21820.0</v>
      </c>
      <c r="W755" s="264">
        <v>13558.0</v>
      </c>
      <c r="X755" s="266"/>
      <c r="Y755" s="267">
        <v>-0.01</v>
      </c>
      <c r="Z755" s="267">
        <v>0.9730873711653754</v>
      </c>
      <c r="AA755" s="269"/>
      <c r="AB755" s="270"/>
      <c r="AC755" s="270"/>
      <c r="AD755" s="270"/>
      <c r="AE755" s="270"/>
    </row>
    <row r="756">
      <c r="A756" s="256">
        <f>IFERROR(__xludf.DUMMYFUNCTION("""COMPUTED_VALUE"""),42348.242361111115)</f>
        <v>42348.24236</v>
      </c>
      <c r="B756" s="257" t="str">
        <f>IFERROR(__xludf.DUMMYFUNCTION("""COMPUTED_VALUE"""),"Johann Koeber")</f>
        <v>Johann Koeber</v>
      </c>
      <c r="C756" s="258" t="str">
        <f>IFERROR(__xludf.DUMMYFUNCTION("""COMPUTED_VALUE"""),"Europe (excluding UK) &amp; Asia Pacific")</f>
        <v>Europe (excluding UK) &amp; Asia Pacific</v>
      </c>
      <c r="D756" s="258" t="str">
        <f>IFERROR(__xludf.DUMMYFUNCTION("""COMPUTED_VALUE"""),"km. My car displays range in kilometres and I will enter all range numbers in kilometres.")</f>
        <v>km. My car displays range in kilometres and I will enter all range numbers in kilometres.</v>
      </c>
      <c r="E756" s="259">
        <f>IFERROR(__xludf.DUMMYFUNCTION("""COMPUTED_VALUE"""),41724.0)</f>
        <v>41724</v>
      </c>
      <c r="F756" s="258" t="str">
        <f>IFERROR(__xludf.DUMMYFUNCTION("""COMPUTED_VALUE"""),"Model S P85")</f>
        <v>Model S P85</v>
      </c>
      <c r="G756" s="258" t="str">
        <f>IFERROR(__xludf.DUMMYFUNCTION("""COMPUTED_VALUE"""),"Twice a week")</f>
        <v>Twice a week</v>
      </c>
      <c r="H756" s="258" t="str">
        <f>IFERROR(__xludf.DUMMYFUNCTION("""COMPUTED_VALUE"""),"Monthly")</f>
        <v>Monthly</v>
      </c>
      <c r="I756" s="258" t="str">
        <f>IFERROR(__xludf.DUMMYFUNCTION("""COMPUTED_VALUE"""),"A few times a year")</f>
        <v>A few times a year</v>
      </c>
      <c r="J756" s="260">
        <f>IFERROR(__xludf.DUMMYFUNCTION("""COMPUTED_VALUE"""),0.9)</f>
        <v>0.9</v>
      </c>
      <c r="K756" s="258">
        <f>IFERROR(__xludf.DUMMYFUNCTION("""COMPUTED_VALUE"""),401.0)</f>
        <v>401</v>
      </c>
      <c r="L756" s="258" t="str">
        <f>IFERROR(__xludf.DUMMYFUNCTION("""COMPUTED_VALUE"""),"")</f>
        <v/>
      </c>
      <c r="M756" s="261">
        <f>IFERROR(__xludf.DUMMYFUNCTION("""COMPUTED_VALUE"""),226.0)</f>
        <v>226</v>
      </c>
      <c r="N756" s="262" t="str">
        <f>IFERROR(__xludf.DUMMYFUNCTION("""COMPUTED_VALUE"""),"")</f>
        <v/>
      </c>
      <c r="O756" s="259" t="str">
        <f>IFERROR(__xludf.DUMMYFUNCTION("""COMPUTED_VALUE"""),"")</f>
        <v/>
      </c>
      <c r="P756" s="259">
        <f>IFERROR(__xludf.DUMMYFUNCTION("""COMPUTED_VALUE"""),42348.0)</f>
        <v>42348</v>
      </c>
      <c r="Q756" s="258">
        <f>IFERROR(__xludf.DUMMYFUNCTION("""COMPUTED_VALUE"""),124004.0)</f>
        <v>124004</v>
      </c>
      <c r="R756" s="261">
        <f>IFERROR(__xludf.DUMMYFUNCTION("""COMPUTED_VALUE"""),370.0)</f>
        <v>370</v>
      </c>
      <c r="S756" s="258">
        <v>395.0</v>
      </c>
      <c r="T756" s="263">
        <v>0.9367088607594937</v>
      </c>
      <c r="U756" s="264">
        <v>77053.0</v>
      </c>
      <c r="V756" s="265">
        <v>124004.0</v>
      </c>
      <c r="W756" s="264">
        <v>77053.0</v>
      </c>
      <c r="X756" s="266"/>
      <c r="Y756" s="267">
        <v>-0.01</v>
      </c>
      <c r="Z756" s="267">
        <v>0.9409808549504463</v>
      </c>
      <c r="AA756" s="269"/>
      <c r="AB756" s="270"/>
      <c r="AC756" s="270"/>
      <c r="AD756" s="270"/>
      <c r="AE756" s="270"/>
    </row>
    <row r="757">
      <c r="A757" s="256">
        <f>IFERROR(__xludf.DUMMYFUNCTION("""COMPUTED_VALUE"""),43013.617361111115)</f>
        <v>43013.61736</v>
      </c>
      <c r="B757" s="257" t="str">
        <f>IFERROR(__xludf.DUMMYFUNCTION("""COMPUTED_VALUE"""),"Johann Koeber")</f>
        <v>Johann Koeber</v>
      </c>
      <c r="C757" s="258" t="str">
        <f>IFERROR(__xludf.DUMMYFUNCTION("""COMPUTED_VALUE"""),"Europe (excluding UK) &amp; Asia Pacific")</f>
        <v>Europe (excluding UK) &amp; Asia Pacific</v>
      </c>
      <c r="D757" s="258" t="str">
        <f>IFERROR(__xludf.DUMMYFUNCTION("""COMPUTED_VALUE"""),"km. My car displays range in kilometres and I will enter all range numbers in kilometres.")</f>
        <v>km. My car displays range in kilometres and I will enter all range numbers in kilometres.</v>
      </c>
      <c r="E757" s="259">
        <f>IFERROR(__xludf.DUMMYFUNCTION("""COMPUTED_VALUE"""),41712.0)</f>
        <v>41712</v>
      </c>
      <c r="F757" s="258" t="str">
        <f>IFERROR(__xludf.DUMMYFUNCTION("""COMPUTED_VALUE"""),"Model S P85")</f>
        <v>Model S P85</v>
      </c>
      <c r="G757" s="258" t="str">
        <f>IFERROR(__xludf.DUMMYFUNCTION("""COMPUTED_VALUE"""),"Twice a week")</f>
        <v>Twice a week</v>
      </c>
      <c r="H757" s="258" t="str">
        <f>IFERROR(__xludf.DUMMYFUNCTION("""COMPUTED_VALUE"""),"Monthly")</f>
        <v>Monthly</v>
      </c>
      <c r="I757" s="258" t="str">
        <f>IFERROR(__xludf.DUMMYFUNCTION("""COMPUTED_VALUE"""),"A few times a year")</f>
        <v>A few times a year</v>
      </c>
      <c r="J757" s="260">
        <f>IFERROR(__xludf.DUMMYFUNCTION("""COMPUTED_VALUE"""),0.9)</f>
        <v>0.9</v>
      </c>
      <c r="K757" s="258" t="str">
        <f>IFERROR(__xludf.DUMMYFUNCTION("""COMPUTED_VALUE"""),"")</f>
        <v/>
      </c>
      <c r="L757" s="258" t="str">
        <f>IFERROR(__xludf.DUMMYFUNCTION("""COMPUTED_VALUE"""),"")</f>
        <v/>
      </c>
      <c r="M757" s="261">
        <f>IFERROR(__xludf.DUMMYFUNCTION("""COMPUTED_VALUE"""),223.0)</f>
        <v>223</v>
      </c>
      <c r="N757" s="262" t="str">
        <f>IFERROR(__xludf.DUMMYFUNCTION("""COMPUTED_VALUE"""),"")</f>
        <v/>
      </c>
      <c r="O757" s="259" t="str">
        <f>IFERROR(__xludf.DUMMYFUNCTION("""COMPUTED_VALUE"""),"")</f>
        <v/>
      </c>
      <c r="P757" s="259">
        <f>IFERROR(__xludf.DUMMYFUNCTION("""COMPUTED_VALUE"""),43013.0)</f>
        <v>43013</v>
      </c>
      <c r="Q757" s="258">
        <f>IFERROR(__xludf.DUMMYFUNCTION("""COMPUTED_VALUE"""),248884.0)</f>
        <v>248884</v>
      </c>
      <c r="R757" s="261">
        <f>IFERROR(__xludf.DUMMYFUNCTION("""COMPUTED_VALUE"""),364.0)</f>
        <v>364</v>
      </c>
      <c r="S757" s="258">
        <v>395.0</v>
      </c>
      <c r="T757" s="263">
        <v>0.9215189873417722</v>
      </c>
      <c r="U757" s="264">
        <v>154649.0</v>
      </c>
      <c r="V757" s="265">
        <v>248884.0</v>
      </c>
      <c r="W757" s="264">
        <v>154649.0</v>
      </c>
      <c r="X757" s="266"/>
      <c r="Y757" s="267">
        <v>-0.01</v>
      </c>
      <c r="Z757" s="267">
        <v>0.9121551611218596</v>
      </c>
      <c r="AA757" s="269"/>
      <c r="AB757" s="270"/>
      <c r="AC757" s="270"/>
      <c r="AD757" s="270"/>
      <c r="AE757" s="270"/>
    </row>
    <row r="758">
      <c r="A758" s="256">
        <f>IFERROR(__xludf.DUMMYFUNCTION("""COMPUTED_VALUE"""),42965.896527777775)</f>
        <v>42965.89653</v>
      </c>
      <c r="B758" s="257" t="str">
        <f>IFERROR(__xludf.DUMMYFUNCTION("""COMPUTED_VALUE"""),"John")</f>
        <v>John</v>
      </c>
      <c r="C758" s="258" t="str">
        <f>IFERROR(__xludf.DUMMYFUNCTION("""COMPUTED_VALUE"""),"UK")</f>
        <v>UK</v>
      </c>
      <c r="D758" s="258" t="str">
        <f>IFERROR(__xludf.DUMMYFUNCTION("""COMPUTED_VALUE"""),"mi. My car displays range in miles and I will enter all range numbers in miles.")</f>
        <v>mi. My car displays range in miles and I will enter all range numbers in miles.</v>
      </c>
      <c r="E758" s="259" t="str">
        <f>IFERROR(__xludf.DUMMYFUNCTION("""COMPUTED_VALUE"""),"")</f>
        <v/>
      </c>
      <c r="F758" s="258" t="str">
        <f>IFERROR(__xludf.DUMMYFUNCTION("""COMPUTED_VALUE"""),"Model S 75D")</f>
        <v>Model S 75D</v>
      </c>
      <c r="G758" s="258" t="str">
        <f>IFERROR(__xludf.DUMMYFUNCTION("""COMPUTED_VALUE"""),"")</f>
        <v/>
      </c>
      <c r="H758" s="258" t="str">
        <f>IFERROR(__xludf.DUMMYFUNCTION("""COMPUTED_VALUE"""),"")</f>
        <v/>
      </c>
      <c r="I758" s="258" t="str">
        <f>IFERROR(__xludf.DUMMYFUNCTION("""COMPUTED_VALUE"""),"")</f>
        <v/>
      </c>
      <c r="J758" s="260" t="str">
        <f>IFERROR(__xludf.DUMMYFUNCTION("""COMPUTED_VALUE"""),"")</f>
        <v/>
      </c>
      <c r="K758" s="258" t="str">
        <f>IFERROR(__xludf.DUMMYFUNCTION("""COMPUTED_VALUE"""),"")</f>
        <v/>
      </c>
      <c r="L758" s="258" t="str">
        <f>IFERROR(__xludf.DUMMYFUNCTION("""COMPUTED_VALUE"""),"")</f>
        <v/>
      </c>
      <c r="M758" s="261">
        <f>IFERROR(__xludf.DUMMYFUNCTION("""COMPUTED_VALUE"""),305.0)</f>
        <v>305</v>
      </c>
      <c r="N758" s="262" t="str">
        <f>IFERROR(__xludf.DUMMYFUNCTION("""COMPUTED_VALUE"""),"")</f>
        <v/>
      </c>
      <c r="O758" s="259" t="str">
        <f>IFERROR(__xludf.DUMMYFUNCTION("""COMPUTED_VALUE"""),"")</f>
        <v/>
      </c>
      <c r="P758" s="259">
        <f>IFERROR(__xludf.DUMMYFUNCTION("""COMPUTED_VALUE"""),42965.0)</f>
        <v>42965</v>
      </c>
      <c r="Q758" s="258">
        <f>IFERROR(__xludf.DUMMYFUNCTION("""COMPUTED_VALUE"""),3000.0)</f>
        <v>3000</v>
      </c>
      <c r="R758" s="261">
        <f>IFERROR(__xludf.DUMMYFUNCTION("""COMPUTED_VALUE"""),238.7)</f>
        <v>238.7</v>
      </c>
      <c r="S758" s="258">
        <v>239.0</v>
      </c>
      <c r="T758" s="263">
        <v>0.9987447698744769</v>
      </c>
      <c r="U758" s="264">
        <v>3000.0</v>
      </c>
      <c r="V758" s="265">
        <v>4828.0</v>
      </c>
      <c r="W758" s="264">
        <v>3000.0</v>
      </c>
      <c r="X758" s="266"/>
      <c r="Y758" s="267">
        <v>-0.01</v>
      </c>
      <c r="Z758" s="267">
        <v>0.9914363248862823</v>
      </c>
      <c r="AA758" s="269"/>
      <c r="AB758" s="270"/>
      <c r="AC758" s="270"/>
      <c r="AD758" s="270"/>
      <c r="AE758" s="270"/>
    </row>
    <row r="759">
      <c r="A759" s="256">
        <f>IFERROR(__xludf.DUMMYFUNCTION("""COMPUTED_VALUE"""),42118.10416666667)</f>
        <v>42118.10417</v>
      </c>
      <c r="B759" s="257" t="str">
        <f>IFERROR(__xludf.DUMMYFUNCTION("""COMPUTED_VALUE"""),"Jolinar")</f>
        <v>Jolinar</v>
      </c>
      <c r="C759" s="258" t="str">
        <f>IFERROR(__xludf.DUMMYFUNCTION("""COMPUTED_VALUE"""),"Europe (excluding UK) &amp; Asia Pacific")</f>
        <v>Europe (excluding UK) &amp; Asia Pacific</v>
      </c>
      <c r="D759" s="258" t="str">
        <f>IFERROR(__xludf.DUMMYFUNCTION("""COMPUTED_VALUE"""),"km. My car displays range in kilometres and I will enter all range numbers in kilometres.")</f>
        <v>km. My car displays range in kilometres and I will enter all range numbers in kilometres.</v>
      </c>
      <c r="E759" s="259">
        <f>IFERROR(__xludf.DUMMYFUNCTION("""COMPUTED_VALUE"""),41537.0)</f>
        <v>41537</v>
      </c>
      <c r="F759" s="258" t="str">
        <f>IFERROR(__xludf.DUMMYFUNCTION("""COMPUTED_VALUE"""),"Model S P85")</f>
        <v>Model S P85</v>
      </c>
      <c r="G759" s="258" t="str">
        <f>IFERROR(__xludf.DUMMYFUNCTION("""COMPUTED_VALUE"""),"Never")</f>
        <v>Never</v>
      </c>
      <c r="H759" s="258" t="str">
        <f>IFERROR(__xludf.DUMMYFUNCTION("""COMPUTED_VALUE"""),"Never")</f>
        <v>Never</v>
      </c>
      <c r="I759" s="258" t="str">
        <f>IFERROR(__xludf.DUMMYFUNCTION("""COMPUTED_VALUE"""),"Never")</f>
        <v>Never</v>
      </c>
      <c r="J759" s="260" t="str">
        <f>IFERROR(__xludf.DUMMYFUNCTION("""COMPUTED_VALUE"""),"")</f>
        <v/>
      </c>
      <c r="K759" s="258" t="str">
        <f>IFERROR(__xludf.DUMMYFUNCTION("""COMPUTED_VALUE"""),"")</f>
        <v/>
      </c>
      <c r="L759" s="258" t="str">
        <f>IFERROR(__xludf.DUMMYFUNCTION("""COMPUTED_VALUE"""),"")</f>
        <v/>
      </c>
      <c r="M759" s="261">
        <f>IFERROR(__xludf.DUMMYFUNCTION("""COMPUTED_VALUE"""),210.0)</f>
        <v>210</v>
      </c>
      <c r="N759" s="262" t="str">
        <f>IFERROR(__xludf.DUMMYFUNCTION("""COMPUTED_VALUE"""),"")</f>
        <v/>
      </c>
      <c r="O759" s="259" t="str">
        <f>IFERROR(__xludf.DUMMYFUNCTION("""COMPUTED_VALUE"""),"")</f>
        <v/>
      </c>
      <c r="P759" s="259">
        <f>IFERROR(__xludf.DUMMYFUNCTION("""COMPUTED_VALUE"""),42118.0)</f>
        <v>42118</v>
      </c>
      <c r="Q759" s="258">
        <f>IFERROR(__xludf.DUMMYFUNCTION("""COMPUTED_VALUE"""),53600.0)</f>
        <v>53600</v>
      </c>
      <c r="R759" s="261">
        <f>IFERROR(__xludf.DUMMYFUNCTION("""COMPUTED_VALUE"""),376.0)</f>
        <v>376</v>
      </c>
      <c r="S759" s="258">
        <v>395.0</v>
      </c>
      <c r="T759" s="263">
        <v>0.9518987341772152</v>
      </c>
      <c r="U759" s="264">
        <v>33305.0</v>
      </c>
      <c r="V759" s="265">
        <v>53600.0</v>
      </c>
      <c r="W759" s="264">
        <v>33305.0</v>
      </c>
      <c r="X759" s="266"/>
      <c r="Y759" s="267">
        <v>-0.01</v>
      </c>
      <c r="Z759" s="267">
        <v>0.9585459937202584</v>
      </c>
      <c r="AA759" s="269"/>
      <c r="AB759" s="270"/>
      <c r="AC759" s="270"/>
      <c r="AD759" s="270"/>
      <c r="AE759" s="270"/>
    </row>
    <row r="760">
      <c r="A760" s="256">
        <f>IFERROR(__xludf.DUMMYFUNCTION("""COMPUTED_VALUE"""),42861.53125)</f>
        <v>42861.53125</v>
      </c>
      <c r="B760" s="257" t="str">
        <f>IFERROR(__xludf.DUMMYFUNCTION("""COMPUTED_VALUE"""),"Jolnar")</f>
        <v>Jolnar</v>
      </c>
      <c r="C760" s="258" t="str">
        <f>IFERROR(__xludf.DUMMYFUNCTION("""COMPUTED_VALUE"""),"Europe (excluding UK) &amp; Asia Pacific")</f>
        <v>Europe (excluding UK) &amp; Asia Pacific</v>
      </c>
      <c r="D760" s="258" t="str">
        <f>IFERROR(__xludf.DUMMYFUNCTION("""COMPUTED_VALUE"""),"km. My car displays range in kilometres and I will enter all range numbers in kilometres.")</f>
        <v>km. My car displays range in kilometres and I will enter all range numbers in kilometres.</v>
      </c>
      <c r="E760" s="259">
        <f>IFERROR(__xludf.DUMMYFUNCTION("""COMPUTED_VALUE"""),41537.0)</f>
        <v>41537</v>
      </c>
      <c r="F760" s="258" t="str">
        <f>IFERROR(__xludf.DUMMYFUNCTION("""COMPUTED_VALUE"""),"Model S P85")</f>
        <v>Model S P85</v>
      </c>
      <c r="G760" s="258" t="str">
        <f>IFERROR(__xludf.DUMMYFUNCTION("""COMPUTED_VALUE"""),"Twice a month")</f>
        <v>Twice a month</v>
      </c>
      <c r="H760" s="258" t="str">
        <f>IFERROR(__xludf.DUMMYFUNCTION("""COMPUTED_VALUE"""),"Twice a month")</f>
        <v>Twice a month</v>
      </c>
      <c r="I760" s="258" t="str">
        <f>IFERROR(__xludf.DUMMYFUNCTION("""COMPUTED_VALUE"""),"Monthly")</f>
        <v>Monthly</v>
      </c>
      <c r="J760" s="260">
        <f>IFERROR(__xludf.DUMMYFUNCTION("""COMPUTED_VALUE"""),0.7)</f>
        <v>0.7</v>
      </c>
      <c r="K760" s="258">
        <f>IFERROR(__xludf.DUMMYFUNCTION("""COMPUTED_VALUE"""),402.0)</f>
        <v>402</v>
      </c>
      <c r="L760" s="258" t="str">
        <f>IFERROR(__xludf.DUMMYFUNCTION("""COMPUTED_VALUE"""),"")</f>
        <v/>
      </c>
      <c r="M760" s="261">
        <f>IFERROR(__xludf.DUMMYFUNCTION("""COMPUTED_VALUE"""),209.0)</f>
        <v>209</v>
      </c>
      <c r="N760" s="262" t="str">
        <f>IFERROR(__xludf.DUMMYFUNCTION("""COMPUTED_VALUE"""),"")</f>
        <v/>
      </c>
      <c r="O760" s="259" t="str">
        <f>IFERROR(__xludf.DUMMYFUNCTION("""COMPUTED_VALUE"""),"")</f>
        <v/>
      </c>
      <c r="P760" s="259">
        <f>IFERROR(__xludf.DUMMYFUNCTION("""COMPUTED_VALUE"""),42861.0)</f>
        <v>42861</v>
      </c>
      <c r="Q760" s="258">
        <f>IFERROR(__xludf.DUMMYFUNCTION("""COMPUTED_VALUE"""),140000.0)</f>
        <v>140000</v>
      </c>
      <c r="R760" s="261">
        <f>IFERROR(__xludf.DUMMYFUNCTION("""COMPUTED_VALUE"""),371.0)</f>
        <v>371</v>
      </c>
      <c r="S760" s="258">
        <v>395.0</v>
      </c>
      <c r="T760" s="263">
        <v>0.9392405063291139</v>
      </c>
      <c r="U760" s="264">
        <v>86992.0</v>
      </c>
      <c r="V760" s="265">
        <v>140000.0</v>
      </c>
      <c r="W760" s="264">
        <v>86992.0</v>
      </c>
      <c r="X760" s="266"/>
      <c r="Y760" s="267">
        <v>-0.01</v>
      </c>
      <c r="Z760" s="267">
        <v>0.9372777962751196</v>
      </c>
      <c r="AA760" s="269"/>
      <c r="AB760" s="270"/>
      <c r="AC760" s="270"/>
      <c r="AD760" s="270"/>
      <c r="AE760" s="270"/>
    </row>
    <row r="761">
      <c r="A761" s="256">
        <f>IFERROR(__xludf.DUMMYFUNCTION("""COMPUTED_VALUE"""),42680.50208333333)</f>
        <v>42680.50208</v>
      </c>
      <c r="B761" s="257" t="str">
        <f>IFERROR(__xludf.DUMMYFUNCTION("""COMPUTED_VALUE"""),"jonas_man")</f>
        <v>jonas_man</v>
      </c>
      <c r="C761" s="258" t="str">
        <f>IFERROR(__xludf.DUMMYFUNCTION("""COMPUTED_VALUE"""),"Europe (excluding UK) &amp; Asia Pacific")</f>
        <v>Europe (excluding UK) &amp; Asia Pacific</v>
      </c>
      <c r="D761" s="258" t="str">
        <f>IFERROR(__xludf.DUMMYFUNCTION("""COMPUTED_VALUE"""),"km. My car displays range in kilometres and I will enter all range numbers in kilometres.")</f>
        <v>km. My car displays range in kilometres and I will enter all range numbers in kilometres.</v>
      </c>
      <c r="E761" s="259">
        <f>IFERROR(__xludf.DUMMYFUNCTION("""COMPUTED_VALUE"""),42614.0)</f>
        <v>42614</v>
      </c>
      <c r="F761" s="258" t="str">
        <f>IFERROR(__xludf.DUMMYFUNCTION("""COMPUTED_VALUE"""),"Model S 90D")</f>
        <v>Model S 90D</v>
      </c>
      <c r="G761" s="258" t="str">
        <f>IFERROR(__xludf.DUMMYFUNCTION("""COMPUTED_VALUE"""),"Monthly")</f>
        <v>Monthly</v>
      </c>
      <c r="H761" s="258" t="str">
        <f>IFERROR(__xludf.DUMMYFUNCTION("""COMPUTED_VALUE"""),"A few times a year")</f>
        <v>A few times a year</v>
      </c>
      <c r="I761" s="258" t="str">
        <f>IFERROR(__xludf.DUMMYFUNCTION("""COMPUTED_VALUE"""),"Never")</f>
        <v>Never</v>
      </c>
      <c r="J761" s="260">
        <f>IFERROR(__xludf.DUMMYFUNCTION("""COMPUTED_VALUE"""),0.9)</f>
        <v>0.9</v>
      </c>
      <c r="K761" s="258">
        <f>IFERROR(__xludf.DUMMYFUNCTION("""COMPUTED_VALUE"""),441.0)</f>
        <v>441</v>
      </c>
      <c r="L761" s="258" t="str">
        <f>IFERROR(__xludf.DUMMYFUNCTION("""COMPUTED_VALUE"""),"")</f>
        <v/>
      </c>
      <c r="M761" s="261">
        <f>IFERROR(__xludf.DUMMYFUNCTION("""COMPUTED_VALUE"""),236.0)</f>
        <v>236</v>
      </c>
      <c r="N761" s="262" t="str">
        <f>IFERROR(__xludf.DUMMYFUNCTION("""COMPUTED_VALUE"""),"")</f>
        <v/>
      </c>
      <c r="O761" s="259" t="str">
        <f>IFERROR(__xludf.DUMMYFUNCTION("""COMPUTED_VALUE"""),"")</f>
        <v/>
      </c>
      <c r="P761" s="259">
        <f>IFERROR(__xludf.DUMMYFUNCTION("""COMPUTED_VALUE"""),42680.0)</f>
        <v>42680</v>
      </c>
      <c r="Q761" s="258">
        <f>IFERROR(__xludf.DUMMYFUNCTION("""COMPUTED_VALUE"""),800.0)</f>
        <v>800</v>
      </c>
      <c r="R761" s="261">
        <f>IFERROR(__xludf.DUMMYFUNCTION("""COMPUTED_VALUE"""),441.0)</f>
        <v>441</v>
      </c>
      <c r="S761" s="258">
        <v>447.0</v>
      </c>
      <c r="T761" s="263">
        <v>0.9865771812080537</v>
      </c>
      <c r="U761" s="264">
        <v>497.0</v>
      </c>
      <c r="V761" s="265">
        <v>800.0</v>
      </c>
      <c r="W761" s="264">
        <v>497.0</v>
      </c>
      <c r="X761" s="266"/>
      <c r="Y761" s="267">
        <v>-0.01</v>
      </c>
      <c r="Z761" s="267">
        <v>0.9984320668508742</v>
      </c>
      <c r="AA761" s="269"/>
      <c r="AB761" s="270"/>
      <c r="AC761" s="270"/>
      <c r="AD761" s="270"/>
      <c r="AE761" s="270"/>
    </row>
    <row r="762">
      <c r="A762" s="256">
        <f>IFERROR(__xludf.DUMMYFUNCTION("""COMPUTED_VALUE"""),42728.50277777778)</f>
        <v>42728.50278</v>
      </c>
      <c r="B762" s="257" t="str">
        <f>IFERROR(__xludf.DUMMYFUNCTION("""COMPUTED_VALUE"""),"jonas_man")</f>
        <v>jonas_man</v>
      </c>
      <c r="C762" s="258" t="str">
        <f>IFERROR(__xludf.DUMMYFUNCTION("""COMPUTED_VALUE"""),"Europe (excluding UK) &amp; Asia Pacific")</f>
        <v>Europe (excluding UK) &amp; Asia Pacific</v>
      </c>
      <c r="D762" s="258" t="str">
        <f>IFERROR(__xludf.DUMMYFUNCTION("""COMPUTED_VALUE"""),"km. My car displays range in kilometres and I will enter all range numbers in kilometres.")</f>
        <v>km. My car displays range in kilometres and I will enter all range numbers in kilometres.</v>
      </c>
      <c r="E762" s="259">
        <f>IFERROR(__xludf.DUMMYFUNCTION("""COMPUTED_VALUE"""),42614.0)</f>
        <v>42614</v>
      </c>
      <c r="F762" s="258" t="str">
        <f>IFERROR(__xludf.DUMMYFUNCTION("""COMPUTED_VALUE"""),"Model S 90D")</f>
        <v>Model S 90D</v>
      </c>
      <c r="G762" s="258" t="str">
        <f>IFERROR(__xludf.DUMMYFUNCTION("""COMPUTED_VALUE"""),"Monthly")</f>
        <v>Monthly</v>
      </c>
      <c r="H762" s="258" t="str">
        <f>IFERROR(__xludf.DUMMYFUNCTION("""COMPUTED_VALUE"""),"A few times a year")</f>
        <v>A few times a year</v>
      </c>
      <c r="I762" s="258" t="str">
        <f>IFERROR(__xludf.DUMMYFUNCTION("""COMPUTED_VALUE"""),"Never")</f>
        <v>Never</v>
      </c>
      <c r="J762" s="260">
        <f>IFERROR(__xludf.DUMMYFUNCTION("""COMPUTED_VALUE"""),0.9)</f>
        <v>0.9</v>
      </c>
      <c r="K762" s="258">
        <f>IFERROR(__xludf.DUMMYFUNCTION("""COMPUTED_VALUE"""),441.0)</f>
        <v>441</v>
      </c>
      <c r="L762" s="258" t="str">
        <f>IFERROR(__xludf.DUMMYFUNCTION("""COMPUTED_VALUE"""),"")</f>
        <v/>
      </c>
      <c r="M762" s="261">
        <f>IFERROR(__xludf.DUMMYFUNCTION("""COMPUTED_VALUE"""),219.0)</f>
        <v>219</v>
      </c>
      <c r="N762" s="262" t="str">
        <f>IFERROR(__xludf.DUMMYFUNCTION("""COMPUTED_VALUE"""),"")</f>
        <v/>
      </c>
      <c r="O762" s="259" t="str">
        <f>IFERROR(__xludf.DUMMYFUNCTION("""COMPUTED_VALUE"""),"")</f>
        <v/>
      </c>
      <c r="P762" s="259">
        <f>IFERROR(__xludf.DUMMYFUNCTION("""COMPUTED_VALUE"""),42728.0)</f>
        <v>42728</v>
      </c>
      <c r="Q762" s="258">
        <f>IFERROR(__xludf.DUMMYFUNCTION("""COMPUTED_VALUE"""),2361.0)</f>
        <v>2361</v>
      </c>
      <c r="R762" s="261">
        <f>IFERROR(__xludf.DUMMYFUNCTION("""COMPUTED_VALUE"""),447.0)</f>
        <v>447</v>
      </c>
      <c r="S762" s="258">
        <v>447.0</v>
      </c>
      <c r="T762" s="263">
        <v>1.0</v>
      </c>
      <c r="U762" s="264">
        <v>1467.0</v>
      </c>
      <c r="V762" s="265">
        <v>2361.0</v>
      </c>
      <c r="W762" s="264">
        <v>1467.0</v>
      </c>
      <c r="X762" s="266"/>
      <c r="Y762" s="267">
        <v>-0.01</v>
      </c>
      <c r="Z762" s="267">
        <v>0.9955510537757893</v>
      </c>
      <c r="AA762" s="269"/>
      <c r="AB762" s="270"/>
      <c r="AC762" s="270"/>
      <c r="AD762" s="270"/>
      <c r="AE762" s="270"/>
    </row>
    <row r="763">
      <c r="A763" s="256">
        <f>IFERROR(__xludf.DUMMYFUNCTION("""COMPUTED_VALUE"""),42749.50347222222)</f>
        <v>42749.50347</v>
      </c>
      <c r="B763" s="257" t="str">
        <f>IFERROR(__xludf.DUMMYFUNCTION("""COMPUTED_VALUE"""),"jonas_man")</f>
        <v>jonas_man</v>
      </c>
      <c r="C763" s="258" t="str">
        <f>IFERROR(__xludf.DUMMYFUNCTION("""COMPUTED_VALUE"""),"Europe (excluding UK) &amp; Asia Pacific")</f>
        <v>Europe (excluding UK) &amp; Asia Pacific</v>
      </c>
      <c r="D763" s="258" t="str">
        <f>IFERROR(__xludf.DUMMYFUNCTION("""COMPUTED_VALUE"""),"km. My car displays range in kilometres and I will enter all range numbers in kilometres.")</f>
        <v>km. My car displays range in kilometres and I will enter all range numbers in kilometres.</v>
      </c>
      <c r="E763" s="259">
        <f>IFERROR(__xludf.DUMMYFUNCTION("""COMPUTED_VALUE"""),42614.0)</f>
        <v>42614</v>
      </c>
      <c r="F763" s="258" t="str">
        <f>IFERROR(__xludf.DUMMYFUNCTION("""COMPUTED_VALUE"""),"Model S 90D")</f>
        <v>Model S 90D</v>
      </c>
      <c r="G763" s="258" t="str">
        <f>IFERROR(__xludf.DUMMYFUNCTION("""COMPUTED_VALUE"""),"Monthly")</f>
        <v>Monthly</v>
      </c>
      <c r="H763" s="258" t="str">
        <f>IFERROR(__xludf.DUMMYFUNCTION("""COMPUTED_VALUE"""),"A few times a year")</f>
        <v>A few times a year</v>
      </c>
      <c r="I763" s="258" t="str">
        <f>IFERROR(__xludf.DUMMYFUNCTION("""COMPUTED_VALUE"""),"Never")</f>
        <v>Never</v>
      </c>
      <c r="J763" s="260">
        <f>IFERROR(__xludf.DUMMYFUNCTION("""COMPUTED_VALUE"""),0.9)</f>
        <v>0.9</v>
      </c>
      <c r="K763" s="258">
        <f>IFERROR(__xludf.DUMMYFUNCTION("""COMPUTED_VALUE"""),441.0)</f>
        <v>441</v>
      </c>
      <c r="L763" s="258" t="str">
        <f>IFERROR(__xludf.DUMMYFUNCTION("""COMPUTED_VALUE"""),"")</f>
        <v/>
      </c>
      <c r="M763" s="261">
        <f>IFERROR(__xludf.DUMMYFUNCTION("""COMPUTED_VALUE"""),219.0)</f>
        <v>219</v>
      </c>
      <c r="N763" s="262" t="str">
        <f>IFERROR(__xludf.DUMMYFUNCTION("""COMPUTED_VALUE"""),"")</f>
        <v/>
      </c>
      <c r="O763" s="259" t="str">
        <f>IFERROR(__xludf.DUMMYFUNCTION("""COMPUTED_VALUE"""),"")</f>
        <v/>
      </c>
      <c r="P763" s="259">
        <f>IFERROR(__xludf.DUMMYFUNCTION("""COMPUTED_VALUE"""),42749.0)</f>
        <v>42749</v>
      </c>
      <c r="Q763" s="258">
        <f>IFERROR(__xludf.DUMMYFUNCTION("""COMPUTED_VALUE"""),4362.0)</f>
        <v>4362</v>
      </c>
      <c r="R763" s="261">
        <f>IFERROR(__xludf.DUMMYFUNCTION("""COMPUTED_VALUE"""),447.0)</f>
        <v>447</v>
      </c>
      <c r="S763" s="258">
        <v>447.0</v>
      </c>
      <c r="T763" s="263">
        <v>1.0</v>
      </c>
      <c r="U763" s="264">
        <v>2710.0</v>
      </c>
      <c r="V763" s="265">
        <v>4362.0</v>
      </c>
      <c r="W763" s="264">
        <v>2710.0</v>
      </c>
      <c r="X763" s="266"/>
      <c r="Y763" s="267">
        <v>-0.01</v>
      </c>
      <c r="Z763" s="267">
        <v>0.9921752001921336</v>
      </c>
      <c r="AA763" s="269"/>
      <c r="AB763" s="270"/>
      <c r="AC763" s="270"/>
      <c r="AD763" s="270"/>
      <c r="AE763" s="270"/>
    </row>
    <row r="764">
      <c r="A764" s="256">
        <f>IFERROR(__xludf.DUMMYFUNCTION("""COMPUTED_VALUE"""),43190.722916666666)</f>
        <v>43190.72292</v>
      </c>
      <c r="B764" s="257" t="str">
        <f>IFERROR(__xludf.DUMMYFUNCTION("""COMPUTED_VALUE"""),"jonas_man")</f>
        <v>jonas_man</v>
      </c>
      <c r="C764" s="258" t="str">
        <f>IFERROR(__xludf.DUMMYFUNCTION("""COMPUTED_VALUE"""),"Europe (excluding UK) &amp; Asia Pacific")</f>
        <v>Europe (excluding UK) &amp; Asia Pacific</v>
      </c>
      <c r="D764" s="258" t="str">
        <f>IFERROR(__xludf.DUMMYFUNCTION("""COMPUTED_VALUE"""),"km. My car displays range in kilometres and I will enter all range numbers in kilometres.")</f>
        <v>km. My car displays range in kilometres and I will enter all range numbers in kilometres.</v>
      </c>
      <c r="E764" s="259">
        <f>IFERROR(__xludf.DUMMYFUNCTION("""COMPUTED_VALUE"""),42614.0)</f>
        <v>42614</v>
      </c>
      <c r="F764" s="258" t="str">
        <f>IFERROR(__xludf.DUMMYFUNCTION("""COMPUTED_VALUE"""),"Model S 90D")</f>
        <v>Model S 90D</v>
      </c>
      <c r="G764" s="258" t="str">
        <f>IFERROR(__xludf.DUMMYFUNCTION("""COMPUTED_VALUE"""),"Monthly")</f>
        <v>Monthly</v>
      </c>
      <c r="H764" s="258" t="str">
        <f>IFERROR(__xludf.DUMMYFUNCTION("""COMPUTED_VALUE"""),"A few times a year")</f>
        <v>A few times a year</v>
      </c>
      <c r="I764" s="258" t="str">
        <f>IFERROR(__xludf.DUMMYFUNCTION("""COMPUTED_VALUE"""),"A few times a year")</f>
        <v>A few times a year</v>
      </c>
      <c r="J764" s="260">
        <f>IFERROR(__xludf.DUMMYFUNCTION("""COMPUTED_VALUE"""),0.9)</f>
        <v>0.9</v>
      </c>
      <c r="K764" s="258">
        <f>IFERROR(__xludf.DUMMYFUNCTION("""COMPUTED_VALUE"""),441.0)</f>
        <v>441</v>
      </c>
      <c r="L764" s="258" t="str">
        <f>IFERROR(__xludf.DUMMYFUNCTION("""COMPUTED_VALUE"""),"")</f>
        <v/>
      </c>
      <c r="M764" s="261">
        <f>IFERROR(__xludf.DUMMYFUNCTION("""COMPUTED_VALUE"""),225.0)</f>
        <v>225</v>
      </c>
      <c r="N764" s="262" t="str">
        <f>IFERROR(__xludf.DUMMYFUNCTION("""COMPUTED_VALUE"""),"")</f>
        <v/>
      </c>
      <c r="O764" s="259" t="str">
        <f>IFERROR(__xludf.DUMMYFUNCTION("""COMPUTED_VALUE"""),"")</f>
        <v/>
      </c>
      <c r="P764" s="259">
        <f>IFERROR(__xludf.DUMMYFUNCTION("""COMPUTED_VALUE"""),43190.0)</f>
        <v>43190</v>
      </c>
      <c r="Q764" s="258">
        <f>IFERROR(__xludf.DUMMYFUNCTION("""COMPUTED_VALUE"""),22827.0)</f>
        <v>22827</v>
      </c>
      <c r="R764" s="261">
        <f>IFERROR(__xludf.DUMMYFUNCTION("""COMPUTED_VALUE"""),441.0)</f>
        <v>441</v>
      </c>
      <c r="S764" s="258">
        <v>447.0</v>
      </c>
      <c r="T764" s="263">
        <v>0.9865771812080537</v>
      </c>
      <c r="U764" s="264">
        <v>14184.0</v>
      </c>
      <c r="V764" s="265">
        <v>22827.0</v>
      </c>
      <c r="W764" s="264">
        <v>14184.0</v>
      </c>
      <c r="X764" s="266"/>
      <c r="Y764" s="267">
        <v>-0.01</v>
      </c>
      <c r="Z764" s="267">
        <v>0.9723683061488874</v>
      </c>
      <c r="AA764" s="269"/>
      <c r="AB764" s="270"/>
      <c r="AC764" s="270"/>
      <c r="AD764" s="270"/>
      <c r="AE764" s="270"/>
    </row>
    <row r="765">
      <c r="A765" s="256">
        <f>IFERROR(__xludf.DUMMYFUNCTION("""COMPUTED_VALUE"""),43753.49641596065)</f>
        <v>43753.49642</v>
      </c>
      <c r="B765" s="257" t="str">
        <f>IFERROR(__xludf.DUMMYFUNCTION("""COMPUTED_VALUE"""),"jonas_man")</f>
        <v>jonas_man</v>
      </c>
      <c r="C765" s="258" t="str">
        <f>IFERROR(__xludf.DUMMYFUNCTION("""COMPUTED_VALUE"""),"Europe (excluding UK) &amp; Asia Pacific")</f>
        <v>Europe (excluding UK) &amp; Asia Pacific</v>
      </c>
      <c r="D765" s="258" t="str">
        <f>IFERROR(__xludf.DUMMYFUNCTION("""COMPUTED_VALUE"""),"km. My car displays range in kilometres and I will enter all range numbers in kilometres.")</f>
        <v>km. My car displays range in kilometres and I will enter all range numbers in kilometres.</v>
      </c>
      <c r="E765" s="259">
        <f>IFERROR(__xludf.DUMMYFUNCTION("""COMPUTED_VALUE"""),43709.0)</f>
        <v>43709</v>
      </c>
      <c r="F765" s="258" t="str">
        <f>IFERROR(__xludf.DUMMYFUNCTION("""COMPUTED_VALUE"""),"Model S 90D")</f>
        <v>Model S 90D</v>
      </c>
      <c r="G765" s="258" t="str">
        <f>IFERROR(__xludf.DUMMYFUNCTION("""COMPUTED_VALUE"""),"Monthly")</f>
        <v>Monthly</v>
      </c>
      <c r="H765" s="258" t="str">
        <f>IFERROR(__xludf.DUMMYFUNCTION("""COMPUTED_VALUE"""),"A few times a year")</f>
        <v>A few times a year</v>
      </c>
      <c r="I765" s="258" t="str">
        <f>IFERROR(__xludf.DUMMYFUNCTION("""COMPUTED_VALUE"""),"A few times a year")</f>
        <v>A few times a year</v>
      </c>
      <c r="J765" s="260">
        <f>IFERROR(__xludf.DUMMYFUNCTION("""COMPUTED_VALUE"""),0.9)</f>
        <v>0.9</v>
      </c>
      <c r="K765" s="258">
        <f>IFERROR(__xludf.DUMMYFUNCTION("""COMPUTED_VALUE"""),441.0)</f>
        <v>441</v>
      </c>
      <c r="L765" s="258" t="str">
        <f>IFERROR(__xludf.DUMMYFUNCTION("""COMPUTED_VALUE"""),"")</f>
        <v/>
      </c>
      <c r="M765" s="261" t="str">
        <f>IFERROR(__xludf.DUMMYFUNCTION("""COMPUTED_VALUE"""),"")</f>
        <v/>
      </c>
      <c r="N765" s="262" t="str">
        <f>IFERROR(__xludf.DUMMYFUNCTION("""COMPUTED_VALUE"""),"")</f>
        <v/>
      </c>
      <c r="O765" s="259" t="str">
        <f>IFERROR(__xludf.DUMMYFUNCTION("""COMPUTED_VALUE"""),"")</f>
        <v/>
      </c>
      <c r="P765" s="259">
        <f>IFERROR(__xludf.DUMMYFUNCTION("""COMPUTED_VALUE"""),43744.0)</f>
        <v>43744</v>
      </c>
      <c r="Q765" s="258">
        <f>IFERROR(__xludf.DUMMYFUNCTION("""COMPUTED_VALUE"""),62000.0)</f>
        <v>62000</v>
      </c>
      <c r="R765" s="261">
        <f>IFERROR(__xludf.DUMMYFUNCTION("""COMPUTED_VALUE"""),428.0)</f>
        <v>428</v>
      </c>
      <c r="S765" s="258">
        <v>447.0</v>
      </c>
      <c r="T765" s="263">
        <v>0.9574944071588367</v>
      </c>
      <c r="U765" s="264">
        <v>38525.0</v>
      </c>
      <c r="V765" s="265">
        <v>62000.0</v>
      </c>
      <c r="W765" s="264">
        <v>38525.0</v>
      </c>
      <c r="X765" s="266"/>
      <c r="Y765" s="267">
        <v>-0.01</v>
      </c>
      <c r="Z765" s="267">
        <v>0.9560872697654507</v>
      </c>
      <c r="AA765" s="269"/>
      <c r="AB765" s="270"/>
      <c r="AC765" s="270"/>
      <c r="AD765" s="270"/>
      <c r="AE765" s="270"/>
    </row>
    <row r="766">
      <c r="A766" s="256">
        <f>IFERROR(__xludf.DUMMYFUNCTION("""COMPUTED_VALUE"""),43185.88125)</f>
        <v>43185.88125</v>
      </c>
      <c r="B766" s="257" t="str">
        <f>IFERROR(__xludf.DUMMYFUNCTION("""COMPUTED_VALUE"""),"JonathanD")</f>
        <v>JonathanD</v>
      </c>
      <c r="C766" s="258" t="str">
        <f>IFERROR(__xludf.DUMMYFUNCTION("""COMPUTED_VALUE"""),"USA")</f>
        <v>USA</v>
      </c>
      <c r="D766" s="258" t="str">
        <f>IFERROR(__xludf.DUMMYFUNCTION("""COMPUTED_VALUE"""),"mi. My car displays range in miles and I will enter all range numbers in miles.")</f>
        <v>mi. My car displays range in miles and I will enter all range numbers in miles.</v>
      </c>
      <c r="E766" s="259">
        <f>IFERROR(__xludf.DUMMYFUNCTION("""COMPUTED_VALUE"""),41794.0)</f>
        <v>41794</v>
      </c>
      <c r="F766" s="258" t="str">
        <f>IFERROR(__xludf.DUMMYFUNCTION("""COMPUTED_VALUE"""),"Model S 60")</f>
        <v>Model S 60</v>
      </c>
      <c r="G766" s="258" t="str">
        <f>IFERROR(__xludf.DUMMYFUNCTION("""COMPUTED_VALUE"""),"")</f>
        <v/>
      </c>
      <c r="H766" s="258" t="str">
        <f>IFERROR(__xludf.DUMMYFUNCTION("""COMPUTED_VALUE"""),"")</f>
        <v/>
      </c>
      <c r="I766" s="258" t="str">
        <f>IFERROR(__xludf.DUMMYFUNCTION("""COMPUTED_VALUE"""),"")</f>
        <v/>
      </c>
      <c r="J766" s="260" t="str">
        <f>IFERROR(__xludf.DUMMYFUNCTION("""COMPUTED_VALUE"""),"")</f>
        <v/>
      </c>
      <c r="K766" s="258" t="str">
        <f>IFERROR(__xludf.DUMMYFUNCTION("""COMPUTED_VALUE"""),"")</f>
        <v/>
      </c>
      <c r="L766" s="258" t="str">
        <f>IFERROR(__xludf.DUMMYFUNCTION("""COMPUTED_VALUE"""),"")</f>
        <v/>
      </c>
      <c r="M766" s="261" t="str">
        <f>IFERROR(__xludf.DUMMYFUNCTION("""COMPUTED_VALUE"""),"")</f>
        <v/>
      </c>
      <c r="N766" s="262" t="str">
        <f>IFERROR(__xludf.DUMMYFUNCTION("""COMPUTED_VALUE"""),"")</f>
        <v/>
      </c>
      <c r="O766" s="259" t="str">
        <f>IFERROR(__xludf.DUMMYFUNCTION("""COMPUTED_VALUE"""),"")</f>
        <v/>
      </c>
      <c r="P766" s="259">
        <f>IFERROR(__xludf.DUMMYFUNCTION("""COMPUTED_VALUE"""),43185.0)</f>
        <v>43185</v>
      </c>
      <c r="Q766" s="258">
        <f>IFERROR(__xludf.DUMMYFUNCTION("""COMPUTED_VALUE"""),31000.0)</f>
        <v>31000</v>
      </c>
      <c r="R766" s="261">
        <f>IFERROR(__xludf.DUMMYFUNCTION("""COMPUTED_VALUE"""),185.0)</f>
        <v>185</v>
      </c>
      <c r="S766" s="258">
        <v>207.0</v>
      </c>
      <c r="T766" s="263">
        <v>0.893719806763285</v>
      </c>
      <c r="U766" s="264">
        <v>31000.0</v>
      </c>
      <c r="V766" s="265">
        <v>49890.0</v>
      </c>
      <c r="W766" s="264">
        <v>31000.0</v>
      </c>
      <c r="X766" s="266"/>
      <c r="Y766" s="267">
        <v>-0.01</v>
      </c>
      <c r="Z766" s="267">
        <v>0.9597264778381048</v>
      </c>
      <c r="AA766" s="269"/>
      <c r="AB766" s="270"/>
      <c r="AC766" s="270"/>
      <c r="AD766" s="270"/>
      <c r="AE766" s="270"/>
    </row>
    <row r="767">
      <c r="A767" s="256">
        <f>IFERROR(__xludf.DUMMYFUNCTION("""COMPUTED_VALUE"""),42111.09930555556)</f>
        <v>42111.09931</v>
      </c>
      <c r="B767" s="257" t="str">
        <f>IFERROR(__xludf.DUMMYFUNCTION("""COMPUTED_VALUE"""),"jpet")</f>
        <v>jpet</v>
      </c>
      <c r="C767" s="258" t="str">
        <f>IFERROR(__xludf.DUMMYFUNCTION("""COMPUTED_VALUE"""),"Europe (excluding UK) &amp; Asia Pacific")</f>
        <v>Europe (excluding UK) &amp; Asia Pacific</v>
      </c>
      <c r="D767" s="258" t="str">
        <f>IFERROR(__xludf.DUMMYFUNCTION("""COMPUTED_VALUE"""),"km. My car displays range in kilometres and I will enter all range numbers in kilometres.")</f>
        <v>km. My car displays range in kilometres and I will enter all range numbers in kilometres.</v>
      </c>
      <c r="E767" s="259">
        <f>IFERROR(__xludf.DUMMYFUNCTION("""COMPUTED_VALUE"""),42097.0)</f>
        <v>42097</v>
      </c>
      <c r="F767" s="258" t="str">
        <f>IFERROR(__xludf.DUMMYFUNCTION("""COMPUTED_VALUE"""),"Model S P85D")</f>
        <v>Model S P85D</v>
      </c>
      <c r="G767" s="258" t="str">
        <f>IFERROR(__xludf.DUMMYFUNCTION("""COMPUTED_VALUE"""),"Weekly")</f>
        <v>Weekly</v>
      </c>
      <c r="H767" s="258" t="str">
        <f>IFERROR(__xludf.DUMMYFUNCTION("""COMPUTED_VALUE"""),"Twice a month")</f>
        <v>Twice a month</v>
      </c>
      <c r="I767" s="258" t="str">
        <f>IFERROR(__xludf.DUMMYFUNCTION("""COMPUTED_VALUE"""),"Never")</f>
        <v>Never</v>
      </c>
      <c r="J767" s="260" t="str">
        <f>IFERROR(__xludf.DUMMYFUNCTION("""COMPUTED_VALUE"""),"")</f>
        <v/>
      </c>
      <c r="K767" s="258">
        <f>IFERROR(__xludf.DUMMYFUNCTION("""COMPUTED_VALUE"""),406.0)</f>
        <v>406</v>
      </c>
      <c r="L767" s="258" t="str">
        <f>IFERROR(__xludf.DUMMYFUNCTION("""COMPUTED_VALUE"""),"")</f>
        <v/>
      </c>
      <c r="M767" s="261">
        <f>IFERROR(__xludf.DUMMYFUNCTION("""COMPUTED_VALUE"""),253.0)</f>
        <v>253</v>
      </c>
      <c r="N767" s="262" t="str">
        <f>IFERROR(__xludf.DUMMYFUNCTION("""COMPUTED_VALUE"""),"")</f>
        <v/>
      </c>
      <c r="O767" s="259" t="str">
        <f>IFERROR(__xludf.DUMMYFUNCTION("""COMPUTED_VALUE"""),"")</f>
        <v/>
      </c>
      <c r="P767" s="259">
        <f>IFERROR(__xludf.DUMMYFUNCTION("""COMPUTED_VALUE"""),42111.0)</f>
        <v>42111</v>
      </c>
      <c r="Q767" s="258">
        <f>IFERROR(__xludf.DUMMYFUNCTION("""COMPUTED_VALUE"""),1904.0)</f>
        <v>1904</v>
      </c>
      <c r="R767" s="261">
        <f>IFERROR(__xludf.DUMMYFUNCTION("""COMPUTED_VALUE"""),403.0)</f>
        <v>403</v>
      </c>
      <c r="S767" s="258">
        <v>403.0</v>
      </c>
      <c r="T767" s="263">
        <v>1.0</v>
      </c>
      <c r="U767" s="264">
        <v>1183.0</v>
      </c>
      <c r="V767" s="265">
        <v>1904.0</v>
      </c>
      <c r="W767" s="264">
        <v>1183.0</v>
      </c>
      <c r="X767" s="266"/>
      <c r="Y767" s="267">
        <v>-0.01</v>
      </c>
      <c r="Z767" s="267">
        <v>0.9963709679971382</v>
      </c>
      <c r="AA767" s="269"/>
      <c r="AB767" s="270"/>
      <c r="AC767" s="270"/>
      <c r="AD767" s="270"/>
      <c r="AE767" s="270"/>
    </row>
    <row r="768">
      <c r="A768" s="256">
        <f>IFERROR(__xludf.DUMMYFUNCTION("""COMPUTED_VALUE"""),42122.10625)</f>
        <v>42122.10625</v>
      </c>
      <c r="B768" s="257" t="str">
        <f>IFERROR(__xludf.DUMMYFUNCTION("""COMPUTED_VALUE"""),"jpet")</f>
        <v>jpet</v>
      </c>
      <c r="C768" s="258" t="str">
        <f>IFERROR(__xludf.DUMMYFUNCTION("""COMPUTED_VALUE"""),"Europe (excluding UK) &amp; Asia Pacific")</f>
        <v>Europe (excluding UK) &amp; Asia Pacific</v>
      </c>
      <c r="D768" s="258" t="str">
        <f>IFERROR(__xludf.DUMMYFUNCTION("""COMPUTED_VALUE"""),"km. My car displays range in kilometres and I will enter all range numbers in kilometres.")</f>
        <v>km. My car displays range in kilometres and I will enter all range numbers in kilometres.</v>
      </c>
      <c r="E768" s="259">
        <f>IFERROR(__xludf.DUMMYFUNCTION("""COMPUTED_VALUE"""),42097.0)</f>
        <v>42097</v>
      </c>
      <c r="F768" s="258" t="str">
        <f>IFERROR(__xludf.DUMMYFUNCTION("""COMPUTED_VALUE"""),"Model S P85D")</f>
        <v>Model S P85D</v>
      </c>
      <c r="G768" s="258" t="str">
        <f>IFERROR(__xludf.DUMMYFUNCTION("""COMPUTED_VALUE"""),"Weekly")</f>
        <v>Weekly</v>
      </c>
      <c r="H768" s="258" t="str">
        <f>IFERROR(__xludf.DUMMYFUNCTION("""COMPUTED_VALUE"""),"Twice a month")</f>
        <v>Twice a month</v>
      </c>
      <c r="I768" s="258" t="str">
        <f>IFERROR(__xludf.DUMMYFUNCTION("""COMPUTED_VALUE"""),"Never")</f>
        <v>Never</v>
      </c>
      <c r="J768" s="260" t="str">
        <f>IFERROR(__xludf.DUMMYFUNCTION("""COMPUTED_VALUE"""),"")</f>
        <v/>
      </c>
      <c r="K768" s="258">
        <f>IFERROR(__xludf.DUMMYFUNCTION("""COMPUTED_VALUE"""),406.0)</f>
        <v>406</v>
      </c>
      <c r="L768" s="258" t="str">
        <f>IFERROR(__xludf.DUMMYFUNCTION("""COMPUTED_VALUE"""),"")</f>
        <v/>
      </c>
      <c r="M768" s="261">
        <f>IFERROR(__xludf.DUMMYFUNCTION("""COMPUTED_VALUE"""),246.0)</f>
        <v>246</v>
      </c>
      <c r="N768" s="262" t="str">
        <f>IFERROR(__xludf.DUMMYFUNCTION("""COMPUTED_VALUE"""),"")</f>
        <v/>
      </c>
      <c r="O768" s="259" t="str">
        <f>IFERROR(__xludf.DUMMYFUNCTION("""COMPUTED_VALUE"""),"")</f>
        <v/>
      </c>
      <c r="P768" s="259">
        <f>IFERROR(__xludf.DUMMYFUNCTION("""COMPUTED_VALUE"""),42122.0)</f>
        <v>42122</v>
      </c>
      <c r="Q768" s="258">
        <f>IFERROR(__xludf.DUMMYFUNCTION("""COMPUTED_VALUE"""),3272.0)</f>
        <v>3272</v>
      </c>
      <c r="R768" s="261">
        <f>IFERROR(__xludf.DUMMYFUNCTION("""COMPUTED_VALUE"""),406.0)</f>
        <v>406</v>
      </c>
      <c r="S768" s="258">
        <v>403.0</v>
      </c>
      <c r="T768" s="263">
        <v>1.0074441687344913</v>
      </c>
      <c r="U768" s="264">
        <v>2033.0</v>
      </c>
      <c r="V768" s="265">
        <v>3272.0</v>
      </c>
      <c r="W768" s="264">
        <v>2033.0</v>
      </c>
      <c r="X768" s="266"/>
      <c r="Y768" s="267">
        <v>-0.01</v>
      </c>
      <c r="Z768" s="267">
        <v>0.9939720183266656</v>
      </c>
      <c r="AA768" s="269"/>
      <c r="AB768" s="270"/>
      <c r="AC768" s="270"/>
      <c r="AD768" s="270"/>
      <c r="AE768" s="270"/>
    </row>
    <row r="769">
      <c r="A769" s="256">
        <f>IFERROR(__xludf.DUMMYFUNCTION("""COMPUTED_VALUE"""),42131.11388888889)</f>
        <v>42131.11389</v>
      </c>
      <c r="B769" s="257" t="str">
        <f>IFERROR(__xludf.DUMMYFUNCTION("""COMPUTED_VALUE"""),"jpet")</f>
        <v>jpet</v>
      </c>
      <c r="C769" s="258" t="str">
        <f>IFERROR(__xludf.DUMMYFUNCTION("""COMPUTED_VALUE"""),"Europe (excluding UK) &amp; Asia Pacific")</f>
        <v>Europe (excluding UK) &amp; Asia Pacific</v>
      </c>
      <c r="D769" s="258" t="str">
        <f>IFERROR(__xludf.DUMMYFUNCTION("""COMPUTED_VALUE"""),"km. My car displays range in kilometres and I will enter all range numbers in kilometres.")</f>
        <v>km. My car displays range in kilometres and I will enter all range numbers in kilometres.</v>
      </c>
      <c r="E769" s="259">
        <f>IFERROR(__xludf.DUMMYFUNCTION("""COMPUTED_VALUE"""),42097.0)</f>
        <v>42097</v>
      </c>
      <c r="F769" s="258" t="str">
        <f>IFERROR(__xludf.DUMMYFUNCTION("""COMPUTED_VALUE"""),"Model S P85D")</f>
        <v>Model S P85D</v>
      </c>
      <c r="G769" s="258" t="str">
        <f>IFERROR(__xludf.DUMMYFUNCTION("""COMPUTED_VALUE"""),"Weekly")</f>
        <v>Weekly</v>
      </c>
      <c r="H769" s="258" t="str">
        <f>IFERROR(__xludf.DUMMYFUNCTION("""COMPUTED_VALUE"""),"Twice a month")</f>
        <v>Twice a month</v>
      </c>
      <c r="I769" s="258" t="str">
        <f>IFERROR(__xludf.DUMMYFUNCTION("""COMPUTED_VALUE"""),"Never")</f>
        <v>Never</v>
      </c>
      <c r="J769" s="260">
        <f>IFERROR(__xludf.DUMMYFUNCTION("""COMPUTED_VALUE"""),0.8)</f>
        <v>0.8</v>
      </c>
      <c r="K769" s="258">
        <f>IFERROR(__xludf.DUMMYFUNCTION("""COMPUTED_VALUE"""),406.0)</f>
        <v>406</v>
      </c>
      <c r="L769" s="258" t="str">
        <f>IFERROR(__xludf.DUMMYFUNCTION("""COMPUTED_VALUE"""),"")</f>
        <v/>
      </c>
      <c r="M769" s="261">
        <f>IFERROR(__xludf.DUMMYFUNCTION("""COMPUTED_VALUE"""),244.0)</f>
        <v>244</v>
      </c>
      <c r="N769" s="262" t="str">
        <f>IFERROR(__xludf.DUMMYFUNCTION("""COMPUTED_VALUE"""),"")</f>
        <v/>
      </c>
      <c r="O769" s="259" t="str">
        <f>IFERROR(__xludf.DUMMYFUNCTION("""COMPUTED_VALUE"""),"")</f>
        <v/>
      </c>
      <c r="P769" s="259">
        <f>IFERROR(__xludf.DUMMYFUNCTION("""COMPUTED_VALUE"""),42131.0)</f>
        <v>42131</v>
      </c>
      <c r="Q769" s="258">
        <f>IFERROR(__xludf.DUMMYFUNCTION("""COMPUTED_VALUE"""),4144.0)</f>
        <v>4144</v>
      </c>
      <c r="R769" s="261">
        <f>IFERROR(__xludf.DUMMYFUNCTION("""COMPUTED_VALUE"""),406.0)</f>
        <v>406</v>
      </c>
      <c r="S769" s="258">
        <v>403.0</v>
      </c>
      <c r="T769" s="263">
        <v>1.0074441687344913</v>
      </c>
      <c r="U769" s="264">
        <v>2575.0</v>
      </c>
      <c r="V769" s="265">
        <v>4144.0</v>
      </c>
      <c r="W769" s="264">
        <v>2575.0</v>
      </c>
      <c r="X769" s="266"/>
      <c r="Y769" s="267">
        <v>-0.01</v>
      </c>
      <c r="Z769" s="267">
        <v>0.9925267790009575</v>
      </c>
      <c r="AA769" s="269"/>
      <c r="AB769" s="270"/>
      <c r="AC769" s="270"/>
      <c r="AD769" s="270"/>
      <c r="AE769" s="270"/>
    </row>
    <row r="770">
      <c r="A770" s="256">
        <f>IFERROR(__xludf.DUMMYFUNCTION("""COMPUTED_VALUE"""),42134.11458333333)</f>
        <v>42134.11458</v>
      </c>
      <c r="B770" s="257" t="str">
        <f>IFERROR(__xludf.DUMMYFUNCTION("""COMPUTED_VALUE"""),"jpet")</f>
        <v>jpet</v>
      </c>
      <c r="C770" s="258" t="str">
        <f>IFERROR(__xludf.DUMMYFUNCTION("""COMPUTED_VALUE"""),"Europe (excluding UK) &amp; Asia Pacific")</f>
        <v>Europe (excluding UK) &amp; Asia Pacific</v>
      </c>
      <c r="D770" s="258" t="str">
        <f>IFERROR(__xludf.DUMMYFUNCTION("""COMPUTED_VALUE"""),"km. My car displays range in kilometres and I will enter all range numbers in kilometres.")</f>
        <v>km. My car displays range in kilometres and I will enter all range numbers in kilometres.</v>
      </c>
      <c r="E770" s="259">
        <f>IFERROR(__xludf.DUMMYFUNCTION("""COMPUTED_VALUE"""),42097.0)</f>
        <v>42097</v>
      </c>
      <c r="F770" s="258" t="str">
        <f>IFERROR(__xludf.DUMMYFUNCTION("""COMPUTED_VALUE"""),"Model S P85D")</f>
        <v>Model S P85D</v>
      </c>
      <c r="G770" s="258" t="str">
        <f>IFERROR(__xludf.DUMMYFUNCTION("""COMPUTED_VALUE"""),"Twice a week")</f>
        <v>Twice a week</v>
      </c>
      <c r="H770" s="258" t="str">
        <f>IFERROR(__xludf.DUMMYFUNCTION("""COMPUTED_VALUE"""),"Twice a month")</f>
        <v>Twice a month</v>
      </c>
      <c r="I770" s="258" t="str">
        <f>IFERROR(__xludf.DUMMYFUNCTION("""COMPUTED_VALUE"""),"Never")</f>
        <v>Never</v>
      </c>
      <c r="J770" s="260">
        <f>IFERROR(__xludf.DUMMYFUNCTION("""COMPUTED_VALUE"""),0.8)</f>
        <v>0.8</v>
      </c>
      <c r="K770" s="258">
        <f>IFERROR(__xludf.DUMMYFUNCTION("""COMPUTED_VALUE"""),406.0)</f>
        <v>406</v>
      </c>
      <c r="L770" s="258" t="str">
        <f>IFERROR(__xludf.DUMMYFUNCTION("""COMPUTED_VALUE"""),"")</f>
        <v/>
      </c>
      <c r="M770" s="261">
        <f>IFERROR(__xludf.DUMMYFUNCTION("""COMPUTED_VALUE"""),237.0)</f>
        <v>237</v>
      </c>
      <c r="N770" s="262" t="str">
        <f>IFERROR(__xludf.DUMMYFUNCTION("""COMPUTED_VALUE"""),"")</f>
        <v/>
      </c>
      <c r="O770" s="259" t="str">
        <f>IFERROR(__xludf.DUMMYFUNCTION("""COMPUTED_VALUE"""),"")</f>
        <v/>
      </c>
      <c r="P770" s="259">
        <f>IFERROR(__xludf.DUMMYFUNCTION("""COMPUTED_VALUE"""),42134.0)</f>
        <v>42134</v>
      </c>
      <c r="Q770" s="258">
        <f>IFERROR(__xludf.DUMMYFUNCTION("""COMPUTED_VALUE"""),5903.0)</f>
        <v>5903</v>
      </c>
      <c r="R770" s="261">
        <f>IFERROR(__xludf.DUMMYFUNCTION("""COMPUTED_VALUE"""),406.0)</f>
        <v>406</v>
      </c>
      <c r="S770" s="258">
        <v>403.0</v>
      </c>
      <c r="T770" s="263">
        <v>1.0074441687344913</v>
      </c>
      <c r="U770" s="264">
        <v>3668.0</v>
      </c>
      <c r="V770" s="265">
        <v>5903.0</v>
      </c>
      <c r="W770" s="264">
        <v>3668.0</v>
      </c>
      <c r="X770" s="266"/>
      <c r="Y770" s="267">
        <v>-0.01</v>
      </c>
      <c r="Z770" s="267">
        <v>0.9897954618873955</v>
      </c>
      <c r="AA770" s="269"/>
      <c r="AB770" s="270"/>
      <c r="AC770" s="270"/>
      <c r="AD770" s="270"/>
      <c r="AE770" s="270"/>
    </row>
    <row r="771">
      <c r="A771" s="256">
        <f>IFERROR(__xludf.DUMMYFUNCTION("""COMPUTED_VALUE"""),42153.13055555556)</f>
        <v>42153.13056</v>
      </c>
      <c r="B771" s="257" t="str">
        <f>IFERROR(__xludf.DUMMYFUNCTION("""COMPUTED_VALUE"""),"jpet")</f>
        <v>jpet</v>
      </c>
      <c r="C771" s="258" t="str">
        <f>IFERROR(__xludf.DUMMYFUNCTION("""COMPUTED_VALUE"""),"Europe (excluding UK) &amp; Asia Pacific")</f>
        <v>Europe (excluding UK) &amp; Asia Pacific</v>
      </c>
      <c r="D771" s="258" t="str">
        <f>IFERROR(__xludf.DUMMYFUNCTION("""COMPUTED_VALUE"""),"km. My car displays range in kilometres and I will enter all range numbers in kilometres.")</f>
        <v>km. My car displays range in kilometres and I will enter all range numbers in kilometres.</v>
      </c>
      <c r="E771" s="259">
        <f>IFERROR(__xludf.DUMMYFUNCTION("""COMPUTED_VALUE"""),42097.0)</f>
        <v>42097</v>
      </c>
      <c r="F771" s="258" t="str">
        <f>IFERROR(__xludf.DUMMYFUNCTION("""COMPUTED_VALUE"""),"Model S P85D")</f>
        <v>Model S P85D</v>
      </c>
      <c r="G771" s="258" t="str">
        <f>IFERROR(__xludf.DUMMYFUNCTION("""COMPUTED_VALUE"""),"Weekly")</f>
        <v>Weekly</v>
      </c>
      <c r="H771" s="258" t="str">
        <f>IFERROR(__xludf.DUMMYFUNCTION("""COMPUTED_VALUE"""),"Twice a month")</f>
        <v>Twice a month</v>
      </c>
      <c r="I771" s="258" t="str">
        <f>IFERROR(__xludf.DUMMYFUNCTION("""COMPUTED_VALUE"""),"Never")</f>
        <v>Never</v>
      </c>
      <c r="J771" s="260">
        <f>IFERROR(__xludf.DUMMYFUNCTION("""COMPUTED_VALUE"""),0.8)</f>
        <v>0.8</v>
      </c>
      <c r="K771" s="258">
        <f>IFERROR(__xludf.DUMMYFUNCTION("""COMPUTED_VALUE"""),406.0)</f>
        <v>406</v>
      </c>
      <c r="L771" s="258" t="str">
        <f>IFERROR(__xludf.DUMMYFUNCTION("""COMPUTED_VALUE"""),"")</f>
        <v/>
      </c>
      <c r="M771" s="261">
        <f>IFERROR(__xludf.DUMMYFUNCTION("""COMPUTED_VALUE"""),237.0)</f>
        <v>237</v>
      </c>
      <c r="N771" s="262" t="str">
        <f>IFERROR(__xludf.DUMMYFUNCTION("""COMPUTED_VALUE"""),"")</f>
        <v/>
      </c>
      <c r="O771" s="259" t="str">
        <f>IFERROR(__xludf.DUMMYFUNCTION("""COMPUTED_VALUE"""),"")</f>
        <v/>
      </c>
      <c r="P771" s="259">
        <f>IFERROR(__xludf.DUMMYFUNCTION("""COMPUTED_VALUE"""),42153.0)</f>
        <v>42153</v>
      </c>
      <c r="Q771" s="258">
        <f>IFERROR(__xludf.DUMMYFUNCTION("""COMPUTED_VALUE"""),6832.0)</f>
        <v>6832</v>
      </c>
      <c r="R771" s="261">
        <f>IFERROR(__xludf.DUMMYFUNCTION("""COMPUTED_VALUE"""),403.0)</f>
        <v>403</v>
      </c>
      <c r="S771" s="258">
        <v>403.0</v>
      </c>
      <c r="T771" s="263">
        <v>1.0</v>
      </c>
      <c r="U771" s="264">
        <v>4245.0</v>
      </c>
      <c r="V771" s="265">
        <v>6832.0</v>
      </c>
      <c r="W771" s="264">
        <v>4245.0</v>
      </c>
      <c r="X771" s="266"/>
      <c r="Y771" s="267">
        <v>-0.01</v>
      </c>
      <c r="Z771" s="267">
        <v>0.9884456191196751</v>
      </c>
      <c r="AA771" s="269"/>
      <c r="AB771" s="270"/>
      <c r="AC771" s="270"/>
      <c r="AD771" s="270"/>
      <c r="AE771" s="270"/>
    </row>
    <row r="772">
      <c r="A772" s="256">
        <f>IFERROR(__xludf.DUMMYFUNCTION("""COMPUTED_VALUE"""),42159.132638888885)</f>
        <v>42159.13264</v>
      </c>
      <c r="B772" s="257" t="str">
        <f>IFERROR(__xludf.DUMMYFUNCTION("""COMPUTED_VALUE"""),"jpet")</f>
        <v>jpet</v>
      </c>
      <c r="C772" s="258" t="str">
        <f>IFERROR(__xludf.DUMMYFUNCTION("""COMPUTED_VALUE"""),"Europe (excluding UK) &amp; Asia Pacific")</f>
        <v>Europe (excluding UK) &amp; Asia Pacific</v>
      </c>
      <c r="D772" s="258" t="str">
        <f>IFERROR(__xludf.DUMMYFUNCTION("""COMPUTED_VALUE"""),"km. My car displays range in kilometres and I will enter all range numbers in kilometres.")</f>
        <v>km. My car displays range in kilometres and I will enter all range numbers in kilometres.</v>
      </c>
      <c r="E772" s="259">
        <f>IFERROR(__xludf.DUMMYFUNCTION("""COMPUTED_VALUE"""),42097.0)</f>
        <v>42097</v>
      </c>
      <c r="F772" s="258" t="str">
        <f>IFERROR(__xludf.DUMMYFUNCTION("""COMPUTED_VALUE"""),"Model S P85D")</f>
        <v>Model S P85D</v>
      </c>
      <c r="G772" s="258" t="str">
        <f>IFERROR(__xludf.DUMMYFUNCTION("""COMPUTED_VALUE"""),"Twice a week")</f>
        <v>Twice a week</v>
      </c>
      <c r="H772" s="258" t="str">
        <f>IFERROR(__xludf.DUMMYFUNCTION("""COMPUTED_VALUE"""),"Twice a month")</f>
        <v>Twice a month</v>
      </c>
      <c r="I772" s="258" t="str">
        <f>IFERROR(__xludf.DUMMYFUNCTION("""COMPUTED_VALUE"""),"Never")</f>
        <v>Never</v>
      </c>
      <c r="J772" s="260">
        <f>IFERROR(__xludf.DUMMYFUNCTION("""COMPUTED_VALUE"""),0.8)</f>
        <v>0.8</v>
      </c>
      <c r="K772" s="258">
        <f>IFERROR(__xludf.DUMMYFUNCTION("""COMPUTED_VALUE"""),406.0)</f>
        <v>406</v>
      </c>
      <c r="L772" s="258" t="str">
        <f>IFERROR(__xludf.DUMMYFUNCTION("""COMPUTED_VALUE"""),"")</f>
        <v/>
      </c>
      <c r="M772" s="261">
        <f>IFERROR(__xludf.DUMMYFUNCTION("""COMPUTED_VALUE"""),237.0)</f>
        <v>237</v>
      </c>
      <c r="N772" s="262" t="str">
        <f>IFERROR(__xludf.DUMMYFUNCTION("""COMPUTED_VALUE"""),"")</f>
        <v/>
      </c>
      <c r="O772" s="259" t="str">
        <f>IFERROR(__xludf.DUMMYFUNCTION("""COMPUTED_VALUE"""),"")</f>
        <v/>
      </c>
      <c r="P772" s="259">
        <f>IFERROR(__xludf.DUMMYFUNCTION("""COMPUTED_VALUE"""),42159.0)</f>
        <v>42159</v>
      </c>
      <c r="Q772" s="258">
        <f>IFERROR(__xludf.DUMMYFUNCTION("""COMPUTED_VALUE"""),7882.0)</f>
        <v>7882</v>
      </c>
      <c r="R772" s="261">
        <f>IFERROR(__xludf.DUMMYFUNCTION("""COMPUTED_VALUE"""),403.0)</f>
        <v>403</v>
      </c>
      <c r="S772" s="258">
        <v>403.0</v>
      </c>
      <c r="T772" s="263">
        <v>1.0</v>
      </c>
      <c r="U772" s="264">
        <v>4898.0</v>
      </c>
      <c r="V772" s="265">
        <v>7882.0</v>
      </c>
      <c r="W772" s="264">
        <v>4898.0</v>
      </c>
      <c r="X772" s="266"/>
      <c r="Y772" s="267">
        <v>-0.01</v>
      </c>
      <c r="Z772" s="267">
        <v>0.9869916752381376</v>
      </c>
      <c r="AA772" s="269"/>
      <c r="AB772" s="270"/>
      <c r="AC772" s="270"/>
      <c r="AD772" s="270"/>
      <c r="AE772" s="270"/>
    </row>
    <row r="773">
      <c r="A773" s="256">
        <f>IFERROR(__xludf.DUMMYFUNCTION("""COMPUTED_VALUE"""),42215.14722222222)</f>
        <v>42215.14722</v>
      </c>
      <c r="B773" s="257" t="str">
        <f>IFERROR(__xludf.DUMMYFUNCTION("""COMPUTED_VALUE"""),"jpet")</f>
        <v>jpet</v>
      </c>
      <c r="C773" s="258" t="str">
        <f>IFERROR(__xludf.DUMMYFUNCTION("""COMPUTED_VALUE"""),"Europe (excluding UK) &amp; Asia Pacific")</f>
        <v>Europe (excluding UK) &amp; Asia Pacific</v>
      </c>
      <c r="D773" s="258" t="str">
        <f>IFERROR(__xludf.DUMMYFUNCTION("""COMPUTED_VALUE"""),"km. My car displays range in kilometres and I will enter all range numbers in kilometres.")</f>
        <v>km. My car displays range in kilometres and I will enter all range numbers in kilometres.</v>
      </c>
      <c r="E773" s="259">
        <f>IFERROR(__xludf.DUMMYFUNCTION("""COMPUTED_VALUE"""),42097.0)</f>
        <v>42097</v>
      </c>
      <c r="F773" s="258" t="str">
        <f>IFERROR(__xludf.DUMMYFUNCTION("""COMPUTED_VALUE"""),"Model S P85D")</f>
        <v>Model S P85D</v>
      </c>
      <c r="G773" s="258" t="str">
        <f>IFERROR(__xludf.DUMMYFUNCTION("""COMPUTED_VALUE"""),"Twice a month")</f>
        <v>Twice a month</v>
      </c>
      <c r="H773" s="258" t="str">
        <f>IFERROR(__xludf.DUMMYFUNCTION("""COMPUTED_VALUE"""),"Twice a month")</f>
        <v>Twice a month</v>
      </c>
      <c r="I773" s="258" t="str">
        <f>IFERROR(__xludf.DUMMYFUNCTION("""COMPUTED_VALUE"""),"Never")</f>
        <v>Never</v>
      </c>
      <c r="J773" s="260">
        <f>IFERROR(__xludf.DUMMYFUNCTION("""COMPUTED_VALUE"""),0.7)</f>
        <v>0.7</v>
      </c>
      <c r="K773" s="258">
        <f>IFERROR(__xludf.DUMMYFUNCTION("""COMPUTED_VALUE"""),406.0)</f>
        <v>406</v>
      </c>
      <c r="L773" s="258" t="str">
        <f>IFERROR(__xludf.DUMMYFUNCTION("""COMPUTED_VALUE"""),"")</f>
        <v/>
      </c>
      <c r="M773" s="261">
        <f>IFERROR(__xludf.DUMMYFUNCTION("""COMPUTED_VALUE"""),237.0)</f>
        <v>237</v>
      </c>
      <c r="N773" s="262" t="str">
        <f>IFERROR(__xludf.DUMMYFUNCTION("""COMPUTED_VALUE"""),"")</f>
        <v/>
      </c>
      <c r="O773" s="259" t="str">
        <f>IFERROR(__xludf.DUMMYFUNCTION("""COMPUTED_VALUE"""),"")</f>
        <v/>
      </c>
      <c r="P773" s="259">
        <f>IFERROR(__xludf.DUMMYFUNCTION("""COMPUTED_VALUE"""),42215.0)</f>
        <v>42215</v>
      </c>
      <c r="Q773" s="258">
        <f>IFERROR(__xludf.DUMMYFUNCTION("""COMPUTED_VALUE"""),11053.0)</f>
        <v>11053</v>
      </c>
      <c r="R773" s="261">
        <f>IFERROR(__xludf.DUMMYFUNCTION("""COMPUTED_VALUE"""),396.0)</f>
        <v>396</v>
      </c>
      <c r="S773" s="258">
        <v>403.0</v>
      </c>
      <c r="T773" s="263">
        <v>0.9826302729528535</v>
      </c>
      <c r="U773" s="264">
        <v>6868.0</v>
      </c>
      <c r="V773" s="265">
        <v>11053.0</v>
      </c>
      <c r="W773" s="264">
        <v>6868.0</v>
      </c>
      <c r="X773" s="266"/>
      <c r="Y773" s="267">
        <v>-0.01</v>
      </c>
      <c r="Z773" s="267">
        <v>0.9830192627045314</v>
      </c>
      <c r="AA773" s="269"/>
      <c r="AB773" s="270"/>
      <c r="AC773" s="270"/>
      <c r="AD773" s="270"/>
      <c r="AE773" s="270"/>
    </row>
    <row r="774">
      <c r="A774" s="256">
        <f>IFERROR(__xludf.DUMMYFUNCTION("""COMPUTED_VALUE"""),42224.15069444444)</f>
        <v>42224.15069</v>
      </c>
      <c r="B774" s="257" t="str">
        <f>IFERROR(__xludf.DUMMYFUNCTION("""COMPUTED_VALUE"""),"jpet")</f>
        <v>jpet</v>
      </c>
      <c r="C774" s="258" t="str">
        <f>IFERROR(__xludf.DUMMYFUNCTION("""COMPUTED_VALUE"""),"Europe (excluding UK) &amp; Asia Pacific")</f>
        <v>Europe (excluding UK) &amp; Asia Pacific</v>
      </c>
      <c r="D774" s="258" t="str">
        <f>IFERROR(__xludf.DUMMYFUNCTION("""COMPUTED_VALUE"""),"km. My car displays range in kilometres and I will enter all range numbers in kilometres.")</f>
        <v>km. My car displays range in kilometres and I will enter all range numbers in kilometres.</v>
      </c>
      <c r="E774" s="259">
        <f>IFERROR(__xludf.DUMMYFUNCTION("""COMPUTED_VALUE"""),42097.0)</f>
        <v>42097</v>
      </c>
      <c r="F774" s="258" t="str">
        <f>IFERROR(__xludf.DUMMYFUNCTION("""COMPUTED_VALUE"""),"Model S P85D")</f>
        <v>Model S P85D</v>
      </c>
      <c r="G774" s="258" t="str">
        <f>IFERROR(__xludf.DUMMYFUNCTION("""COMPUTED_VALUE"""),"Twice a month")</f>
        <v>Twice a month</v>
      </c>
      <c r="H774" s="258" t="str">
        <f>IFERROR(__xludf.DUMMYFUNCTION("""COMPUTED_VALUE"""),"Monthly")</f>
        <v>Monthly</v>
      </c>
      <c r="I774" s="258" t="str">
        <f>IFERROR(__xludf.DUMMYFUNCTION("""COMPUTED_VALUE"""),"Never")</f>
        <v>Never</v>
      </c>
      <c r="J774" s="260">
        <f>IFERROR(__xludf.DUMMYFUNCTION("""COMPUTED_VALUE"""),0.7)</f>
        <v>0.7</v>
      </c>
      <c r="K774" s="258">
        <f>IFERROR(__xludf.DUMMYFUNCTION("""COMPUTED_VALUE"""),406.0)</f>
        <v>406</v>
      </c>
      <c r="L774" s="258" t="str">
        <f>IFERROR(__xludf.DUMMYFUNCTION("""COMPUTED_VALUE"""),"")</f>
        <v/>
      </c>
      <c r="M774" s="261">
        <f>IFERROR(__xludf.DUMMYFUNCTION("""COMPUTED_VALUE"""),236.0)</f>
        <v>236</v>
      </c>
      <c r="N774" s="262" t="str">
        <f>IFERROR(__xludf.DUMMYFUNCTION("""COMPUTED_VALUE"""),"")</f>
        <v/>
      </c>
      <c r="O774" s="259" t="str">
        <f>IFERROR(__xludf.DUMMYFUNCTION("""COMPUTED_VALUE"""),"")</f>
        <v/>
      </c>
      <c r="P774" s="259">
        <f>IFERROR(__xludf.DUMMYFUNCTION("""COMPUTED_VALUE"""),42224.0)</f>
        <v>42224</v>
      </c>
      <c r="Q774" s="258">
        <f>IFERROR(__xludf.DUMMYFUNCTION("""COMPUTED_VALUE"""),11403.0)</f>
        <v>11403</v>
      </c>
      <c r="R774" s="261">
        <f>IFERROR(__xludf.DUMMYFUNCTION("""COMPUTED_VALUE"""),395.0)</f>
        <v>395</v>
      </c>
      <c r="S774" s="258">
        <v>403.0</v>
      </c>
      <c r="T774" s="263">
        <v>0.9801488833746899</v>
      </c>
      <c r="U774" s="264">
        <v>7085.0</v>
      </c>
      <c r="V774" s="265">
        <v>11403.0</v>
      </c>
      <c r="W774" s="264">
        <v>7085.0</v>
      </c>
      <c r="X774" s="266"/>
      <c r="Y774" s="267">
        <v>-0.01</v>
      </c>
      <c r="Z774" s="267">
        <v>0.9826160616392015</v>
      </c>
      <c r="AA774" s="269"/>
      <c r="AB774" s="270"/>
      <c r="AC774" s="270"/>
      <c r="AD774" s="270"/>
      <c r="AE774" s="270"/>
    </row>
    <row r="775">
      <c r="A775" s="256">
        <f>IFERROR(__xludf.DUMMYFUNCTION("""COMPUTED_VALUE"""),42225.15138888889)</f>
        <v>42225.15139</v>
      </c>
      <c r="B775" s="257" t="str">
        <f>IFERROR(__xludf.DUMMYFUNCTION("""COMPUTED_VALUE"""),"jpet")</f>
        <v>jpet</v>
      </c>
      <c r="C775" s="258" t="str">
        <f>IFERROR(__xludf.DUMMYFUNCTION("""COMPUTED_VALUE"""),"Europe (excluding UK) &amp; Asia Pacific")</f>
        <v>Europe (excluding UK) &amp; Asia Pacific</v>
      </c>
      <c r="D775" s="258" t="str">
        <f>IFERROR(__xludf.DUMMYFUNCTION("""COMPUTED_VALUE"""),"km. My car displays range in kilometres and I will enter all range numbers in kilometres.")</f>
        <v>km. My car displays range in kilometres and I will enter all range numbers in kilometres.</v>
      </c>
      <c r="E775" s="259">
        <f>IFERROR(__xludf.DUMMYFUNCTION("""COMPUTED_VALUE"""),42097.0)</f>
        <v>42097</v>
      </c>
      <c r="F775" s="258" t="str">
        <f>IFERROR(__xludf.DUMMYFUNCTION("""COMPUTED_VALUE"""),"Model S P85D")</f>
        <v>Model S P85D</v>
      </c>
      <c r="G775" s="258" t="str">
        <f>IFERROR(__xludf.DUMMYFUNCTION("""COMPUTED_VALUE"""),"Twice a month")</f>
        <v>Twice a month</v>
      </c>
      <c r="H775" s="258" t="str">
        <f>IFERROR(__xludf.DUMMYFUNCTION("""COMPUTED_VALUE"""),"Monthly")</f>
        <v>Monthly</v>
      </c>
      <c r="I775" s="258" t="str">
        <f>IFERROR(__xludf.DUMMYFUNCTION("""COMPUTED_VALUE"""),"Never")</f>
        <v>Never</v>
      </c>
      <c r="J775" s="260">
        <f>IFERROR(__xludf.DUMMYFUNCTION("""COMPUTED_VALUE"""),0.7)</f>
        <v>0.7</v>
      </c>
      <c r="K775" s="258">
        <f>IFERROR(__xludf.DUMMYFUNCTION("""COMPUTED_VALUE"""),406.0)</f>
        <v>406</v>
      </c>
      <c r="L775" s="258" t="str">
        <f>IFERROR(__xludf.DUMMYFUNCTION("""COMPUTED_VALUE"""),"")</f>
        <v/>
      </c>
      <c r="M775" s="261">
        <f>IFERROR(__xludf.DUMMYFUNCTION("""COMPUTED_VALUE"""),235.0)</f>
        <v>235</v>
      </c>
      <c r="N775" s="262" t="str">
        <f>IFERROR(__xludf.DUMMYFUNCTION("""COMPUTED_VALUE"""),"")</f>
        <v/>
      </c>
      <c r="O775" s="259" t="str">
        <f>IFERROR(__xludf.DUMMYFUNCTION("""COMPUTED_VALUE"""),"")</f>
        <v/>
      </c>
      <c r="P775" s="259">
        <f>IFERROR(__xludf.DUMMYFUNCTION("""COMPUTED_VALUE"""),42225.0)</f>
        <v>42225</v>
      </c>
      <c r="Q775" s="258">
        <f>IFERROR(__xludf.DUMMYFUNCTION("""COMPUTED_VALUE"""),11743.0)</f>
        <v>11743</v>
      </c>
      <c r="R775" s="261">
        <f>IFERROR(__xludf.DUMMYFUNCTION("""COMPUTED_VALUE"""),394.0)</f>
        <v>394</v>
      </c>
      <c r="S775" s="258">
        <v>403.0</v>
      </c>
      <c r="T775" s="263">
        <v>0.9776674937965261</v>
      </c>
      <c r="U775" s="264">
        <v>7297.0</v>
      </c>
      <c r="V775" s="265">
        <v>11743.0</v>
      </c>
      <c r="W775" s="264">
        <v>7297.0</v>
      </c>
      <c r="X775" s="266"/>
      <c r="Y775" s="267">
        <v>-0.01</v>
      </c>
      <c r="Z775" s="267">
        <v>0.9822306017387931</v>
      </c>
      <c r="AA775" s="269"/>
      <c r="AB775" s="270"/>
      <c r="AC775" s="270"/>
      <c r="AD775" s="270"/>
      <c r="AE775" s="270"/>
    </row>
    <row r="776">
      <c r="A776" s="256">
        <f>IFERROR(__xludf.DUMMYFUNCTION("""COMPUTED_VALUE"""),42260.17916666667)</f>
        <v>42260.17917</v>
      </c>
      <c r="B776" s="257" t="str">
        <f>IFERROR(__xludf.DUMMYFUNCTION("""COMPUTED_VALUE"""),"jpet")</f>
        <v>jpet</v>
      </c>
      <c r="C776" s="258" t="str">
        <f>IFERROR(__xludf.DUMMYFUNCTION("""COMPUTED_VALUE"""),"Europe (excluding UK) &amp; Asia Pacific")</f>
        <v>Europe (excluding UK) &amp; Asia Pacific</v>
      </c>
      <c r="D776" s="258" t="str">
        <f>IFERROR(__xludf.DUMMYFUNCTION("""COMPUTED_VALUE"""),"km. My car displays range in kilometres and I will enter all range numbers in kilometres.")</f>
        <v>km. My car displays range in kilometres and I will enter all range numbers in kilometres.</v>
      </c>
      <c r="E776" s="259">
        <f>IFERROR(__xludf.DUMMYFUNCTION("""COMPUTED_VALUE"""),42097.0)</f>
        <v>42097</v>
      </c>
      <c r="F776" s="258" t="str">
        <f>IFERROR(__xludf.DUMMYFUNCTION("""COMPUTED_VALUE"""),"Model S P85D")</f>
        <v>Model S P85D</v>
      </c>
      <c r="G776" s="258" t="str">
        <f>IFERROR(__xludf.DUMMYFUNCTION("""COMPUTED_VALUE"""),"Twice a month")</f>
        <v>Twice a month</v>
      </c>
      <c r="H776" s="258" t="str">
        <f>IFERROR(__xludf.DUMMYFUNCTION("""COMPUTED_VALUE"""),"Monthly")</f>
        <v>Monthly</v>
      </c>
      <c r="I776" s="258" t="str">
        <f>IFERROR(__xludf.DUMMYFUNCTION("""COMPUTED_VALUE"""),"Never")</f>
        <v>Never</v>
      </c>
      <c r="J776" s="260">
        <f>IFERROR(__xludf.DUMMYFUNCTION("""COMPUTED_VALUE"""),0.7)</f>
        <v>0.7</v>
      </c>
      <c r="K776" s="258">
        <f>IFERROR(__xludf.DUMMYFUNCTION("""COMPUTED_VALUE"""),406.0)</f>
        <v>406</v>
      </c>
      <c r="L776" s="258" t="str">
        <f>IFERROR(__xludf.DUMMYFUNCTION("""COMPUTED_VALUE"""),"")</f>
        <v/>
      </c>
      <c r="M776" s="261">
        <f>IFERROR(__xludf.DUMMYFUNCTION("""COMPUTED_VALUE"""),230.0)</f>
        <v>230</v>
      </c>
      <c r="N776" s="262" t="str">
        <f>IFERROR(__xludf.DUMMYFUNCTION("""COMPUTED_VALUE"""),"")</f>
        <v/>
      </c>
      <c r="O776" s="259" t="str">
        <f>IFERROR(__xludf.DUMMYFUNCTION("""COMPUTED_VALUE"""),"")</f>
        <v/>
      </c>
      <c r="P776" s="259">
        <f>IFERROR(__xludf.DUMMYFUNCTION("""COMPUTED_VALUE"""),42260.0)</f>
        <v>42260</v>
      </c>
      <c r="Q776" s="258">
        <f>IFERROR(__xludf.DUMMYFUNCTION("""COMPUTED_VALUE"""),14775.0)</f>
        <v>14775</v>
      </c>
      <c r="R776" s="261">
        <f>IFERROR(__xludf.DUMMYFUNCTION("""COMPUTED_VALUE"""),388.0)</f>
        <v>388</v>
      </c>
      <c r="S776" s="258">
        <v>403.0</v>
      </c>
      <c r="T776" s="263">
        <v>0.9627791563275434</v>
      </c>
      <c r="U776" s="264">
        <v>9181.0</v>
      </c>
      <c r="V776" s="265">
        <v>14775.0</v>
      </c>
      <c r="W776" s="264">
        <v>9181.0</v>
      </c>
      <c r="X776" s="266"/>
      <c r="Y776" s="267">
        <v>-0.01</v>
      </c>
      <c r="Z776" s="267">
        <v>0.9790456913785494</v>
      </c>
      <c r="AA776" s="269"/>
      <c r="AB776" s="270"/>
      <c r="AC776" s="270"/>
      <c r="AD776" s="270"/>
      <c r="AE776" s="270"/>
    </row>
    <row r="777">
      <c r="A777" s="256">
        <f>IFERROR(__xludf.DUMMYFUNCTION("""COMPUTED_VALUE"""),42264.18194444444)</f>
        <v>42264.18194</v>
      </c>
      <c r="B777" s="257" t="str">
        <f>IFERROR(__xludf.DUMMYFUNCTION("""COMPUTED_VALUE"""),"jpet")</f>
        <v>jpet</v>
      </c>
      <c r="C777" s="258" t="str">
        <f>IFERROR(__xludf.DUMMYFUNCTION("""COMPUTED_VALUE"""),"Europe (excluding UK) &amp; Asia Pacific")</f>
        <v>Europe (excluding UK) &amp; Asia Pacific</v>
      </c>
      <c r="D777" s="258" t="str">
        <f>IFERROR(__xludf.DUMMYFUNCTION("""COMPUTED_VALUE"""),"km. My car displays range in kilometres and I will enter all range numbers in kilometres.")</f>
        <v>km. My car displays range in kilometres and I will enter all range numbers in kilometres.</v>
      </c>
      <c r="E777" s="259">
        <f>IFERROR(__xludf.DUMMYFUNCTION("""COMPUTED_VALUE"""),42097.0)</f>
        <v>42097</v>
      </c>
      <c r="F777" s="258" t="str">
        <f>IFERROR(__xludf.DUMMYFUNCTION("""COMPUTED_VALUE"""),"Model S P85D")</f>
        <v>Model S P85D</v>
      </c>
      <c r="G777" s="258" t="str">
        <f>IFERROR(__xludf.DUMMYFUNCTION("""COMPUTED_VALUE"""),"Twice a month")</f>
        <v>Twice a month</v>
      </c>
      <c r="H777" s="258" t="str">
        <f>IFERROR(__xludf.DUMMYFUNCTION("""COMPUTED_VALUE"""),"Monthly")</f>
        <v>Monthly</v>
      </c>
      <c r="I777" s="258" t="str">
        <f>IFERROR(__xludf.DUMMYFUNCTION("""COMPUTED_VALUE"""),"Never")</f>
        <v>Never</v>
      </c>
      <c r="J777" s="260">
        <f>IFERROR(__xludf.DUMMYFUNCTION("""COMPUTED_VALUE"""),0.7)</f>
        <v>0.7</v>
      </c>
      <c r="K777" s="258">
        <f>IFERROR(__xludf.DUMMYFUNCTION("""COMPUTED_VALUE"""),406.0)</f>
        <v>406</v>
      </c>
      <c r="L777" s="258" t="str">
        <f>IFERROR(__xludf.DUMMYFUNCTION("""COMPUTED_VALUE"""),"")</f>
        <v/>
      </c>
      <c r="M777" s="261">
        <f>IFERROR(__xludf.DUMMYFUNCTION("""COMPUTED_VALUE"""),233.0)</f>
        <v>233</v>
      </c>
      <c r="N777" s="262" t="str">
        <f>IFERROR(__xludf.DUMMYFUNCTION("""COMPUTED_VALUE"""),"")</f>
        <v/>
      </c>
      <c r="O777" s="259" t="str">
        <f>IFERROR(__xludf.DUMMYFUNCTION("""COMPUTED_VALUE"""),"")</f>
        <v/>
      </c>
      <c r="P777" s="259">
        <f>IFERROR(__xludf.DUMMYFUNCTION("""COMPUTED_VALUE"""),42264.0)</f>
        <v>42264</v>
      </c>
      <c r="Q777" s="258">
        <f>IFERROR(__xludf.DUMMYFUNCTION("""COMPUTED_VALUE"""),15007.0)</f>
        <v>15007</v>
      </c>
      <c r="R777" s="261">
        <f>IFERROR(__xludf.DUMMYFUNCTION("""COMPUTED_VALUE"""),388.0)</f>
        <v>388</v>
      </c>
      <c r="S777" s="258">
        <v>403.0</v>
      </c>
      <c r="T777" s="263">
        <v>0.9627791563275434</v>
      </c>
      <c r="U777" s="264">
        <v>9325.0</v>
      </c>
      <c r="V777" s="265">
        <v>15007.0</v>
      </c>
      <c r="W777" s="264">
        <v>9325.0</v>
      </c>
      <c r="X777" s="266"/>
      <c r="Y777" s="267">
        <v>-0.01</v>
      </c>
      <c r="Z777" s="267">
        <v>0.9788194298251823</v>
      </c>
      <c r="AA777" s="269"/>
      <c r="AB777" s="270"/>
      <c r="AC777" s="270"/>
      <c r="AD777" s="270"/>
      <c r="AE777" s="270"/>
    </row>
    <row r="778">
      <c r="A778" s="256">
        <f>IFERROR(__xludf.DUMMYFUNCTION("""COMPUTED_VALUE"""),42264.18263888889)</f>
        <v>42264.18264</v>
      </c>
      <c r="B778" s="257" t="str">
        <f>IFERROR(__xludf.DUMMYFUNCTION("""COMPUTED_VALUE"""),"jpet")</f>
        <v>jpet</v>
      </c>
      <c r="C778" s="258" t="str">
        <f>IFERROR(__xludf.DUMMYFUNCTION("""COMPUTED_VALUE"""),"Europe (excluding UK) &amp; Asia Pacific")</f>
        <v>Europe (excluding UK) &amp; Asia Pacific</v>
      </c>
      <c r="D778" s="258" t="str">
        <f>IFERROR(__xludf.DUMMYFUNCTION("""COMPUTED_VALUE"""),"km. My car displays range in kilometres and I will enter all range numbers in kilometres.")</f>
        <v>km. My car displays range in kilometres and I will enter all range numbers in kilometres.</v>
      </c>
      <c r="E778" s="259">
        <f>IFERROR(__xludf.DUMMYFUNCTION("""COMPUTED_VALUE"""),42097.0)</f>
        <v>42097</v>
      </c>
      <c r="F778" s="258" t="str">
        <f>IFERROR(__xludf.DUMMYFUNCTION("""COMPUTED_VALUE"""),"Model S P85D")</f>
        <v>Model S P85D</v>
      </c>
      <c r="G778" s="258" t="str">
        <f>IFERROR(__xludf.DUMMYFUNCTION("""COMPUTED_VALUE"""),"Twice a month")</f>
        <v>Twice a month</v>
      </c>
      <c r="H778" s="258" t="str">
        <f>IFERROR(__xludf.DUMMYFUNCTION("""COMPUTED_VALUE"""),"Monthly")</f>
        <v>Monthly</v>
      </c>
      <c r="I778" s="258" t="str">
        <f>IFERROR(__xludf.DUMMYFUNCTION("""COMPUTED_VALUE"""),"Never")</f>
        <v>Never</v>
      </c>
      <c r="J778" s="260">
        <f>IFERROR(__xludf.DUMMYFUNCTION("""COMPUTED_VALUE"""),0.7)</f>
        <v>0.7</v>
      </c>
      <c r="K778" s="258">
        <f>IFERROR(__xludf.DUMMYFUNCTION("""COMPUTED_VALUE"""),406.0)</f>
        <v>406</v>
      </c>
      <c r="L778" s="258" t="str">
        <f>IFERROR(__xludf.DUMMYFUNCTION("""COMPUTED_VALUE"""),"")</f>
        <v/>
      </c>
      <c r="M778" s="261">
        <f>IFERROR(__xludf.DUMMYFUNCTION("""COMPUTED_VALUE"""),233.0)</f>
        <v>233</v>
      </c>
      <c r="N778" s="262" t="str">
        <f>IFERROR(__xludf.DUMMYFUNCTION("""COMPUTED_VALUE"""),"")</f>
        <v/>
      </c>
      <c r="O778" s="259" t="str">
        <f>IFERROR(__xludf.DUMMYFUNCTION("""COMPUTED_VALUE"""),"")</f>
        <v/>
      </c>
      <c r="P778" s="259">
        <f>IFERROR(__xludf.DUMMYFUNCTION("""COMPUTED_VALUE"""),42264.0)</f>
        <v>42264</v>
      </c>
      <c r="Q778" s="258">
        <f>IFERROR(__xludf.DUMMYFUNCTION("""COMPUTED_VALUE"""),15237.0)</f>
        <v>15237</v>
      </c>
      <c r="R778" s="261">
        <f>IFERROR(__xludf.DUMMYFUNCTION("""COMPUTED_VALUE"""),389.0)</f>
        <v>389</v>
      </c>
      <c r="S778" s="258">
        <v>403.0</v>
      </c>
      <c r="T778" s="263">
        <v>0.9652605459057072</v>
      </c>
      <c r="U778" s="264">
        <v>9468.0</v>
      </c>
      <c r="V778" s="265">
        <v>15237.0</v>
      </c>
      <c r="W778" s="264">
        <v>9468.0</v>
      </c>
      <c r="X778" s="266"/>
      <c r="Y778" s="267">
        <v>-0.01</v>
      </c>
      <c r="Z778" s="267">
        <v>0.9785974035392792</v>
      </c>
      <c r="AA778" s="269"/>
      <c r="AB778" s="270"/>
      <c r="AC778" s="270"/>
      <c r="AD778" s="270"/>
      <c r="AE778" s="270"/>
    </row>
    <row r="779">
      <c r="A779" s="256">
        <f>IFERROR(__xludf.DUMMYFUNCTION("""COMPUTED_VALUE"""),42264.183333333334)</f>
        <v>42264.18333</v>
      </c>
      <c r="B779" s="257" t="str">
        <f>IFERROR(__xludf.DUMMYFUNCTION("""COMPUTED_VALUE"""),"jpet")</f>
        <v>jpet</v>
      </c>
      <c r="C779" s="258" t="str">
        <f>IFERROR(__xludf.DUMMYFUNCTION("""COMPUTED_VALUE"""),"Europe (excluding UK) &amp; Asia Pacific")</f>
        <v>Europe (excluding UK) &amp; Asia Pacific</v>
      </c>
      <c r="D779" s="258" t="str">
        <f>IFERROR(__xludf.DUMMYFUNCTION("""COMPUTED_VALUE"""),"km. My car displays range in kilometres and I will enter all range numbers in kilometres.")</f>
        <v>km. My car displays range in kilometres and I will enter all range numbers in kilometres.</v>
      </c>
      <c r="E779" s="259">
        <f>IFERROR(__xludf.DUMMYFUNCTION("""COMPUTED_VALUE"""),42097.0)</f>
        <v>42097</v>
      </c>
      <c r="F779" s="258" t="str">
        <f>IFERROR(__xludf.DUMMYFUNCTION("""COMPUTED_VALUE"""),"Model S P85D")</f>
        <v>Model S P85D</v>
      </c>
      <c r="G779" s="258" t="str">
        <f>IFERROR(__xludf.DUMMYFUNCTION("""COMPUTED_VALUE"""),"Twice a month")</f>
        <v>Twice a month</v>
      </c>
      <c r="H779" s="258" t="str">
        <f>IFERROR(__xludf.DUMMYFUNCTION("""COMPUTED_VALUE"""),"Monthly")</f>
        <v>Monthly</v>
      </c>
      <c r="I779" s="258" t="str">
        <f>IFERROR(__xludf.DUMMYFUNCTION("""COMPUTED_VALUE"""),"Never")</f>
        <v>Never</v>
      </c>
      <c r="J779" s="260">
        <f>IFERROR(__xludf.DUMMYFUNCTION("""COMPUTED_VALUE"""),0.7)</f>
        <v>0.7</v>
      </c>
      <c r="K779" s="258">
        <f>IFERROR(__xludf.DUMMYFUNCTION("""COMPUTED_VALUE"""),406.0)</f>
        <v>406</v>
      </c>
      <c r="L779" s="258" t="str">
        <f>IFERROR(__xludf.DUMMYFUNCTION("""COMPUTED_VALUE"""),"")</f>
        <v/>
      </c>
      <c r="M779" s="261">
        <f>IFERROR(__xludf.DUMMYFUNCTION("""COMPUTED_VALUE"""),234.0)</f>
        <v>234</v>
      </c>
      <c r="N779" s="262" t="str">
        <f>IFERROR(__xludf.DUMMYFUNCTION("""COMPUTED_VALUE"""),"")</f>
        <v/>
      </c>
      <c r="O779" s="259" t="str">
        <f>IFERROR(__xludf.DUMMYFUNCTION("""COMPUTED_VALUE"""),"")</f>
        <v/>
      </c>
      <c r="P779" s="259">
        <f>IFERROR(__xludf.DUMMYFUNCTION("""COMPUTED_VALUE"""),42264.0)</f>
        <v>42264</v>
      </c>
      <c r="Q779" s="258">
        <f>IFERROR(__xludf.DUMMYFUNCTION("""COMPUTED_VALUE"""),15471.0)</f>
        <v>15471</v>
      </c>
      <c r="R779" s="261">
        <f>IFERROR(__xludf.DUMMYFUNCTION("""COMPUTED_VALUE"""),389.0)</f>
        <v>389</v>
      </c>
      <c r="S779" s="258">
        <v>403.0</v>
      </c>
      <c r="T779" s="263">
        <v>0.9652605459057072</v>
      </c>
      <c r="U779" s="264">
        <v>9613.0</v>
      </c>
      <c r="V779" s="265">
        <v>15471.0</v>
      </c>
      <c r="W779" s="264">
        <v>9613.0</v>
      </c>
      <c r="X779" s="266"/>
      <c r="Y779" s="267">
        <v>-0.01</v>
      </c>
      <c r="Z779" s="267">
        <v>0.9783738191833494</v>
      </c>
      <c r="AA779" s="269"/>
      <c r="AB779" s="270"/>
      <c r="AC779" s="270"/>
      <c r="AD779" s="270"/>
      <c r="AE779" s="270"/>
    </row>
    <row r="780">
      <c r="A780" s="256">
        <f>IFERROR(__xludf.DUMMYFUNCTION("""COMPUTED_VALUE"""),42301.20972222222)</f>
        <v>42301.20972</v>
      </c>
      <c r="B780" s="257" t="str">
        <f>IFERROR(__xludf.DUMMYFUNCTION("""COMPUTED_VALUE"""),"jpet")</f>
        <v>jpet</v>
      </c>
      <c r="C780" s="258" t="str">
        <f>IFERROR(__xludf.DUMMYFUNCTION("""COMPUTED_VALUE"""),"Europe (excluding UK) &amp; Asia Pacific")</f>
        <v>Europe (excluding UK) &amp; Asia Pacific</v>
      </c>
      <c r="D780" s="258" t="str">
        <f>IFERROR(__xludf.DUMMYFUNCTION("""COMPUTED_VALUE"""),"km. My car displays range in kilometres and I will enter all range numbers in kilometres.")</f>
        <v>km. My car displays range in kilometres and I will enter all range numbers in kilometres.</v>
      </c>
      <c r="E780" s="259">
        <f>IFERROR(__xludf.DUMMYFUNCTION("""COMPUTED_VALUE"""),42097.0)</f>
        <v>42097</v>
      </c>
      <c r="F780" s="258" t="str">
        <f>IFERROR(__xludf.DUMMYFUNCTION("""COMPUTED_VALUE"""),"Model S P85D")</f>
        <v>Model S P85D</v>
      </c>
      <c r="G780" s="258" t="str">
        <f>IFERROR(__xludf.DUMMYFUNCTION("""COMPUTED_VALUE"""),"Twice a month")</f>
        <v>Twice a month</v>
      </c>
      <c r="H780" s="258" t="str">
        <f>IFERROR(__xludf.DUMMYFUNCTION("""COMPUTED_VALUE"""),"Monthly")</f>
        <v>Monthly</v>
      </c>
      <c r="I780" s="258" t="str">
        <f>IFERROR(__xludf.DUMMYFUNCTION("""COMPUTED_VALUE"""),"Never")</f>
        <v>Never</v>
      </c>
      <c r="J780" s="260">
        <f>IFERROR(__xludf.DUMMYFUNCTION("""COMPUTED_VALUE"""),0.7)</f>
        <v>0.7</v>
      </c>
      <c r="K780" s="258">
        <f>IFERROR(__xludf.DUMMYFUNCTION("""COMPUTED_VALUE"""),406.0)</f>
        <v>406</v>
      </c>
      <c r="L780" s="258" t="str">
        <f>IFERROR(__xludf.DUMMYFUNCTION("""COMPUTED_VALUE"""),"")</f>
        <v/>
      </c>
      <c r="M780" s="261">
        <f>IFERROR(__xludf.DUMMYFUNCTION("""COMPUTED_VALUE"""),235.0)</f>
        <v>235</v>
      </c>
      <c r="N780" s="262" t="str">
        <f>IFERROR(__xludf.DUMMYFUNCTION("""COMPUTED_VALUE"""),"")</f>
        <v/>
      </c>
      <c r="O780" s="259" t="str">
        <f>IFERROR(__xludf.DUMMYFUNCTION("""COMPUTED_VALUE"""),"")</f>
        <v/>
      </c>
      <c r="P780" s="259">
        <f>IFERROR(__xludf.DUMMYFUNCTION("""COMPUTED_VALUE"""),42301.0)</f>
        <v>42301</v>
      </c>
      <c r="Q780" s="258">
        <f>IFERROR(__xludf.DUMMYFUNCTION("""COMPUTED_VALUE"""),17865.0)</f>
        <v>17865</v>
      </c>
      <c r="R780" s="261">
        <f>IFERROR(__xludf.DUMMYFUNCTION("""COMPUTED_VALUE"""),392.0)</f>
        <v>392</v>
      </c>
      <c r="S780" s="258">
        <v>403.0</v>
      </c>
      <c r="T780" s="263">
        <v>0.9727047146401985</v>
      </c>
      <c r="U780" s="264">
        <v>11101.0</v>
      </c>
      <c r="V780" s="265">
        <v>17865.0</v>
      </c>
      <c r="W780" s="264">
        <v>11101.0</v>
      </c>
      <c r="X780" s="266"/>
      <c r="Y780" s="267">
        <v>-0.01</v>
      </c>
      <c r="Z780" s="267">
        <v>0.976212723062087</v>
      </c>
      <c r="AA780" s="269"/>
      <c r="AB780" s="270"/>
      <c r="AC780" s="270"/>
      <c r="AD780" s="270"/>
      <c r="AE780" s="270"/>
    </row>
    <row r="781">
      <c r="A781" s="256">
        <f>IFERROR(__xludf.DUMMYFUNCTION("""COMPUTED_VALUE"""),42301.21041666667)</f>
        <v>42301.21042</v>
      </c>
      <c r="B781" s="257" t="str">
        <f>IFERROR(__xludf.DUMMYFUNCTION("""COMPUTED_VALUE"""),"jpet")</f>
        <v>jpet</v>
      </c>
      <c r="C781" s="258" t="str">
        <f>IFERROR(__xludf.DUMMYFUNCTION("""COMPUTED_VALUE"""),"Europe (excluding UK) &amp; Asia Pacific")</f>
        <v>Europe (excluding UK) &amp; Asia Pacific</v>
      </c>
      <c r="D781" s="258" t="str">
        <f>IFERROR(__xludf.DUMMYFUNCTION("""COMPUTED_VALUE"""),"km. My car displays range in kilometres and I will enter all range numbers in kilometres.")</f>
        <v>km. My car displays range in kilometres and I will enter all range numbers in kilometres.</v>
      </c>
      <c r="E781" s="259">
        <f>IFERROR(__xludf.DUMMYFUNCTION("""COMPUTED_VALUE"""),42097.0)</f>
        <v>42097</v>
      </c>
      <c r="F781" s="258" t="str">
        <f>IFERROR(__xludf.DUMMYFUNCTION("""COMPUTED_VALUE"""),"Model S P85D")</f>
        <v>Model S P85D</v>
      </c>
      <c r="G781" s="258" t="str">
        <f>IFERROR(__xludf.DUMMYFUNCTION("""COMPUTED_VALUE"""),"Twice a month")</f>
        <v>Twice a month</v>
      </c>
      <c r="H781" s="258" t="str">
        <f>IFERROR(__xludf.DUMMYFUNCTION("""COMPUTED_VALUE"""),"Monthly")</f>
        <v>Monthly</v>
      </c>
      <c r="I781" s="258" t="str">
        <f>IFERROR(__xludf.DUMMYFUNCTION("""COMPUTED_VALUE"""),"Never")</f>
        <v>Never</v>
      </c>
      <c r="J781" s="260">
        <f>IFERROR(__xludf.DUMMYFUNCTION("""COMPUTED_VALUE"""),0.7)</f>
        <v>0.7</v>
      </c>
      <c r="K781" s="258">
        <f>IFERROR(__xludf.DUMMYFUNCTION("""COMPUTED_VALUE"""),406.0)</f>
        <v>406</v>
      </c>
      <c r="L781" s="258" t="str">
        <f>IFERROR(__xludf.DUMMYFUNCTION("""COMPUTED_VALUE"""),"")</f>
        <v/>
      </c>
      <c r="M781" s="261">
        <f>IFERROR(__xludf.DUMMYFUNCTION("""COMPUTED_VALUE"""),235.0)</f>
        <v>235</v>
      </c>
      <c r="N781" s="262" t="str">
        <f>IFERROR(__xludf.DUMMYFUNCTION("""COMPUTED_VALUE"""),"")</f>
        <v/>
      </c>
      <c r="O781" s="259" t="str">
        <f>IFERROR(__xludf.DUMMYFUNCTION("""COMPUTED_VALUE"""),"")</f>
        <v/>
      </c>
      <c r="P781" s="259">
        <f>IFERROR(__xludf.DUMMYFUNCTION("""COMPUTED_VALUE"""),42301.0)</f>
        <v>42301</v>
      </c>
      <c r="Q781" s="258">
        <f>IFERROR(__xludf.DUMMYFUNCTION("""COMPUTED_VALUE"""),17968.0)</f>
        <v>17968</v>
      </c>
      <c r="R781" s="261">
        <f>IFERROR(__xludf.DUMMYFUNCTION("""COMPUTED_VALUE"""),392.0)</f>
        <v>392</v>
      </c>
      <c r="S781" s="258">
        <v>403.0</v>
      </c>
      <c r="T781" s="263">
        <v>0.9727047146401985</v>
      </c>
      <c r="U781" s="264">
        <v>11165.0</v>
      </c>
      <c r="V781" s="265">
        <v>17968.0</v>
      </c>
      <c r="W781" s="264">
        <v>11165.0</v>
      </c>
      <c r="X781" s="266"/>
      <c r="Y781" s="267">
        <v>-0.01</v>
      </c>
      <c r="Z781" s="267">
        <v>0.9761246420730287</v>
      </c>
      <c r="AA781" s="269"/>
      <c r="AB781" s="270"/>
      <c r="AC781" s="270"/>
      <c r="AD781" s="270"/>
      <c r="AE781" s="270"/>
    </row>
    <row r="782">
      <c r="A782" s="256">
        <f>IFERROR(__xludf.DUMMYFUNCTION("""COMPUTED_VALUE"""),42301.211111111115)</f>
        <v>42301.21111</v>
      </c>
      <c r="B782" s="257" t="str">
        <f>IFERROR(__xludf.DUMMYFUNCTION("""COMPUTED_VALUE"""),"jpet")</f>
        <v>jpet</v>
      </c>
      <c r="C782" s="258" t="str">
        <f>IFERROR(__xludf.DUMMYFUNCTION("""COMPUTED_VALUE"""),"Europe (excluding UK) &amp; Asia Pacific")</f>
        <v>Europe (excluding UK) &amp; Asia Pacific</v>
      </c>
      <c r="D782" s="258" t="str">
        <f>IFERROR(__xludf.DUMMYFUNCTION("""COMPUTED_VALUE"""),"km. My car displays range in kilometres and I will enter all range numbers in kilometres.")</f>
        <v>km. My car displays range in kilometres and I will enter all range numbers in kilometres.</v>
      </c>
      <c r="E782" s="259">
        <f>IFERROR(__xludf.DUMMYFUNCTION("""COMPUTED_VALUE"""),42097.0)</f>
        <v>42097</v>
      </c>
      <c r="F782" s="258" t="str">
        <f>IFERROR(__xludf.DUMMYFUNCTION("""COMPUTED_VALUE"""),"Model S P85D")</f>
        <v>Model S P85D</v>
      </c>
      <c r="G782" s="258" t="str">
        <f>IFERROR(__xludf.DUMMYFUNCTION("""COMPUTED_VALUE"""),"Twice a month")</f>
        <v>Twice a month</v>
      </c>
      <c r="H782" s="258" t="str">
        <f>IFERROR(__xludf.DUMMYFUNCTION("""COMPUTED_VALUE"""),"Monthly")</f>
        <v>Monthly</v>
      </c>
      <c r="I782" s="258" t="str">
        <f>IFERROR(__xludf.DUMMYFUNCTION("""COMPUTED_VALUE"""),"Never")</f>
        <v>Never</v>
      </c>
      <c r="J782" s="260">
        <f>IFERROR(__xludf.DUMMYFUNCTION("""COMPUTED_VALUE"""),0.7)</f>
        <v>0.7</v>
      </c>
      <c r="K782" s="258">
        <f>IFERROR(__xludf.DUMMYFUNCTION("""COMPUTED_VALUE"""),406.0)</f>
        <v>406</v>
      </c>
      <c r="L782" s="258" t="str">
        <f>IFERROR(__xludf.DUMMYFUNCTION("""COMPUTED_VALUE"""),"")</f>
        <v/>
      </c>
      <c r="M782" s="261">
        <f>IFERROR(__xludf.DUMMYFUNCTION("""COMPUTED_VALUE"""),235.0)</f>
        <v>235</v>
      </c>
      <c r="N782" s="262" t="str">
        <f>IFERROR(__xludf.DUMMYFUNCTION("""COMPUTED_VALUE"""),"")</f>
        <v/>
      </c>
      <c r="O782" s="259" t="str">
        <f>IFERROR(__xludf.DUMMYFUNCTION("""COMPUTED_VALUE"""),"")</f>
        <v/>
      </c>
      <c r="P782" s="259">
        <f>IFERROR(__xludf.DUMMYFUNCTION("""COMPUTED_VALUE"""),42301.0)</f>
        <v>42301</v>
      </c>
      <c r="Q782" s="258">
        <f>IFERROR(__xludf.DUMMYFUNCTION("""COMPUTED_VALUE"""),18278.0)</f>
        <v>18278</v>
      </c>
      <c r="R782" s="261">
        <f>IFERROR(__xludf.DUMMYFUNCTION("""COMPUTED_VALUE"""),393.0)</f>
        <v>393</v>
      </c>
      <c r="S782" s="258">
        <v>403.0</v>
      </c>
      <c r="T782" s="263">
        <v>0.9751861042183623</v>
      </c>
      <c r="U782" s="264">
        <v>11357.0</v>
      </c>
      <c r="V782" s="265">
        <v>18278.0</v>
      </c>
      <c r="W782" s="264">
        <v>11357.0</v>
      </c>
      <c r="X782" s="266"/>
      <c r="Y782" s="267">
        <v>-0.01</v>
      </c>
      <c r="Z782" s="267">
        <v>0.9758618520466669</v>
      </c>
      <c r="AA782" s="269"/>
      <c r="AB782" s="270"/>
      <c r="AC782" s="270"/>
      <c r="AD782" s="270"/>
      <c r="AE782" s="270"/>
    </row>
    <row r="783">
      <c r="A783" s="256">
        <f>IFERROR(__xludf.DUMMYFUNCTION("""COMPUTED_VALUE"""),42314.22013888889)</f>
        <v>42314.22014</v>
      </c>
      <c r="B783" s="257" t="str">
        <f>IFERROR(__xludf.DUMMYFUNCTION("""COMPUTED_VALUE"""),"jpet")</f>
        <v>jpet</v>
      </c>
      <c r="C783" s="258" t="str">
        <f>IFERROR(__xludf.DUMMYFUNCTION("""COMPUTED_VALUE"""),"Europe (excluding UK) &amp; Asia Pacific")</f>
        <v>Europe (excluding UK) &amp; Asia Pacific</v>
      </c>
      <c r="D783" s="258" t="str">
        <f>IFERROR(__xludf.DUMMYFUNCTION("""COMPUTED_VALUE"""),"km. My car displays range in kilometres and I will enter all range numbers in kilometres.")</f>
        <v>km. My car displays range in kilometres and I will enter all range numbers in kilometres.</v>
      </c>
      <c r="E783" s="259">
        <f>IFERROR(__xludf.DUMMYFUNCTION("""COMPUTED_VALUE"""),42097.0)</f>
        <v>42097</v>
      </c>
      <c r="F783" s="258" t="str">
        <f>IFERROR(__xludf.DUMMYFUNCTION("""COMPUTED_VALUE"""),"Model S P85D")</f>
        <v>Model S P85D</v>
      </c>
      <c r="G783" s="258" t="str">
        <f>IFERROR(__xludf.DUMMYFUNCTION("""COMPUTED_VALUE"""),"Twice a month")</f>
        <v>Twice a month</v>
      </c>
      <c r="H783" s="258" t="str">
        <f>IFERROR(__xludf.DUMMYFUNCTION("""COMPUTED_VALUE"""),"Monthly")</f>
        <v>Monthly</v>
      </c>
      <c r="I783" s="258" t="str">
        <f>IFERROR(__xludf.DUMMYFUNCTION("""COMPUTED_VALUE"""),"Never")</f>
        <v>Never</v>
      </c>
      <c r="J783" s="260">
        <f>IFERROR(__xludf.DUMMYFUNCTION("""COMPUTED_VALUE"""),0.7)</f>
        <v>0.7</v>
      </c>
      <c r="K783" s="258">
        <f>IFERROR(__xludf.DUMMYFUNCTION("""COMPUTED_VALUE"""),406.0)</f>
        <v>406</v>
      </c>
      <c r="L783" s="258" t="str">
        <f>IFERROR(__xludf.DUMMYFUNCTION("""COMPUTED_VALUE"""),"")</f>
        <v/>
      </c>
      <c r="M783" s="261">
        <f>IFERROR(__xludf.DUMMYFUNCTION("""COMPUTED_VALUE"""),235.0)</f>
        <v>235</v>
      </c>
      <c r="N783" s="262" t="str">
        <f>IFERROR(__xludf.DUMMYFUNCTION("""COMPUTED_VALUE"""),"")</f>
        <v/>
      </c>
      <c r="O783" s="259" t="str">
        <f>IFERROR(__xludf.DUMMYFUNCTION("""COMPUTED_VALUE"""),"")</f>
        <v/>
      </c>
      <c r="P783" s="259">
        <f>IFERROR(__xludf.DUMMYFUNCTION("""COMPUTED_VALUE"""),42314.0)</f>
        <v>42314</v>
      </c>
      <c r="Q783" s="258">
        <f>IFERROR(__xludf.DUMMYFUNCTION("""COMPUTED_VALUE"""),19091.0)</f>
        <v>19091</v>
      </c>
      <c r="R783" s="261">
        <f>IFERROR(__xludf.DUMMYFUNCTION("""COMPUTED_VALUE"""),390.0)</f>
        <v>390</v>
      </c>
      <c r="S783" s="258">
        <v>403.0</v>
      </c>
      <c r="T783" s="263">
        <v>0.967741935483871</v>
      </c>
      <c r="U783" s="264">
        <v>11863.0</v>
      </c>
      <c r="V783" s="265">
        <v>19091.0</v>
      </c>
      <c r="W783" s="264">
        <v>11863.0</v>
      </c>
      <c r="X783" s="266"/>
      <c r="Y783" s="267">
        <v>-0.01</v>
      </c>
      <c r="Z783" s="267">
        <v>0.975188738201992</v>
      </c>
      <c r="AA783" s="269"/>
      <c r="AB783" s="270"/>
      <c r="AC783" s="270"/>
      <c r="AD783" s="270"/>
      <c r="AE783" s="270"/>
    </row>
    <row r="784">
      <c r="A784" s="256">
        <f>IFERROR(__xludf.DUMMYFUNCTION("""COMPUTED_VALUE"""),42314.22083333333)</f>
        <v>42314.22083</v>
      </c>
      <c r="B784" s="257" t="str">
        <f>IFERROR(__xludf.DUMMYFUNCTION("""COMPUTED_VALUE"""),"jpet")</f>
        <v>jpet</v>
      </c>
      <c r="C784" s="258" t="str">
        <f>IFERROR(__xludf.DUMMYFUNCTION("""COMPUTED_VALUE"""),"Europe (excluding UK) &amp; Asia Pacific")</f>
        <v>Europe (excluding UK) &amp; Asia Pacific</v>
      </c>
      <c r="D784" s="258" t="str">
        <f>IFERROR(__xludf.DUMMYFUNCTION("""COMPUTED_VALUE"""),"km. My car displays range in kilometres and I will enter all range numbers in kilometres.")</f>
        <v>km. My car displays range in kilometres and I will enter all range numbers in kilometres.</v>
      </c>
      <c r="E784" s="259">
        <f>IFERROR(__xludf.DUMMYFUNCTION("""COMPUTED_VALUE"""),42097.0)</f>
        <v>42097</v>
      </c>
      <c r="F784" s="258" t="str">
        <f>IFERROR(__xludf.DUMMYFUNCTION("""COMPUTED_VALUE"""),"Model S P85D")</f>
        <v>Model S P85D</v>
      </c>
      <c r="G784" s="258" t="str">
        <f>IFERROR(__xludf.DUMMYFUNCTION("""COMPUTED_VALUE"""),"Twice a month")</f>
        <v>Twice a month</v>
      </c>
      <c r="H784" s="258" t="str">
        <f>IFERROR(__xludf.DUMMYFUNCTION("""COMPUTED_VALUE"""),"Monthly")</f>
        <v>Monthly</v>
      </c>
      <c r="I784" s="258" t="str">
        <f>IFERROR(__xludf.DUMMYFUNCTION("""COMPUTED_VALUE"""),"Never")</f>
        <v>Never</v>
      </c>
      <c r="J784" s="260">
        <f>IFERROR(__xludf.DUMMYFUNCTION("""COMPUTED_VALUE"""),0.7)</f>
        <v>0.7</v>
      </c>
      <c r="K784" s="258">
        <f>IFERROR(__xludf.DUMMYFUNCTION("""COMPUTED_VALUE"""),406.0)</f>
        <v>406</v>
      </c>
      <c r="L784" s="258" t="str">
        <f>IFERROR(__xludf.DUMMYFUNCTION("""COMPUTED_VALUE"""),"")</f>
        <v/>
      </c>
      <c r="M784" s="261">
        <f>IFERROR(__xludf.DUMMYFUNCTION("""COMPUTED_VALUE"""),235.0)</f>
        <v>235</v>
      </c>
      <c r="N784" s="262" t="str">
        <f>IFERROR(__xludf.DUMMYFUNCTION("""COMPUTED_VALUE"""),"")</f>
        <v/>
      </c>
      <c r="O784" s="259" t="str">
        <f>IFERROR(__xludf.DUMMYFUNCTION("""COMPUTED_VALUE"""),"")</f>
        <v/>
      </c>
      <c r="P784" s="259">
        <f>IFERROR(__xludf.DUMMYFUNCTION("""COMPUTED_VALUE"""),42314.0)</f>
        <v>42314</v>
      </c>
      <c r="Q784" s="258">
        <f>IFERROR(__xludf.DUMMYFUNCTION("""COMPUTED_VALUE"""),19321.0)</f>
        <v>19321</v>
      </c>
      <c r="R784" s="261">
        <f>IFERROR(__xludf.DUMMYFUNCTION("""COMPUTED_VALUE"""),391.0)</f>
        <v>391</v>
      </c>
      <c r="S784" s="258">
        <v>403.0</v>
      </c>
      <c r="T784" s="263">
        <v>0.9702233250620348</v>
      </c>
      <c r="U784" s="264">
        <v>12006.0</v>
      </c>
      <c r="V784" s="265">
        <v>19321.0</v>
      </c>
      <c r="W784" s="264">
        <v>12006.0</v>
      </c>
      <c r="X784" s="266"/>
      <c r="Y784" s="267">
        <v>-0.01</v>
      </c>
      <c r="Z784" s="267">
        <v>0.9750024265316477</v>
      </c>
      <c r="AA784" s="269"/>
      <c r="AB784" s="270"/>
      <c r="AC784" s="270"/>
      <c r="AD784" s="270"/>
      <c r="AE784" s="270"/>
    </row>
    <row r="785">
      <c r="A785" s="256">
        <f>IFERROR(__xludf.DUMMYFUNCTION("""COMPUTED_VALUE"""),42419.29166666667)</f>
        <v>42419.29167</v>
      </c>
      <c r="B785" s="257" t="str">
        <f>IFERROR(__xludf.DUMMYFUNCTION("""COMPUTED_VALUE"""),"jpet")</f>
        <v>jpet</v>
      </c>
      <c r="C785" s="258" t="str">
        <f>IFERROR(__xludf.DUMMYFUNCTION("""COMPUTED_VALUE"""),"Europe (excluding UK) &amp; Asia Pacific")</f>
        <v>Europe (excluding UK) &amp; Asia Pacific</v>
      </c>
      <c r="D785" s="258" t="str">
        <f>IFERROR(__xludf.DUMMYFUNCTION("""COMPUTED_VALUE"""),"km. My car displays range in kilometres and I will enter all range numbers in kilometres.")</f>
        <v>km. My car displays range in kilometres and I will enter all range numbers in kilometres.</v>
      </c>
      <c r="E785" s="259">
        <f>IFERROR(__xludf.DUMMYFUNCTION("""COMPUTED_VALUE"""),42097.0)</f>
        <v>42097</v>
      </c>
      <c r="F785" s="258" t="str">
        <f>IFERROR(__xludf.DUMMYFUNCTION("""COMPUTED_VALUE"""),"Model S P85D")</f>
        <v>Model S P85D</v>
      </c>
      <c r="G785" s="258" t="str">
        <f>IFERROR(__xludf.DUMMYFUNCTION("""COMPUTED_VALUE"""),"Twice a month")</f>
        <v>Twice a month</v>
      </c>
      <c r="H785" s="258" t="str">
        <f>IFERROR(__xludf.DUMMYFUNCTION("""COMPUTED_VALUE"""),"Monthly")</f>
        <v>Monthly</v>
      </c>
      <c r="I785" s="258" t="str">
        <f>IFERROR(__xludf.DUMMYFUNCTION("""COMPUTED_VALUE"""),"Once or twice a year")</f>
        <v>Once or twice a year</v>
      </c>
      <c r="J785" s="260">
        <f>IFERROR(__xludf.DUMMYFUNCTION("""COMPUTED_VALUE"""),0.7)</f>
        <v>0.7</v>
      </c>
      <c r="K785" s="258">
        <f>IFERROR(__xludf.DUMMYFUNCTION("""COMPUTED_VALUE"""),406.0)</f>
        <v>406</v>
      </c>
      <c r="L785" s="258" t="str">
        <f>IFERROR(__xludf.DUMMYFUNCTION("""COMPUTED_VALUE"""),"")</f>
        <v/>
      </c>
      <c r="M785" s="261">
        <f>IFERROR(__xludf.DUMMYFUNCTION("""COMPUTED_VALUE"""),235.0)</f>
        <v>235</v>
      </c>
      <c r="N785" s="262" t="str">
        <f>IFERROR(__xludf.DUMMYFUNCTION("""COMPUTED_VALUE"""),"")</f>
        <v/>
      </c>
      <c r="O785" s="259" t="str">
        <f>IFERROR(__xludf.DUMMYFUNCTION("""COMPUTED_VALUE"""),"")</f>
        <v/>
      </c>
      <c r="P785" s="259">
        <f>IFERROR(__xludf.DUMMYFUNCTION("""COMPUTED_VALUE"""),42419.0)</f>
        <v>42419</v>
      </c>
      <c r="Q785" s="258">
        <f>IFERROR(__xludf.DUMMYFUNCTION("""COMPUTED_VALUE"""),21620.0)</f>
        <v>21620</v>
      </c>
      <c r="R785" s="261">
        <f>IFERROR(__xludf.DUMMYFUNCTION("""COMPUTED_VALUE"""),374.0)</f>
        <v>374</v>
      </c>
      <c r="S785" s="258">
        <v>403.0</v>
      </c>
      <c r="T785" s="263">
        <v>0.9280397022332506</v>
      </c>
      <c r="U785" s="264">
        <v>13434.0</v>
      </c>
      <c r="V785" s="265">
        <v>21620.0</v>
      </c>
      <c r="W785" s="264">
        <v>13434.0</v>
      </c>
      <c r="X785" s="266"/>
      <c r="Y785" s="267">
        <v>-0.01</v>
      </c>
      <c r="Z785" s="267">
        <v>0.9732336233245277</v>
      </c>
      <c r="AA785" s="269"/>
      <c r="AB785" s="270"/>
      <c r="AC785" s="270"/>
      <c r="AD785" s="270"/>
      <c r="AE785" s="270"/>
    </row>
    <row r="786">
      <c r="A786" s="256">
        <f>IFERROR(__xludf.DUMMYFUNCTION("""COMPUTED_VALUE"""),42420.29236111111)</f>
        <v>42420.29236</v>
      </c>
      <c r="B786" s="257" t="str">
        <f>IFERROR(__xludf.DUMMYFUNCTION("""COMPUTED_VALUE"""),"jpet")</f>
        <v>jpet</v>
      </c>
      <c r="C786" s="258" t="str">
        <f>IFERROR(__xludf.DUMMYFUNCTION("""COMPUTED_VALUE"""),"Europe (excluding UK) &amp; Asia Pacific")</f>
        <v>Europe (excluding UK) &amp; Asia Pacific</v>
      </c>
      <c r="D786" s="258" t="str">
        <f>IFERROR(__xludf.DUMMYFUNCTION("""COMPUTED_VALUE"""),"km. My car displays range in kilometres and I will enter all range numbers in kilometres.")</f>
        <v>km. My car displays range in kilometres and I will enter all range numbers in kilometres.</v>
      </c>
      <c r="E786" s="259">
        <f>IFERROR(__xludf.DUMMYFUNCTION("""COMPUTED_VALUE"""),42097.0)</f>
        <v>42097</v>
      </c>
      <c r="F786" s="258" t="str">
        <f>IFERROR(__xludf.DUMMYFUNCTION("""COMPUTED_VALUE"""),"Model S P85D")</f>
        <v>Model S P85D</v>
      </c>
      <c r="G786" s="258" t="str">
        <f>IFERROR(__xludf.DUMMYFUNCTION("""COMPUTED_VALUE"""),"Twice a month")</f>
        <v>Twice a month</v>
      </c>
      <c r="H786" s="258" t="str">
        <f>IFERROR(__xludf.DUMMYFUNCTION("""COMPUTED_VALUE"""),"Monthly")</f>
        <v>Monthly</v>
      </c>
      <c r="I786" s="258" t="str">
        <f>IFERROR(__xludf.DUMMYFUNCTION("""COMPUTED_VALUE"""),"Once or twice a year")</f>
        <v>Once or twice a year</v>
      </c>
      <c r="J786" s="260">
        <f>IFERROR(__xludf.DUMMYFUNCTION("""COMPUTED_VALUE"""),0.7)</f>
        <v>0.7</v>
      </c>
      <c r="K786" s="258">
        <f>IFERROR(__xludf.DUMMYFUNCTION("""COMPUTED_VALUE"""),406.0)</f>
        <v>406</v>
      </c>
      <c r="L786" s="258" t="str">
        <f>IFERROR(__xludf.DUMMYFUNCTION("""COMPUTED_VALUE"""),"")</f>
        <v/>
      </c>
      <c r="M786" s="261">
        <f>IFERROR(__xludf.DUMMYFUNCTION("""COMPUTED_VALUE"""),235.0)</f>
        <v>235</v>
      </c>
      <c r="N786" s="262" t="str">
        <f>IFERROR(__xludf.DUMMYFUNCTION("""COMPUTED_VALUE"""),"")</f>
        <v/>
      </c>
      <c r="O786" s="259" t="str">
        <f>IFERROR(__xludf.DUMMYFUNCTION("""COMPUTED_VALUE"""),"")</f>
        <v/>
      </c>
      <c r="P786" s="259">
        <f>IFERROR(__xludf.DUMMYFUNCTION("""COMPUTED_VALUE"""),42420.0)</f>
        <v>42420</v>
      </c>
      <c r="Q786" s="258">
        <f>IFERROR(__xludf.DUMMYFUNCTION("""COMPUTED_VALUE"""),21878.0)</f>
        <v>21878</v>
      </c>
      <c r="R786" s="261">
        <f>IFERROR(__xludf.DUMMYFUNCTION("""COMPUTED_VALUE"""),375.0)</f>
        <v>375</v>
      </c>
      <c r="S786" s="258">
        <v>403.0</v>
      </c>
      <c r="T786" s="263">
        <v>0.9305210918114144</v>
      </c>
      <c r="U786" s="264">
        <v>13594.0</v>
      </c>
      <c r="V786" s="265">
        <v>21878.0</v>
      </c>
      <c r="W786" s="264">
        <v>13594.0</v>
      </c>
      <c r="X786" s="266"/>
      <c r="Y786" s="267">
        <v>-0.01</v>
      </c>
      <c r="Z786" s="267">
        <v>0.973045175140329</v>
      </c>
      <c r="AA786" s="269"/>
      <c r="AB786" s="270"/>
      <c r="AC786" s="270"/>
      <c r="AD786" s="270"/>
      <c r="AE786" s="270"/>
    </row>
    <row r="787">
      <c r="A787" s="256">
        <f>IFERROR(__xludf.DUMMYFUNCTION("""COMPUTED_VALUE"""),42464.320138888885)</f>
        <v>42464.32014</v>
      </c>
      <c r="B787" s="257" t="str">
        <f>IFERROR(__xludf.DUMMYFUNCTION("""COMPUTED_VALUE"""),"jpet")</f>
        <v>jpet</v>
      </c>
      <c r="C787" s="258" t="str">
        <f>IFERROR(__xludf.DUMMYFUNCTION("""COMPUTED_VALUE"""),"Europe (excluding UK) &amp; Asia Pacific")</f>
        <v>Europe (excluding UK) &amp; Asia Pacific</v>
      </c>
      <c r="D787" s="258" t="str">
        <f>IFERROR(__xludf.DUMMYFUNCTION("""COMPUTED_VALUE"""),"km. My car displays range in kilometres and I will enter all range numbers in kilometres.")</f>
        <v>km. My car displays range in kilometres and I will enter all range numbers in kilometres.</v>
      </c>
      <c r="E787" s="259">
        <f>IFERROR(__xludf.DUMMYFUNCTION("""COMPUTED_VALUE"""),42097.0)</f>
        <v>42097</v>
      </c>
      <c r="F787" s="258" t="str">
        <f>IFERROR(__xludf.DUMMYFUNCTION("""COMPUTED_VALUE"""),"Model S P85D")</f>
        <v>Model S P85D</v>
      </c>
      <c r="G787" s="258" t="str">
        <f>IFERROR(__xludf.DUMMYFUNCTION("""COMPUTED_VALUE"""),"Twice a month")</f>
        <v>Twice a month</v>
      </c>
      <c r="H787" s="258" t="str">
        <f>IFERROR(__xludf.DUMMYFUNCTION("""COMPUTED_VALUE"""),"Monthly")</f>
        <v>Monthly</v>
      </c>
      <c r="I787" s="258" t="str">
        <f>IFERROR(__xludf.DUMMYFUNCTION("""COMPUTED_VALUE"""),"Once or twice a year")</f>
        <v>Once or twice a year</v>
      </c>
      <c r="J787" s="260">
        <f>IFERROR(__xludf.DUMMYFUNCTION("""COMPUTED_VALUE"""),0.8)</f>
        <v>0.8</v>
      </c>
      <c r="K787" s="258">
        <f>IFERROR(__xludf.DUMMYFUNCTION("""COMPUTED_VALUE"""),406.0)</f>
        <v>406</v>
      </c>
      <c r="L787" s="258" t="str">
        <f>IFERROR(__xludf.DUMMYFUNCTION("""COMPUTED_VALUE"""),"")</f>
        <v/>
      </c>
      <c r="M787" s="261">
        <f>IFERROR(__xludf.DUMMYFUNCTION("""COMPUTED_VALUE"""),235.0)</f>
        <v>235</v>
      </c>
      <c r="N787" s="262" t="str">
        <f>IFERROR(__xludf.DUMMYFUNCTION("""COMPUTED_VALUE"""),"")</f>
        <v/>
      </c>
      <c r="O787" s="259" t="str">
        <f>IFERROR(__xludf.DUMMYFUNCTION("""COMPUTED_VALUE"""),"")</f>
        <v/>
      </c>
      <c r="P787" s="259">
        <f>IFERROR(__xludf.DUMMYFUNCTION("""COMPUTED_VALUE"""),42464.0)</f>
        <v>42464</v>
      </c>
      <c r="Q787" s="258">
        <f>IFERROR(__xludf.DUMMYFUNCTION("""COMPUTED_VALUE"""),24606.0)</f>
        <v>24606</v>
      </c>
      <c r="R787" s="261">
        <f>IFERROR(__xludf.DUMMYFUNCTION("""COMPUTED_VALUE"""),376.0)</f>
        <v>376</v>
      </c>
      <c r="S787" s="258">
        <v>403.0</v>
      </c>
      <c r="T787" s="263">
        <v>0.9330024813895782</v>
      </c>
      <c r="U787" s="264">
        <v>15289.0</v>
      </c>
      <c r="V787" s="265">
        <v>24606.0</v>
      </c>
      <c r="W787" s="264">
        <v>15289.0</v>
      </c>
      <c r="X787" s="266"/>
      <c r="Y787" s="267">
        <v>-0.01</v>
      </c>
      <c r="Z787" s="267">
        <v>0.9711646459650898</v>
      </c>
      <c r="AA787" s="269"/>
      <c r="AB787" s="270"/>
      <c r="AC787" s="270"/>
      <c r="AD787" s="270"/>
      <c r="AE787" s="270"/>
    </row>
    <row r="788">
      <c r="A788" s="256">
        <f>IFERROR(__xludf.DUMMYFUNCTION("""COMPUTED_VALUE"""),42466.322222222225)</f>
        <v>42466.32222</v>
      </c>
      <c r="B788" s="257" t="str">
        <f>IFERROR(__xludf.DUMMYFUNCTION("""COMPUTED_VALUE"""),"jpet")</f>
        <v>jpet</v>
      </c>
      <c r="C788" s="258" t="str">
        <f>IFERROR(__xludf.DUMMYFUNCTION("""COMPUTED_VALUE"""),"Europe (excluding UK) &amp; Asia Pacific")</f>
        <v>Europe (excluding UK) &amp; Asia Pacific</v>
      </c>
      <c r="D788" s="258" t="str">
        <f>IFERROR(__xludf.DUMMYFUNCTION("""COMPUTED_VALUE"""),"km. My car displays range in kilometres and I will enter all range numbers in kilometres.")</f>
        <v>km. My car displays range in kilometres and I will enter all range numbers in kilometres.</v>
      </c>
      <c r="E788" s="259">
        <f>IFERROR(__xludf.DUMMYFUNCTION("""COMPUTED_VALUE"""),42097.0)</f>
        <v>42097</v>
      </c>
      <c r="F788" s="258" t="str">
        <f>IFERROR(__xludf.DUMMYFUNCTION("""COMPUTED_VALUE"""),"Model S P85D")</f>
        <v>Model S P85D</v>
      </c>
      <c r="G788" s="258" t="str">
        <f>IFERROR(__xludf.DUMMYFUNCTION("""COMPUTED_VALUE"""),"Twice a month")</f>
        <v>Twice a month</v>
      </c>
      <c r="H788" s="258" t="str">
        <f>IFERROR(__xludf.DUMMYFUNCTION("""COMPUTED_VALUE"""),"Monthly")</f>
        <v>Monthly</v>
      </c>
      <c r="I788" s="258" t="str">
        <f>IFERROR(__xludf.DUMMYFUNCTION("""COMPUTED_VALUE"""),"Once or twice a year")</f>
        <v>Once or twice a year</v>
      </c>
      <c r="J788" s="260">
        <f>IFERROR(__xludf.DUMMYFUNCTION("""COMPUTED_VALUE"""),0.8)</f>
        <v>0.8</v>
      </c>
      <c r="K788" s="258">
        <f>IFERROR(__xludf.DUMMYFUNCTION("""COMPUTED_VALUE"""),406.0)</f>
        <v>406</v>
      </c>
      <c r="L788" s="258" t="str">
        <f>IFERROR(__xludf.DUMMYFUNCTION("""COMPUTED_VALUE"""),"")</f>
        <v/>
      </c>
      <c r="M788" s="261">
        <f>IFERROR(__xludf.DUMMYFUNCTION("""COMPUTED_VALUE"""),235.0)</f>
        <v>235</v>
      </c>
      <c r="N788" s="262" t="str">
        <f>IFERROR(__xludf.DUMMYFUNCTION("""COMPUTED_VALUE"""),"")</f>
        <v/>
      </c>
      <c r="O788" s="259" t="str">
        <f>IFERROR(__xludf.DUMMYFUNCTION("""COMPUTED_VALUE"""),"")</f>
        <v/>
      </c>
      <c r="P788" s="259">
        <f>IFERROR(__xludf.DUMMYFUNCTION("""COMPUTED_VALUE"""),42466.0)</f>
        <v>42466</v>
      </c>
      <c r="Q788" s="258">
        <f>IFERROR(__xludf.DUMMYFUNCTION("""COMPUTED_VALUE"""),24758.0)</f>
        <v>24758</v>
      </c>
      <c r="R788" s="261">
        <f>IFERROR(__xludf.DUMMYFUNCTION("""COMPUTED_VALUE"""),376.0)</f>
        <v>376</v>
      </c>
      <c r="S788" s="258">
        <v>403.0</v>
      </c>
      <c r="T788" s="263">
        <v>0.9330024813895782</v>
      </c>
      <c r="U788" s="264">
        <v>15384.0</v>
      </c>
      <c r="V788" s="265">
        <v>24758.0</v>
      </c>
      <c r="W788" s="264">
        <v>15384.0</v>
      </c>
      <c r="X788" s="266"/>
      <c r="Y788" s="267">
        <v>-0.01</v>
      </c>
      <c r="Z788" s="267">
        <v>0.9710655322103572</v>
      </c>
      <c r="AA788" s="269"/>
      <c r="AB788" s="270"/>
      <c r="AC788" s="270"/>
      <c r="AD788" s="270"/>
      <c r="AE788" s="270"/>
    </row>
    <row r="789">
      <c r="A789" s="256">
        <f>IFERROR(__xludf.DUMMYFUNCTION("""COMPUTED_VALUE"""),42470.32291666667)</f>
        <v>42470.32292</v>
      </c>
      <c r="B789" s="257" t="str">
        <f>IFERROR(__xludf.DUMMYFUNCTION("""COMPUTED_VALUE"""),"jpet")</f>
        <v>jpet</v>
      </c>
      <c r="C789" s="258" t="str">
        <f>IFERROR(__xludf.DUMMYFUNCTION("""COMPUTED_VALUE"""),"Europe (excluding UK) &amp; Asia Pacific")</f>
        <v>Europe (excluding UK) &amp; Asia Pacific</v>
      </c>
      <c r="D789" s="258" t="str">
        <f>IFERROR(__xludf.DUMMYFUNCTION("""COMPUTED_VALUE"""),"km. My car displays range in kilometres and I will enter all range numbers in kilometres.")</f>
        <v>km. My car displays range in kilometres and I will enter all range numbers in kilometres.</v>
      </c>
      <c r="E789" s="259">
        <f>IFERROR(__xludf.DUMMYFUNCTION("""COMPUTED_VALUE"""),42097.0)</f>
        <v>42097</v>
      </c>
      <c r="F789" s="258" t="str">
        <f>IFERROR(__xludf.DUMMYFUNCTION("""COMPUTED_VALUE"""),"Model S P85D")</f>
        <v>Model S P85D</v>
      </c>
      <c r="G789" s="258" t="str">
        <f>IFERROR(__xludf.DUMMYFUNCTION("""COMPUTED_VALUE"""),"Twice a month")</f>
        <v>Twice a month</v>
      </c>
      <c r="H789" s="258" t="str">
        <f>IFERROR(__xludf.DUMMYFUNCTION("""COMPUTED_VALUE"""),"Monthly")</f>
        <v>Monthly</v>
      </c>
      <c r="I789" s="258" t="str">
        <f>IFERROR(__xludf.DUMMYFUNCTION("""COMPUTED_VALUE"""),"Once or twice a year")</f>
        <v>Once or twice a year</v>
      </c>
      <c r="J789" s="260">
        <f>IFERROR(__xludf.DUMMYFUNCTION("""COMPUTED_VALUE"""),0.8)</f>
        <v>0.8</v>
      </c>
      <c r="K789" s="258">
        <f>IFERROR(__xludf.DUMMYFUNCTION("""COMPUTED_VALUE"""),406.0)</f>
        <v>406</v>
      </c>
      <c r="L789" s="258" t="str">
        <f>IFERROR(__xludf.DUMMYFUNCTION("""COMPUTED_VALUE"""),"")</f>
        <v/>
      </c>
      <c r="M789" s="261">
        <f>IFERROR(__xludf.DUMMYFUNCTION("""COMPUTED_VALUE"""),235.0)</f>
        <v>235</v>
      </c>
      <c r="N789" s="262" t="str">
        <f>IFERROR(__xludf.DUMMYFUNCTION("""COMPUTED_VALUE"""),"")</f>
        <v/>
      </c>
      <c r="O789" s="259" t="str">
        <f>IFERROR(__xludf.DUMMYFUNCTION("""COMPUTED_VALUE"""),"")</f>
        <v/>
      </c>
      <c r="P789" s="259">
        <f>IFERROR(__xludf.DUMMYFUNCTION("""COMPUTED_VALUE"""),42470.0)</f>
        <v>42470</v>
      </c>
      <c r="Q789" s="258">
        <f>IFERROR(__xludf.DUMMYFUNCTION("""COMPUTED_VALUE"""),24956.0)</f>
        <v>24956</v>
      </c>
      <c r="R789" s="261">
        <f>IFERROR(__xludf.DUMMYFUNCTION("""COMPUTED_VALUE"""),376.0)</f>
        <v>376</v>
      </c>
      <c r="S789" s="258">
        <v>403.0</v>
      </c>
      <c r="T789" s="263">
        <v>0.9330024813895782</v>
      </c>
      <c r="U789" s="264">
        <v>15507.0</v>
      </c>
      <c r="V789" s="265">
        <v>24956.0</v>
      </c>
      <c r="W789" s="264">
        <v>15507.0</v>
      </c>
      <c r="X789" s="266"/>
      <c r="Y789" s="267">
        <v>-0.01</v>
      </c>
      <c r="Z789" s="267">
        <v>0.970937267971596</v>
      </c>
      <c r="AA789" s="269"/>
      <c r="AB789" s="270"/>
      <c r="AC789" s="270"/>
      <c r="AD789" s="270"/>
      <c r="AE789" s="270"/>
    </row>
    <row r="790">
      <c r="A790" s="256">
        <f>IFERROR(__xludf.DUMMYFUNCTION("""COMPUTED_VALUE"""),42482.330555555556)</f>
        <v>42482.33056</v>
      </c>
      <c r="B790" s="257" t="str">
        <f>IFERROR(__xludf.DUMMYFUNCTION("""COMPUTED_VALUE"""),"jpet")</f>
        <v>jpet</v>
      </c>
      <c r="C790" s="258" t="str">
        <f>IFERROR(__xludf.DUMMYFUNCTION("""COMPUTED_VALUE"""),"Europe (excluding UK) &amp; Asia Pacific")</f>
        <v>Europe (excluding UK) &amp; Asia Pacific</v>
      </c>
      <c r="D790" s="258" t="str">
        <f>IFERROR(__xludf.DUMMYFUNCTION("""COMPUTED_VALUE"""),"km. My car displays range in kilometres and I will enter all range numbers in kilometres.")</f>
        <v>km. My car displays range in kilometres and I will enter all range numbers in kilometres.</v>
      </c>
      <c r="E790" s="259">
        <f>IFERROR(__xludf.DUMMYFUNCTION("""COMPUTED_VALUE"""),42097.0)</f>
        <v>42097</v>
      </c>
      <c r="F790" s="258" t="str">
        <f>IFERROR(__xludf.DUMMYFUNCTION("""COMPUTED_VALUE"""),"Model S P85D")</f>
        <v>Model S P85D</v>
      </c>
      <c r="G790" s="258" t="str">
        <f>IFERROR(__xludf.DUMMYFUNCTION("""COMPUTED_VALUE"""),"Twice a month")</f>
        <v>Twice a month</v>
      </c>
      <c r="H790" s="258" t="str">
        <f>IFERROR(__xludf.DUMMYFUNCTION("""COMPUTED_VALUE"""),"Monthly")</f>
        <v>Monthly</v>
      </c>
      <c r="I790" s="258" t="str">
        <f>IFERROR(__xludf.DUMMYFUNCTION("""COMPUTED_VALUE"""),"Once or twice a year")</f>
        <v>Once or twice a year</v>
      </c>
      <c r="J790" s="260">
        <f>IFERROR(__xludf.DUMMYFUNCTION("""COMPUTED_VALUE"""),0.8)</f>
        <v>0.8</v>
      </c>
      <c r="K790" s="258">
        <f>IFERROR(__xludf.DUMMYFUNCTION("""COMPUTED_VALUE"""),406.0)</f>
        <v>406</v>
      </c>
      <c r="L790" s="258" t="str">
        <f>IFERROR(__xludf.DUMMYFUNCTION("""COMPUTED_VALUE"""),"")</f>
        <v/>
      </c>
      <c r="M790" s="261">
        <f>IFERROR(__xludf.DUMMYFUNCTION("""COMPUTED_VALUE"""),234.0)</f>
        <v>234</v>
      </c>
      <c r="N790" s="262" t="str">
        <f>IFERROR(__xludf.DUMMYFUNCTION("""COMPUTED_VALUE"""),"")</f>
        <v/>
      </c>
      <c r="O790" s="259" t="str">
        <f>IFERROR(__xludf.DUMMYFUNCTION("""COMPUTED_VALUE"""),"")</f>
        <v/>
      </c>
      <c r="P790" s="259">
        <f>IFERROR(__xludf.DUMMYFUNCTION("""COMPUTED_VALUE"""),42482.0)</f>
        <v>42482</v>
      </c>
      <c r="Q790" s="258">
        <f>IFERROR(__xludf.DUMMYFUNCTION("""COMPUTED_VALUE"""),26081.0)</f>
        <v>26081</v>
      </c>
      <c r="R790" s="261">
        <f>IFERROR(__xludf.DUMMYFUNCTION("""COMPUTED_VALUE"""),375.0)</f>
        <v>375</v>
      </c>
      <c r="S790" s="258">
        <v>403.0</v>
      </c>
      <c r="T790" s="263">
        <v>0.9305210918114144</v>
      </c>
      <c r="U790" s="264">
        <v>16206.0</v>
      </c>
      <c r="V790" s="265">
        <v>26081.0</v>
      </c>
      <c r="W790" s="264">
        <v>16206.0</v>
      </c>
      <c r="X790" s="266"/>
      <c r="Y790" s="267">
        <v>-0.01</v>
      </c>
      <c r="Z790" s="267">
        <v>0.9702261220190243</v>
      </c>
      <c r="AA790" s="269"/>
      <c r="AB790" s="270"/>
      <c r="AC790" s="270"/>
      <c r="AD790" s="270"/>
      <c r="AE790" s="270"/>
    </row>
    <row r="791">
      <c r="A791" s="256">
        <f>IFERROR(__xludf.DUMMYFUNCTION("""COMPUTED_VALUE"""),42528.34652777778)</f>
        <v>42528.34653</v>
      </c>
      <c r="B791" s="257" t="str">
        <f>IFERROR(__xludf.DUMMYFUNCTION("""COMPUTED_VALUE"""),"jpet")</f>
        <v>jpet</v>
      </c>
      <c r="C791" s="258" t="str">
        <f>IFERROR(__xludf.DUMMYFUNCTION("""COMPUTED_VALUE"""),"Europe (excluding UK) &amp; Asia Pacific")</f>
        <v>Europe (excluding UK) &amp; Asia Pacific</v>
      </c>
      <c r="D791" s="258" t="str">
        <f>IFERROR(__xludf.DUMMYFUNCTION("""COMPUTED_VALUE"""),"km. My car displays range in kilometres and I will enter all range numbers in kilometres.")</f>
        <v>km. My car displays range in kilometres and I will enter all range numbers in kilometres.</v>
      </c>
      <c r="E791" s="259">
        <f>IFERROR(__xludf.DUMMYFUNCTION("""COMPUTED_VALUE"""),42097.0)</f>
        <v>42097</v>
      </c>
      <c r="F791" s="258" t="str">
        <f>IFERROR(__xludf.DUMMYFUNCTION("""COMPUTED_VALUE"""),"Model S P85D")</f>
        <v>Model S P85D</v>
      </c>
      <c r="G791" s="258" t="str">
        <f>IFERROR(__xludf.DUMMYFUNCTION("""COMPUTED_VALUE"""),"Twice a month")</f>
        <v>Twice a month</v>
      </c>
      <c r="H791" s="258" t="str">
        <f>IFERROR(__xludf.DUMMYFUNCTION("""COMPUTED_VALUE"""),"Monthly")</f>
        <v>Monthly</v>
      </c>
      <c r="I791" s="258" t="str">
        <f>IFERROR(__xludf.DUMMYFUNCTION("""COMPUTED_VALUE"""),"Once or twice a year")</f>
        <v>Once or twice a year</v>
      </c>
      <c r="J791" s="260">
        <f>IFERROR(__xludf.DUMMYFUNCTION("""COMPUTED_VALUE"""),0.7)</f>
        <v>0.7</v>
      </c>
      <c r="K791" s="258">
        <f>IFERROR(__xludf.DUMMYFUNCTION("""COMPUTED_VALUE"""),406.0)</f>
        <v>406</v>
      </c>
      <c r="L791" s="258" t="str">
        <f>IFERROR(__xludf.DUMMYFUNCTION("""COMPUTED_VALUE"""),"")</f>
        <v/>
      </c>
      <c r="M791" s="261">
        <f>IFERROR(__xludf.DUMMYFUNCTION("""COMPUTED_VALUE"""),233.0)</f>
        <v>233</v>
      </c>
      <c r="N791" s="262" t="str">
        <f>IFERROR(__xludf.DUMMYFUNCTION("""COMPUTED_VALUE"""),"")</f>
        <v/>
      </c>
      <c r="O791" s="259" t="str">
        <f>IFERROR(__xludf.DUMMYFUNCTION("""COMPUTED_VALUE"""),"")</f>
        <v/>
      </c>
      <c r="P791" s="259">
        <f>IFERROR(__xludf.DUMMYFUNCTION("""COMPUTED_VALUE"""),42528.0)</f>
        <v>42528</v>
      </c>
      <c r="Q791" s="258">
        <f>IFERROR(__xludf.DUMMYFUNCTION("""COMPUTED_VALUE"""),27279.0)</f>
        <v>27279</v>
      </c>
      <c r="R791" s="261">
        <f>IFERROR(__xludf.DUMMYFUNCTION("""COMPUTED_VALUE"""),377.0)</f>
        <v>377</v>
      </c>
      <c r="S791" s="258">
        <v>403.0</v>
      </c>
      <c r="T791" s="263">
        <v>0.9354838709677419</v>
      </c>
      <c r="U791" s="264">
        <v>16950.0</v>
      </c>
      <c r="V791" s="265">
        <v>27279.0</v>
      </c>
      <c r="W791" s="264">
        <v>16950.0</v>
      </c>
      <c r="X791" s="266"/>
      <c r="Y791" s="267">
        <v>-0.01</v>
      </c>
      <c r="Z791" s="267">
        <v>0.969500227347683</v>
      </c>
      <c r="AA791" s="269"/>
      <c r="AB791" s="270"/>
      <c r="AC791" s="270"/>
      <c r="AD791" s="270"/>
      <c r="AE791" s="270"/>
    </row>
    <row r="792">
      <c r="A792" s="256">
        <f>IFERROR(__xludf.DUMMYFUNCTION("""COMPUTED_VALUE"""),42532.34722222222)</f>
        <v>42532.34722</v>
      </c>
      <c r="B792" s="257" t="str">
        <f>IFERROR(__xludf.DUMMYFUNCTION("""COMPUTED_VALUE"""),"jpet")</f>
        <v>jpet</v>
      </c>
      <c r="C792" s="258" t="str">
        <f>IFERROR(__xludf.DUMMYFUNCTION("""COMPUTED_VALUE"""),"Europe (excluding UK) &amp; Asia Pacific")</f>
        <v>Europe (excluding UK) &amp; Asia Pacific</v>
      </c>
      <c r="D792" s="258" t="str">
        <f>IFERROR(__xludf.DUMMYFUNCTION("""COMPUTED_VALUE"""),"km. My car displays range in kilometres and I will enter all range numbers in kilometres.")</f>
        <v>km. My car displays range in kilometres and I will enter all range numbers in kilometres.</v>
      </c>
      <c r="E792" s="259">
        <f>IFERROR(__xludf.DUMMYFUNCTION("""COMPUTED_VALUE"""),42097.0)</f>
        <v>42097</v>
      </c>
      <c r="F792" s="258" t="str">
        <f>IFERROR(__xludf.DUMMYFUNCTION("""COMPUTED_VALUE"""),"Model S P85D")</f>
        <v>Model S P85D</v>
      </c>
      <c r="G792" s="258" t="str">
        <f>IFERROR(__xludf.DUMMYFUNCTION("""COMPUTED_VALUE"""),"Twice a month")</f>
        <v>Twice a month</v>
      </c>
      <c r="H792" s="258" t="str">
        <f>IFERROR(__xludf.DUMMYFUNCTION("""COMPUTED_VALUE"""),"Monthly")</f>
        <v>Monthly</v>
      </c>
      <c r="I792" s="258" t="str">
        <f>IFERROR(__xludf.DUMMYFUNCTION("""COMPUTED_VALUE"""),"Once or twice a year")</f>
        <v>Once or twice a year</v>
      </c>
      <c r="J792" s="260">
        <f>IFERROR(__xludf.DUMMYFUNCTION("""COMPUTED_VALUE"""),0.7)</f>
        <v>0.7</v>
      </c>
      <c r="K792" s="258">
        <f>IFERROR(__xludf.DUMMYFUNCTION("""COMPUTED_VALUE"""),406.0)</f>
        <v>406</v>
      </c>
      <c r="L792" s="258" t="str">
        <f>IFERROR(__xludf.DUMMYFUNCTION("""COMPUTED_VALUE"""),"")</f>
        <v/>
      </c>
      <c r="M792" s="261">
        <f>IFERROR(__xludf.DUMMYFUNCTION("""COMPUTED_VALUE"""),233.0)</f>
        <v>233</v>
      </c>
      <c r="N792" s="262" t="str">
        <f>IFERROR(__xludf.DUMMYFUNCTION("""COMPUTED_VALUE"""),"")</f>
        <v/>
      </c>
      <c r="O792" s="259" t="str">
        <f>IFERROR(__xludf.DUMMYFUNCTION("""COMPUTED_VALUE"""),"")</f>
        <v/>
      </c>
      <c r="P792" s="259">
        <f>IFERROR(__xludf.DUMMYFUNCTION("""COMPUTED_VALUE"""),42532.0)</f>
        <v>42532</v>
      </c>
      <c r="Q792" s="258">
        <f>IFERROR(__xludf.DUMMYFUNCTION("""COMPUTED_VALUE"""),27426.0)</f>
        <v>27426</v>
      </c>
      <c r="R792" s="261">
        <f>IFERROR(__xludf.DUMMYFUNCTION("""COMPUTED_VALUE"""),374.0)</f>
        <v>374</v>
      </c>
      <c r="S792" s="258">
        <v>403.0</v>
      </c>
      <c r="T792" s="263">
        <v>0.9280397022332506</v>
      </c>
      <c r="U792" s="264">
        <v>17042.0</v>
      </c>
      <c r="V792" s="265">
        <v>27426.0</v>
      </c>
      <c r="W792" s="264">
        <v>17042.0</v>
      </c>
      <c r="X792" s="266"/>
      <c r="Y792" s="267">
        <v>-0.01</v>
      </c>
      <c r="Z792" s="267">
        <v>0.9694132826424291</v>
      </c>
      <c r="AA792" s="269"/>
      <c r="AB792" s="270"/>
      <c r="AC792" s="270"/>
      <c r="AD792" s="270"/>
      <c r="AE792" s="270"/>
    </row>
    <row r="793">
      <c r="A793" s="256">
        <f>IFERROR(__xludf.DUMMYFUNCTION("""COMPUTED_VALUE"""),42553.35833333334)</f>
        <v>42553.35833</v>
      </c>
      <c r="B793" s="257" t="str">
        <f>IFERROR(__xludf.DUMMYFUNCTION("""COMPUTED_VALUE"""),"jpet")</f>
        <v>jpet</v>
      </c>
      <c r="C793" s="258" t="str">
        <f>IFERROR(__xludf.DUMMYFUNCTION("""COMPUTED_VALUE"""),"Europe (excluding UK) &amp; Asia Pacific")</f>
        <v>Europe (excluding UK) &amp; Asia Pacific</v>
      </c>
      <c r="D793" s="258" t="str">
        <f>IFERROR(__xludf.DUMMYFUNCTION("""COMPUTED_VALUE"""),"km. My car displays range in kilometres and I will enter all range numbers in kilometres.")</f>
        <v>km. My car displays range in kilometres and I will enter all range numbers in kilometres.</v>
      </c>
      <c r="E793" s="259">
        <f>IFERROR(__xludf.DUMMYFUNCTION("""COMPUTED_VALUE"""),42097.0)</f>
        <v>42097</v>
      </c>
      <c r="F793" s="258" t="str">
        <f>IFERROR(__xludf.DUMMYFUNCTION("""COMPUTED_VALUE"""),"Model S P85D")</f>
        <v>Model S P85D</v>
      </c>
      <c r="G793" s="258" t="str">
        <f>IFERROR(__xludf.DUMMYFUNCTION("""COMPUTED_VALUE"""),"Twice a month")</f>
        <v>Twice a month</v>
      </c>
      <c r="H793" s="258" t="str">
        <f>IFERROR(__xludf.DUMMYFUNCTION("""COMPUTED_VALUE"""),"Monthly")</f>
        <v>Monthly</v>
      </c>
      <c r="I793" s="258" t="str">
        <f>IFERROR(__xludf.DUMMYFUNCTION("""COMPUTED_VALUE"""),"Once or twice a year")</f>
        <v>Once or twice a year</v>
      </c>
      <c r="J793" s="260">
        <f>IFERROR(__xludf.DUMMYFUNCTION("""COMPUTED_VALUE"""),0.7)</f>
        <v>0.7</v>
      </c>
      <c r="K793" s="258">
        <f>IFERROR(__xludf.DUMMYFUNCTION("""COMPUTED_VALUE"""),406.0)</f>
        <v>406</v>
      </c>
      <c r="L793" s="258" t="str">
        <f>IFERROR(__xludf.DUMMYFUNCTION("""COMPUTED_VALUE"""),"")</f>
        <v/>
      </c>
      <c r="M793" s="261">
        <f>IFERROR(__xludf.DUMMYFUNCTION("""COMPUTED_VALUE"""),232.0)</f>
        <v>232</v>
      </c>
      <c r="N793" s="262" t="str">
        <f>IFERROR(__xludf.DUMMYFUNCTION("""COMPUTED_VALUE"""),"")</f>
        <v/>
      </c>
      <c r="O793" s="259" t="str">
        <f>IFERROR(__xludf.DUMMYFUNCTION("""COMPUTED_VALUE"""),"")</f>
        <v/>
      </c>
      <c r="P793" s="259">
        <f>IFERROR(__xludf.DUMMYFUNCTION("""COMPUTED_VALUE"""),42553.0)</f>
        <v>42553</v>
      </c>
      <c r="Q793" s="258">
        <f>IFERROR(__xludf.DUMMYFUNCTION("""COMPUTED_VALUE"""),28424.0)</f>
        <v>28424</v>
      </c>
      <c r="R793" s="261">
        <f>IFERROR(__xludf.DUMMYFUNCTION("""COMPUTED_VALUE"""),379.0)</f>
        <v>379</v>
      </c>
      <c r="S793" s="258">
        <v>403.0</v>
      </c>
      <c r="T793" s="263">
        <v>0.9404466501240695</v>
      </c>
      <c r="U793" s="264">
        <v>17662.0</v>
      </c>
      <c r="V793" s="265">
        <v>28424.0</v>
      </c>
      <c r="W793" s="264">
        <v>17662.0</v>
      </c>
      <c r="X793" s="266"/>
      <c r="Y793" s="267">
        <v>-0.01</v>
      </c>
      <c r="Z793" s="267">
        <v>0.9688347455252918</v>
      </c>
      <c r="AA793" s="269"/>
      <c r="AB793" s="270"/>
      <c r="AC793" s="270"/>
      <c r="AD793" s="270"/>
      <c r="AE793" s="270"/>
    </row>
    <row r="794">
      <c r="A794" s="256">
        <f>IFERROR(__xludf.DUMMYFUNCTION("""COMPUTED_VALUE"""),42582.368055555555)</f>
        <v>42582.36806</v>
      </c>
      <c r="B794" s="257" t="str">
        <f>IFERROR(__xludf.DUMMYFUNCTION("""COMPUTED_VALUE"""),"jpet")</f>
        <v>jpet</v>
      </c>
      <c r="C794" s="258" t="str">
        <f>IFERROR(__xludf.DUMMYFUNCTION("""COMPUTED_VALUE"""),"Europe (excluding UK) &amp; Asia Pacific")</f>
        <v>Europe (excluding UK) &amp; Asia Pacific</v>
      </c>
      <c r="D794" s="258" t="str">
        <f>IFERROR(__xludf.DUMMYFUNCTION("""COMPUTED_VALUE"""),"km. My car displays range in kilometres and I will enter all range numbers in kilometres.")</f>
        <v>km. My car displays range in kilometres and I will enter all range numbers in kilometres.</v>
      </c>
      <c r="E794" s="259">
        <f>IFERROR(__xludf.DUMMYFUNCTION("""COMPUTED_VALUE"""),42097.0)</f>
        <v>42097</v>
      </c>
      <c r="F794" s="258" t="str">
        <f>IFERROR(__xludf.DUMMYFUNCTION("""COMPUTED_VALUE"""),"Model S P85D")</f>
        <v>Model S P85D</v>
      </c>
      <c r="G794" s="258" t="str">
        <f>IFERROR(__xludf.DUMMYFUNCTION("""COMPUTED_VALUE"""),"Twice a month")</f>
        <v>Twice a month</v>
      </c>
      <c r="H794" s="258" t="str">
        <f>IFERROR(__xludf.DUMMYFUNCTION("""COMPUTED_VALUE"""),"Monthly")</f>
        <v>Monthly</v>
      </c>
      <c r="I794" s="258" t="str">
        <f>IFERROR(__xludf.DUMMYFUNCTION("""COMPUTED_VALUE"""),"Once or twice a year")</f>
        <v>Once or twice a year</v>
      </c>
      <c r="J794" s="260">
        <f>IFERROR(__xludf.DUMMYFUNCTION("""COMPUTED_VALUE"""),0.7)</f>
        <v>0.7</v>
      </c>
      <c r="K794" s="258">
        <f>IFERROR(__xludf.DUMMYFUNCTION("""COMPUTED_VALUE"""),406.0)</f>
        <v>406</v>
      </c>
      <c r="L794" s="258" t="str">
        <f>IFERROR(__xludf.DUMMYFUNCTION("""COMPUTED_VALUE"""),"")</f>
        <v/>
      </c>
      <c r="M794" s="261">
        <f>IFERROR(__xludf.DUMMYFUNCTION("""COMPUTED_VALUE"""),231.0)</f>
        <v>231</v>
      </c>
      <c r="N794" s="262" t="str">
        <f>IFERROR(__xludf.DUMMYFUNCTION("""COMPUTED_VALUE"""),"")</f>
        <v/>
      </c>
      <c r="O794" s="259" t="str">
        <f>IFERROR(__xludf.DUMMYFUNCTION("""COMPUTED_VALUE"""),"")</f>
        <v/>
      </c>
      <c r="P794" s="259">
        <f>IFERROR(__xludf.DUMMYFUNCTION("""COMPUTED_VALUE"""),42582.0)</f>
        <v>42582</v>
      </c>
      <c r="Q794" s="258">
        <f>IFERROR(__xludf.DUMMYFUNCTION("""COMPUTED_VALUE"""),30001.0)</f>
        <v>30001</v>
      </c>
      <c r="R794" s="261">
        <f>IFERROR(__xludf.DUMMYFUNCTION("""COMPUTED_VALUE"""),379.0)</f>
        <v>379</v>
      </c>
      <c r="S794" s="258">
        <v>403.0</v>
      </c>
      <c r="T794" s="263">
        <v>0.9404466501240695</v>
      </c>
      <c r="U794" s="264">
        <v>18642.0</v>
      </c>
      <c r="V794" s="265">
        <v>30001.0</v>
      </c>
      <c r="W794" s="264">
        <v>18642.0</v>
      </c>
      <c r="X794" s="266"/>
      <c r="Y794" s="267">
        <v>-0.01</v>
      </c>
      <c r="Z794" s="267">
        <v>0.9679601563206839</v>
      </c>
      <c r="AA794" s="269"/>
      <c r="AB794" s="270"/>
      <c r="AC794" s="270"/>
      <c r="AD794" s="270"/>
      <c r="AE794" s="270"/>
    </row>
    <row r="795">
      <c r="A795" s="256">
        <f>IFERROR(__xludf.DUMMYFUNCTION("""COMPUTED_VALUE"""),42582.36875)</f>
        <v>42582.36875</v>
      </c>
      <c r="B795" s="257" t="str">
        <f>IFERROR(__xludf.DUMMYFUNCTION("""COMPUTED_VALUE"""),"jpet")</f>
        <v>jpet</v>
      </c>
      <c r="C795" s="258" t="str">
        <f>IFERROR(__xludf.DUMMYFUNCTION("""COMPUTED_VALUE"""),"Europe (excluding UK) &amp; Asia Pacific")</f>
        <v>Europe (excluding UK) &amp; Asia Pacific</v>
      </c>
      <c r="D795" s="258" t="str">
        <f>IFERROR(__xludf.DUMMYFUNCTION("""COMPUTED_VALUE"""),"km. My car displays range in kilometres and I will enter all range numbers in kilometres.")</f>
        <v>km. My car displays range in kilometres and I will enter all range numbers in kilometres.</v>
      </c>
      <c r="E795" s="259">
        <f>IFERROR(__xludf.DUMMYFUNCTION("""COMPUTED_VALUE"""),42097.0)</f>
        <v>42097</v>
      </c>
      <c r="F795" s="258" t="str">
        <f>IFERROR(__xludf.DUMMYFUNCTION("""COMPUTED_VALUE"""),"Model S P85D")</f>
        <v>Model S P85D</v>
      </c>
      <c r="G795" s="258" t="str">
        <f>IFERROR(__xludf.DUMMYFUNCTION("""COMPUTED_VALUE"""),"Twice a month")</f>
        <v>Twice a month</v>
      </c>
      <c r="H795" s="258" t="str">
        <f>IFERROR(__xludf.DUMMYFUNCTION("""COMPUTED_VALUE"""),"Monthly")</f>
        <v>Monthly</v>
      </c>
      <c r="I795" s="258" t="str">
        <f>IFERROR(__xludf.DUMMYFUNCTION("""COMPUTED_VALUE"""),"Once or twice a year")</f>
        <v>Once or twice a year</v>
      </c>
      <c r="J795" s="260">
        <f>IFERROR(__xludf.DUMMYFUNCTION("""COMPUTED_VALUE"""),0.7)</f>
        <v>0.7</v>
      </c>
      <c r="K795" s="258">
        <f>IFERROR(__xludf.DUMMYFUNCTION("""COMPUTED_VALUE"""),406.0)</f>
        <v>406</v>
      </c>
      <c r="L795" s="258" t="str">
        <f>IFERROR(__xludf.DUMMYFUNCTION("""COMPUTED_VALUE"""),"")</f>
        <v/>
      </c>
      <c r="M795" s="261">
        <f>IFERROR(__xludf.DUMMYFUNCTION("""COMPUTED_VALUE"""),231.0)</f>
        <v>231</v>
      </c>
      <c r="N795" s="262" t="str">
        <f>IFERROR(__xludf.DUMMYFUNCTION("""COMPUTED_VALUE"""),"")</f>
        <v/>
      </c>
      <c r="O795" s="259" t="str">
        <f>IFERROR(__xludf.DUMMYFUNCTION("""COMPUTED_VALUE"""),"")</f>
        <v/>
      </c>
      <c r="P795" s="259">
        <f>IFERROR(__xludf.DUMMYFUNCTION("""COMPUTED_VALUE"""),42582.0)</f>
        <v>42582</v>
      </c>
      <c r="Q795" s="258">
        <f>IFERROR(__xludf.DUMMYFUNCTION("""COMPUTED_VALUE"""),30094.0)</f>
        <v>30094</v>
      </c>
      <c r="R795" s="261">
        <f>IFERROR(__xludf.DUMMYFUNCTION("""COMPUTED_VALUE"""),378.0)</f>
        <v>378</v>
      </c>
      <c r="S795" s="258">
        <v>403.0</v>
      </c>
      <c r="T795" s="263">
        <v>0.9379652605459057</v>
      </c>
      <c r="U795" s="264">
        <v>18700.0</v>
      </c>
      <c r="V795" s="265">
        <v>30094.0</v>
      </c>
      <c r="W795" s="264">
        <v>18700.0</v>
      </c>
      <c r="X795" s="266"/>
      <c r="Y795" s="267">
        <v>-0.01</v>
      </c>
      <c r="Z795" s="267">
        <v>0.9679100170349297</v>
      </c>
      <c r="AA795" s="269"/>
      <c r="AB795" s="270"/>
      <c r="AC795" s="270"/>
      <c r="AD795" s="270"/>
      <c r="AE795" s="270"/>
    </row>
    <row r="796">
      <c r="A796" s="256">
        <f>IFERROR(__xludf.DUMMYFUNCTION("""COMPUTED_VALUE"""),42582.36944444444)</f>
        <v>42582.36944</v>
      </c>
      <c r="B796" s="257" t="str">
        <f>IFERROR(__xludf.DUMMYFUNCTION("""COMPUTED_VALUE"""),"jpet")</f>
        <v>jpet</v>
      </c>
      <c r="C796" s="258" t="str">
        <f>IFERROR(__xludf.DUMMYFUNCTION("""COMPUTED_VALUE"""),"Europe (excluding UK) &amp; Asia Pacific")</f>
        <v>Europe (excluding UK) &amp; Asia Pacific</v>
      </c>
      <c r="D796" s="258" t="str">
        <f>IFERROR(__xludf.DUMMYFUNCTION("""COMPUTED_VALUE"""),"km. My car displays range in kilometres and I will enter all range numbers in kilometres.")</f>
        <v>km. My car displays range in kilometres and I will enter all range numbers in kilometres.</v>
      </c>
      <c r="E796" s="259">
        <f>IFERROR(__xludf.DUMMYFUNCTION("""COMPUTED_VALUE"""),42097.0)</f>
        <v>42097</v>
      </c>
      <c r="F796" s="258" t="str">
        <f>IFERROR(__xludf.DUMMYFUNCTION("""COMPUTED_VALUE"""),"Model S P85D")</f>
        <v>Model S P85D</v>
      </c>
      <c r="G796" s="258" t="str">
        <f>IFERROR(__xludf.DUMMYFUNCTION("""COMPUTED_VALUE"""),"Twice a month")</f>
        <v>Twice a month</v>
      </c>
      <c r="H796" s="258" t="str">
        <f>IFERROR(__xludf.DUMMYFUNCTION("""COMPUTED_VALUE"""),"Monthly")</f>
        <v>Monthly</v>
      </c>
      <c r="I796" s="258" t="str">
        <f>IFERROR(__xludf.DUMMYFUNCTION("""COMPUTED_VALUE"""),"Once or twice a year")</f>
        <v>Once or twice a year</v>
      </c>
      <c r="J796" s="260">
        <f>IFERROR(__xludf.DUMMYFUNCTION("""COMPUTED_VALUE"""),0.7)</f>
        <v>0.7</v>
      </c>
      <c r="K796" s="258">
        <f>IFERROR(__xludf.DUMMYFUNCTION("""COMPUTED_VALUE"""),406.0)</f>
        <v>406</v>
      </c>
      <c r="L796" s="258" t="str">
        <f>IFERROR(__xludf.DUMMYFUNCTION("""COMPUTED_VALUE"""),"")</f>
        <v/>
      </c>
      <c r="M796" s="261">
        <f>IFERROR(__xludf.DUMMYFUNCTION("""COMPUTED_VALUE"""),231.0)</f>
        <v>231</v>
      </c>
      <c r="N796" s="262" t="str">
        <f>IFERROR(__xludf.DUMMYFUNCTION("""COMPUTED_VALUE"""),"")</f>
        <v/>
      </c>
      <c r="O796" s="259" t="str">
        <f>IFERROR(__xludf.DUMMYFUNCTION("""COMPUTED_VALUE"""),"")</f>
        <v/>
      </c>
      <c r="P796" s="259">
        <f>IFERROR(__xludf.DUMMYFUNCTION("""COMPUTED_VALUE"""),42582.0)</f>
        <v>42582</v>
      </c>
      <c r="Q796" s="258">
        <f>IFERROR(__xludf.DUMMYFUNCTION("""COMPUTED_VALUE"""),30353.0)</f>
        <v>30353</v>
      </c>
      <c r="R796" s="261">
        <f>IFERROR(__xludf.DUMMYFUNCTION("""COMPUTED_VALUE"""),380.0)</f>
        <v>380</v>
      </c>
      <c r="S796" s="258">
        <v>403.0</v>
      </c>
      <c r="T796" s="263">
        <v>0.9429280397022333</v>
      </c>
      <c r="U796" s="264">
        <v>18860.0</v>
      </c>
      <c r="V796" s="265">
        <v>30353.0</v>
      </c>
      <c r="W796" s="264">
        <v>18860.0</v>
      </c>
      <c r="X796" s="266"/>
      <c r="Y796" s="267">
        <v>-0.01</v>
      </c>
      <c r="Z796" s="267">
        <v>0.9677711945575427</v>
      </c>
      <c r="AA796" s="269"/>
      <c r="AB796" s="270"/>
      <c r="AC796" s="270"/>
      <c r="AD796" s="270"/>
      <c r="AE796" s="270"/>
    </row>
    <row r="797">
      <c r="A797" s="256">
        <f>IFERROR(__xludf.DUMMYFUNCTION("""COMPUTED_VALUE"""),42588.375)</f>
        <v>42588.375</v>
      </c>
      <c r="B797" s="257" t="str">
        <f>IFERROR(__xludf.DUMMYFUNCTION("""COMPUTED_VALUE"""),"jpet")</f>
        <v>jpet</v>
      </c>
      <c r="C797" s="258" t="str">
        <f>IFERROR(__xludf.DUMMYFUNCTION("""COMPUTED_VALUE"""),"Europe (excluding UK) &amp; Asia Pacific")</f>
        <v>Europe (excluding UK) &amp; Asia Pacific</v>
      </c>
      <c r="D797" s="258" t="str">
        <f>IFERROR(__xludf.DUMMYFUNCTION("""COMPUTED_VALUE"""),"km. My car displays range in kilometres and I will enter all range numbers in kilometres.")</f>
        <v>km. My car displays range in kilometres and I will enter all range numbers in kilometres.</v>
      </c>
      <c r="E797" s="259">
        <f>IFERROR(__xludf.DUMMYFUNCTION("""COMPUTED_VALUE"""),42097.0)</f>
        <v>42097</v>
      </c>
      <c r="F797" s="258" t="str">
        <f>IFERROR(__xludf.DUMMYFUNCTION("""COMPUTED_VALUE"""),"Model S P85D")</f>
        <v>Model S P85D</v>
      </c>
      <c r="G797" s="258" t="str">
        <f>IFERROR(__xludf.DUMMYFUNCTION("""COMPUTED_VALUE"""),"Twice a month")</f>
        <v>Twice a month</v>
      </c>
      <c r="H797" s="258" t="str">
        <f>IFERROR(__xludf.DUMMYFUNCTION("""COMPUTED_VALUE"""),"Monthly")</f>
        <v>Monthly</v>
      </c>
      <c r="I797" s="258" t="str">
        <f>IFERROR(__xludf.DUMMYFUNCTION("""COMPUTED_VALUE"""),"Once or twice a year")</f>
        <v>Once or twice a year</v>
      </c>
      <c r="J797" s="260">
        <f>IFERROR(__xludf.DUMMYFUNCTION("""COMPUTED_VALUE"""),0.7)</f>
        <v>0.7</v>
      </c>
      <c r="K797" s="258">
        <f>IFERROR(__xludf.DUMMYFUNCTION("""COMPUTED_VALUE"""),406.0)</f>
        <v>406</v>
      </c>
      <c r="L797" s="258" t="str">
        <f>IFERROR(__xludf.DUMMYFUNCTION("""COMPUTED_VALUE"""),"")</f>
        <v/>
      </c>
      <c r="M797" s="261">
        <f>IFERROR(__xludf.DUMMYFUNCTION("""COMPUTED_VALUE"""),231.0)</f>
        <v>231</v>
      </c>
      <c r="N797" s="262" t="str">
        <f>IFERROR(__xludf.DUMMYFUNCTION("""COMPUTED_VALUE"""),"")</f>
        <v/>
      </c>
      <c r="O797" s="259" t="str">
        <f>IFERROR(__xludf.DUMMYFUNCTION("""COMPUTED_VALUE"""),"")</f>
        <v/>
      </c>
      <c r="P797" s="259">
        <f>IFERROR(__xludf.DUMMYFUNCTION("""COMPUTED_VALUE"""),42588.0)</f>
        <v>42588</v>
      </c>
      <c r="Q797" s="258">
        <f>IFERROR(__xludf.DUMMYFUNCTION("""COMPUTED_VALUE"""),30909.0)</f>
        <v>30909</v>
      </c>
      <c r="R797" s="261">
        <f>IFERROR(__xludf.DUMMYFUNCTION("""COMPUTED_VALUE"""),379.0)</f>
        <v>379</v>
      </c>
      <c r="S797" s="258">
        <v>403.0</v>
      </c>
      <c r="T797" s="263">
        <v>0.9404466501240695</v>
      </c>
      <c r="U797" s="264">
        <v>19206.0</v>
      </c>
      <c r="V797" s="265">
        <v>30909.0</v>
      </c>
      <c r="W797" s="264">
        <v>19206.0</v>
      </c>
      <c r="X797" s="266"/>
      <c r="Y797" s="267">
        <v>-0.01</v>
      </c>
      <c r="Z797" s="267">
        <v>0.9674771511387928</v>
      </c>
      <c r="AA797" s="269"/>
      <c r="AB797" s="270"/>
      <c r="AC797" s="270"/>
      <c r="AD797" s="270"/>
      <c r="AE797" s="270"/>
    </row>
    <row r="798">
      <c r="A798" s="256">
        <f>IFERROR(__xludf.DUMMYFUNCTION("""COMPUTED_VALUE"""),42622.398611111115)</f>
        <v>42622.39861</v>
      </c>
      <c r="B798" s="257" t="str">
        <f>IFERROR(__xludf.DUMMYFUNCTION("""COMPUTED_VALUE"""),"jpet")</f>
        <v>jpet</v>
      </c>
      <c r="C798" s="258" t="str">
        <f>IFERROR(__xludf.DUMMYFUNCTION("""COMPUTED_VALUE"""),"Europe (excluding UK) &amp; Asia Pacific")</f>
        <v>Europe (excluding UK) &amp; Asia Pacific</v>
      </c>
      <c r="D798" s="258" t="str">
        <f>IFERROR(__xludf.DUMMYFUNCTION("""COMPUTED_VALUE"""),"km. My car displays range in kilometres and I will enter all range numbers in kilometres.")</f>
        <v>km. My car displays range in kilometres and I will enter all range numbers in kilometres.</v>
      </c>
      <c r="E798" s="259">
        <f>IFERROR(__xludf.DUMMYFUNCTION("""COMPUTED_VALUE"""),42097.0)</f>
        <v>42097</v>
      </c>
      <c r="F798" s="258" t="str">
        <f>IFERROR(__xludf.DUMMYFUNCTION("""COMPUTED_VALUE"""),"Model S P85D")</f>
        <v>Model S P85D</v>
      </c>
      <c r="G798" s="258" t="str">
        <f>IFERROR(__xludf.DUMMYFUNCTION("""COMPUTED_VALUE"""),"Twice a month")</f>
        <v>Twice a month</v>
      </c>
      <c r="H798" s="258" t="str">
        <f>IFERROR(__xludf.DUMMYFUNCTION("""COMPUTED_VALUE"""),"Monthly")</f>
        <v>Monthly</v>
      </c>
      <c r="I798" s="258" t="str">
        <f>IFERROR(__xludf.DUMMYFUNCTION("""COMPUTED_VALUE"""),"Once or twice a year")</f>
        <v>Once or twice a year</v>
      </c>
      <c r="J798" s="260">
        <f>IFERROR(__xludf.DUMMYFUNCTION("""COMPUTED_VALUE"""),0.7)</f>
        <v>0.7</v>
      </c>
      <c r="K798" s="258">
        <f>IFERROR(__xludf.DUMMYFUNCTION("""COMPUTED_VALUE"""),406.0)</f>
        <v>406</v>
      </c>
      <c r="L798" s="258" t="str">
        <f>IFERROR(__xludf.DUMMYFUNCTION("""COMPUTED_VALUE"""),"")</f>
        <v/>
      </c>
      <c r="M798" s="261">
        <f>IFERROR(__xludf.DUMMYFUNCTION("""COMPUTED_VALUE"""),230.0)</f>
        <v>230</v>
      </c>
      <c r="N798" s="262" t="str">
        <f>IFERROR(__xludf.DUMMYFUNCTION("""COMPUTED_VALUE"""),"")</f>
        <v/>
      </c>
      <c r="O798" s="259" t="str">
        <f>IFERROR(__xludf.DUMMYFUNCTION("""COMPUTED_VALUE"""),"")</f>
        <v/>
      </c>
      <c r="P798" s="259">
        <f>IFERROR(__xludf.DUMMYFUNCTION("""COMPUTED_VALUE"""),42622.0)</f>
        <v>42622</v>
      </c>
      <c r="Q798" s="258">
        <f>IFERROR(__xludf.DUMMYFUNCTION("""COMPUTED_VALUE"""),32110.0)</f>
        <v>32110</v>
      </c>
      <c r="R798" s="261">
        <f>IFERROR(__xludf.DUMMYFUNCTION("""COMPUTED_VALUE"""),382.0)</f>
        <v>382</v>
      </c>
      <c r="S798" s="258">
        <v>403.0</v>
      </c>
      <c r="T798" s="263">
        <v>0.9478908188585607</v>
      </c>
      <c r="U798" s="264">
        <v>19952.0</v>
      </c>
      <c r="V798" s="265">
        <v>32110.0</v>
      </c>
      <c r="W798" s="264">
        <v>19952.0</v>
      </c>
      <c r="X798" s="266"/>
      <c r="Y798" s="267">
        <v>-0.01</v>
      </c>
      <c r="Z798" s="267">
        <v>0.9668597751914457</v>
      </c>
      <c r="AA798" s="269"/>
      <c r="AB798" s="270"/>
      <c r="AC798" s="270"/>
      <c r="AD798" s="270"/>
      <c r="AE798" s="270"/>
    </row>
    <row r="799">
      <c r="A799" s="256">
        <f>IFERROR(__xludf.DUMMYFUNCTION("""COMPUTED_VALUE"""),42637.40555555555)</f>
        <v>42637.40556</v>
      </c>
      <c r="B799" s="257" t="str">
        <f>IFERROR(__xludf.DUMMYFUNCTION("""COMPUTED_VALUE"""),"jpet")</f>
        <v>jpet</v>
      </c>
      <c r="C799" s="258" t="str">
        <f>IFERROR(__xludf.DUMMYFUNCTION("""COMPUTED_VALUE"""),"Europe (excluding UK) &amp; Asia Pacific")</f>
        <v>Europe (excluding UK) &amp; Asia Pacific</v>
      </c>
      <c r="D799" s="258" t="str">
        <f>IFERROR(__xludf.DUMMYFUNCTION("""COMPUTED_VALUE"""),"km. My car displays range in kilometres and I will enter all range numbers in kilometres.")</f>
        <v>km. My car displays range in kilometres and I will enter all range numbers in kilometres.</v>
      </c>
      <c r="E799" s="259">
        <f>IFERROR(__xludf.DUMMYFUNCTION("""COMPUTED_VALUE"""),42097.0)</f>
        <v>42097</v>
      </c>
      <c r="F799" s="258" t="str">
        <f>IFERROR(__xludf.DUMMYFUNCTION("""COMPUTED_VALUE"""),"Model S P85D")</f>
        <v>Model S P85D</v>
      </c>
      <c r="G799" s="258" t="str">
        <f>IFERROR(__xludf.DUMMYFUNCTION("""COMPUTED_VALUE"""),"Twice a month")</f>
        <v>Twice a month</v>
      </c>
      <c r="H799" s="258" t="str">
        <f>IFERROR(__xludf.DUMMYFUNCTION("""COMPUTED_VALUE"""),"Monthly")</f>
        <v>Monthly</v>
      </c>
      <c r="I799" s="258" t="str">
        <f>IFERROR(__xludf.DUMMYFUNCTION("""COMPUTED_VALUE"""),"Once or twice a year")</f>
        <v>Once or twice a year</v>
      </c>
      <c r="J799" s="260">
        <f>IFERROR(__xludf.DUMMYFUNCTION("""COMPUTED_VALUE"""),0.7)</f>
        <v>0.7</v>
      </c>
      <c r="K799" s="258">
        <f>IFERROR(__xludf.DUMMYFUNCTION("""COMPUTED_VALUE"""),406.0)</f>
        <v>406</v>
      </c>
      <c r="L799" s="258" t="str">
        <f>IFERROR(__xludf.DUMMYFUNCTION("""COMPUTED_VALUE"""),"")</f>
        <v/>
      </c>
      <c r="M799" s="261">
        <f>IFERROR(__xludf.DUMMYFUNCTION("""COMPUTED_VALUE"""),229.0)</f>
        <v>229</v>
      </c>
      <c r="N799" s="262" t="str">
        <f>IFERROR(__xludf.DUMMYFUNCTION("""COMPUTED_VALUE"""),"")</f>
        <v/>
      </c>
      <c r="O799" s="259" t="str">
        <f>IFERROR(__xludf.DUMMYFUNCTION("""COMPUTED_VALUE"""),"")</f>
        <v/>
      </c>
      <c r="P799" s="259">
        <f>IFERROR(__xludf.DUMMYFUNCTION("""COMPUTED_VALUE"""),42637.0)</f>
        <v>42637</v>
      </c>
      <c r="Q799" s="258">
        <f>IFERROR(__xludf.DUMMYFUNCTION("""COMPUTED_VALUE"""),32540.0)</f>
        <v>32540</v>
      </c>
      <c r="R799" s="261">
        <f>IFERROR(__xludf.DUMMYFUNCTION("""COMPUTED_VALUE"""),381.0)</f>
        <v>381</v>
      </c>
      <c r="S799" s="258">
        <v>403.0</v>
      </c>
      <c r="T799" s="263">
        <v>0.9454094292803971</v>
      </c>
      <c r="U799" s="264">
        <v>20219.0</v>
      </c>
      <c r="V799" s="265">
        <v>32540.0</v>
      </c>
      <c r="W799" s="264">
        <v>20219.0</v>
      </c>
      <c r="X799" s="266"/>
      <c r="Y799" s="267">
        <v>-0.01</v>
      </c>
      <c r="Z799" s="267">
        <v>0.9666443966696459</v>
      </c>
      <c r="AA799" s="269"/>
      <c r="AB799" s="270"/>
      <c r="AC799" s="270"/>
      <c r="AD799" s="270"/>
      <c r="AE799" s="270"/>
    </row>
    <row r="800">
      <c r="A800" s="256">
        <f>IFERROR(__xludf.DUMMYFUNCTION("""COMPUTED_VALUE"""),42638.40625)</f>
        <v>42638.40625</v>
      </c>
      <c r="B800" s="257" t="str">
        <f>IFERROR(__xludf.DUMMYFUNCTION("""COMPUTED_VALUE"""),"jpet")</f>
        <v>jpet</v>
      </c>
      <c r="C800" s="258" t="str">
        <f>IFERROR(__xludf.DUMMYFUNCTION("""COMPUTED_VALUE"""),"Europe (excluding UK) &amp; Asia Pacific")</f>
        <v>Europe (excluding UK) &amp; Asia Pacific</v>
      </c>
      <c r="D800" s="258" t="str">
        <f>IFERROR(__xludf.DUMMYFUNCTION("""COMPUTED_VALUE"""),"km. My car displays range in kilometres and I will enter all range numbers in kilometres.")</f>
        <v>km. My car displays range in kilometres and I will enter all range numbers in kilometres.</v>
      </c>
      <c r="E800" s="259">
        <f>IFERROR(__xludf.DUMMYFUNCTION("""COMPUTED_VALUE"""),42097.0)</f>
        <v>42097</v>
      </c>
      <c r="F800" s="258" t="str">
        <f>IFERROR(__xludf.DUMMYFUNCTION("""COMPUTED_VALUE"""),"Model S P85D")</f>
        <v>Model S P85D</v>
      </c>
      <c r="G800" s="258" t="str">
        <f>IFERROR(__xludf.DUMMYFUNCTION("""COMPUTED_VALUE"""),"Twice a month")</f>
        <v>Twice a month</v>
      </c>
      <c r="H800" s="258" t="str">
        <f>IFERROR(__xludf.DUMMYFUNCTION("""COMPUTED_VALUE"""),"Monthly")</f>
        <v>Monthly</v>
      </c>
      <c r="I800" s="258" t="str">
        <f>IFERROR(__xludf.DUMMYFUNCTION("""COMPUTED_VALUE"""),"Once or twice a year")</f>
        <v>Once or twice a year</v>
      </c>
      <c r="J800" s="260">
        <f>IFERROR(__xludf.DUMMYFUNCTION("""COMPUTED_VALUE"""),0.7)</f>
        <v>0.7</v>
      </c>
      <c r="K800" s="258">
        <f>IFERROR(__xludf.DUMMYFUNCTION("""COMPUTED_VALUE"""),406.0)</f>
        <v>406</v>
      </c>
      <c r="L800" s="258" t="str">
        <f>IFERROR(__xludf.DUMMYFUNCTION("""COMPUTED_VALUE"""),"")</f>
        <v/>
      </c>
      <c r="M800" s="261">
        <f>IFERROR(__xludf.DUMMYFUNCTION("""COMPUTED_VALUE"""),229.0)</f>
        <v>229</v>
      </c>
      <c r="N800" s="262" t="str">
        <f>IFERROR(__xludf.DUMMYFUNCTION("""COMPUTED_VALUE"""),"")</f>
        <v/>
      </c>
      <c r="O800" s="259" t="str">
        <f>IFERROR(__xludf.DUMMYFUNCTION("""COMPUTED_VALUE"""),"")</f>
        <v/>
      </c>
      <c r="P800" s="259">
        <f>IFERROR(__xludf.DUMMYFUNCTION("""COMPUTED_VALUE"""),42638.0)</f>
        <v>42638</v>
      </c>
      <c r="Q800" s="258">
        <f>IFERROR(__xludf.DUMMYFUNCTION("""COMPUTED_VALUE"""),32910.0)</f>
        <v>32910</v>
      </c>
      <c r="R800" s="261">
        <f>IFERROR(__xludf.DUMMYFUNCTION("""COMPUTED_VALUE"""),383.0)</f>
        <v>383</v>
      </c>
      <c r="S800" s="258">
        <v>403.0</v>
      </c>
      <c r="T800" s="263">
        <v>0.9503722084367245</v>
      </c>
      <c r="U800" s="264">
        <v>20449.0</v>
      </c>
      <c r="V800" s="265">
        <v>32910.0</v>
      </c>
      <c r="W800" s="264">
        <v>20449.0</v>
      </c>
      <c r="X800" s="266"/>
      <c r="Y800" s="267">
        <v>-0.01</v>
      </c>
      <c r="Z800" s="267">
        <v>0.966461370058716</v>
      </c>
      <c r="AA800" s="269"/>
      <c r="AB800" s="270"/>
      <c r="AC800" s="270"/>
      <c r="AD800" s="270"/>
      <c r="AE800" s="270"/>
    </row>
    <row r="801">
      <c r="A801" s="256">
        <f>IFERROR(__xludf.DUMMYFUNCTION("""COMPUTED_VALUE"""),42672.430555555555)</f>
        <v>42672.43056</v>
      </c>
      <c r="B801" s="257" t="str">
        <f>IFERROR(__xludf.DUMMYFUNCTION("""COMPUTED_VALUE"""),"jpet")</f>
        <v>jpet</v>
      </c>
      <c r="C801" s="258" t="str">
        <f>IFERROR(__xludf.DUMMYFUNCTION("""COMPUTED_VALUE"""),"Europe (excluding UK) &amp; Asia Pacific")</f>
        <v>Europe (excluding UK) &amp; Asia Pacific</v>
      </c>
      <c r="D801" s="258" t="str">
        <f>IFERROR(__xludf.DUMMYFUNCTION("""COMPUTED_VALUE"""),"km. My car displays range in kilometres and I will enter all range numbers in kilometres.")</f>
        <v>km. My car displays range in kilometres and I will enter all range numbers in kilometres.</v>
      </c>
      <c r="E801" s="259">
        <f>IFERROR(__xludf.DUMMYFUNCTION("""COMPUTED_VALUE"""),42097.0)</f>
        <v>42097</v>
      </c>
      <c r="F801" s="258" t="str">
        <f>IFERROR(__xludf.DUMMYFUNCTION("""COMPUTED_VALUE"""),"Model S P85D")</f>
        <v>Model S P85D</v>
      </c>
      <c r="G801" s="258" t="str">
        <f>IFERROR(__xludf.DUMMYFUNCTION("""COMPUTED_VALUE"""),"Twice a month")</f>
        <v>Twice a month</v>
      </c>
      <c r="H801" s="258" t="str">
        <f>IFERROR(__xludf.DUMMYFUNCTION("""COMPUTED_VALUE"""),"Monthly")</f>
        <v>Monthly</v>
      </c>
      <c r="I801" s="258" t="str">
        <f>IFERROR(__xludf.DUMMYFUNCTION("""COMPUTED_VALUE"""),"Once or twice a year")</f>
        <v>Once or twice a year</v>
      </c>
      <c r="J801" s="260">
        <f>IFERROR(__xludf.DUMMYFUNCTION("""COMPUTED_VALUE"""),0.7)</f>
        <v>0.7</v>
      </c>
      <c r="K801" s="258">
        <f>IFERROR(__xludf.DUMMYFUNCTION("""COMPUTED_VALUE"""),406.0)</f>
        <v>406</v>
      </c>
      <c r="L801" s="258" t="str">
        <f>IFERROR(__xludf.DUMMYFUNCTION("""COMPUTED_VALUE"""),"")</f>
        <v/>
      </c>
      <c r="M801" s="261">
        <f>IFERROR(__xludf.DUMMYFUNCTION("""COMPUTED_VALUE"""),229.0)</f>
        <v>229</v>
      </c>
      <c r="N801" s="262" t="str">
        <f>IFERROR(__xludf.DUMMYFUNCTION("""COMPUTED_VALUE"""),"")</f>
        <v/>
      </c>
      <c r="O801" s="259" t="str">
        <f>IFERROR(__xludf.DUMMYFUNCTION("""COMPUTED_VALUE"""),"")</f>
        <v/>
      </c>
      <c r="P801" s="259">
        <f>IFERROR(__xludf.DUMMYFUNCTION("""COMPUTED_VALUE"""),42672.0)</f>
        <v>42672</v>
      </c>
      <c r="Q801" s="258">
        <f>IFERROR(__xludf.DUMMYFUNCTION("""COMPUTED_VALUE"""),34205.0)</f>
        <v>34205</v>
      </c>
      <c r="R801" s="261">
        <f>IFERROR(__xludf.DUMMYFUNCTION("""COMPUTED_VALUE"""),383.0)</f>
        <v>383</v>
      </c>
      <c r="S801" s="258">
        <v>403.0</v>
      </c>
      <c r="T801" s="263">
        <v>0.9503722084367245</v>
      </c>
      <c r="U801" s="264">
        <v>21254.0</v>
      </c>
      <c r="V801" s="265">
        <v>34205.0</v>
      </c>
      <c r="W801" s="264">
        <v>21254.0</v>
      </c>
      <c r="X801" s="266"/>
      <c r="Y801" s="267">
        <v>-0.01</v>
      </c>
      <c r="Z801" s="267">
        <v>0.9658368607663678</v>
      </c>
      <c r="AA801" s="269"/>
      <c r="AB801" s="270"/>
      <c r="AC801" s="270"/>
      <c r="AD801" s="270"/>
      <c r="AE801" s="270"/>
    </row>
    <row r="802">
      <c r="A802" s="256">
        <f>IFERROR(__xludf.DUMMYFUNCTION("""COMPUTED_VALUE"""),42713.472916666666)</f>
        <v>42713.47292</v>
      </c>
      <c r="B802" s="257" t="str">
        <f>IFERROR(__xludf.DUMMYFUNCTION("""COMPUTED_VALUE"""),"jpet")</f>
        <v>jpet</v>
      </c>
      <c r="C802" s="258" t="str">
        <f>IFERROR(__xludf.DUMMYFUNCTION("""COMPUTED_VALUE"""),"Europe (excluding UK) &amp; Asia Pacific")</f>
        <v>Europe (excluding UK) &amp; Asia Pacific</v>
      </c>
      <c r="D802" s="258" t="str">
        <f>IFERROR(__xludf.DUMMYFUNCTION("""COMPUTED_VALUE"""),"km. My car displays range in kilometres and I will enter all range numbers in kilometres.")</f>
        <v>km. My car displays range in kilometres and I will enter all range numbers in kilometres.</v>
      </c>
      <c r="E802" s="259">
        <f>IFERROR(__xludf.DUMMYFUNCTION("""COMPUTED_VALUE"""),42097.0)</f>
        <v>42097</v>
      </c>
      <c r="F802" s="258" t="str">
        <f>IFERROR(__xludf.DUMMYFUNCTION("""COMPUTED_VALUE"""),"Model S P85D")</f>
        <v>Model S P85D</v>
      </c>
      <c r="G802" s="258" t="str">
        <f>IFERROR(__xludf.DUMMYFUNCTION("""COMPUTED_VALUE"""),"Twice a month")</f>
        <v>Twice a month</v>
      </c>
      <c r="H802" s="258" t="str">
        <f>IFERROR(__xludf.DUMMYFUNCTION("""COMPUTED_VALUE"""),"Monthly")</f>
        <v>Monthly</v>
      </c>
      <c r="I802" s="258" t="str">
        <f>IFERROR(__xludf.DUMMYFUNCTION("""COMPUTED_VALUE"""),"Once or twice a year")</f>
        <v>Once or twice a year</v>
      </c>
      <c r="J802" s="260">
        <f>IFERROR(__xludf.DUMMYFUNCTION("""COMPUTED_VALUE"""),0.7)</f>
        <v>0.7</v>
      </c>
      <c r="K802" s="258">
        <f>IFERROR(__xludf.DUMMYFUNCTION("""COMPUTED_VALUE"""),406.0)</f>
        <v>406</v>
      </c>
      <c r="L802" s="258" t="str">
        <f>IFERROR(__xludf.DUMMYFUNCTION("""COMPUTED_VALUE"""),"")</f>
        <v/>
      </c>
      <c r="M802" s="261">
        <f>IFERROR(__xludf.DUMMYFUNCTION("""COMPUTED_VALUE"""),230.0)</f>
        <v>230</v>
      </c>
      <c r="N802" s="262" t="str">
        <f>IFERROR(__xludf.DUMMYFUNCTION("""COMPUTED_VALUE"""),"")</f>
        <v/>
      </c>
      <c r="O802" s="259" t="str">
        <f>IFERROR(__xludf.DUMMYFUNCTION("""COMPUTED_VALUE"""),"")</f>
        <v/>
      </c>
      <c r="P802" s="259">
        <f>IFERROR(__xludf.DUMMYFUNCTION("""COMPUTED_VALUE"""),42713.0)</f>
        <v>42713</v>
      </c>
      <c r="Q802" s="258">
        <f>IFERROR(__xludf.DUMMYFUNCTION("""COMPUTED_VALUE"""),36095.0)</f>
        <v>36095</v>
      </c>
      <c r="R802" s="261">
        <f>IFERROR(__xludf.DUMMYFUNCTION("""COMPUTED_VALUE"""),386.0)</f>
        <v>386</v>
      </c>
      <c r="S802" s="258">
        <v>403.0</v>
      </c>
      <c r="T802" s="263">
        <v>0.9578163771712159</v>
      </c>
      <c r="U802" s="264">
        <v>22428.0</v>
      </c>
      <c r="V802" s="265">
        <v>36095.0</v>
      </c>
      <c r="W802" s="264">
        <v>22428.0</v>
      </c>
      <c r="X802" s="266"/>
      <c r="Y802" s="267">
        <v>-0.01</v>
      </c>
      <c r="Z802" s="267">
        <v>0.9649673497266407</v>
      </c>
      <c r="AA802" s="269"/>
      <c r="AB802" s="270"/>
      <c r="AC802" s="270"/>
      <c r="AD802" s="270"/>
      <c r="AE802" s="270"/>
    </row>
    <row r="803">
      <c r="A803" s="256">
        <f>IFERROR(__xludf.DUMMYFUNCTION("""COMPUTED_VALUE"""),42728.47777777778)</f>
        <v>42728.47778</v>
      </c>
      <c r="B803" s="257" t="str">
        <f>IFERROR(__xludf.DUMMYFUNCTION("""COMPUTED_VALUE"""),"jpet")</f>
        <v>jpet</v>
      </c>
      <c r="C803" s="258" t="str">
        <f>IFERROR(__xludf.DUMMYFUNCTION("""COMPUTED_VALUE"""),"Europe (excluding UK) &amp; Asia Pacific")</f>
        <v>Europe (excluding UK) &amp; Asia Pacific</v>
      </c>
      <c r="D803" s="258" t="str">
        <f>IFERROR(__xludf.DUMMYFUNCTION("""COMPUTED_VALUE"""),"km. My car displays range in kilometres and I will enter all range numbers in kilometres.")</f>
        <v>km. My car displays range in kilometres and I will enter all range numbers in kilometres.</v>
      </c>
      <c r="E803" s="259">
        <f>IFERROR(__xludf.DUMMYFUNCTION("""COMPUTED_VALUE"""),42097.0)</f>
        <v>42097</v>
      </c>
      <c r="F803" s="258" t="str">
        <f>IFERROR(__xludf.DUMMYFUNCTION("""COMPUTED_VALUE"""),"Model S P85D")</f>
        <v>Model S P85D</v>
      </c>
      <c r="G803" s="258" t="str">
        <f>IFERROR(__xludf.DUMMYFUNCTION("""COMPUTED_VALUE"""),"Twice a month")</f>
        <v>Twice a month</v>
      </c>
      <c r="H803" s="258" t="str">
        <f>IFERROR(__xludf.DUMMYFUNCTION("""COMPUTED_VALUE"""),"Monthly")</f>
        <v>Monthly</v>
      </c>
      <c r="I803" s="258" t="str">
        <f>IFERROR(__xludf.DUMMYFUNCTION("""COMPUTED_VALUE"""),"Once or twice a year")</f>
        <v>Once or twice a year</v>
      </c>
      <c r="J803" s="260">
        <f>IFERROR(__xludf.DUMMYFUNCTION("""COMPUTED_VALUE"""),0.7)</f>
        <v>0.7</v>
      </c>
      <c r="K803" s="258">
        <f>IFERROR(__xludf.DUMMYFUNCTION("""COMPUTED_VALUE"""),406.0)</f>
        <v>406</v>
      </c>
      <c r="L803" s="258" t="str">
        <f>IFERROR(__xludf.DUMMYFUNCTION("""COMPUTED_VALUE"""),"")</f>
        <v/>
      </c>
      <c r="M803" s="261">
        <f>IFERROR(__xludf.DUMMYFUNCTION("""COMPUTED_VALUE"""),230.0)</f>
        <v>230</v>
      </c>
      <c r="N803" s="262" t="str">
        <f>IFERROR(__xludf.DUMMYFUNCTION("""COMPUTED_VALUE"""),"")</f>
        <v/>
      </c>
      <c r="O803" s="259" t="str">
        <f>IFERROR(__xludf.DUMMYFUNCTION("""COMPUTED_VALUE"""),"")</f>
        <v/>
      </c>
      <c r="P803" s="259">
        <f>IFERROR(__xludf.DUMMYFUNCTION("""COMPUTED_VALUE"""),42728.0)</f>
        <v>42728</v>
      </c>
      <c r="Q803" s="258">
        <f>IFERROR(__xludf.DUMMYFUNCTION("""COMPUTED_VALUE"""),36535.0)</f>
        <v>36535</v>
      </c>
      <c r="R803" s="261">
        <f>IFERROR(__xludf.DUMMYFUNCTION("""COMPUTED_VALUE"""),386.0)</f>
        <v>386</v>
      </c>
      <c r="S803" s="258">
        <v>403.0</v>
      </c>
      <c r="T803" s="263">
        <v>0.9578163771712159</v>
      </c>
      <c r="U803" s="264">
        <v>22702.0</v>
      </c>
      <c r="V803" s="265">
        <v>36535.0</v>
      </c>
      <c r="W803" s="264">
        <v>22702.0</v>
      </c>
      <c r="X803" s="266"/>
      <c r="Y803" s="267">
        <v>-0.01</v>
      </c>
      <c r="Z803" s="267">
        <v>0.964771579346239</v>
      </c>
      <c r="AA803" s="269"/>
      <c r="AB803" s="270"/>
      <c r="AC803" s="270"/>
      <c r="AD803" s="270"/>
      <c r="AE803" s="270"/>
    </row>
    <row r="804">
      <c r="A804" s="256">
        <f>IFERROR(__xludf.DUMMYFUNCTION("""COMPUTED_VALUE"""),42784.50138888889)</f>
        <v>42784.50139</v>
      </c>
      <c r="B804" s="257" t="str">
        <f>IFERROR(__xludf.DUMMYFUNCTION("""COMPUTED_VALUE"""),"jpet")</f>
        <v>jpet</v>
      </c>
      <c r="C804" s="258" t="str">
        <f>IFERROR(__xludf.DUMMYFUNCTION("""COMPUTED_VALUE"""),"Europe (excluding UK) &amp; Asia Pacific")</f>
        <v>Europe (excluding UK) &amp; Asia Pacific</v>
      </c>
      <c r="D804" s="258" t="str">
        <f>IFERROR(__xludf.DUMMYFUNCTION("""COMPUTED_VALUE"""),"km. My car displays range in kilometres and I will enter all range numbers in kilometres.")</f>
        <v>km. My car displays range in kilometres and I will enter all range numbers in kilometres.</v>
      </c>
      <c r="E804" s="259">
        <f>IFERROR(__xludf.DUMMYFUNCTION("""COMPUTED_VALUE"""),42097.0)</f>
        <v>42097</v>
      </c>
      <c r="F804" s="258" t="str">
        <f>IFERROR(__xludf.DUMMYFUNCTION("""COMPUTED_VALUE"""),"Model S P85D")</f>
        <v>Model S P85D</v>
      </c>
      <c r="G804" s="258" t="str">
        <f>IFERROR(__xludf.DUMMYFUNCTION("""COMPUTED_VALUE"""),"Twice a month")</f>
        <v>Twice a month</v>
      </c>
      <c r="H804" s="258" t="str">
        <f>IFERROR(__xludf.DUMMYFUNCTION("""COMPUTED_VALUE"""),"Monthly")</f>
        <v>Monthly</v>
      </c>
      <c r="I804" s="258" t="str">
        <f>IFERROR(__xludf.DUMMYFUNCTION("""COMPUTED_VALUE"""),"Once or twice a year")</f>
        <v>Once or twice a year</v>
      </c>
      <c r="J804" s="260">
        <f>IFERROR(__xludf.DUMMYFUNCTION("""COMPUTED_VALUE"""),0.7)</f>
        <v>0.7</v>
      </c>
      <c r="K804" s="258">
        <f>IFERROR(__xludf.DUMMYFUNCTION("""COMPUTED_VALUE"""),406.0)</f>
        <v>406</v>
      </c>
      <c r="L804" s="258" t="str">
        <f>IFERROR(__xludf.DUMMYFUNCTION("""COMPUTED_VALUE"""),"")</f>
        <v/>
      </c>
      <c r="M804" s="261">
        <f>IFERROR(__xludf.DUMMYFUNCTION("""COMPUTED_VALUE"""),232.0)</f>
        <v>232</v>
      </c>
      <c r="N804" s="262" t="str">
        <f>IFERROR(__xludf.DUMMYFUNCTION("""COMPUTED_VALUE"""),"")</f>
        <v/>
      </c>
      <c r="O804" s="259" t="str">
        <f>IFERROR(__xludf.DUMMYFUNCTION("""COMPUTED_VALUE"""),"")</f>
        <v/>
      </c>
      <c r="P804" s="259">
        <f>IFERROR(__xludf.DUMMYFUNCTION("""COMPUTED_VALUE"""),42784.0)</f>
        <v>42784</v>
      </c>
      <c r="Q804" s="258">
        <f>IFERROR(__xludf.DUMMYFUNCTION("""COMPUTED_VALUE"""),39061.0)</f>
        <v>39061</v>
      </c>
      <c r="R804" s="261">
        <f>IFERROR(__xludf.DUMMYFUNCTION("""COMPUTED_VALUE"""),387.0)</f>
        <v>387</v>
      </c>
      <c r="S804" s="258">
        <v>403.0</v>
      </c>
      <c r="T804" s="263">
        <v>0.9602977667493796</v>
      </c>
      <c r="U804" s="264">
        <v>24271.0</v>
      </c>
      <c r="V804" s="265">
        <v>39061.0</v>
      </c>
      <c r="W804" s="264">
        <v>24271.0</v>
      </c>
      <c r="X804" s="266"/>
      <c r="Y804" s="267">
        <v>-0.01</v>
      </c>
      <c r="Z804" s="267">
        <v>0.9636919613456346</v>
      </c>
      <c r="AA804" s="269"/>
      <c r="AB804" s="270"/>
      <c r="AC804" s="270"/>
      <c r="AD804" s="270"/>
      <c r="AE804" s="270"/>
    </row>
    <row r="805">
      <c r="A805" s="256">
        <f>IFERROR(__xludf.DUMMYFUNCTION("""COMPUTED_VALUE"""),42805.51180555555)</f>
        <v>42805.51181</v>
      </c>
      <c r="B805" s="257" t="str">
        <f>IFERROR(__xludf.DUMMYFUNCTION("""COMPUTED_VALUE"""),"jpet")</f>
        <v>jpet</v>
      </c>
      <c r="C805" s="258" t="str">
        <f>IFERROR(__xludf.DUMMYFUNCTION("""COMPUTED_VALUE"""),"Europe (excluding UK) &amp; Asia Pacific")</f>
        <v>Europe (excluding UK) &amp; Asia Pacific</v>
      </c>
      <c r="D805" s="258" t="str">
        <f>IFERROR(__xludf.DUMMYFUNCTION("""COMPUTED_VALUE"""),"km. My car displays range in kilometres and I will enter all range numbers in kilometres.")</f>
        <v>km. My car displays range in kilometres and I will enter all range numbers in kilometres.</v>
      </c>
      <c r="E805" s="259">
        <f>IFERROR(__xludf.DUMMYFUNCTION("""COMPUTED_VALUE"""),42097.0)</f>
        <v>42097</v>
      </c>
      <c r="F805" s="258" t="str">
        <f>IFERROR(__xludf.DUMMYFUNCTION("""COMPUTED_VALUE"""),"Model S P85D")</f>
        <v>Model S P85D</v>
      </c>
      <c r="G805" s="258" t="str">
        <f>IFERROR(__xludf.DUMMYFUNCTION("""COMPUTED_VALUE"""),"Twice a month")</f>
        <v>Twice a month</v>
      </c>
      <c r="H805" s="258" t="str">
        <f>IFERROR(__xludf.DUMMYFUNCTION("""COMPUTED_VALUE"""),"Monthly")</f>
        <v>Monthly</v>
      </c>
      <c r="I805" s="258" t="str">
        <f>IFERROR(__xludf.DUMMYFUNCTION("""COMPUTED_VALUE"""),"Once or twice a year")</f>
        <v>Once or twice a year</v>
      </c>
      <c r="J805" s="260">
        <f>IFERROR(__xludf.DUMMYFUNCTION("""COMPUTED_VALUE"""),0.7)</f>
        <v>0.7</v>
      </c>
      <c r="K805" s="258">
        <f>IFERROR(__xludf.DUMMYFUNCTION("""COMPUTED_VALUE"""),406.0)</f>
        <v>406</v>
      </c>
      <c r="L805" s="258" t="str">
        <f>IFERROR(__xludf.DUMMYFUNCTION("""COMPUTED_VALUE"""),"")</f>
        <v/>
      </c>
      <c r="M805" s="261">
        <f>IFERROR(__xludf.DUMMYFUNCTION("""COMPUTED_VALUE"""),232.0)</f>
        <v>232</v>
      </c>
      <c r="N805" s="262" t="str">
        <f>IFERROR(__xludf.DUMMYFUNCTION("""COMPUTED_VALUE"""),"")</f>
        <v/>
      </c>
      <c r="O805" s="259" t="str">
        <f>IFERROR(__xludf.DUMMYFUNCTION("""COMPUTED_VALUE"""),"")</f>
        <v/>
      </c>
      <c r="P805" s="259">
        <f>IFERROR(__xludf.DUMMYFUNCTION("""COMPUTED_VALUE"""),42805.0)</f>
        <v>42805</v>
      </c>
      <c r="Q805" s="258">
        <f>IFERROR(__xludf.DUMMYFUNCTION("""COMPUTED_VALUE"""),40014.0)</f>
        <v>40014</v>
      </c>
      <c r="R805" s="261">
        <f>IFERROR(__xludf.DUMMYFUNCTION("""COMPUTED_VALUE"""),388.0)</f>
        <v>388</v>
      </c>
      <c r="S805" s="258">
        <v>403.0</v>
      </c>
      <c r="T805" s="263">
        <v>0.9627791563275434</v>
      </c>
      <c r="U805" s="264">
        <v>24864.0</v>
      </c>
      <c r="V805" s="265">
        <v>40014.0</v>
      </c>
      <c r="W805" s="264">
        <v>24864.0</v>
      </c>
      <c r="X805" s="266"/>
      <c r="Y805" s="267">
        <v>-0.01</v>
      </c>
      <c r="Z805" s="267">
        <v>0.9633028135368352</v>
      </c>
      <c r="AA805" s="269"/>
      <c r="AB805" s="270"/>
      <c r="AC805" s="270"/>
      <c r="AD805" s="270"/>
      <c r="AE805" s="270"/>
    </row>
    <row r="806">
      <c r="A806" s="256">
        <f>IFERROR(__xludf.DUMMYFUNCTION("""COMPUTED_VALUE"""),42874.538888888885)</f>
        <v>42874.53889</v>
      </c>
      <c r="B806" s="257" t="str">
        <f>IFERROR(__xludf.DUMMYFUNCTION("""COMPUTED_VALUE"""),"jpet")</f>
        <v>jpet</v>
      </c>
      <c r="C806" s="258" t="str">
        <f>IFERROR(__xludf.DUMMYFUNCTION("""COMPUTED_VALUE"""),"Europe (excluding UK) &amp; Asia Pacific")</f>
        <v>Europe (excluding UK) &amp; Asia Pacific</v>
      </c>
      <c r="D806" s="258" t="str">
        <f>IFERROR(__xludf.DUMMYFUNCTION("""COMPUTED_VALUE"""),"km. My car displays range in kilometres and I will enter all range numbers in kilometres.")</f>
        <v>km. My car displays range in kilometres and I will enter all range numbers in kilometres.</v>
      </c>
      <c r="E806" s="259">
        <f>IFERROR(__xludf.DUMMYFUNCTION("""COMPUTED_VALUE"""),42097.0)</f>
        <v>42097</v>
      </c>
      <c r="F806" s="258" t="str">
        <f>IFERROR(__xludf.DUMMYFUNCTION("""COMPUTED_VALUE"""),"Model S P85D")</f>
        <v>Model S P85D</v>
      </c>
      <c r="G806" s="258" t="str">
        <f>IFERROR(__xludf.DUMMYFUNCTION("""COMPUTED_VALUE"""),"Twice a month")</f>
        <v>Twice a month</v>
      </c>
      <c r="H806" s="258" t="str">
        <f>IFERROR(__xludf.DUMMYFUNCTION("""COMPUTED_VALUE"""),"Monthly")</f>
        <v>Monthly</v>
      </c>
      <c r="I806" s="258" t="str">
        <f>IFERROR(__xludf.DUMMYFUNCTION("""COMPUTED_VALUE"""),"Once or twice a year")</f>
        <v>Once or twice a year</v>
      </c>
      <c r="J806" s="260">
        <f>IFERROR(__xludf.DUMMYFUNCTION("""COMPUTED_VALUE"""),0.7)</f>
        <v>0.7</v>
      </c>
      <c r="K806" s="258">
        <f>IFERROR(__xludf.DUMMYFUNCTION("""COMPUTED_VALUE"""),406.0)</f>
        <v>406</v>
      </c>
      <c r="L806" s="258" t="str">
        <f>IFERROR(__xludf.DUMMYFUNCTION("""COMPUTED_VALUE"""),"")</f>
        <v/>
      </c>
      <c r="M806" s="261">
        <f>IFERROR(__xludf.DUMMYFUNCTION("""COMPUTED_VALUE"""),232.0)</f>
        <v>232</v>
      </c>
      <c r="N806" s="262" t="str">
        <f>IFERROR(__xludf.DUMMYFUNCTION("""COMPUTED_VALUE"""),"")</f>
        <v/>
      </c>
      <c r="O806" s="259" t="str">
        <f>IFERROR(__xludf.DUMMYFUNCTION("""COMPUTED_VALUE"""),"")</f>
        <v/>
      </c>
      <c r="P806" s="259">
        <f>IFERROR(__xludf.DUMMYFUNCTION("""COMPUTED_VALUE"""),42874.0)</f>
        <v>42874</v>
      </c>
      <c r="Q806" s="258">
        <f>IFERROR(__xludf.DUMMYFUNCTION("""COMPUTED_VALUE"""),43470.0)</f>
        <v>43470</v>
      </c>
      <c r="R806" s="261">
        <f>IFERROR(__xludf.DUMMYFUNCTION("""COMPUTED_VALUE"""),389.0)</f>
        <v>389</v>
      </c>
      <c r="S806" s="258">
        <v>403.0</v>
      </c>
      <c r="T806" s="263">
        <v>0.9652605459057072</v>
      </c>
      <c r="U806" s="264">
        <v>27011.0</v>
      </c>
      <c r="V806" s="265">
        <v>43470.0</v>
      </c>
      <c r="W806" s="264">
        <v>27011.0</v>
      </c>
      <c r="X806" s="266"/>
      <c r="Y806" s="267">
        <v>-0.01</v>
      </c>
      <c r="Z806" s="267">
        <v>0.9619646251131369</v>
      </c>
      <c r="AA806" s="269"/>
      <c r="AB806" s="270"/>
      <c r="AC806" s="270"/>
      <c r="AD806" s="270"/>
      <c r="AE806" s="270"/>
    </row>
    <row r="807">
      <c r="A807" s="256">
        <f>IFERROR(__xludf.DUMMYFUNCTION("""COMPUTED_VALUE"""),42951.56875)</f>
        <v>42951.56875</v>
      </c>
      <c r="B807" s="257" t="str">
        <f>IFERROR(__xludf.DUMMYFUNCTION("""COMPUTED_VALUE"""),"jpet")</f>
        <v>jpet</v>
      </c>
      <c r="C807" s="258" t="str">
        <f>IFERROR(__xludf.DUMMYFUNCTION("""COMPUTED_VALUE"""),"Europe (excluding UK) &amp; Asia Pacific")</f>
        <v>Europe (excluding UK) &amp; Asia Pacific</v>
      </c>
      <c r="D807" s="258" t="str">
        <f>IFERROR(__xludf.DUMMYFUNCTION("""COMPUTED_VALUE"""),"km. My car displays range in kilometres and I will enter all range numbers in kilometres.")</f>
        <v>km. My car displays range in kilometres and I will enter all range numbers in kilometres.</v>
      </c>
      <c r="E807" s="259">
        <f>IFERROR(__xludf.DUMMYFUNCTION("""COMPUTED_VALUE"""),42097.0)</f>
        <v>42097</v>
      </c>
      <c r="F807" s="258" t="str">
        <f>IFERROR(__xludf.DUMMYFUNCTION("""COMPUTED_VALUE"""),"Model S P85D")</f>
        <v>Model S P85D</v>
      </c>
      <c r="G807" s="258" t="str">
        <f>IFERROR(__xludf.DUMMYFUNCTION("""COMPUTED_VALUE"""),"Twice a month")</f>
        <v>Twice a month</v>
      </c>
      <c r="H807" s="258" t="str">
        <f>IFERROR(__xludf.DUMMYFUNCTION("""COMPUTED_VALUE"""),"Monthly")</f>
        <v>Monthly</v>
      </c>
      <c r="I807" s="258" t="str">
        <f>IFERROR(__xludf.DUMMYFUNCTION("""COMPUTED_VALUE"""),"Once or twice a year")</f>
        <v>Once or twice a year</v>
      </c>
      <c r="J807" s="260">
        <f>IFERROR(__xludf.DUMMYFUNCTION("""COMPUTED_VALUE"""),0.7)</f>
        <v>0.7</v>
      </c>
      <c r="K807" s="258">
        <f>IFERROR(__xludf.DUMMYFUNCTION("""COMPUTED_VALUE"""),406.0)</f>
        <v>406</v>
      </c>
      <c r="L807" s="258" t="str">
        <f>IFERROR(__xludf.DUMMYFUNCTION("""COMPUTED_VALUE"""),"")</f>
        <v/>
      </c>
      <c r="M807" s="261">
        <f>IFERROR(__xludf.DUMMYFUNCTION("""COMPUTED_VALUE"""),232.0)</f>
        <v>232</v>
      </c>
      <c r="N807" s="262" t="str">
        <f>IFERROR(__xludf.DUMMYFUNCTION("""COMPUTED_VALUE"""),"")</f>
        <v/>
      </c>
      <c r="O807" s="259" t="str">
        <f>IFERROR(__xludf.DUMMYFUNCTION("""COMPUTED_VALUE"""),"")</f>
        <v/>
      </c>
      <c r="P807" s="259">
        <f>IFERROR(__xludf.DUMMYFUNCTION("""COMPUTED_VALUE"""),42951.0)</f>
        <v>42951</v>
      </c>
      <c r="Q807" s="258">
        <f>IFERROR(__xludf.DUMMYFUNCTION("""COMPUTED_VALUE"""),46881.0)</f>
        <v>46881</v>
      </c>
      <c r="R807" s="261">
        <f>IFERROR(__xludf.DUMMYFUNCTION("""COMPUTED_VALUE"""),390.0)</f>
        <v>390</v>
      </c>
      <c r="S807" s="258">
        <v>403.0</v>
      </c>
      <c r="T807" s="263">
        <v>0.967741935483871</v>
      </c>
      <c r="U807" s="264">
        <v>29131.0</v>
      </c>
      <c r="V807" s="265">
        <v>46881.0</v>
      </c>
      <c r="W807" s="264">
        <v>29131.0</v>
      </c>
      <c r="X807" s="266"/>
      <c r="Y807" s="267">
        <v>-0.01</v>
      </c>
      <c r="Z807" s="267">
        <v>0.9607405174766126</v>
      </c>
      <c r="AA807" s="269"/>
      <c r="AB807" s="270"/>
      <c r="AC807" s="270"/>
      <c r="AD807" s="270"/>
      <c r="AE807" s="270"/>
    </row>
    <row r="808">
      <c r="A808" s="256">
        <f>IFERROR(__xludf.DUMMYFUNCTION("""COMPUTED_VALUE"""),42955.569444444445)</f>
        <v>42955.56944</v>
      </c>
      <c r="B808" s="257" t="str">
        <f>IFERROR(__xludf.DUMMYFUNCTION("""COMPUTED_VALUE"""),"jpet")</f>
        <v>jpet</v>
      </c>
      <c r="C808" s="258" t="str">
        <f>IFERROR(__xludf.DUMMYFUNCTION("""COMPUTED_VALUE"""),"Europe (excluding UK) &amp; Asia Pacific")</f>
        <v>Europe (excluding UK) &amp; Asia Pacific</v>
      </c>
      <c r="D808" s="258" t="str">
        <f>IFERROR(__xludf.DUMMYFUNCTION("""COMPUTED_VALUE"""),"km. My car displays range in kilometres and I will enter all range numbers in kilometres.")</f>
        <v>km. My car displays range in kilometres and I will enter all range numbers in kilometres.</v>
      </c>
      <c r="E808" s="259">
        <f>IFERROR(__xludf.DUMMYFUNCTION("""COMPUTED_VALUE"""),42097.0)</f>
        <v>42097</v>
      </c>
      <c r="F808" s="258" t="str">
        <f>IFERROR(__xludf.DUMMYFUNCTION("""COMPUTED_VALUE"""),"Model S P85D")</f>
        <v>Model S P85D</v>
      </c>
      <c r="G808" s="258" t="str">
        <f>IFERROR(__xludf.DUMMYFUNCTION("""COMPUTED_VALUE"""),"Twice a month")</f>
        <v>Twice a month</v>
      </c>
      <c r="H808" s="258" t="str">
        <f>IFERROR(__xludf.DUMMYFUNCTION("""COMPUTED_VALUE"""),"Monthly")</f>
        <v>Monthly</v>
      </c>
      <c r="I808" s="258" t="str">
        <f>IFERROR(__xludf.DUMMYFUNCTION("""COMPUTED_VALUE"""),"Once or twice a year")</f>
        <v>Once or twice a year</v>
      </c>
      <c r="J808" s="260">
        <f>IFERROR(__xludf.DUMMYFUNCTION("""COMPUTED_VALUE"""),0.7)</f>
        <v>0.7</v>
      </c>
      <c r="K808" s="258">
        <f>IFERROR(__xludf.DUMMYFUNCTION("""COMPUTED_VALUE"""),406.0)</f>
        <v>406</v>
      </c>
      <c r="L808" s="258" t="str">
        <f>IFERROR(__xludf.DUMMYFUNCTION("""COMPUTED_VALUE"""),"")</f>
        <v/>
      </c>
      <c r="M808" s="261">
        <f>IFERROR(__xludf.DUMMYFUNCTION("""COMPUTED_VALUE"""),232.0)</f>
        <v>232</v>
      </c>
      <c r="N808" s="262" t="str">
        <f>IFERROR(__xludf.DUMMYFUNCTION("""COMPUTED_VALUE"""),"")</f>
        <v/>
      </c>
      <c r="O808" s="259" t="str">
        <f>IFERROR(__xludf.DUMMYFUNCTION("""COMPUTED_VALUE"""),"")</f>
        <v/>
      </c>
      <c r="P808" s="259">
        <f>IFERROR(__xludf.DUMMYFUNCTION("""COMPUTED_VALUE"""),42955.0)</f>
        <v>42955</v>
      </c>
      <c r="Q808" s="258">
        <f>IFERROR(__xludf.DUMMYFUNCTION("""COMPUTED_VALUE"""),46975.0)</f>
        <v>46975</v>
      </c>
      <c r="R808" s="261">
        <f>IFERROR(__xludf.DUMMYFUNCTION("""COMPUTED_VALUE"""),389.0)</f>
        <v>389</v>
      </c>
      <c r="S808" s="258">
        <v>403.0</v>
      </c>
      <c r="T808" s="263">
        <v>0.9652605459057072</v>
      </c>
      <c r="U808" s="264">
        <v>29189.0</v>
      </c>
      <c r="V808" s="265">
        <v>46975.0</v>
      </c>
      <c r="W808" s="264">
        <v>29189.0</v>
      </c>
      <c r="X808" s="266"/>
      <c r="Y808" s="267">
        <v>-0.01</v>
      </c>
      <c r="Z808" s="267">
        <v>0.9607079690276357</v>
      </c>
      <c r="AA808" s="269"/>
      <c r="AB808" s="270"/>
      <c r="AC808" s="270"/>
      <c r="AD808" s="270"/>
      <c r="AE808" s="270"/>
    </row>
    <row r="809">
      <c r="A809" s="256">
        <f>IFERROR(__xludf.DUMMYFUNCTION("""COMPUTED_VALUE"""),42974.59375)</f>
        <v>42974.59375</v>
      </c>
      <c r="B809" s="257" t="str">
        <f>IFERROR(__xludf.DUMMYFUNCTION("""COMPUTED_VALUE"""),"jpet")</f>
        <v>jpet</v>
      </c>
      <c r="C809" s="258" t="str">
        <f>IFERROR(__xludf.DUMMYFUNCTION("""COMPUTED_VALUE"""),"Europe (excluding UK) &amp; Asia Pacific")</f>
        <v>Europe (excluding UK) &amp; Asia Pacific</v>
      </c>
      <c r="D809" s="258" t="str">
        <f>IFERROR(__xludf.DUMMYFUNCTION("""COMPUTED_VALUE"""),"km. My car displays range in kilometres and I will enter all range numbers in kilometres.")</f>
        <v>km. My car displays range in kilometres and I will enter all range numbers in kilometres.</v>
      </c>
      <c r="E809" s="259">
        <f>IFERROR(__xludf.DUMMYFUNCTION("""COMPUTED_VALUE"""),42097.0)</f>
        <v>42097</v>
      </c>
      <c r="F809" s="258" t="str">
        <f>IFERROR(__xludf.DUMMYFUNCTION("""COMPUTED_VALUE"""),"Model S P85D")</f>
        <v>Model S P85D</v>
      </c>
      <c r="G809" s="258" t="str">
        <f>IFERROR(__xludf.DUMMYFUNCTION("""COMPUTED_VALUE"""),"Twice a month")</f>
        <v>Twice a month</v>
      </c>
      <c r="H809" s="258" t="str">
        <f>IFERROR(__xludf.DUMMYFUNCTION("""COMPUTED_VALUE"""),"Monthly")</f>
        <v>Monthly</v>
      </c>
      <c r="I809" s="258" t="str">
        <f>IFERROR(__xludf.DUMMYFUNCTION("""COMPUTED_VALUE"""),"Once or twice a year")</f>
        <v>Once or twice a year</v>
      </c>
      <c r="J809" s="260">
        <f>IFERROR(__xludf.DUMMYFUNCTION("""COMPUTED_VALUE"""),0.7)</f>
        <v>0.7</v>
      </c>
      <c r="K809" s="258">
        <f>IFERROR(__xludf.DUMMYFUNCTION("""COMPUTED_VALUE"""),406.0)</f>
        <v>406</v>
      </c>
      <c r="L809" s="258" t="str">
        <f>IFERROR(__xludf.DUMMYFUNCTION("""COMPUTED_VALUE"""),"")</f>
        <v/>
      </c>
      <c r="M809" s="261">
        <f>IFERROR(__xludf.DUMMYFUNCTION("""COMPUTED_VALUE"""),232.0)</f>
        <v>232</v>
      </c>
      <c r="N809" s="262" t="str">
        <f>IFERROR(__xludf.DUMMYFUNCTION("""COMPUTED_VALUE"""),"")</f>
        <v/>
      </c>
      <c r="O809" s="259" t="str">
        <f>IFERROR(__xludf.DUMMYFUNCTION("""COMPUTED_VALUE"""),"")</f>
        <v/>
      </c>
      <c r="P809" s="259">
        <f>IFERROR(__xludf.DUMMYFUNCTION("""COMPUTED_VALUE"""),42974.0)</f>
        <v>42974</v>
      </c>
      <c r="Q809" s="258">
        <f>IFERROR(__xludf.DUMMYFUNCTION("""COMPUTED_VALUE"""),48204.0)</f>
        <v>48204</v>
      </c>
      <c r="R809" s="261">
        <f>IFERROR(__xludf.DUMMYFUNCTION("""COMPUTED_VALUE"""),389.0)</f>
        <v>389</v>
      </c>
      <c r="S809" s="258">
        <v>403.0</v>
      </c>
      <c r="T809" s="263">
        <v>0.9652605459057072</v>
      </c>
      <c r="U809" s="264">
        <v>29953.0</v>
      </c>
      <c r="V809" s="265">
        <v>48204.0</v>
      </c>
      <c r="W809" s="264">
        <v>29953.0</v>
      </c>
      <c r="X809" s="266"/>
      <c r="Y809" s="267">
        <v>-0.01</v>
      </c>
      <c r="Z809" s="267">
        <v>0.9602877473273429</v>
      </c>
      <c r="AA809" s="269"/>
      <c r="AB809" s="270"/>
      <c r="AC809" s="270"/>
      <c r="AD809" s="270"/>
      <c r="AE809" s="270"/>
    </row>
    <row r="810">
      <c r="A810" s="256">
        <f>IFERROR(__xludf.DUMMYFUNCTION("""COMPUTED_VALUE"""),43008.61388888889)</f>
        <v>43008.61389</v>
      </c>
      <c r="B810" s="257" t="str">
        <f>IFERROR(__xludf.DUMMYFUNCTION("""COMPUTED_VALUE"""),"jpet")</f>
        <v>jpet</v>
      </c>
      <c r="C810" s="258" t="str">
        <f>IFERROR(__xludf.DUMMYFUNCTION("""COMPUTED_VALUE"""),"Europe (excluding UK) &amp; Asia Pacific")</f>
        <v>Europe (excluding UK) &amp; Asia Pacific</v>
      </c>
      <c r="D810" s="258" t="str">
        <f>IFERROR(__xludf.DUMMYFUNCTION("""COMPUTED_VALUE"""),"km. My car displays range in kilometres and I will enter all range numbers in kilometres.")</f>
        <v>km. My car displays range in kilometres and I will enter all range numbers in kilometres.</v>
      </c>
      <c r="E810" s="259">
        <f>IFERROR(__xludf.DUMMYFUNCTION("""COMPUTED_VALUE"""),42097.0)</f>
        <v>42097</v>
      </c>
      <c r="F810" s="258" t="str">
        <f>IFERROR(__xludf.DUMMYFUNCTION("""COMPUTED_VALUE"""),"Model S P85D")</f>
        <v>Model S P85D</v>
      </c>
      <c r="G810" s="258" t="str">
        <f>IFERROR(__xludf.DUMMYFUNCTION("""COMPUTED_VALUE"""),"Twice a month")</f>
        <v>Twice a month</v>
      </c>
      <c r="H810" s="258" t="str">
        <f>IFERROR(__xludf.DUMMYFUNCTION("""COMPUTED_VALUE"""),"Monthly")</f>
        <v>Monthly</v>
      </c>
      <c r="I810" s="258" t="str">
        <f>IFERROR(__xludf.DUMMYFUNCTION("""COMPUTED_VALUE"""),"Once or twice a year")</f>
        <v>Once or twice a year</v>
      </c>
      <c r="J810" s="260">
        <f>IFERROR(__xludf.DUMMYFUNCTION("""COMPUTED_VALUE"""),0.7)</f>
        <v>0.7</v>
      </c>
      <c r="K810" s="258">
        <f>IFERROR(__xludf.DUMMYFUNCTION("""COMPUTED_VALUE"""),406.0)</f>
        <v>406</v>
      </c>
      <c r="L810" s="258" t="str">
        <f>IFERROR(__xludf.DUMMYFUNCTION("""COMPUTED_VALUE"""),"")</f>
        <v/>
      </c>
      <c r="M810" s="261">
        <f>IFERROR(__xludf.DUMMYFUNCTION("""COMPUTED_VALUE"""),232.0)</f>
        <v>232</v>
      </c>
      <c r="N810" s="262" t="str">
        <f>IFERROR(__xludf.DUMMYFUNCTION("""COMPUTED_VALUE"""),"")</f>
        <v/>
      </c>
      <c r="O810" s="259" t="str">
        <f>IFERROR(__xludf.DUMMYFUNCTION("""COMPUTED_VALUE"""),"")</f>
        <v/>
      </c>
      <c r="P810" s="259">
        <f>IFERROR(__xludf.DUMMYFUNCTION("""COMPUTED_VALUE"""),43008.0)</f>
        <v>43008</v>
      </c>
      <c r="Q810" s="258">
        <f>IFERROR(__xludf.DUMMYFUNCTION("""COMPUTED_VALUE"""),50068.0)</f>
        <v>50068</v>
      </c>
      <c r="R810" s="261">
        <f>IFERROR(__xludf.DUMMYFUNCTION("""COMPUTED_VALUE"""),385.0)</f>
        <v>385</v>
      </c>
      <c r="S810" s="258">
        <v>403.0</v>
      </c>
      <c r="T810" s="263">
        <v>0.9553349875930521</v>
      </c>
      <c r="U810" s="264">
        <v>31111.0</v>
      </c>
      <c r="V810" s="265">
        <v>50068.0</v>
      </c>
      <c r="W810" s="264">
        <v>31111.0</v>
      </c>
      <c r="X810" s="266"/>
      <c r="Y810" s="267">
        <v>-0.01</v>
      </c>
      <c r="Z810" s="267">
        <v>0.9596681884507424</v>
      </c>
      <c r="AA810" s="269"/>
      <c r="AB810" s="270"/>
      <c r="AC810" s="270"/>
      <c r="AD810" s="270"/>
      <c r="AE810" s="270"/>
    </row>
    <row r="811">
      <c r="A811" s="256">
        <f>IFERROR(__xludf.DUMMYFUNCTION("""COMPUTED_VALUE"""),43093.652083333334)</f>
        <v>43093.65208</v>
      </c>
      <c r="B811" s="257" t="str">
        <f>IFERROR(__xludf.DUMMYFUNCTION("""COMPUTED_VALUE"""),"jpet")</f>
        <v>jpet</v>
      </c>
      <c r="C811" s="258" t="str">
        <f>IFERROR(__xludf.DUMMYFUNCTION("""COMPUTED_VALUE"""),"Europe (excluding UK) &amp; Asia Pacific")</f>
        <v>Europe (excluding UK) &amp; Asia Pacific</v>
      </c>
      <c r="D811" s="258" t="str">
        <f>IFERROR(__xludf.DUMMYFUNCTION("""COMPUTED_VALUE"""),"km. My car displays range in kilometres and I will enter all range numbers in kilometres.")</f>
        <v>km. My car displays range in kilometres and I will enter all range numbers in kilometres.</v>
      </c>
      <c r="E811" s="259">
        <f>IFERROR(__xludf.DUMMYFUNCTION("""COMPUTED_VALUE"""),42097.0)</f>
        <v>42097</v>
      </c>
      <c r="F811" s="258" t="str">
        <f>IFERROR(__xludf.DUMMYFUNCTION("""COMPUTED_VALUE"""),"Model S P85D")</f>
        <v>Model S P85D</v>
      </c>
      <c r="G811" s="258" t="str">
        <f>IFERROR(__xludf.DUMMYFUNCTION("""COMPUTED_VALUE"""),"Twice a month")</f>
        <v>Twice a month</v>
      </c>
      <c r="H811" s="258" t="str">
        <f>IFERROR(__xludf.DUMMYFUNCTION("""COMPUTED_VALUE"""),"Monthly")</f>
        <v>Monthly</v>
      </c>
      <c r="I811" s="258" t="str">
        <f>IFERROR(__xludf.DUMMYFUNCTION("""COMPUTED_VALUE"""),"Once or twice a year")</f>
        <v>Once or twice a year</v>
      </c>
      <c r="J811" s="260">
        <f>IFERROR(__xludf.DUMMYFUNCTION("""COMPUTED_VALUE"""),0.7)</f>
        <v>0.7</v>
      </c>
      <c r="K811" s="258">
        <f>IFERROR(__xludf.DUMMYFUNCTION("""COMPUTED_VALUE"""),406.0)</f>
        <v>406</v>
      </c>
      <c r="L811" s="258" t="str">
        <f>IFERROR(__xludf.DUMMYFUNCTION("""COMPUTED_VALUE"""),"")</f>
        <v/>
      </c>
      <c r="M811" s="261">
        <f>IFERROR(__xludf.DUMMYFUNCTION("""COMPUTED_VALUE"""),232.0)</f>
        <v>232</v>
      </c>
      <c r="N811" s="262" t="str">
        <f>IFERROR(__xludf.DUMMYFUNCTION("""COMPUTED_VALUE"""),"")</f>
        <v/>
      </c>
      <c r="O811" s="259" t="str">
        <f>IFERROR(__xludf.DUMMYFUNCTION("""COMPUTED_VALUE"""),"")</f>
        <v/>
      </c>
      <c r="P811" s="259">
        <f>IFERROR(__xludf.DUMMYFUNCTION("""COMPUTED_VALUE"""),43093.0)</f>
        <v>43093</v>
      </c>
      <c r="Q811" s="258">
        <f>IFERROR(__xludf.DUMMYFUNCTION("""COMPUTED_VALUE"""),54120.0)</f>
        <v>54120</v>
      </c>
      <c r="R811" s="261">
        <f>IFERROR(__xludf.DUMMYFUNCTION("""COMPUTED_VALUE"""),384.0)</f>
        <v>384</v>
      </c>
      <c r="S811" s="258">
        <v>403.0</v>
      </c>
      <c r="T811" s="263">
        <v>0.9528535980148883</v>
      </c>
      <c r="U811" s="264">
        <v>33629.0</v>
      </c>
      <c r="V811" s="265">
        <v>54120.0</v>
      </c>
      <c r="W811" s="264">
        <v>33629.0</v>
      </c>
      <c r="X811" s="266"/>
      <c r="Y811" s="267">
        <v>-0.01</v>
      </c>
      <c r="Z811" s="267">
        <v>0.9583858786045415</v>
      </c>
      <c r="AA811" s="269"/>
      <c r="AB811" s="270"/>
      <c r="AC811" s="270"/>
      <c r="AD811" s="270"/>
      <c r="AE811" s="270"/>
    </row>
    <row r="812">
      <c r="A812" s="256">
        <f>IFERROR(__xludf.DUMMYFUNCTION("""COMPUTED_VALUE"""),43100.65902777778)</f>
        <v>43100.65903</v>
      </c>
      <c r="B812" s="257" t="str">
        <f>IFERROR(__xludf.DUMMYFUNCTION("""COMPUTED_VALUE"""),"jpet")</f>
        <v>jpet</v>
      </c>
      <c r="C812" s="258" t="str">
        <f>IFERROR(__xludf.DUMMYFUNCTION("""COMPUTED_VALUE"""),"Europe (excluding UK) &amp; Asia Pacific")</f>
        <v>Europe (excluding UK) &amp; Asia Pacific</v>
      </c>
      <c r="D812" s="258" t="str">
        <f>IFERROR(__xludf.DUMMYFUNCTION("""COMPUTED_VALUE"""),"km. My car displays range in kilometres and I will enter all range numbers in kilometres.")</f>
        <v>km. My car displays range in kilometres and I will enter all range numbers in kilometres.</v>
      </c>
      <c r="E812" s="259">
        <f>IFERROR(__xludf.DUMMYFUNCTION("""COMPUTED_VALUE"""),42097.0)</f>
        <v>42097</v>
      </c>
      <c r="F812" s="258" t="str">
        <f>IFERROR(__xludf.DUMMYFUNCTION("""COMPUTED_VALUE"""),"Model S P85D")</f>
        <v>Model S P85D</v>
      </c>
      <c r="G812" s="258" t="str">
        <f>IFERROR(__xludf.DUMMYFUNCTION("""COMPUTED_VALUE"""),"Twice a month")</f>
        <v>Twice a month</v>
      </c>
      <c r="H812" s="258" t="str">
        <f>IFERROR(__xludf.DUMMYFUNCTION("""COMPUTED_VALUE"""),"Monthly")</f>
        <v>Monthly</v>
      </c>
      <c r="I812" s="258" t="str">
        <f>IFERROR(__xludf.DUMMYFUNCTION("""COMPUTED_VALUE"""),"Once or twice a year")</f>
        <v>Once or twice a year</v>
      </c>
      <c r="J812" s="260">
        <f>IFERROR(__xludf.DUMMYFUNCTION("""COMPUTED_VALUE"""),0.7)</f>
        <v>0.7</v>
      </c>
      <c r="K812" s="258">
        <f>IFERROR(__xludf.DUMMYFUNCTION("""COMPUTED_VALUE"""),406.0)</f>
        <v>406</v>
      </c>
      <c r="L812" s="258" t="str">
        <f>IFERROR(__xludf.DUMMYFUNCTION("""COMPUTED_VALUE"""),"")</f>
        <v/>
      </c>
      <c r="M812" s="261">
        <f>IFERROR(__xludf.DUMMYFUNCTION("""COMPUTED_VALUE"""),232.0)</f>
        <v>232</v>
      </c>
      <c r="N812" s="262" t="str">
        <f>IFERROR(__xludf.DUMMYFUNCTION("""COMPUTED_VALUE"""),"")</f>
        <v/>
      </c>
      <c r="O812" s="259" t="str">
        <f>IFERROR(__xludf.DUMMYFUNCTION("""COMPUTED_VALUE"""),"")</f>
        <v/>
      </c>
      <c r="P812" s="259">
        <f>IFERROR(__xludf.DUMMYFUNCTION("""COMPUTED_VALUE"""),43100.0)</f>
        <v>43100</v>
      </c>
      <c r="Q812" s="258">
        <f>IFERROR(__xludf.DUMMYFUNCTION("""COMPUTED_VALUE"""),54460.0)</f>
        <v>54460</v>
      </c>
      <c r="R812" s="261">
        <f>IFERROR(__xludf.DUMMYFUNCTION("""COMPUTED_VALUE"""),382.0)</f>
        <v>382</v>
      </c>
      <c r="S812" s="258">
        <v>403.0</v>
      </c>
      <c r="T812" s="263">
        <v>0.9478908188585607</v>
      </c>
      <c r="U812" s="264">
        <v>33840.0</v>
      </c>
      <c r="V812" s="265">
        <v>54460.0</v>
      </c>
      <c r="W812" s="264">
        <v>33840.0</v>
      </c>
      <c r="X812" s="266"/>
      <c r="Y812" s="267">
        <v>-0.01</v>
      </c>
      <c r="Z812" s="267">
        <v>0.9582818371356814</v>
      </c>
      <c r="AA812" s="269"/>
      <c r="AB812" s="270"/>
      <c r="AC812" s="270"/>
      <c r="AD812" s="270"/>
      <c r="AE812" s="270"/>
    </row>
    <row r="813">
      <c r="A813" s="256">
        <f>IFERROR(__xludf.DUMMYFUNCTION("""COMPUTED_VALUE"""),42166.13680555555)</f>
        <v>42166.13681</v>
      </c>
      <c r="B813" s="257" t="str">
        <f>IFERROR(__xludf.DUMMYFUNCTION("""COMPUTED_VALUE"""),"jpgrolle")</f>
        <v>jpgrolle</v>
      </c>
      <c r="C813" s="258" t="str">
        <f>IFERROR(__xludf.DUMMYFUNCTION("""COMPUTED_VALUE"""),"Europe (excluding UK) &amp; Asia Pacific")</f>
        <v>Europe (excluding UK) &amp; Asia Pacific</v>
      </c>
      <c r="D813" s="258" t="str">
        <f>IFERROR(__xludf.DUMMYFUNCTION("""COMPUTED_VALUE"""),"km. My car displays range in kilometres and I will enter all range numbers in kilometres.")</f>
        <v>km. My car displays range in kilometres and I will enter all range numbers in kilometres.</v>
      </c>
      <c r="E813" s="259">
        <f>IFERROR(__xludf.DUMMYFUNCTION("""COMPUTED_VALUE"""),41584.0)</f>
        <v>41584</v>
      </c>
      <c r="F813" s="258" t="str">
        <f>IFERROR(__xludf.DUMMYFUNCTION("""COMPUTED_VALUE"""),"Model S 60")</f>
        <v>Model S 60</v>
      </c>
      <c r="G813" s="258" t="str">
        <f>IFERROR(__xludf.DUMMYFUNCTION("""COMPUTED_VALUE"""),"Never")</f>
        <v>Never</v>
      </c>
      <c r="H813" s="258" t="str">
        <f>IFERROR(__xludf.DUMMYFUNCTION("""COMPUTED_VALUE"""),"A few times a year")</f>
        <v>A few times a year</v>
      </c>
      <c r="I813" s="258" t="str">
        <f>IFERROR(__xludf.DUMMYFUNCTION("""COMPUTED_VALUE"""),"A few times a year")</f>
        <v>A few times a year</v>
      </c>
      <c r="J813" s="260">
        <f>IFERROR(__xludf.DUMMYFUNCTION("""COMPUTED_VALUE"""),0.8)</f>
        <v>0.8</v>
      </c>
      <c r="K813" s="258" t="str">
        <f>IFERROR(__xludf.DUMMYFUNCTION("""COMPUTED_VALUE"""),"")</f>
        <v/>
      </c>
      <c r="L813" s="258" t="str">
        <f>IFERROR(__xludf.DUMMYFUNCTION("""COMPUTED_VALUE"""),"")</f>
        <v/>
      </c>
      <c r="M813" s="261">
        <f>IFERROR(__xludf.DUMMYFUNCTION("""COMPUTED_VALUE"""),213.0)</f>
        <v>213</v>
      </c>
      <c r="N813" s="262" t="str">
        <f>IFERROR(__xludf.DUMMYFUNCTION("""COMPUTED_VALUE"""),"")</f>
        <v/>
      </c>
      <c r="O813" s="259" t="str">
        <f>IFERROR(__xludf.DUMMYFUNCTION("""COMPUTED_VALUE"""),"")</f>
        <v/>
      </c>
      <c r="P813" s="259">
        <f>IFERROR(__xludf.DUMMYFUNCTION("""COMPUTED_VALUE"""),42166.0)</f>
        <v>42166</v>
      </c>
      <c r="Q813" s="258">
        <f>IFERROR(__xludf.DUMMYFUNCTION("""COMPUTED_VALUE"""),37069.0)</f>
        <v>37069</v>
      </c>
      <c r="R813" s="261">
        <f>IFERROR(__xludf.DUMMYFUNCTION("""COMPUTED_VALUE"""),275.0)</f>
        <v>275</v>
      </c>
      <c r="S813" s="258">
        <v>284.0</v>
      </c>
      <c r="T813" s="263">
        <v>0.9683098591549296</v>
      </c>
      <c r="U813" s="264">
        <v>23034.0</v>
      </c>
      <c r="V813" s="265">
        <v>37069.0</v>
      </c>
      <c r="W813" s="264">
        <v>23034.0</v>
      </c>
      <c r="X813" s="266"/>
      <c r="Y813" s="267">
        <v>-0.01</v>
      </c>
      <c r="Z813" s="267">
        <v>0.9645371783462192</v>
      </c>
      <c r="AA813" s="269"/>
      <c r="AB813" s="270"/>
      <c r="AC813" s="270"/>
      <c r="AD813" s="270"/>
      <c r="AE813" s="270"/>
    </row>
    <row r="814">
      <c r="A814" s="256">
        <f>IFERROR(__xludf.DUMMYFUNCTION("""COMPUTED_VALUE"""),42666.41736111111)</f>
        <v>42666.41736</v>
      </c>
      <c r="B814" s="257" t="str">
        <f>IFERROR(__xludf.DUMMYFUNCTION("""COMPUTED_VALUE"""),"jtesla")</f>
        <v>jtesla</v>
      </c>
      <c r="C814" s="258" t="str">
        <f>IFERROR(__xludf.DUMMYFUNCTION("""COMPUTED_VALUE"""),"Europe (excluding UK) &amp; Asia Pacific")</f>
        <v>Europe (excluding UK) &amp; Asia Pacific</v>
      </c>
      <c r="D814" s="258" t="str">
        <f>IFERROR(__xludf.DUMMYFUNCTION("""COMPUTED_VALUE"""),"km. My car displays range in kilometres and I will enter all range numbers in kilometres.")</f>
        <v>km. My car displays range in kilometres and I will enter all range numbers in kilometres.</v>
      </c>
      <c r="E814" s="259">
        <f>IFERROR(__xludf.DUMMYFUNCTION("""COMPUTED_VALUE"""),42167.0)</f>
        <v>42167</v>
      </c>
      <c r="F814" s="258" t="str">
        <f>IFERROR(__xludf.DUMMYFUNCTION("""COMPUTED_VALUE"""),"Model S 85D")</f>
        <v>Model S 85D</v>
      </c>
      <c r="G814" s="258" t="str">
        <f>IFERROR(__xludf.DUMMYFUNCTION("""COMPUTED_VALUE"""),"Twice a month")</f>
        <v>Twice a month</v>
      </c>
      <c r="H814" s="258" t="str">
        <f>IFERROR(__xludf.DUMMYFUNCTION("""COMPUTED_VALUE"""),"A few times a year")</f>
        <v>A few times a year</v>
      </c>
      <c r="I814" s="258" t="str">
        <f>IFERROR(__xludf.DUMMYFUNCTION("""COMPUTED_VALUE"""),"Once or twice a year")</f>
        <v>Once or twice a year</v>
      </c>
      <c r="J814" s="260">
        <f>IFERROR(__xludf.DUMMYFUNCTION("""COMPUTED_VALUE"""),0.8)</f>
        <v>0.8</v>
      </c>
      <c r="K814" s="258" t="str">
        <f>IFERROR(__xludf.DUMMYFUNCTION("""COMPUTED_VALUE"""),"")</f>
        <v/>
      </c>
      <c r="L814" s="258" t="str">
        <f>IFERROR(__xludf.DUMMYFUNCTION("""COMPUTED_VALUE"""),"")</f>
        <v/>
      </c>
      <c r="M814" s="261">
        <f>IFERROR(__xludf.DUMMYFUNCTION("""COMPUTED_VALUE"""),215.0)</f>
        <v>215</v>
      </c>
      <c r="N814" s="262" t="str">
        <f>IFERROR(__xludf.DUMMYFUNCTION("""COMPUTED_VALUE"""),"")</f>
        <v/>
      </c>
      <c r="O814" s="259" t="str">
        <f>IFERROR(__xludf.DUMMYFUNCTION("""COMPUTED_VALUE"""),"")</f>
        <v/>
      </c>
      <c r="P814" s="259">
        <f>IFERROR(__xludf.DUMMYFUNCTION("""COMPUTED_VALUE"""),42666.0)</f>
        <v>42666</v>
      </c>
      <c r="Q814" s="258">
        <f>IFERROR(__xludf.DUMMYFUNCTION("""COMPUTED_VALUE"""),27700.0)</f>
        <v>27700</v>
      </c>
      <c r="R814" s="261">
        <f>IFERROR(__xludf.DUMMYFUNCTION("""COMPUTED_VALUE"""),400.0)</f>
        <v>400</v>
      </c>
      <c r="S814" s="258">
        <v>425.0</v>
      </c>
      <c r="T814" s="263">
        <v>0.9411764705882353</v>
      </c>
      <c r="U814" s="264">
        <v>17212.0</v>
      </c>
      <c r="V814" s="265">
        <v>27700.0</v>
      </c>
      <c r="W814" s="264">
        <v>17212.0</v>
      </c>
      <c r="X814" s="266"/>
      <c r="Y814" s="267">
        <v>-0.01</v>
      </c>
      <c r="Z814" s="267">
        <v>0.9692524242556488</v>
      </c>
      <c r="AA814" s="269"/>
      <c r="AB814" s="270"/>
      <c r="AC814" s="270"/>
      <c r="AD814" s="270"/>
      <c r="AE814" s="270"/>
    </row>
    <row r="815">
      <c r="A815" s="256">
        <f>IFERROR(__xludf.DUMMYFUNCTION("""COMPUTED_VALUE"""),43754.91740351852)</f>
        <v>43754.9174</v>
      </c>
      <c r="B815" s="257" t="str">
        <f>IFERROR(__xludf.DUMMYFUNCTION("""COMPUTED_VALUE"""),"juergen767")</f>
        <v>juergen767</v>
      </c>
      <c r="C815" s="258" t="str">
        <f>IFERROR(__xludf.DUMMYFUNCTION("""COMPUTED_VALUE"""),"Europe (excluding UK) &amp; Asia Pacific")</f>
        <v>Europe (excluding UK) &amp; Asia Pacific</v>
      </c>
      <c r="D815" s="258" t="str">
        <f>IFERROR(__xludf.DUMMYFUNCTION("""COMPUTED_VALUE"""),"km. My car displays range in kilometres and I will enter all range numbers in kilometres.")</f>
        <v>km. My car displays range in kilometres and I will enter all range numbers in kilometres.</v>
      </c>
      <c r="E815" s="259">
        <f>IFERROR(__xludf.DUMMYFUNCTION("""COMPUTED_VALUE"""),41910.0)</f>
        <v>41910</v>
      </c>
      <c r="F815" s="258" t="str">
        <f>IFERROR(__xludf.DUMMYFUNCTION("""COMPUTED_VALUE"""),"Model S 85")</f>
        <v>Model S 85</v>
      </c>
      <c r="G815" s="258" t="str">
        <f>IFERROR(__xludf.DUMMYFUNCTION("""COMPUTED_VALUE"""),"Weekly")</f>
        <v>Weekly</v>
      </c>
      <c r="H815" s="258" t="str">
        <f>IFERROR(__xludf.DUMMYFUNCTION("""COMPUTED_VALUE"""),"A few times a year")</f>
        <v>A few times a year</v>
      </c>
      <c r="I815" s="258" t="str">
        <f>IFERROR(__xludf.DUMMYFUNCTION("""COMPUTED_VALUE"""),"A few times a year")</f>
        <v>A few times a year</v>
      </c>
      <c r="J815" s="260">
        <f>IFERROR(__xludf.DUMMYFUNCTION("""COMPUTED_VALUE"""),0.7)</f>
        <v>0.7</v>
      </c>
      <c r="K815" s="258">
        <f>IFERROR(__xludf.DUMMYFUNCTION("""COMPUTED_VALUE"""),345.0)</f>
        <v>345</v>
      </c>
      <c r="L815" s="258" t="str">
        <f>IFERROR(__xludf.DUMMYFUNCTION("""COMPUTED_VALUE"""),"")</f>
        <v/>
      </c>
      <c r="M815" s="261" t="str">
        <f>IFERROR(__xludf.DUMMYFUNCTION("""COMPUTED_VALUE"""),"")</f>
        <v/>
      </c>
      <c r="N815" s="262" t="str">
        <f>IFERROR(__xludf.DUMMYFUNCTION("""COMPUTED_VALUE"""),"")</f>
        <v/>
      </c>
      <c r="O815" s="259" t="str">
        <f>IFERROR(__xludf.DUMMYFUNCTION("""COMPUTED_VALUE"""),"")</f>
        <v/>
      </c>
      <c r="P815" s="259">
        <f>IFERROR(__xludf.DUMMYFUNCTION("""COMPUTED_VALUE"""),43716.0)</f>
        <v>43716</v>
      </c>
      <c r="Q815" s="258">
        <f>IFERROR(__xludf.DUMMYFUNCTION("""COMPUTED_VALUE"""),345.0)</f>
        <v>345</v>
      </c>
      <c r="R815" s="261">
        <f>IFERROR(__xludf.DUMMYFUNCTION("""COMPUTED_VALUE"""),345.0)</f>
        <v>345</v>
      </c>
      <c r="S815" s="258">
        <v>395.0</v>
      </c>
      <c r="T815" s="263">
        <v>0.8734177215189873</v>
      </c>
      <c r="U815" s="264">
        <v>214.0</v>
      </c>
      <c r="V815" s="265">
        <v>345.0</v>
      </c>
      <c r="W815" s="264">
        <v>214.0</v>
      </c>
      <c r="X815" s="266"/>
      <c r="Y815" s="267">
        <v>-0.01</v>
      </c>
      <c r="Z815" s="267">
        <v>0.9993159297193817</v>
      </c>
      <c r="AA815" s="269"/>
      <c r="AB815" s="270"/>
      <c r="AC815" s="270"/>
      <c r="AD815" s="270"/>
      <c r="AE815" s="270"/>
    </row>
    <row r="816">
      <c r="A816" s="256">
        <f>IFERROR(__xludf.DUMMYFUNCTION("""COMPUTED_VALUE"""),42297.23611111111)</f>
        <v>42297.23611</v>
      </c>
      <c r="B816" s="257" t="str">
        <f>IFERROR(__xludf.DUMMYFUNCTION("""COMPUTED_VALUE"""),"Juicer")</f>
        <v>Juicer</v>
      </c>
      <c r="C816" s="258" t="str">
        <f>IFERROR(__xludf.DUMMYFUNCTION("""COMPUTED_VALUE"""),"Europe (excluding UK) &amp; Asia Pacific")</f>
        <v>Europe (excluding UK) &amp; Asia Pacific</v>
      </c>
      <c r="D816" s="258" t="str">
        <f>IFERROR(__xludf.DUMMYFUNCTION("""COMPUTED_VALUE"""),"km. My car displays range in kilometres and I will enter all range numbers in kilometres.")</f>
        <v>km. My car displays range in kilometres and I will enter all range numbers in kilometres.</v>
      </c>
      <c r="E816" s="259">
        <f>IFERROR(__xludf.DUMMYFUNCTION("""COMPUTED_VALUE"""),42235.0)</f>
        <v>42235</v>
      </c>
      <c r="F816" s="258" t="str">
        <f>IFERROR(__xludf.DUMMYFUNCTION("""COMPUTED_VALUE"""),"Model S 70D")</f>
        <v>Model S 70D</v>
      </c>
      <c r="G816" s="258" t="str">
        <f>IFERROR(__xludf.DUMMYFUNCTION("""COMPUTED_VALUE"""),"Twice a week")</f>
        <v>Twice a week</v>
      </c>
      <c r="H816" s="258" t="str">
        <f>IFERROR(__xludf.DUMMYFUNCTION("""COMPUTED_VALUE"""),"Monthly")</f>
        <v>Monthly</v>
      </c>
      <c r="I816" s="258" t="str">
        <f>IFERROR(__xludf.DUMMYFUNCTION("""COMPUTED_VALUE"""),"Never")</f>
        <v>Never</v>
      </c>
      <c r="J816" s="260">
        <f>IFERROR(__xludf.DUMMYFUNCTION("""COMPUTED_VALUE"""),0.9)</f>
        <v>0.9</v>
      </c>
      <c r="K816" s="258">
        <f>IFERROR(__xludf.DUMMYFUNCTION("""COMPUTED_VALUE"""),362.0)</f>
        <v>362</v>
      </c>
      <c r="L816" s="258" t="str">
        <f>IFERROR(__xludf.DUMMYFUNCTION("""COMPUTED_VALUE"""),"")</f>
        <v/>
      </c>
      <c r="M816" s="261">
        <f>IFERROR(__xludf.DUMMYFUNCTION("""COMPUTED_VALUE"""),216.0)</f>
        <v>216</v>
      </c>
      <c r="N816" s="262" t="str">
        <f>IFERROR(__xludf.DUMMYFUNCTION("""COMPUTED_VALUE"""),"")</f>
        <v/>
      </c>
      <c r="O816" s="259" t="str">
        <f>IFERROR(__xludf.DUMMYFUNCTION("""COMPUTED_VALUE"""),"")</f>
        <v/>
      </c>
      <c r="P816" s="259">
        <f>IFERROR(__xludf.DUMMYFUNCTION("""COMPUTED_VALUE"""),42297.0)</f>
        <v>42297</v>
      </c>
      <c r="Q816" s="258">
        <f>IFERROR(__xludf.DUMMYFUNCTION("""COMPUTED_VALUE"""),2359.0)</f>
        <v>2359</v>
      </c>
      <c r="R816" s="261">
        <f>IFERROR(__xludf.DUMMYFUNCTION("""COMPUTED_VALUE"""),362.0)</f>
        <v>362</v>
      </c>
      <c r="S816" s="258">
        <v>360.0</v>
      </c>
      <c r="T816" s="263">
        <v>1.0055555555555555</v>
      </c>
      <c r="U816" s="264">
        <v>1466.0</v>
      </c>
      <c r="V816" s="265">
        <v>2359.0</v>
      </c>
      <c r="W816" s="264">
        <v>1466.0</v>
      </c>
      <c r="X816" s="266"/>
      <c r="Y816" s="267">
        <v>-0.01</v>
      </c>
      <c r="Z816" s="267">
        <v>0.995554600843997</v>
      </c>
      <c r="AA816" s="269"/>
      <c r="AB816" s="270"/>
      <c r="AC816" s="270"/>
      <c r="AD816" s="270"/>
      <c r="AE816" s="270"/>
    </row>
    <row r="817">
      <c r="A817" s="256">
        <f>IFERROR(__xludf.DUMMYFUNCTION("""COMPUTED_VALUE"""),42318.236805555556)</f>
        <v>42318.23681</v>
      </c>
      <c r="B817" s="257" t="str">
        <f>IFERROR(__xludf.DUMMYFUNCTION("""COMPUTED_VALUE"""),"Juicer")</f>
        <v>Juicer</v>
      </c>
      <c r="C817" s="258" t="str">
        <f>IFERROR(__xludf.DUMMYFUNCTION("""COMPUTED_VALUE"""),"Europe (excluding UK) &amp; Asia Pacific")</f>
        <v>Europe (excluding UK) &amp; Asia Pacific</v>
      </c>
      <c r="D817" s="258" t="str">
        <f>IFERROR(__xludf.DUMMYFUNCTION("""COMPUTED_VALUE"""),"km. My car displays range in kilometres and I will enter all range numbers in kilometres.")</f>
        <v>km. My car displays range in kilometres and I will enter all range numbers in kilometres.</v>
      </c>
      <c r="E817" s="259">
        <f>IFERROR(__xludf.DUMMYFUNCTION("""COMPUTED_VALUE"""),42235.0)</f>
        <v>42235</v>
      </c>
      <c r="F817" s="258" t="str">
        <f>IFERROR(__xludf.DUMMYFUNCTION("""COMPUTED_VALUE"""),"Model S 70D")</f>
        <v>Model S 70D</v>
      </c>
      <c r="G817" s="258" t="str">
        <f>IFERROR(__xludf.DUMMYFUNCTION("""COMPUTED_VALUE"""),"Twice a week")</f>
        <v>Twice a week</v>
      </c>
      <c r="H817" s="258" t="str">
        <f>IFERROR(__xludf.DUMMYFUNCTION("""COMPUTED_VALUE"""),"Monthly")</f>
        <v>Monthly</v>
      </c>
      <c r="I817" s="258" t="str">
        <f>IFERROR(__xludf.DUMMYFUNCTION("""COMPUTED_VALUE"""),"Never")</f>
        <v>Never</v>
      </c>
      <c r="J817" s="260">
        <f>IFERROR(__xludf.DUMMYFUNCTION("""COMPUTED_VALUE"""),0.9)</f>
        <v>0.9</v>
      </c>
      <c r="K817" s="258">
        <f>IFERROR(__xludf.DUMMYFUNCTION("""COMPUTED_VALUE"""),362.0)</f>
        <v>362</v>
      </c>
      <c r="L817" s="258" t="str">
        <f>IFERROR(__xludf.DUMMYFUNCTION("""COMPUTED_VALUE"""),"")</f>
        <v/>
      </c>
      <c r="M817" s="261">
        <f>IFERROR(__xludf.DUMMYFUNCTION("""COMPUTED_VALUE"""),223.0)</f>
        <v>223</v>
      </c>
      <c r="N817" s="262" t="str">
        <f>IFERROR(__xludf.DUMMYFUNCTION("""COMPUTED_VALUE"""),"")</f>
        <v/>
      </c>
      <c r="O817" s="259" t="str">
        <f>IFERROR(__xludf.DUMMYFUNCTION("""COMPUTED_VALUE"""),"")</f>
        <v/>
      </c>
      <c r="P817" s="259">
        <f>IFERROR(__xludf.DUMMYFUNCTION("""COMPUTED_VALUE"""),42318.0)</f>
        <v>42318</v>
      </c>
      <c r="Q817" s="258">
        <f>IFERROR(__xludf.DUMMYFUNCTION("""COMPUTED_VALUE"""),6300.0)</f>
        <v>6300</v>
      </c>
      <c r="R817" s="261">
        <f>IFERROR(__xludf.DUMMYFUNCTION("""COMPUTED_VALUE"""),367.0)</f>
        <v>367</v>
      </c>
      <c r="S817" s="258">
        <v>360.0</v>
      </c>
      <c r="T817" s="263">
        <v>1.0194444444444444</v>
      </c>
      <c r="U817" s="264">
        <v>3915.0</v>
      </c>
      <c r="V817" s="265">
        <v>6300.0</v>
      </c>
      <c r="W817" s="264">
        <v>3915.0</v>
      </c>
      <c r="X817" s="266"/>
      <c r="Y817" s="267">
        <v>-0.01</v>
      </c>
      <c r="Z817" s="267">
        <v>0.9892111041934261</v>
      </c>
      <c r="AA817" s="269"/>
      <c r="AB817" s="270"/>
      <c r="AC817" s="270"/>
      <c r="AD817" s="270"/>
      <c r="AE817" s="270"/>
    </row>
    <row r="818">
      <c r="A818" s="256">
        <f>IFERROR(__xludf.DUMMYFUNCTION("""COMPUTED_VALUE"""),42341.2375)</f>
        <v>42341.2375</v>
      </c>
      <c r="B818" s="257" t="str">
        <f>IFERROR(__xludf.DUMMYFUNCTION("""COMPUTED_VALUE"""),"Juicer")</f>
        <v>Juicer</v>
      </c>
      <c r="C818" s="258" t="str">
        <f>IFERROR(__xludf.DUMMYFUNCTION("""COMPUTED_VALUE"""),"Europe (excluding UK) &amp; Asia Pacific")</f>
        <v>Europe (excluding UK) &amp; Asia Pacific</v>
      </c>
      <c r="D818" s="258" t="str">
        <f>IFERROR(__xludf.DUMMYFUNCTION("""COMPUTED_VALUE"""),"km. My car displays range in kilometres and I will enter all range numbers in kilometres.")</f>
        <v>km. My car displays range in kilometres and I will enter all range numbers in kilometres.</v>
      </c>
      <c r="E818" s="259">
        <f>IFERROR(__xludf.DUMMYFUNCTION("""COMPUTED_VALUE"""),42235.0)</f>
        <v>42235</v>
      </c>
      <c r="F818" s="258" t="str">
        <f>IFERROR(__xludf.DUMMYFUNCTION("""COMPUTED_VALUE"""),"Model S 70D")</f>
        <v>Model S 70D</v>
      </c>
      <c r="G818" s="258" t="str">
        <f>IFERROR(__xludf.DUMMYFUNCTION("""COMPUTED_VALUE"""),"")</f>
        <v/>
      </c>
      <c r="H818" s="258" t="str">
        <f>IFERROR(__xludf.DUMMYFUNCTION("""COMPUTED_VALUE"""),"")</f>
        <v/>
      </c>
      <c r="I818" s="258" t="str">
        <f>IFERROR(__xludf.DUMMYFUNCTION("""COMPUTED_VALUE"""),"")</f>
        <v/>
      </c>
      <c r="J818" s="260" t="str">
        <f>IFERROR(__xludf.DUMMYFUNCTION("""COMPUTED_VALUE"""),"")</f>
        <v/>
      </c>
      <c r="K818" s="258" t="str">
        <f>IFERROR(__xludf.DUMMYFUNCTION("""COMPUTED_VALUE"""),"")</f>
        <v/>
      </c>
      <c r="L818" s="258" t="str">
        <f>IFERROR(__xludf.DUMMYFUNCTION("""COMPUTED_VALUE"""),"")</f>
        <v/>
      </c>
      <c r="M818" s="261">
        <f>IFERROR(__xludf.DUMMYFUNCTION("""COMPUTED_VALUE"""),221.0)</f>
        <v>221</v>
      </c>
      <c r="N818" s="262" t="str">
        <f>IFERROR(__xludf.DUMMYFUNCTION("""COMPUTED_VALUE"""),"")</f>
        <v/>
      </c>
      <c r="O818" s="259" t="str">
        <f>IFERROR(__xludf.DUMMYFUNCTION("""COMPUTED_VALUE"""),"")</f>
        <v/>
      </c>
      <c r="P818" s="259">
        <f>IFERROR(__xludf.DUMMYFUNCTION("""COMPUTED_VALUE"""),42341.0)</f>
        <v>42341</v>
      </c>
      <c r="Q818" s="258">
        <f>IFERROR(__xludf.DUMMYFUNCTION("""COMPUTED_VALUE"""),9199.0)</f>
        <v>9199</v>
      </c>
      <c r="R818" s="261">
        <f>IFERROR(__xludf.DUMMYFUNCTION("""COMPUTED_VALUE"""),362.0)</f>
        <v>362</v>
      </c>
      <c r="S818" s="258">
        <v>360.0</v>
      </c>
      <c r="T818" s="263">
        <v>1.0055555555555555</v>
      </c>
      <c r="U818" s="264">
        <v>5716.0</v>
      </c>
      <c r="V818" s="265">
        <v>9199.0</v>
      </c>
      <c r="W818" s="264">
        <v>5716.0</v>
      </c>
      <c r="X818" s="266"/>
      <c r="Y818" s="267">
        <v>-0.01</v>
      </c>
      <c r="Z818" s="267">
        <v>0.9852689524265867</v>
      </c>
      <c r="AA818" s="269"/>
      <c r="AB818" s="270"/>
      <c r="AC818" s="270"/>
      <c r="AD818" s="270"/>
      <c r="AE818" s="270"/>
    </row>
    <row r="819">
      <c r="A819" s="256">
        <f>IFERROR(__xludf.DUMMYFUNCTION("""COMPUTED_VALUE"""),42383.274305555555)</f>
        <v>42383.27431</v>
      </c>
      <c r="B819" s="257" t="str">
        <f>IFERROR(__xludf.DUMMYFUNCTION("""COMPUTED_VALUE"""),"Juicer")</f>
        <v>Juicer</v>
      </c>
      <c r="C819" s="258" t="str">
        <f>IFERROR(__xludf.DUMMYFUNCTION("""COMPUTED_VALUE"""),"Europe (excluding UK) &amp; Asia Pacific")</f>
        <v>Europe (excluding UK) &amp; Asia Pacific</v>
      </c>
      <c r="D819" s="258" t="str">
        <f>IFERROR(__xludf.DUMMYFUNCTION("""COMPUTED_VALUE"""),"km. My car displays range in kilometres and I will enter all range numbers in kilometres.")</f>
        <v>km. My car displays range in kilometres and I will enter all range numbers in kilometres.</v>
      </c>
      <c r="E819" s="259">
        <f>IFERROR(__xludf.DUMMYFUNCTION("""COMPUTED_VALUE"""),42235.0)</f>
        <v>42235</v>
      </c>
      <c r="F819" s="258" t="str">
        <f>IFERROR(__xludf.DUMMYFUNCTION("""COMPUTED_VALUE"""),"Model S 70D")</f>
        <v>Model S 70D</v>
      </c>
      <c r="G819" s="258" t="str">
        <f>IFERROR(__xludf.DUMMYFUNCTION("""COMPUTED_VALUE"""),"Weekly")</f>
        <v>Weekly</v>
      </c>
      <c r="H819" s="258" t="str">
        <f>IFERROR(__xludf.DUMMYFUNCTION("""COMPUTED_VALUE"""),"Monthly")</f>
        <v>Monthly</v>
      </c>
      <c r="I819" s="258" t="str">
        <f>IFERROR(__xludf.DUMMYFUNCTION("""COMPUTED_VALUE"""),"A few times a year")</f>
        <v>A few times a year</v>
      </c>
      <c r="J819" s="260">
        <f>IFERROR(__xludf.DUMMYFUNCTION("""COMPUTED_VALUE"""),0.9)</f>
        <v>0.9</v>
      </c>
      <c r="K819" s="258">
        <f>IFERROR(__xludf.DUMMYFUNCTION("""COMPUTED_VALUE"""),365.0)</f>
        <v>365</v>
      </c>
      <c r="L819" s="258" t="str">
        <f>IFERROR(__xludf.DUMMYFUNCTION("""COMPUTED_VALUE"""),"")</f>
        <v/>
      </c>
      <c r="M819" s="261">
        <f>IFERROR(__xludf.DUMMYFUNCTION("""COMPUTED_VALUE"""),226.0)</f>
        <v>226</v>
      </c>
      <c r="N819" s="262" t="str">
        <f>IFERROR(__xludf.DUMMYFUNCTION("""COMPUTED_VALUE"""),"")</f>
        <v/>
      </c>
      <c r="O819" s="259" t="str">
        <f>IFERROR(__xludf.DUMMYFUNCTION("""COMPUTED_VALUE"""),"")</f>
        <v/>
      </c>
      <c r="P819" s="259">
        <f>IFERROR(__xludf.DUMMYFUNCTION("""COMPUTED_VALUE"""),42383.0)</f>
        <v>42383</v>
      </c>
      <c r="Q819" s="258">
        <f>IFERROR(__xludf.DUMMYFUNCTION("""COMPUTED_VALUE"""),18723.0)</f>
        <v>18723</v>
      </c>
      <c r="R819" s="261">
        <f>IFERROR(__xludf.DUMMYFUNCTION("""COMPUTED_VALUE"""),356.0)</f>
        <v>356</v>
      </c>
      <c r="S819" s="258">
        <v>360.0</v>
      </c>
      <c r="T819" s="263">
        <v>0.9888888888888889</v>
      </c>
      <c r="U819" s="264">
        <v>11634.0</v>
      </c>
      <c r="V819" s="265">
        <v>18723.0</v>
      </c>
      <c r="W819" s="264">
        <v>11634.0</v>
      </c>
      <c r="X819" s="266"/>
      <c r="Y819" s="267">
        <v>-0.01</v>
      </c>
      <c r="Z819" s="267">
        <v>0.975490578367612</v>
      </c>
      <c r="AA819" s="269"/>
      <c r="AB819" s="270"/>
      <c r="AC819" s="270"/>
      <c r="AD819" s="270"/>
      <c r="AE819" s="270"/>
    </row>
    <row r="820">
      <c r="A820" s="256">
        <f>IFERROR(__xludf.DUMMYFUNCTION("""COMPUTED_VALUE"""),42441.305555555555)</f>
        <v>42441.30556</v>
      </c>
      <c r="B820" s="257" t="str">
        <f>IFERROR(__xludf.DUMMYFUNCTION("""COMPUTED_VALUE"""),"Juicer")</f>
        <v>Juicer</v>
      </c>
      <c r="C820" s="258" t="str">
        <f>IFERROR(__xludf.DUMMYFUNCTION("""COMPUTED_VALUE"""),"Europe (excluding UK) &amp; Asia Pacific")</f>
        <v>Europe (excluding UK) &amp; Asia Pacific</v>
      </c>
      <c r="D820" s="258" t="str">
        <f>IFERROR(__xludf.DUMMYFUNCTION("""COMPUTED_VALUE"""),"km. My car displays range in kilometres and I will enter all range numbers in kilometres.")</f>
        <v>km. My car displays range in kilometres and I will enter all range numbers in kilometres.</v>
      </c>
      <c r="E820" s="259">
        <f>IFERROR(__xludf.DUMMYFUNCTION("""COMPUTED_VALUE"""),42235.0)</f>
        <v>42235</v>
      </c>
      <c r="F820" s="258" t="str">
        <f>IFERROR(__xludf.DUMMYFUNCTION("""COMPUTED_VALUE"""),"Model S 70D")</f>
        <v>Model S 70D</v>
      </c>
      <c r="G820" s="258" t="str">
        <f>IFERROR(__xludf.DUMMYFUNCTION("""COMPUTED_VALUE"""),"Twice a week")</f>
        <v>Twice a week</v>
      </c>
      <c r="H820" s="258" t="str">
        <f>IFERROR(__xludf.DUMMYFUNCTION("""COMPUTED_VALUE"""),"Monthly")</f>
        <v>Monthly</v>
      </c>
      <c r="I820" s="258" t="str">
        <f>IFERROR(__xludf.DUMMYFUNCTION("""COMPUTED_VALUE"""),"A few times a year")</f>
        <v>A few times a year</v>
      </c>
      <c r="J820" s="260">
        <f>IFERROR(__xludf.DUMMYFUNCTION("""COMPUTED_VALUE"""),0.8)</f>
        <v>0.8</v>
      </c>
      <c r="K820" s="258">
        <f>IFERROR(__xludf.DUMMYFUNCTION("""COMPUTED_VALUE"""),365.0)</f>
        <v>365</v>
      </c>
      <c r="L820" s="258" t="str">
        <f>IFERROR(__xludf.DUMMYFUNCTION("""COMPUTED_VALUE"""),"")</f>
        <v/>
      </c>
      <c r="M820" s="261">
        <f>IFERROR(__xludf.DUMMYFUNCTION("""COMPUTED_VALUE"""),225.0)</f>
        <v>225</v>
      </c>
      <c r="N820" s="262" t="str">
        <f>IFERROR(__xludf.DUMMYFUNCTION("""COMPUTED_VALUE"""),"")</f>
        <v/>
      </c>
      <c r="O820" s="259" t="str">
        <f>IFERROR(__xludf.DUMMYFUNCTION("""COMPUTED_VALUE"""),"")</f>
        <v/>
      </c>
      <c r="P820" s="259">
        <f>IFERROR(__xludf.DUMMYFUNCTION("""COMPUTED_VALUE"""),42441.0)</f>
        <v>42441</v>
      </c>
      <c r="Q820" s="258">
        <f>IFERROR(__xludf.DUMMYFUNCTION("""COMPUTED_VALUE"""),27355.0)</f>
        <v>27355</v>
      </c>
      <c r="R820" s="261">
        <f>IFERROR(__xludf.DUMMYFUNCTION("""COMPUTED_VALUE"""),357.0)</f>
        <v>357</v>
      </c>
      <c r="S820" s="258">
        <v>360.0</v>
      </c>
      <c r="T820" s="263">
        <v>0.9916666666666667</v>
      </c>
      <c r="U820" s="264">
        <v>16998.0</v>
      </c>
      <c r="V820" s="265">
        <v>27355.0</v>
      </c>
      <c r="W820" s="264">
        <v>16998.0</v>
      </c>
      <c r="X820" s="266"/>
      <c r="Y820" s="267">
        <v>-0.01</v>
      </c>
      <c r="Z820" s="267">
        <v>0.9694552197490501</v>
      </c>
      <c r="AA820" s="269"/>
      <c r="AB820" s="270"/>
      <c r="AC820" s="270"/>
      <c r="AD820" s="270"/>
      <c r="AE820" s="270"/>
    </row>
    <row r="821">
      <c r="A821" s="256">
        <f>IFERROR(__xludf.DUMMYFUNCTION("""COMPUTED_VALUE"""),42454.31111111111)</f>
        <v>42454.31111</v>
      </c>
      <c r="B821" s="257" t="str">
        <f>IFERROR(__xludf.DUMMYFUNCTION("""COMPUTED_VALUE"""),"Juicer")</f>
        <v>Juicer</v>
      </c>
      <c r="C821" s="258" t="str">
        <f>IFERROR(__xludf.DUMMYFUNCTION("""COMPUTED_VALUE"""),"Europe (excluding UK) &amp; Asia Pacific")</f>
        <v>Europe (excluding UK) &amp; Asia Pacific</v>
      </c>
      <c r="D821" s="258" t="str">
        <f>IFERROR(__xludf.DUMMYFUNCTION("""COMPUTED_VALUE"""),"km. My car displays range in kilometres and I will enter all range numbers in kilometres.")</f>
        <v>km. My car displays range in kilometres and I will enter all range numbers in kilometres.</v>
      </c>
      <c r="E821" s="259">
        <f>IFERROR(__xludf.DUMMYFUNCTION("""COMPUTED_VALUE"""),42235.0)</f>
        <v>42235</v>
      </c>
      <c r="F821" s="258" t="str">
        <f>IFERROR(__xludf.DUMMYFUNCTION("""COMPUTED_VALUE"""),"Model S 70D")</f>
        <v>Model S 70D</v>
      </c>
      <c r="G821" s="258" t="str">
        <f>IFERROR(__xludf.DUMMYFUNCTION("""COMPUTED_VALUE"""),"Twice a week")</f>
        <v>Twice a week</v>
      </c>
      <c r="H821" s="258" t="str">
        <f>IFERROR(__xludf.DUMMYFUNCTION("""COMPUTED_VALUE"""),"Monthly")</f>
        <v>Monthly</v>
      </c>
      <c r="I821" s="258" t="str">
        <f>IFERROR(__xludf.DUMMYFUNCTION("""COMPUTED_VALUE"""),"Once or twice a year")</f>
        <v>Once or twice a year</v>
      </c>
      <c r="J821" s="260">
        <f>IFERROR(__xludf.DUMMYFUNCTION("""COMPUTED_VALUE"""),0.8)</f>
        <v>0.8</v>
      </c>
      <c r="K821" s="258">
        <f>IFERROR(__xludf.DUMMYFUNCTION("""COMPUTED_VALUE"""),365.0)</f>
        <v>365</v>
      </c>
      <c r="L821" s="258" t="str">
        <f>IFERROR(__xludf.DUMMYFUNCTION("""COMPUTED_VALUE"""),"")</f>
        <v/>
      </c>
      <c r="M821" s="261">
        <f>IFERROR(__xludf.DUMMYFUNCTION("""COMPUTED_VALUE"""),224.0)</f>
        <v>224</v>
      </c>
      <c r="N821" s="262" t="str">
        <f>IFERROR(__xludf.DUMMYFUNCTION("""COMPUTED_VALUE"""),"")</f>
        <v/>
      </c>
      <c r="O821" s="259" t="str">
        <f>IFERROR(__xludf.DUMMYFUNCTION("""COMPUTED_VALUE"""),"")</f>
        <v/>
      </c>
      <c r="P821" s="259">
        <f>IFERROR(__xludf.DUMMYFUNCTION("""COMPUTED_VALUE"""),42454.0)</f>
        <v>42454</v>
      </c>
      <c r="Q821" s="258">
        <f>IFERROR(__xludf.DUMMYFUNCTION("""COMPUTED_VALUE"""),29300.0)</f>
        <v>29300</v>
      </c>
      <c r="R821" s="261">
        <f>IFERROR(__xludf.DUMMYFUNCTION("""COMPUTED_VALUE"""),356.0)</f>
        <v>356</v>
      </c>
      <c r="S821" s="258">
        <v>360.0</v>
      </c>
      <c r="T821" s="263">
        <v>0.9888888888888889</v>
      </c>
      <c r="U821" s="264">
        <v>18206.0</v>
      </c>
      <c r="V821" s="265">
        <v>29300.0</v>
      </c>
      <c r="W821" s="264">
        <v>18206.0</v>
      </c>
      <c r="X821" s="266"/>
      <c r="Y821" s="267">
        <v>-0.01</v>
      </c>
      <c r="Z821" s="267">
        <v>0.9683431523285503</v>
      </c>
      <c r="AA821" s="269"/>
      <c r="AB821" s="270"/>
      <c r="AC821" s="270"/>
      <c r="AD821" s="270"/>
      <c r="AE821" s="270"/>
    </row>
    <row r="822">
      <c r="A822" s="256">
        <f>IFERROR(__xludf.DUMMYFUNCTION("""COMPUTED_VALUE"""),42490.33125)</f>
        <v>42490.33125</v>
      </c>
      <c r="B822" s="257" t="str">
        <f>IFERROR(__xludf.DUMMYFUNCTION("""COMPUTED_VALUE"""),"Juicer")</f>
        <v>Juicer</v>
      </c>
      <c r="C822" s="258" t="str">
        <f>IFERROR(__xludf.DUMMYFUNCTION("""COMPUTED_VALUE"""),"Europe (excluding UK) &amp; Asia Pacific")</f>
        <v>Europe (excluding UK) &amp; Asia Pacific</v>
      </c>
      <c r="D822" s="258" t="str">
        <f>IFERROR(__xludf.DUMMYFUNCTION("""COMPUTED_VALUE"""),"km. My car displays range in kilometres and I will enter all range numbers in kilometres.")</f>
        <v>km. My car displays range in kilometres and I will enter all range numbers in kilometres.</v>
      </c>
      <c r="E822" s="259">
        <f>IFERROR(__xludf.DUMMYFUNCTION("""COMPUTED_VALUE"""),42235.0)</f>
        <v>42235</v>
      </c>
      <c r="F822" s="258" t="str">
        <f>IFERROR(__xludf.DUMMYFUNCTION("""COMPUTED_VALUE"""),"Model S 70D")</f>
        <v>Model S 70D</v>
      </c>
      <c r="G822" s="258" t="str">
        <f>IFERROR(__xludf.DUMMYFUNCTION("""COMPUTED_VALUE"""),"Twice a week")</f>
        <v>Twice a week</v>
      </c>
      <c r="H822" s="258" t="str">
        <f>IFERROR(__xludf.DUMMYFUNCTION("""COMPUTED_VALUE"""),"Monthly")</f>
        <v>Monthly</v>
      </c>
      <c r="I822" s="258" t="str">
        <f>IFERROR(__xludf.DUMMYFUNCTION("""COMPUTED_VALUE"""),"A few times a year")</f>
        <v>A few times a year</v>
      </c>
      <c r="J822" s="260">
        <f>IFERROR(__xludf.DUMMYFUNCTION("""COMPUTED_VALUE"""),0.8)</f>
        <v>0.8</v>
      </c>
      <c r="K822" s="258">
        <f>IFERROR(__xludf.DUMMYFUNCTION("""COMPUTED_VALUE"""),360.0)</f>
        <v>360</v>
      </c>
      <c r="L822" s="258" t="str">
        <f>IFERROR(__xludf.DUMMYFUNCTION("""COMPUTED_VALUE"""),"")</f>
        <v/>
      </c>
      <c r="M822" s="261">
        <f>IFERROR(__xludf.DUMMYFUNCTION("""COMPUTED_VALUE"""),219.0)</f>
        <v>219</v>
      </c>
      <c r="N822" s="262" t="str">
        <f>IFERROR(__xludf.DUMMYFUNCTION("""COMPUTED_VALUE"""),"")</f>
        <v/>
      </c>
      <c r="O822" s="259" t="str">
        <f>IFERROR(__xludf.DUMMYFUNCTION("""COMPUTED_VALUE"""),"")</f>
        <v/>
      </c>
      <c r="P822" s="259">
        <f>IFERROR(__xludf.DUMMYFUNCTION("""COMPUTED_VALUE"""),42490.0)</f>
        <v>42490</v>
      </c>
      <c r="Q822" s="258">
        <f>IFERROR(__xludf.DUMMYFUNCTION("""COMPUTED_VALUE"""),36870.0)</f>
        <v>36870</v>
      </c>
      <c r="R822" s="261">
        <f>IFERROR(__xludf.DUMMYFUNCTION("""COMPUTED_VALUE"""),352.0)</f>
        <v>352</v>
      </c>
      <c r="S822" s="258">
        <v>360.0</v>
      </c>
      <c r="T822" s="263">
        <v>0.9777777777777777</v>
      </c>
      <c r="U822" s="264">
        <v>22910.0</v>
      </c>
      <c r="V822" s="265">
        <v>36870.0</v>
      </c>
      <c r="W822" s="264">
        <v>22910.0</v>
      </c>
      <c r="X822" s="266"/>
      <c r="Y822" s="267">
        <v>-0.01</v>
      </c>
      <c r="Z822" s="267">
        <v>0.9646241268852613</v>
      </c>
      <c r="AA822" s="269"/>
      <c r="AB822" s="270"/>
      <c r="AC822" s="270"/>
      <c r="AD822" s="270"/>
      <c r="AE822" s="270"/>
    </row>
    <row r="823">
      <c r="A823" s="256">
        <f>IFERROR(__xludf.DUMMYFUNCTION("""COMPUTED_VALUE"""),42510.33819444444)</f>
        <v>42510.33819</v>
      </c>
      <c r="B823" s="257" t="str">
        <f>IFERROR(__xludf.DUMMYFUNCTION("""COMPUTED_VALUE"""),"Juicer")</f>
        <v>Juicer</v>
      </c>
      <c r="C823" s="258" t="str">
        <f>IFERROR(__xludf.DUMMYFUNCTION("""COMPUTED_VALUE"""),"Europe (excluding UK) &amp; Asia Pacific")</f>
        <v>Europe (excluding UK) &amp; Asia Pacific</v>
      </c>
      <c r="D823" s="258" t="str">
        <f>IFERROR(__xludf.DUMMYFUNCTION("""COMPUTED_VALUE"""),"km. My car displays range in kilometres and I will enter all range numbers in kilometres.")</f>
        <v>km. My car displays range in kilometres and I will enter all range numbers in kilometres.</v>
      </c>
      <c r="E823" s="259">
        <f>IFERROR(__xludf.DUMMYFUNCTION("""COMPUTED_VALUE"""),42235.0)</f>
        <v>42235</v>
      </c>
      <c r="F823" s="258" t="str">
        <f>IFERROR(__xludf.DUMMYFUNCTION("""COMPUTED_VALUE"""),"Model S 70D")</f>
        <v>Model S 70D</v>
      </c>
      <c r="G823" s="258" t="str">
        <f>IFERROR(__xludf.DUMMYFUNCTION("""COMPUTED_VALUE"""),"Daily")</f>
        <v>Daily</v>
      </c>
      <c r="H823" s="258" t="str">
        <f>IFERROR(__xludf.DUMMYFUNCTION("""COMPUTED_VALUE"""),"Monthly")</f>
        <v>Monthly</v>
      </c>
      <c r="I823" s="258" t="str">
        <f>IFERROR(__xludf.DUMMYFUNCTION("""COMPUTED_VALUE"""),"A few times a year")</f>
        <v>A few times a year</v>
      </c>
      <c r="J823" s="260">
        <f>IFERROR(__xludf.DUMMYFUNCTION("""COMPUTED_VALUE"""),0.8)</f>
        <v>0.8</v>
      </c>
      <c r="K823" s="258">
        <f>IFERROR(__xludf.DUMMYFUNCTION("""COMPUTED_VALUE"""),360.0)</f>
        <v>360</v>
      </c>
      <c r="L823" s="258" t="str">
        <f>IFERROR(__xludf.DUMMYFUNCTION("""COMPUTED_VALUE"""),"")</f>
        <v/>
      </c>
      <c r="M823" s="261">
        <f>IFERROR(__xludf.DUMMYFUNCTION("""COMPUTED_VALUE"""),216.0)</f>
        <v>216</v>
      </c>
      <c r="N823" s="262" t="str">
        <f>IFERROR(__xludf.DUMMYFUNCTION("""COMPUTED_VALUE"""),"")</f>
        <v/>
      </c>
      <c r="O823" s="259" t="str">
        <f>IFERROR(__xludf.DUMMYFUNCTION("""COMPUTED_VALUE"""),"")</f>
        <v/>
      </c>
      <c r="P823" s="259">
        <f>IFERROR(__xludf.DUMMYFUNCTION("""COMPUTED_VALUE"""),42510.0)</f>
        <v>42510</v>
      </c>
      <c r="Q823" s="258">
        <f>IFERROR(__xludf.DUMMYFUNCTION("""COMPUTED_VALUE"""),39404.0)</f>
        <v>39404</v>
      </c>
      <c r="R823" s="261">
        <f>IFERROR(__xludf.DUMMYFUNCTION("""COMPUTED_VALUE"""),352.0)</f>
        <v>352</v>
      </c>
      <c r="S823" s="258">
        <v>360.0</v>
      </c>
      <c r="T823" s="263">
        <v>0.9777777777777777</v>
      </c>
      <c r="U823" s="264">
        <v>24485.0</v>
      </c>
      <c r="V823" s="265">
        <v>39404.0</v>
      </c>
      <c r="W823" s="264">
        <v>24485.0</v>
      </c>
      <c r="X823" s="266"/>
      <c r="Y823" s="267">
        <v>-0.01</v>
      </c>
      <c r="Z823" s="267">
        <v>0.9635508172944652</v>
      </c>
      <c r="AA823" s="269"/>
      <c r="AB823" s="270"/>
      <c r="AC823" s="270"/>
      <c r="AD823" s="270"/>
      <c r="AE823" s="270"/>
    </row>
    <row r="824">
      <c r="A824" s="256">
        <f>IFERROR(__xludf.DUMMYFUNCTION("""COMPUTED_VALUE"""),42545.35625)</f>
        <v>42545.35625</v>
      </c>
      <c r="B824" s="257" t="str">
        <f>IFERROR(__xludf.DUMMYFUNCTION("""COMPUTED_VALUE"""),"Juicer")</f>
        <v>Juicer</v>
      </c>
      <c r="C824" s="258" t="str">
        <f>IFERROR(__xludf.DUMMYFUNCTION("""COMPUTED_VALUE"""),"Europe (excluding UK) &amp; Asia Pacific")</f>
        <v>Europe (excluding UK) &amp; Asia Pacific</v>
      </c>
      <c r="D824" s="258" t="str">
        <f>IFERROR(__xludf.DUMMYFUNCTION("""COMPUTED_VALUE"""),"km. My car displays range in kilometres and I will enter all range numbers in kilometres.")</f>
        <v>km. My car displays range in kilometres and I will enter all range numbers in kilometres.</v>
      </c>
      <c r="E824" s="259">
        <f>IFERROR(__xludf.DUMMYFUNCTION("""COMPUTED_VALUE"""),42235.0)</f>
        <v>42235</v>
      </c>
      <c r="F824" s="258" t="str">
        <f>IFERROR(__xludf.DUMMYFUNCTION("""COMPUTED_VALUE"""),"Model S 70D")</f>
        <v>Model S 70D</v>
      </c>
      <c r="G824" s="258" t="str">
        <f>IFERROR(__xludf.DUMMYFUNCTION("""COMPUTED_VALUE"""),"Daily")</f>
        <v>Daily</v>
      </c>
      <c r="H824" s="258" t="str">
        <f>IFERROR(__xludf.DUMMYFUNCTION("""COMPUTED_VALUE"""),"Monthly")</f>
        <v>Monthly</v>
      </c>
      <c r="I824" s="258" t="str">
        <f>IFERROR(__xludf.DUMMYFUNCTION("""COMPUTED_VALUE"""),"A few times a year")</f>
        <v>A few times a year</v>
      </c>
      <c r="J824" s="260">
        <f>IFERROR(__xludf.DUMMYFUNCTION("""COMPUTED_VALUE"""),0.8)</f>
        <v>0.8</v>
      </c>
      <c r="K824" s="258">
        <f>IFERROR(__xludf.DUMMYFUNCTION("""COMPUTED_VALUE"""),360.0)</f>
        <v>360</v>
      </c>
      <c r="L824" s="258" t="str">
        <f>IFERROR(__xludf.DUMMYFUNCTION("""COMPUTED_VALUE"""),"")</f>
        <v/>
      </c>
      <c r="M824" s="261">
        <f>IFERROR(__xludf.DUMMYFUNCTION("""COMPUTED_VALUE"""),213.0)</f>
        <v>213</v>
      </c>
      <c r="N824" s="262" t="str">
        <f>IFERROR(__xludf.DUMMYFUNCTION("""COMPUTED_VALUE"""),"")</f>
        <v/>
      </c>
      <c r="O824" s="259" t="str">
        <f>IFERROR(__xludf.DUMMYFUNCTION("""COMPUTED_VALUE"""),"")</f>
        <v/>
      </c>
      <c r="P824" s="259">
        <f>IFERROR(__xludf.DUMMYFUNCTION("""COMPUTED_VALUE"""),42545.0)</f>
        <v>42545</v>
      </c>
      <c r="Q824" s="258">
        <f>IFERROR(__xludf.DUMMYFUNCTION("""COMPUTED_VALUE"""),43787.0)</f>
        <v>43787</v>
      </c>
      <c r="R824" s="261">
        <f>IFERROR(__xludf.DUMMYFUNCTION("""COMPUTED_VALUE"""),353.0)</f>
        <v>353</v>
      </c>
      <c r="S824" s="258">
        <v>360.0</v>
      </c>
      <c r="T824" s="263">
        <v>0.9805555555555555</v>
      </c>
      <c r="U824" s="264">
        <v>27208.0</v>
      </c>
      <c r="V824" s="265">
        <v>43787.0</v>
      </c>
      <c r="W824" s="264">
        <v>27208.0</v>
      </c>
      <c r="X824" s="266"/>
      <c r="Y824" s="267">
        <v>-0.01</v>
      </c>
      <c r="Z824" s="267">
        <v>0.9618471099899901</v>
      </c>
      <c r="AA824" s="269"/>
      <c r="AB824" s="270"/>
      <c r="AC824" s="270"/>
      <c r="AD824" s="270"/>
      <c r="AE824" s="270"/>
    </row>
    <row r="825">
      <c r="A825" s="256">
        <f>IFERROR(__xludf.DUMMYFUNCTION("""COMPUTED_VALUE"""),42579.36666666667)</f>
        <v>42579.36667</v>
      </c>
      <c r="B825" s="257" t="str">
        <f>IFERROR(__xludf.DUMMYFUNCTION("""COMPUTED_VALUE"""),"Juicer")</f>
        <v>Juicer</v>
      </c>
      <c r="C825" s="258" t="str">
        <f>IFERROR(__xludf.DUMMYFUNCTION("""COMPUTED_VALUE"""),"Europe (excluding UK) &amp; Asia Pacific")</f>
        <v>Europe (excluding UK) &amp; Asia Pacific</v>
      </c>
      <c r="D825" s="258" t="str">
        <f>IFERROR(__xludf.DUMMYFUNCTION("""COMPUTED_VALUE"""),"km. My car displays range in kilometres and I will enter all range numbers in kilometres.")</f>
        <v>km. My car displays range in kilometres and I will enter all range numbers in kilometres.</v>
      </c>
      <c r="E825" s="259">
        <f>IFERROR(__xludf.DUMMYFUNCTION("""COMPUTED_VALUE"""),42235.0)</f>
        <v>42235</v>
      </c>
      <c r="F825" s="258" t="str">
        <f>IFERROR(__xludf.DUMMYFUNCTION("""COMPUTED_VALUE"""),"Model S 70D")</f>
        <v>Model S 70D</v>
      </c>
      <c r="G825" s="258" t="str">
        <f>IFERROR(__xludf.DUMMYFUNCTION("""COMPUTED_VALUE"""),"Daily")</f>
        <v>Daily</v>
      </c>
      <c r="H825" s="258" t="str">
        <f>IFERROR(__xludf.DUMMYFUNCTION("""COMPUTED_VALUE"""),"Monthly")</f>
        <v>Monthly</v>
      </c>
      <c r="I825" s="258" t="str">
        <f>IFERROR(__xludf.DUMMYFUNCTION("""COMPUTED_VALUE"""),"A few times a year")</f>
        <v>A few times a year</v>
      </c>
      <c r="J825" s="260">
        <f>IFERROR(__xludf.DUMMYFUNCTION("""COMPUTED_VALUE"""),0.8)</f>
        <v>0.8</v>
      </c>
      <c r="K825" s="258">
        <f>IFERROR(__xludf.DUMMYFUNCTION("""COMPUTED_VALUE"""),360.0)</f>
        <v>360</v>
      </c>
      <c r="L825" s="258" t="str">
        <f>IFERROR(__xludf.DUMMYFUNCTION("""COMPUTED_VALUE"""),"")</f>
        <v/>
      </c>
      <c r="M825" s="261">
        <f>IFERROR(__xludf.DUMMYFUNCTION("""COMPUTED_VALUE"""),209.0)</f>
        <v>209</v>
      </c>
      <c r="N825" s="262" t="str">
        <f>IFERROR(__xludf.DUMMYFUNCTION("""COMPUTED_VALUE"""),"")</f>
        <v/>
      </c>
      <c r="O825" s="259" t="str">
        <f>IFERROR(__xludf.DUMMYFUNCTION("""COMPUTED_VALUE"""),"")</f>
        <v/>
      </c>
      <c r="P825" s="259">
        <f>IFERROR(__xludf.DUMMYFUNCTION("""COMPUTED_VALUE"""),42579.0)</f>
        <v>42579</v>
      </c>
      <c r="Q825" s="258">
        <f>IFERROR(__xludf.DUMMYFUNCTION("""COMPUTED_VALUE"""),49107.0)</f>
        <v>49107</v>
      </c>
      <c r="R825" s="261">
        <f>IFERROR(__xludf.DUMMYFUNCTION("""COMPUTED_VALUE"""),352.0)</f>
        <v>352</v>
      </c>
      <c r="S825" s="258">
        <v>360.0</v>
      </c>
      <c r="T825" s="263">
        <v>0.9777777777777777</v>
      </c>
      <c r="U825" s="264">
        <v>30514.0</v>
      </c>
      <c r="V825" s="265">
        <v>49107.0</v>
      </c>
      <c r="W825" s="264">
        <v>30514.0</v>
      </c>
      <c r="X825" s="266"/>
      <c r="Y825" s="267">
        <v>-0.01</v>
      </c>
      <c r="Z825" s="267">
        <v>0.9599850397577236</v>
      </c>
      <c r="AA825" s="269"/>
      <c r="AB825" s="270"/>
      <c r="AC825" s="270"/>
      <c r="AD825" s="270"/>
      <c r="AE825" s="270"/>
    </row>
    <row r="826">
      <c r="A826" s="256">
        <f>IFERROR(__xludf.DUMMYFUNCTION("""COMPUTED_VALUE"""),42609.38541666667)</f>
        <v>42609.38542</v>
      </c>
      <c r="B826" s="257" t="str">
        <f>IFERROR(__xludf.DUMMYFUNCTION("""COMPUTED_VALUE"""),"Juicer")</f>
        <v>Juicer</v>
      </c>
      <c r="C826" s="258" t="str">
        <f>IFERROR(__xludf.DUMMYFUNCTION("""COMPUTED_VALUE"""),"Europe (excluding UK) &amp; Asia Pacific")</f>
        <v>Europe (excluding UK) &amp; Asia Pacific</v>
      </c>
      <c r="D826" s="258" t="str">
        <f>IFERROR(__xludf.DUMMYFUNCTION("""COMPUTED_VALUE"""),"km. My car displays range in kilometres and I will enter all range numbers in kilometres.")</f>
        <v>km. My car displays range in kilometres and I will enter all range numbers in kilometres.</v>
      </c>
      <c r="E826" s="259">
        <f>IFERROR(__xludf.DUMMYFUNCTION("""COMPUTED_VALUE"""),42235.0)</f>
        <v>42235</v>
      </c>
      <c r="F826" s="258" t="str">
        <f>IFERROR(__xludf.DUMMYFUNCTION("""COMPUTED_VALUE"""),"Model S 70D")</f>
        <v>Model S 70D</v>
      </c>
      <c r="G826" s="258" t="str">
        <f>IFERROR(__xludf.DUMMYFUNCTION("""COMPUTED_VALUE"""),"Daily")</f>
        <v>Daily</v>
      </c>
      <c r="H826" s="258" t="str">
        <f>IFERROR(__xludf.DUMMYFUNCTION("""COMPUTED_VALUE"""),"Monthly")</f>
        <v>Monthly</v>
      </c>
      <c r="I826" s="258" t="str">
        <f>IFERROR(__xludf.DUMMYFUNCTION("""COMPUTED_VALUE"""),"Twice a month")</f>
        <v>Twice a month</v>
      </c>
      <c r="J826" s="260">
        <f>IFERROR(__xludf.DUMMYFUNCTION("""COMPUTED_VALUE"""),0.8)</f>
        <v>0.8</v>
      </c>
      <c r="K826" s="258">
        <f>IFERROR(__xludf.DUMMYFUNCTION("""COMPUTED_VALUE"""),360.0)</f>
        <v>360</v>
      </c>
      <c r="L826" s="258" t="str">
        <f>IFERROR(__xludf.DUMMYFUNCTION("""COMPUTED_VALUE"""),"")</f>
        <v/>
      </c>
      <c r="M826" s="261">
        <f>IFERROR(__xludf.DUMMYFUNCTION("""COMPUTED_VALUE"""),206.0)</f>
        <v>206</v>
      </c>
      <c r="N826" s="262" t="str">
        <f>IFERROR(__xludf.DUMMYFUNCTION("""COMPUTED_VALUE"""),"")</f>
        <v/>
      </c>
      <c r="O826" s="259" t="str">
        <f>IFERROR(__xludf.DUMMYFUNCTION("""COMPUTED_VALUE"""),"")</f>
        <v/>
      </c>
      <c r="P826" s="259">
        <f>IFERROR(__xludf.DUMMYFUNCTION("""COMPUTED_VALUE"""),42609.0)</f>
        <v>42609</v>
      </c>
      <c r="Q826" s="258">
        <f>IFERROR(__xludf.DUMMYFUNCTION("""COMPUTED_VALUE"""),53176.0)</f>
        <v>53176</v>
      </c>
      <c r="R826" s="261">
        <f>IFERROR(__xludf.DUMMYFUNCTION("""COMPUTED_VALUE"""),352.0)</f>
        <v>352</v>
      </c>
      <c r="S826" s="258">
        <v>360.0</v>
      </c>
      <c r="T826" s="263">
        <v>0.9777777777777777</v>
      </c>
      <c r="U826" s="264">
        <v>33042.0</v>
      </c>
      <c r="V826" s="265">
        <v>53176.0</v>
      </c>
      <c r="W826" s="264">
        <v>33042.0</v>
      </c>
      <c r="X826" s="266"/>
      <c r="Y826" s="267">
        <v>-0.01</v>
      </c>
      <c r="Z826" s="267">
        <v>0.9586774601662795</v>
      </c>
      <c r="AA826" s="269"/>
      <c r="AB826" s="270"/>
      <c r="AC826" s="270"/>
      <c r="AD826" s="270"/>
      <c r="AE826" s="270"/>
    </row>
    <row r="827">
      <c r="A827" s="256">
        <f>IFERROR(__xludf.DUMMYFUNCTION("""COMPUTED_VALUE"""),42650.413194444445)</f>
        <v>42650.41319</v>
      </c>
      <c r="B827" s="257" t="str">
        <f>IFERROR(__xludf.DUMMYFUNCTION("""COMPUTED_VALUE"""),"Juicer")</f>
        <v>Juicer</v>
      </c>
      <c r="C827" s="258" t="str">
        <f>IFERROR(__xludf.DUMMYFUNCTION("""COMPUTED_VALUE"""),"Europe (excluding UK) &amp; Asia Pacific")</f>
        <v>Europe (excluding UK) &amp; Asia Pacific</v>
      </c>
      <c r="D827" s="258" t="str">
        <f>IFERROR(__xludf.DUMMYFUNCTION("""COMPUTED_VALUE"""),"km. My car displays range in kilometres and I will enter all range numbers in kilometres.")</f>
        <v>km. My car displays range in kilometres and I will enter all range numbers in kilometres.</v>
      </c>
      <c r="E827" s="259">
        <f>IFERROR(__xludf.DUMMYFUNCTION("""COMPUTED_VALUE"""),42235.0)</f>
        <v>42235</v>
      </c>
      <c r="F827" s="258" t="str">
        <f>IFERROR(__xludf.DUMMYFUNCTION("""COMPUTED_VALUE"""),"Model S 70D")</f>
        <v>Model S 70D</v>
      </c>
      <c r="G827" s="258" t="str">
        <f>IFERROR(__xludf.DUMMYFUNCTION("""COMPUTED_VALUE"""),"Daily")</f>
        <v>Daily</v>
      </c>
      <c r="H827" s="258" t="str">
        <f>IFERROR(__xludf.DUMMYFUNCTION("""COMPUTED_VALUE"""),"Monthly")</f>
        <v>Monthly</v>
      </c>
      <c r="I827" s="258" t="str">
        <f>IFERROR(__xludf.DUMMYFUNCTION("""COMPUTED_VALUE"""),"Twice a month")</f>
        <v>Twice a month</v>
      </c>
      <c r="J827" s="260">
        <f>IFERROR(__xludf.DUMMYFUNCTION("""COMPUTED_VALUE"""),0.8)</f>
        <v>0.8</v>
      </c>
      <c r="K827" s="258">
        <f>IFERROR(__xludf.DUMMYFUNCTION("""COMPUTED_VALUE"""),360.0)</f>
        <v>360</v>
      </c>
      <c r="L827" s="258" t="str">
        <f>IFERROR(__xludf.DUMMYFUNCTION("""COMPUTED_VALUE"""),"")</f>
        <v/>
      </c>
      <c r="M827" s="261">
        <f>IFERROR(__xludf.DUMMYFUNCTION("""COMPUTED_VALUE"""),203.0)</f>
        <v>203</v>
      </c>
      <c r="N827" s="262" t="str">
        <f>IFERROR(__xludf.DUMMYFUNCTION("""COMPUTED_VALUE"""),"")</f>
        <v/>
      </c>
      <c r="O827" s="259" t="str">
        <f>IFERROR(__xludf.DUMMYFUNCTION("""COMPUTED_VALUE"""),"")</f>
        <v/>
      </c>
      <c r="P827" s="259">
        <f>IFERROR(__xludf.DUMMYFUNCTION("""COMPUTED_VALUE"""),42650.0)</f>
        <v>42650</v>
      </c>
      <c r="Q827" s="258">
        <f>IFERROR(__xludf.DUMMYFUNCTION("""COMPUTED_VALUE"""),58335.0)</f>
        <v>58335</v>
      </c>
      <c r="R827" s="261">
        <f>IFERROR(__xludf.DUMMYFUNCTION("""COMPUTED_VALUE"""),351.0)</f>
        <v>351</v>
      </c>
      <c r="S827" s="258">
        <v>360.0</v>
      </c>
      <c r="T827" s="263">
        <v>0.975</v>
      </c>
      <c r="U827" s="264">
        <v>36248.0</v>
      </c>
      <c r="V827" s="265">
        <v>58335.0</v>
      </c>
      <c r="W827" s="264">
        <v>36248.0</v>
      </c>
      <c r="X827" s="266"/>
      <c r="Y827" s="267">
        <v>-0.01</v>
      </c>
      <c r="Z827" s="267">
        <v>0.9571292024174683</v>
      </c>
      <c r="AA827" s="269"/>
      <c r="AB827" s="270"/>
      <c r="AC827" s="270"/>
      <c r="AD827" s="270"/>
      <c r="AE827" s="270"/>
    </row>
    <row r="828">
      <c r="A828" s="256">
        <f>IFERROR(__xludf.DUMMYFUNCTION("""COMPUTED_VALUE"""),42698.46875)</f>
        <v>42698.46875</v>
      </c>
      <c r="B828" s="257" t="str">
        <f>IFERROR(__xludf.DUMMYFUNCTION("""COMPUTED_VALUE"""),"Juicer")</f>
        <v>Juicer</v>
      </c>
      <c r="C828" s="258" t="str">
        <f>IFERROR(__xludf.DUMMYFUNCTION("""COMPUTED_VALUE"""),"Europe (excluding UK) &amp; Asia Pacific")</f>
        <v>Europe (excluding UK) &amp; Asia Pacific</v>
      </c>
      <c r="D828" s="258" t="str">
        <f>IFERROR(__xludf.DUMMYFUNCTION("""COMPUTED_VALUE"""),"km. My car displays range in kilometres and I will enter all range numbers in kilometres.")</f>
        <v>km. My car displays range in kilometres and I will enter all range numbers in kilometres.</v>
      </c>
      <c r="E828" s="259">
        <f>IFERROR(__xludf.DUMMYFUNCTION("""COMPUTED_VALUE"""),42235.0)</f>
        <v>42235</v>
      </c>
      <c r="F828" s="258" t="str">
        <f>IFERROR(__xludf.DUMMYFUNCTION("""COMPUTED_VALUE"""),"Model S 70D")</f>
        <v>Model S 70D</v>
      </c>
      <c r="G828" s="258" t="str">
        <f>IFERROR(__xludf.DUMMYFUNCTION("""COMPUTED_VALUE"""),"Weekly")</f>
        <v>Weekly</v>
      </c>
      <c r="H828" s="258" t="str">
        <f>IFERROR(__xludf.DUMMYFUNCTION("""COMPUTED_VALUE"""),"Monthly")</f>
        <v>Monthly</v>
      </c>
      <c r="I828" s="258" t="str">
        <f>IFERROR(__xludf.DUMMYFUNCTION("""COMPUTED_VALUE"""),"A few times a year")</f>
        <v>A few times a year</v>
      </c>
      <c r="J828" s="260">
        <f>IFERROR(__xludf.DUMMYFUNCTION("""COMPUTED_VALUE"""),0.8)</f>
        <v>0.8</v>
      </c>
      <c r="K828" s="258">
        <f>IFERROR(__xludf.DUMMYFUNCTION("""COMPUTED_VALUE"""),360.0)</f>
        <v>360</v>
      </c>
      <c r="L828" s="258" t="str">
        <f>IFERROR(__xludf.DUMMYFUNCTION("""COMPUTED_VALUE"""),"")</f>
        <v/>
      </c>
      <c r="M828" s="261">
        <f>IFERROR(__xludf.DUMMYFUNCTION("""COMPUTED_VALUE"""),203.0)</f>
        <v>203</v>
      </c>
      <c r="N828" s="262" t="str">
        <f>IFERROR(__xludf.DUMMYFUNCTION("""COMPUTED_VALUE"""),"")</f>
        <v/>
      </c>
      <c r="O828" s="259" t="str">
        <f>IFERROR(__xludf.DUMMYFUNCTION("""COMPUTED_VALUE"""),"")</f>
        <v/>
      </c>
      <c r="P828" s="259">
        <f>IFERROR(__xludf.DUMMYFUNCTION("""COMPUTED_VALUE"""),42698.0)</f>
        <v>42698</v>
      </c>
      <c r="Q828" s="258">
        <f>IFERROR(__xludf.DUMMYFUNCTION("""COMPUTED_VALUE"""),65470.0)</f>
        <v>65470</v>
      </c>
      <c r="R828" s="261">
        <f>IFERROR(__xludf.DUMMYFUNCTION("""COMPUTED_VALUE"""),351.0)</f>
        <v>351</v>
      </c>
      <c r="S828" s="258">
        <v>360.0</v>
      </c>
      <c r="T828" s="263">
        <v>0.975</v>
      </c>
      <c r="U828" s="264">
        <v>40681.0</v>
      </c>
      <c r="V828" s="265">
        <v>65470.0</v>
      </c>
      <c r="W828" s="264">
        <v>40681.0</v>
      </c>
      <c r="X828" s="266"/>
      <c r="Y828" s="267">
        <v>-0.01</v>
      </c>
      <c r="Z828" s="267">
        <v>0.9551356727419984</v>
      </c>
      <c r="AA828" s="269"/>
      <c r="AB828" s="270"/>
      <c r="AC828" s="270"/>
      <c r="AD828" s="270"/>
      <c r="AE828" s="270"/>
    </row>
    <row r="829">
      <c r="A829" s="256">
        <f>IFERROR(__xludf.DUMMYFUNCTION("""COMPUTED_VALUE"""),42761.49444444444)</f>
        <v>42761.49444</v>
      </c>
      <c r="B829" s="257" t="str">
        <f>IFERROR(__xludf.DUMMYFUNCTION("""COMPUTED_VALUE"""),"Juicer")</f>
        <v>Juicer</v>
      </c>
      <c r="C829" s="258" t="str">
        <f>IFERROR(__xludf.DUMMYFUNCTION("""COMPUTED_VALUE"""),"Europe (excluding UK) &amp; Asia Pacific")</f>
        <v>Europe (excluding UK) &amp; Asia Pacific</v>
      </c>
      <c r="D829" s="258" t="str">
        <f>IFERROR(__xludf.DUMMYFUNCTION("""COMPUTED_VALUE"""),"km. My car displays range in kilometres and I will enter all range numbers in kilometres.")</f>
        <v>km. My car displays range in kilometres and I will enter all range numbers in kilometres.</v>
      </c>
      <c r="E829" s="259">
        <f>IFERROR(__xludf.DUMMYFUNCTION("""COMPUTED_VALUE"""),42235.0)</f>
        <v>42235</v>
      </c>
      <c r="F829" s="258" t="str">
        <f>IFERROR(__xludf.DUMMYFUNCTION("""COMPUTED_VALUE"""),"Model S 70D")</f>
        <v>Model S 70D</v>
      </c>
      <c r="G829" s="258" t="str">
        <f>IFERROR(__xludf.DUMMYFUNCTION("""COMPUTED_VALUE"""),"Weekly")</f>
        <v>Weekly</v>
      </c>
      <c r="H829" s="258" t="str">
        <f>IFERROR(__xludf.DUMMYFUNCTION("""COMPUTED_VALUE"""),"Monthly")</f>
        <v>Monthly</v>
      </c>
      <c r="I829" s="258" t="str">
        <f>IFERROR(__xludf.DUMMYFUNCTION("""COMPUTED_VALUE"""),"A few times a year")</f>
        <v>A few times a year</v>
      </c>
      <c r="J829" s="260">
        <f>IFERROR(__xludf.DUMMYFUNCTION("""COMPUTED_VALUE"""),0.8)</f>
        <v>0.8</v>
      </c>
      <c r="K829" s="258">
        <f>IFERROR(__xludf.DUMMYFUNCTION("""COMPUTED_VALUE"""),360.0)</f>
        <v>360</v>
      </c>
      <c r="L829" s="258" t="str">
        <f>IFERROR(__xludf.DUMMYFUNCTION("""COMPUTED_VALUE"""),"")</f>
        <v/>
      </c>
      <c r="M829" s="261">
        <f>IFERROR(__xludf.DUMMYFUNCTION("""COMPUTED_VALUE"""),205.0)</f>
        <v>205</v>
      </c>
      <c r="N829" s="262" t="str">
        <f>IFERROR(__xludf.DUMMYFUNCTION("""COMPUTED_VALUE"""),"")</f>
        <v/>
      </c>
      <c r="O829" s="259" t="str">
        <f>IFERROR(__xludf.DUMMYFUNCTION("""COMPUTED_VALUE"""),"")</f>
        <v/>
      </c>
      <c r="P829" s="259">
        <f>IFERROR(__xludf.DUMMYFUNCTION("""COMPUTED_VALUE"""),42761.0)</f>
        <v>42761</v>
      </c>
      <c r="Q829" s="258">
        <f>IFERROR(__xludf.DUMMYFUNCTION("""COMPUTED_VALUE"""),73105.0)</f>
        <v>73105</v>
      </c>
      <c r="R829" s="261">
        <f>IFERROR(__xludf.DUMMYFUNCTION("""COMPUTED_VALUE"""),353.0)</f>
        <v>353</v>
      </c>
      <c r="S829" s="258">
        <v>360.0</v>
      </c>
      <c r="T829" s="263">
        <v>0.9805555555555555</v>
      </c>
      <c r="U829" s="264">
        <v>45425.0</v>
      </c>
      <c r="V829" s="265">
        <v>73105.0</v>
      </c>
      <c r="W829" s="264">
        <v>45425.0</v>
      </c>
      <c r="X829" s="266"/>
      <c r="Y829" s="267">
        <v>-0.01</v>
      </c>
      <c r="Z829" s="267">
        <v>0.9531321306931342</v>
      </c>
      <c r="AA829" s="269"/>
      <c r="AB829" s="270"/>
      <c r="AC829" s="270"/>
      <c r="AD829" s="270"/>
      <c r="AE829" s="270"/>
    </row>
    <row r="830">
      <c r="A830" s="256">
        <f>IFERROR(__xludf.DUMMYFUNCTION("""COMPUTED_VALUE"""),42797.507638888885)</f>
        <v>42797.50764</v>
      </c>
      <c r="B830" s="257" t="str">
        <f>IFERROR(__xludf.DUMMYFUNCTION("""COMPUTED_VALUE"""),"Juicer")</f>
        <v>Juicer</v>
      </c>
      <c r="C830" s="258" t="str">
        <f>IFERROR(__xludf.DUMMYFUNCTION("""COMPUTED_VALUE"""),"Europe (excluding UK) &amp; Asia Pacific")</f>
        <v>Europe (excluding UK) &amp; Asia Pacific</v>
      </c>
      <c r="D830" s="258" t="str">
        <f>IFERROR(__xludf.DUMMYFUNCTION("""COMPUTED_VALUE"""),"km. My car displays range in kilometres and I will enter all range numbers in kilometres.")</f>
        <v>km. My car displays range in kilometres and I will enter all range numbers in kilometres.</v>
      </c>
      <c r="E830" s="259">
        <f>IFERROR(__xludf.DUMMYFUNCTION("""COMPUTED_VALUE"""),42235.0)</f>
        <v>42235</v>
      </c>
      <c r="F830" s="258" t="str">
        <f>IFERROR(__xludf.DUMMYFUNCTION("""COMPUTED_VALUE"""),"Model S 70D")</f>
        <v>Model S 70D</v>
      </c>
      <c r="G830" s="258" t="str">
        <f>IFERROR(__xludf.DUMMYFUNCTION("""COMPUTED_VALUE"""),"Weekly")</f>
        <v>Weekly</v>
      </c>
      <c r="H830" s="258" t="str">
        <f>IFERROR(__xludf.DUMMYFUNCTION("""COMPUTED_VALUE"""),"Monthly")</f>
        <v>Monthly</v>
      </c>
      <c r="I830" s="258" t="str">
        <f>IFERROR(__xludf.DUMMYFUNCTION("""COMPUTED_VALUE"""),"A few times a year")</f>
        <v>A few times a year</v>
      </c>
      <c r="J830" s="260">
        <f>IFERROR(__xludf.DUMMYFUNCTION("""COMPUTED_VALUE"""),0.8)</f>
        <v>0.8</v>
      </c>
      <c r="K830" s="258">
        <f>IFERROR(__xludf.DUMMYFUNCTION("""COMPUTED_VALUE"""),360.0)</f>
        <v>360</v>
      </c>
      <c r="L830" s="258" t="str">
        <f>IFERROR(__xludf.DUMMYFUNCTION("""COMPUTED_VALUE"""),"")</f>
        <v/>
      </c>
      <c r="M830" s="261">
        <f>IFERROR(__xludf.DUMMYFUNCTION("""COMPUTED_VALUE"""),207.0)</f>
        <v>207</v>
      </c>
      <c r="N830" s="262" t="str">
        <f>IFERROR(__xludf.DUMMYFUNCTION("""COMPUTED_VALUE"""),"")</f>
        <v/>
      </c>
      <c r="O830" s="259" t="str">
        <f>IFERROR(__xludf.DUMMYFUNCTION("""COMPUTED_VALUE"""),"")</f>
        <v/>
      </c>
      <c r="P830" s="259">
        <f>IFERROR(__xludf.DUMMYFUNCTION("""COMPUTED_VALUE"""),42797.0)</f>
        <v>42797</v>
      </c>
      <c r="Q830" s="258">
        <f>IFERROR(__xludf.DUMMYFUNCTION("""COMPUTED_VALUE"""),80104.0)</f>
        <v>80104</v>
      </c>
      <c r="R830" s="261">
        <f>IFERROR(__xludf.DUMMYFUNCTION("""COMPUTED_VALUE"""),350.0)</f>
        <v>350</v>
      </c>
      <c r="S830" s="258">
        <v>360.0</v>
      </c>
      <c r="T830" s="263">
        <v>0.9722222222222222</v>
      </c>
      <c r="U830" s="264">
        <v>49774.0</v>
      </c>
      <c r="V830" s="265">
        <v>80104.0</v>
      </c>
      <c r="W830" s="264">
        <v>49774.0</v>
      </c>
      <c r="X830" s="266"/>
      <c r="Y830" s="267">
        <v>-0.01</v>
      </c>
      <c r="Z830" s="267">
        <v>0.9513727171812908</v>
      </c>
      <c r="AA830" s="269"/>
      <c r="AB830" s="270"/>
      <c r="AC830" s="270"/>
      <c r="AD830" s="270"/>
      <c r="AE830" s="270"/>
    </row>
    <row r="831">
      <c r="A831" s="256">
        <f>IFERROR(__xludf.DUMMYFUNCTION("""COMPUTED_VALUE"""),42831.51875)</f>
        <v>42831.51875</v>
      </c>
      <c r="B831" s="257" t="str">
        <f>IFERROR(__xludf.DUMMYFUNCTION("""COMPUTED_VALUE"""),"Juicer")</f>
        <v>Juicer</v>
      </c>
      <c r="C831" s="258" t="str">
        <f>IFERROR(__xludf.DUMMYFUNCTION("""COMPUTED_VALUE"""),"Europe (excluding UK) &amp; Asia Pacific")</f>
        <v>Europe (excluding UK) &amp; Asia Pacific</v>
      </c>
      <c r="D831" s="258" t="str">
        <f>IFERROR(__xludf.DUMMYFUNCTION("""COMPUTED_VALUE"""),"km. My car displays range in kilometres and I will enter all range numbers in kilometres.")</f>
        <v>km. My car displays range in kilometres and I will enter all range numbers in kilometres.</v>
      </c>
      <c r="E831" s="259">
        <f>IFERROR(__xludf.DUMMYFUNCTION("""COMPUTED_VALUE"""),42235.0)</f>
        <v>42235</v>
      </c>
      <c r="F831" s="258" t="str">
        <f>IFERROR(__xludf.DUMMYFUNCTION("""COMPUTED_VALUE"""),"Model S 70D")</f>
        <v>Model S 70D</v>
      </c>
      <c r="G831" s="258" t="str">
        <f>IFERROR(__xludf.DUMMYFUNCTION("""COMPUTED_VALUE"""),"Weekly")</f>
        <v>Weekly</v>
      </c>
      <c r="H831" s="258" t="str">
        <f>IFERROR(__xludf.DUMMYFUNCTION("""COMPUTED_VALUE"""),"Monthly")</f>
        <v>Monthly</v>
      </c>
      <c r="I831" s="258" t="str">
        <f>IFERROR(__xludf.DUMMYFUNCTION("""COMPUTED_VALUE"""),"A few times a year")</f>
        <v>A few times a year</v>
      </c>
      <c r="J831" s="260">
        <f>IFERROR(__xludf.DUMMYFUNCTION("""COMPUTED_VALUE"""),0.8)</f>
        <v>0.8</v>
      </c>
      <c r="K831" s="258">
        <f>IFERROR(__xludf.DUMMYFUNCTION("""COMPUTED_VALUE"""),360.0)</f>
        <v>360</v>
      </c>
      <c r="L831" s="258" t="str">
        <f>IFERROR(__xludf.DUMMYFUNCTION("""COMPUTED_VALUE"""),"")</f>
        <v/>
      </c>
      <c r="M831" s="261">
        <f>IFERROR(__xludf.DUMMYFUNCTION("""COMPUTED_VALUE"""),207.0)</f>
        <v>207</v>
      </c>
      <c r="N831" s="262" t="str">
        <f>IFERROR(__xludf.DUMMYFUNCTION("""COMPUTED_VALUE"""),"")</f>
        <v/>
      </c>
      <c r="O831" s="259" t="str">
        <f>IFERROR(__xludf.DUMMYFUNCTION("""COMPUTED_VALUE"""),"")</f>
        <v/>
      </c>
      <c r="P831" s="259">
        <f>IFERROR(__xludf.DUMMYFUNCTION("""COMPUTED_VALUE"""),42831.0)</f>
        <v>42831</v>
      </c>
      <c r="Q831" s="258">
        <f>IFERROR(__xludf.DUMMYFUNCTION("""COMPUTED_VALUE"""),84753.0)</f>
        <v>84753</v>
      </c>
      <c r="R831" s="261">
        <f>IFERROR(__xludf.DUMMYFUNCTION("""COMPUTED_VALUE"""),350.0)</f>
        <v>350</v>
      </c>
      <c r="S831" s="258">
        <v>360.0</v>
      </c>
      <c r="T831" s="263">
        <v>0.9722222222222222</v>
      </c>
      <c r="U831" s="264">
        <v>52663.0</v>
      </c>
      <c r="V831" s="265">
        <v>84753.0</v>
      </c>
      <c r="W831" s="264">
        <v>52663.0</v>
      </c>
      <c r="X831" s="266"/>
      <c r="Y831" s="267">
        <v>-0.01</v>
      </c>
      <c r="Z831" s="267">
        <v>0.9502319990708338</v>
      </c>
      <c r="AA831" s="269"/>
      <c r="AB831" s="270"/>
      <c r="AC831" s="270"/>
      <c r="AD831" s="270"/>
      <c r="AE831" s="270"/>
    </row>
    <row r="832">
      <c r="A832" s="256">
        <f>IFERROR(__xludf.DUMMYFUNCTION("""COMPUTED_VALUE"""),42867.53263888889)</f>
        <v>42867.53264</v>
      </c>
      <c r="B832" s="257" t="str">
        <f>IFERROR(__xludf.DUMMYFUNCTION("""COMPUTED_VALUE"""),"Juicer")</f>
        <v>Juicer</v>
      </c>
      <c r="C832" s="258" t="str">
        <f>IFERROR(__xludf.DUMMYFUNCTION("""COMPUTED_VALUE"""),"Europe (excluding UK) &amp; Asia Pacific")</f>
        <v>Europe (excluding UK) &amp; Asia Pacific</v>
      </c>
      <c r="D832" s="258" t="str">
        <f>IFERROR(__xludf.DUMMYFUNCTION("""COMPUTED_VALUE"""),"km. My car displays range in kilometres and I will enter all range numbers in kilometres.")</f>
        <v>km. My car displays range in kilometres and I will enter all range numbers in kilometres.</v>
      </c>
      <c r="E832" s="259">
        <f>IFERROR(__xludf.DUMMYFUNCTION("""COMPUTED_VALUE"""),42235.0)</f>
        <v>42235</v>
      </c>
      <c r="F832" s="258" t="str">
        <f>IFERROR(__xludf.DUMMYFUNCTION("""COMPUTED_VALUE"""),"Model S 70D")</f>
        <v>Model S 70D</v>
      </c>
      <c r="G832" s="258" t="str">
        <f>IFERROR(__xludf.DUMMYFUNCTION("""COMPUTED_VALUE"""),"Weekly")</f>
        <v>Weekly</v>
      </c>
      <c r="H832" s="258" t="str">
        <f>IFERROR(__xludf.DUMMYFUNCTION("""COMPUTED_VALUE"""),"Monthly")</f>
        <v>Monthly</v>
      </c>
      <c r="I832" s="258" t="str">
        <f>IFERROR(__xludf.DUMMYFUNCTION("""COMPUTED_VALUE"""),"A few times a year")</f>
        <v>A few times a year</v>
      </c>
      <c r="J832" s="260">
        <f>IFERROR(__xludf.DUMMYFUNCTION("""COMPUTED_VALUE"""),0.8)</f>
        <v>0.8</v>
      </c>
      <c r="K832" s="258">
        <f>IFERROR(__xludf.DUMMYFUNCTION("""COMPUTED_VALUE"""),360.0)</f>
        <v>360</v>
      </c>
      <c r="L832" s="258" t="str">
        <f>IFERROR(__xludf.DUMMYFUNCTION("""COMPUTED_VALUE"""),"")</f>
        <v/>
      </c>
      <c r="M832" s="261">
        <f>IFERROR(__xludf.DUMMYFUNCTION("""COMPUTED_VALUE"""),207.0)</f>
        <v>207</v>
      </c>
      <c r="N832" s="262" t="str">
        <f>IFERROR(__xludf.DUMMYFUNCTION("""COMPUTED_VALUE"""),"")</f>
        <v/>
      </c>
      <c r="O832" s="259" t="str">
        <f>IFERROR(__xludf.DUMMYFUNCTION("""COMPUTED_VALUE"""),"")</f>
        <v/>
      </c>
      <c r="P832" s="259">
        <f>IFERROR(__xludf.DUMMYFUNCTION("""COMPUTED_VALUE"""),42867.0)</f>
        <v>42867</v>
      </c>
      <c r="Q832" s="258">
        <f>IFERROR(__xludf.DUMMYFUNCTION("""COMPUTED_VALUE"""),91273.0)</f>
        <v>91273</v>
      </c>
      <c r="R832" s="261">
        <f>IFERROR(__xludf.DUMMYFUNCTION("""COMPUTED_VALUE"""),349.0)</f>
        <v>349</v>
      </c>
      <c r="S832" s="258">
        <v>360.0</v>
      </c>
      <c r="T832" s="263">
        <v>0.9694444444444444</v>
      </c>
      <c r="U832" s="264">
        <v>56714.0</v>
      </c>
      <c r="V832" s="265">
        <v>91273.0</v>
      </c>
      <c r="W832" s="264">
        <v>56714.0</v>
      </c>
      <c r="X832" s="266"/>
      <c r="Y832" s="267">
        <v>-0.01</v>
      </c>
      <c r="Z832" s="267">
        <v>0.9486586031689971</v>
      </c>
      <c r="AA832" s="269"/>
      <c r="AB832" s="270"/>
      <c r="AC832" s="270"/>
      <c r="AD832" s="270"/>
      <c r="AE832" s="270"/>
    </row>
    <row r="833">
      <c r="A833" s="256">
        <f>IFERROR(__xludf.DUMMYFUNCTION("""COMPUTED_VALUE"""),42936.56388888889)</f>
        <v>42936.56389</v>
      </c>
      <c r="B833" s="257" t="str">
        <f>IFERROR(__xludf.DUMMYFUNCTION("""COMPUTED_VALUE"""),"Juicer")</f>
        <v>Juicer</v>
      </c>
      <c r="C833" s="258" t="str">
        <f>IFERROR(__xludf.DUMMYFUNCTION("""COMPUTED_VALUE"""),"Europe (excluding UK) &amp; Asia Pacific")</f>
        <v>Europe (excluding UK) &amp; Asia Pacific</v>
      </c>
      <c r="D833" s="258" t="str">
        <f>IFERROR(__xludf.DUMMYFUNCTION("""COMPUTED_VALUE"""),"km. My car displays range in kilometres and I will enter all range numbers in kilometres.")</f>
        <v>km. My car displays range in kilometres and I will enter all range numbers in kilometres.</v>
      </c>
      <c r="E833" s="259">
        <f>IFERROR(__xludf.DUMMYFUNCTION("""COMPUTED_VALUE"""),42235.0)</f>
        <v>42235</v>
      </c>
      <c r="F833" s="258" t="str">
        <f>IFERROR(__xludf.DUMMYFUNCTION("""COMPUTED_VALUE"""),"Model S 70D")</f>
        <v>Model S 70D</v>
      </c>
      <c r="G833" s="258" t="str">
        <f>IFERROR(__xludf.DUMMYFUNCTION("""COMPUTED_VALUE"""),"Weekly")</f>
        <v>Weekly</v>
      </c>
      <c r="H833" s="258" t="str">
        <f>IFERROR(__xludf.DUMMYFUNCTION("""COMPUTED_VALUE"""),"Monthly")</f>
        <v>Monthly</v>
      </c>
      <c r="I833" s="258" t="str">
        <f>IFERROR(__xludf.DUMMYFUNCTION("""COMPUTED_VALUE"""),"A few times a year")</f>
        <v>A few times a year</v>
      </c>
      <c r="J833" s="260">
        <f>IFERROR(__xludf.DUMMYFUNCTION("""COMPUTED_VALUE"""),0.8)</f>
        <v>0.8</v>
      </c>
      <c r="K833" s="258">
        <f>IFERROR(__xludf.DUMMYFUNCTION("""COMPUTED_VALUE"""),360.0)</f>
        <v>360</v>
      </c>
      <c r="L833" s="258" t="str">
        <f>IFERROR(__xludf.DUMMYFUNCTION("""COMPUTED_VALUE"""),"")</f>
        <v/>
      </c>
      <c r="M833" s="261">
        <f>IFERROR(__xludf.DUMMYFUNCTION("""COMPUTED_VALUE"""),205.0)</f>
        <v>205</v>
      </c>
      <c r="N833" s="262" t="str">
        <f>IFERROR(__xludf.DUMMYFUNCTION("""COMPUTED_VALUE"""),"")</f>
        <v/>
      </c>
      <c r="O833" s="259" t="str">
        <f>IFERROR(__xludf.DUMMYFUNCTION("""COMPUTED_VALUE"""),"")</f>
        <v/>
      </c>
      <c r="P833" s="259">
        <f>IFERROR(__xludf.DUMMYFUNCTION("""COMPUTED_VALUE"""),42936.0)</f>
        <v>42936</v>
      </c>
      <c r="Q833" s="258">
        <f>IFERROR(__xludf.DUMMYFUNCTION("""COMPUTED_VALUE"""),100449.0)</f>
        <v>100449</v>
      </c>
      <c r="R833" s="261">
        <f>IFERROR(__xludf.DUMMYFUNCTION("""COMPUTED_VALUE"""),348.0)</f>
        <v>348</v>
      </c>
      <c r="S833" s="258">
        <v>360.0</v>
      </c>
      <c r="T833" s="263">
        <v>0.9666666666666667</v>
      </c>
      <c r="U833" s="264">
        <v>62416.0</v>
      </c>
      <c r="V833" s="265">
        <v>100449.0</v>
      </c>
      <c r="W833" s="264">
        <v>62416.0</v>
      </c>
      <c r="X833" s="266"/>
      <c r="Y833" s="267">
        <v>-0.01</v>
      </c>
      <c r="Z833" s="267">
        <v>0.9464797760223891</v>
      </c>
      <c r="AA833" s="269"/>
      <c r="AB833" s="270"/>
      <c r="AC833" s="270"/>
      <c r="AD833" s="270"/>
      <c r="AE833" s="270"/>
    </row>
    <row r="834">
      <c r="A834" s="256">
        <f>IFERROR(__xludf.DUMMYFUNCTION("""COMPUTED_VALUE"""),43014.61944444444)</f>
        <v>43014.61944</v>
      </c>
      <c r="B834" s="257" t="str">
        <f>IFERROR(__xludf.DUMMYFUNCTION("""COMPUTED_VALUE"""),"Juicer")</f>
        <v>Juicer</v>
      </c>
      <c r="C834" s="258" t="str">
        <f>IFERROR(__xludf.DUMMYFUNCTION("""COMPUTED_VALUE"""),"Europe (excluding UK) &amp; Asia Pacific")</f>
        <v>Europe (excluding UK) &amp; Asia Pacific</v>
      </c>
      <c r="D834" s="258" t="str">
        <f>IFERROR(__xludf.DUMMYFUNCTION("""COMPUTED_VALUE"""),"km. My car displays range in kilometres and I will enter all range numbers in kilometres.")</f>
        <v>km. My car displays range in kilometres and I will enter all range numbers in kilometres.</v>
      </c>
      <c r="E834" s="259">
        <f>IFERROR(__xludf.DUMMYFUNCTION("""COMPUTED_VALUE"""),42235.0)</f>
        <v>42235</v>
      </c>
      <c r="F834" s="258" t="str">
        <f>IFERROR(__xludf.DUMMYFUNCTION("""COMPUTED_VALUE"""),"Model S 70D")</f>
        <v>Model S 70D</v>
      </c>
      <c r="G834" s="258" t="str">
        <f>IFERROR(__xludf.DUMMYFUNCTION("""COMPUTED_VALUE"""),"Twice a week")</f>
        <v>Twice a week</v>
      </c>
      <c r="H834" s="258" t="str">
        <f>IFERROR(__xludf.DUMMYFUNCTION("""COMPUTED_VALUE"""),"A few times a year")</f>
        <v>A few times a year</v>
      </c>
      <c r="I834" s="258" t="str">
        <f>IFERROR(__xludf.DUMMYFUNCTION("""COMPUTED_VALUE"""),"A few times a year")</f>
        <v>A few times a year</v>
      </c>
      <c r="J834" s="260">
        <f>IFERROR(__xludf.DUMMYFUNCTION("""COMPUTED_VALUE"""),0.8)</f>
        <v>0.8</v>
      </c>
      <c r="K834" s="258">
        <f>IFERROR(__xludf.DUMMYFUNCTION("""COMPUTED_VALUE"""),360.0)</f>
        <v>360</v>
      </c>
      <c r="L834" s="258" t="str">
        <f>IFERROR(__xludf.DUMMYFUNCTION("""COMPUTED_VALUE"""),"")</f>
        <v/>
      </c>
      <c r="M834" s="261">
        <f>IFERROR(__xludf.DUMMYFUNCTION("""COMPUTED_VALUE"""),204.0)</f>
        <v>204</v>
      </c>
      <c r="N834" s="262" t="str">
        <f>IFERROR(__xludf.DUMMYFUNCTION("""COMPUTED_VALUE"""),"")</f>
        <v/>
      </c>
      <c r="O834" s="259" t="str">
        <f>IFERROR(__xludf.DUMMYFUNCTION("""COMPUTED_VALUE"""),"")</f>
        <v/>
      </c>
      <c r="P834" s="259">
        <f>IFERROR(__xludf.DUMMYFUNCTION("""COMPUTED_VALUE"""),43014.0)</f>
        <v>43014</v>
      </c>
      <c r="Q834" s="258">
        <f>IFERROR(__xludf.DUMMYFUNCTION("""COMPUTED_VALUE"""),112335.0)</f>
        <v>112335</v>
      </c>
      <c r="R834" s="261">
        <f>IFERROR(__xludf.DUMMYFUNCTION("""COMPUTED_VALUE"""),347.0)</f>
        <v>347</v>
      </c>
      <c r="S834" s="258">
        <v>360.0</v>
      </c>
      <c r="T834" s="263">
        <v>0.9638888888888889</v>
      </c>
      <c r="U834" s="264">
        <v>69802.0</v>
      </c>
      <c r="V834" s="265">
        <v>112335.0</v>
      </c>
      <c r="W834" s="264">
        <v>69802.0</v>
      </c>
      <c r="X834" s="266"/>
      <c r="Y834" s="267">
        <v>-0.01</v>
      </c>
      <c r="Z834" s="267">
        <v>0.9436941279896027</v>
      </c>
      <c r="AA834" s="269"/>
      <c r="AB834" s="270"/>
      <c r="AC834" s="270"/>
      <c r="AD834" s="270"/>
      <c r="AE834" s="270"/>
    </row>
    <row r="835">
      <c r="A835" s="256">
        <f>IFERROR(__xludf.DUMMYFUNCTION("""COMPUTED_VALUE"""),43070.643055555556)</f>
        <v>43070.64306</v>
      </c>
      <c r="B835" s="257" t="str">
        <f>IFERROR(__xludf.DUMMYFUNCTION("""COMPUTED_VALUE"""),"Juicer")</f>
        <v>Juicer</v>
      </c>
      <c r="C835" s="258" t="str">
        <f>IFERROR(__xludf.DUMMYFUNCTION("""COMPUTED_VALUE"""),"Europe (excluding UK) &amp; Asia Pacific")</f>
        <v>Europe (excluding UK) &amp; Asia Pacific</v>
      </c>
      <c r="D835" s="258" t="str">
        <f>IFERROR(__xludf.DUMMYFUNCTION("""COMPUTED_VALUE"""),"km. My car displays range in kilometres and I will enter all range numbers in kilometres.")</f>
        <v>km. My car displays range in kilometres and I will enter all range numbers in kilometres.</v>
      </c>
      <c r="E835" s="259">
        <f>IFERROR(__xludf.DUMMYFUNCTION("""COMPUTED_VALUE"""),42235.0)</f>
        <v>42235</v>
      </c>
      <c r="F835" s="258" t="str">
        <f>IFERROR(__xludf.DUMMYFUNCTION("""COMPUTED_VALUE"""),"Model S 70D")</f>
        <v>Model S 70D</v>
      </c>
      <c r="G835" s="258" t="str">
        <f>IFERROR(__xludf.DUMMYFUNCTION("""COMPUTED_VALUE"""),"Twice a week")</f>
        <v>Twice a week</v>
      </c>
      <c r="H835" s="258" t="str">
        <f>IFERROR(__xludf.DUMMYFUNCTION("""COMPUTED_VALUE"""),"A few times a year")</f>
        <v>A few times a year</v>
      </c>
      <c r="I835" s="258" t="str">
        <f>IFERROR(__xludf.DUMMYFUNCTION("""COMPUTED_VALUE"""),"A few times a year")</f>
        <v>A few times a year</v>
      </c>
      <c r="J835" s="260">
        <f>IFERROR(__xludf.DUMMYFUNCTION("""COMPUTED_VALUE"""),0.8)</f>
        <v>0.8</v>
      </c>
      <c r="K835" s="258">
        <f>IFERROR(__xludf.DUMMYFUNCTION("""COMPUTED_VALUE"""),360.0)</f>
        <v>360</v>
      </c>
      <c r="L835" s="258" t="str">
        <f>IFERROR(__xludf.DUMMYFUNCTION("""COMPUTED_VALUE"""),"")</f>
        <v/>
      </c>
      <c r="M835" s="261">
        <f>IFERROR(__xludf.DUMMYFUNCTION("""COMPUTED_VALUE"""),204.0)</f>
        <v>204</v>
      </c>
      <c r="N835" s="262" t="str">
        <f>IFERROR(__xludf.DUMMYFUNCTION("""COMPUTED_VALUE"""),"")</f>
        <v/>
      </c>
      <c r="O835" s="259" t="str">
        <f>IFERROR(__xludf.DUMMYFUNCTION("""COMPUTED_VALUE"""),"")</f>
        <v/>
      </c>
      <c r="P835" s="259">
        <f>IFERROR(__xludf.DUMMYFUNCTION("""COMPUTED_VALUE"""),43070.0)</f>
        <v>43070</v>
      </c>
      <c r="Q835" s="258">
        <f>IFERROR(__xludf.DUMMYFUNCTION("""COMPUTED_VALUE"""),119635.0)</f>
        <v>119635</v>
      </c>
      <c r="R835" s="261">
        <f>IFERROR(__xludf.DUMMYFUNCTION("""COMPUTED_VALUE"""),346.0)</f>
        <v>346</v>
      </c>
      <c r="S835" s="258">
        <v>360.0</v>
      </c>
      <c r="T835" s="263">
        <v>0.9611111111111111</v>
      </c>
      <c r="U835" s="264">
        <v>74338.0</v>
      </c>
      <c r="V835" s="265">
        <v>119635.0</v>
      </c>
      <c r="W835" s="264">
        <v>74338.0</v>
      </c>
      <c r="X835" s="266"/>
      <c r="Y835" s="267">
        <v>-0.01</v>
      </c>
      <c r="Z835" s="267">
        <v>0.9419950615675269</v>
      </c>
      <c r="AA835" s="269"/>
      <c r="AB835" s="270"/>
      <c r="AC835" s="270"/>
      <c r="AD835" s="270"/>
      <c r="AE835" s="270"/>
    </row>
    <row r="836">
      <c r="A836" s="256">
        <f>IFERROR(__xludf.DUMMYFUNCTION("""COMPUTED_VALUE"""),43120.67222222222)</f>
        <v>43120.67222</v>
      </c>
      <c r="B836" s="257" t="str">
        <f>IFERROR(__xludf.DUMMYFUNCTION("""COMPUTED_VALUE"""),"Juicer")</f>
        <v>Juicer</v>
      </c>
      <c r="C836" s="258" t="str">
        <f>IFERROR(__xludf.DUMMYFUNCTION("""COMPUTED_VALUE"""),"Europe (excluding UK) &amp; Asia Pacific")</f>
        <v>Europe (excluding UK) &amp; Asia Pacific</v>
      </c>
      <c r="D836" s="258" t="str">
        <f>IFERROR(__xludf.DUMMYFUNCTION("""COMPUTED_VALUE"""),"km. My car displays range in kilometres and I will enter all range numbers in kilometres.")</f>
        <v>km. My car displays range in kilometres and I will enter all range numbers in kilometres.</v>
      </c>
      <c r="E836" s="259">
        <f>IFERROR(__xludf.DUMMYFUNCTION("""COMPUTED_VALUE"""),42235.0)</f>
        <v>42235</v>
      </c>
      <c r="F836" s="258" t="str">
        <f>IFERROR(__xludf.DUMMYFUNCTION("""COMPUTED_VALUE"""),"Model S 70D")</f>
        <v>Model S 70D</v>
      </c>
      <c r="G836" s="258" t="str">
        <f>IFERROR(__xludf.DUMMYFUNCTION("""COMPUTED_VALUE"""),"Twice a week")</f>
        <v>Twice a week</v>
      </c>
      <c r="H836" s="258" t="str">
        <f>IFERROR(__xludf.DUMMYFUNCTION("""COMPUTED_VALUE"""),"A few times a year")</f>
        <v>A few times a year</v>
      </c>
      <c r="I836" s="258" t="str">
        <f>IFERROR(__xludf.DUMMYFUNCTION("""COMPUTED_VALUE"""),"A few times a year")</f>
        <v>A few times a year</v>
      </c>
      <c r="J836" s="260">
        <f>IFERROR(__xludf.DUMMYFUNCTION("""COMPUTED_VALUE"""),0.8)</f>
        <v>0.8</v>
      </c>
      <c r="K836" s="258">
        <f>IFERROR(__xludf.DUMMYFUNCTION("""COMPUTED_VALUE"""),360.0)</f>
        <v>360</v>
      </c>
      <c r="L836" s="258" t="str">
        <f>IFERROR(__xludf.DUMMYFUNCTION("""COMPUTED_VALUE"""),"")</f>
        <v/>
      </c>
      <c r="M836" s="261">
        <f>IFERROR(__xludf.DUMMYFUNCTION("""COMPUTED_VALUE"""),204.0)</f>
        <v>204</v>
      </c>
      <c r="N836" s="262" t="str">
        <f>IFERROR(__xludf.DUMMYFUNCTION("""COMPUTED_VALUE"""),"")</f>
        <v/>
      </c>
      <c r="O836" s="259" t="str">
        <f>IFERROR(__xludf.DUMMYFUNCTION("""COMPUTED_VALUE"""),"")</f>
        <v/>
      </c>
      <c r="P836" s="259">
        <f>IFERROR(__xludf.DUMMYFUNCTION("""COMPUTED_VALUE"""),43120.0)</f>
        <v>43120</v>
      </c>
      <c r="Q836" s="258">
        <f>IFERROR(__xludf.DUMMYFUNCTION("""COMPUTED_VALUE"""),127380.0)</f>
        <v>127380</v>
      </c>
      <c r="R836" s="261">
        <f>IFERROR(__xludf.DUMMYFUNCTION("""COMPUTED_VALUE"""),346.0)</f>
        <v>346</v>
      </c>
      <c r="S836" s="258">
        <v>360.0</v>
      </c>
      <c r="T836" s="263">
        <v>0.9611111111111111</v>
      </c>
      <c r="U836" s="264">
        <v>79150.0</v>
      </c>
      <c r="V836" s="265">
        <v>127380.0</v>
      </c>
      <c r="W836" s="264">
        <v>79150.0</v>
      </c>
      <c r="X836" s="266"/>
      <c r="Y836" s="267">
        <v>-0.01</v>
      </c>
      <c r="Z836" s="267">
        <v>0.9401981788304229</v>
      </c>
      <c r="AA836" s="269"/>
      <c r="AB836" s="270"/>
      <c r="AC836" s="270"/>
      <c r="AD836" s="270"/>
      <c r="AE836" s="270"/>
    </row>
    <row r="837">
      <c r="A837" s="256">
        <f>IFERROR(__xludf.DUMMYFUNCTION("""COMPUTED_VALUE"""),43202.72222222222)</f>
        <v>43202.72222</v>
      </c>
      <c r="B837" s="257" t="str">
        <f>IFERROR(__xludf.DUMMYFUNCTION("""COMPUTED_VALUE"""),"Juicer")</f>
        <v>Juicer</v>
      </c>
      <c r="C837" s="258" t="str">
        <f>IFERROR(__xludf.DUMMYFUNCTION("""COMPUTED_VALUE"""),"Europe (excluding UK) &amp; Asia Pacific")</f>
        <v>Europe (excluding UK) &amp; Asia Pacific</v>
      </c>
      <c r="D837" s="258" t="str">
        <f>IFERROR(__xludf.DUMMYFUNCTION("""COMPUTED_VALUE"""),"km. My car displays range in kilometres and I will enter all range numbers in kilometres.")</f>
        <v>km. My car displays range in kilometres and I will enter all range numbers in kilometres.</v>
      </c>
      <c r="E837" s="259">
        <f>IFERROR(__xludf.DUMMYFUNCTION("""COMPUTED_VALUE"""),42235.0)</f>
        <v>42235</v>
      </c>
      <c r="F837" s="258" t="str">
        <f>IFERROR(__xludf.DUMMYFUNCTION("""COMPUTED_VALUE"""),"Model S 70D")</f>
        <v>Model S 70D</v>
      </c>
      <c r="G837" s="258" t="str">
        <f>IFERROR(__xludf.DUMMYFUNCTION("""COMPUTED_VALUE"""),"Twice a week")</f>
        <v>Twice a week</v>
      </c>
      <c r="H837" s="258" t="str">
        <f>IFERROR(__xludf.DUMMYFUNCTION("""COMPUTED_VALUE"""),"A few times a year")</f>
        <v>A few times a year</v>
      </c>
      <c r="I837" s="258" t="str">
        <f>IFERROR(__xludf.DUMMYFUNCTION("""COMPUTED_VALUE"""),"A few times a year")</f>
        <v>A few times a year</v>
      </c>
      <c r="J837" s="260">
        <f>IFERROR(__xludf.DUMMYFUNCTION("""COMPUTED_VALUE"""),0.8)</f>
        <v>0.8</v>
      </c>
      <c r="K837" s="258">
        <f>IFERROR(__xludf.DUMMYFUNCTION("""COMPUTED_VALUE"""),360.0)</f>
        <v>360</v>
      </c>
      <c r="L837" s="258" t="str">
        <f>IFERROR(__xludf.DUMMYFUNCTION("""COMPUTED_VALUE"""),"")</f>
        <v/>
      </c>
      <c r="M837" s="261">
        <f>IFERROR(__xludf.DUMMYFUNCTION("""COMPUTED_VALUE"""),207.0)</f>
        <v>207</v>
      </c>
      <c r="N837" s="262" t="str">
        <f>IFERROR(__xludf.DUMMYFUNCTION("""COMPUTED_VALUE"""),"")</f>
        <v/>
      </c>
      <c r="O837" s="259" t="str">
        <f>IFERROR(__xludf.DUMMYFUNCTION("""COMPUTED_VALUE"""),"")</f>
        <v/>
      </c>
      <c r="P837" s="259">
        <f>IFERROR(__xludf.DUMMYFUNCTION("""COMPUTED_VALUE"""),43202.0)</f>
        <v>43202</v>
      </c>
      <c r="Q837" s="258">
        <f>IFERROR(__xludf.DUMMYFUNCTION("""COMPUTED_VALUE"""),138550.0)</f>
        <v>138550</v>
      </c>
      <c r="R837" s="261">
        <f>IFERROR(__xludf.DUMMYFUNCTION("""COMPUTED_VALUE"""),345.0)</f>
        <v>345</v>
      </c>
      <c r="S837" s="258">
        <v>360.0</v>
      </c>
      <c r="T837" s="263">
        <v>0.9583333333333334</v>
      </c>
      <c r="U837" s="264">
        <v>86091.0</v>
      </c>
      <c r="V837" s="265">
        <v>138550.0</v>
      </c>
      <c r="W837" s="264">
        <v>86091.0</v>
      </c>
      <c r="X837" s="266"/>
      <c r="Y837" s="267">
        <v>-0.01</v>
      </c>
      <c r="Z837" s="267">
        <v>0.9376130156582133</v>
      </c>
      <c r="AA837" s="269"/>
      <c r="AB837" s="270"/>
      <c r="AC837" s="270"/>
      <c r="AD837" s="270"/>
      <c r="AE837" s="270"/>
    </row>
    <row r="838">
      <c r="A838" s="256">
        <f>IFERROR(__xludf.DUMMYFUNCTION("""COMPUTED_VALUE"""),42850.89444444445)</f>
        <v>42850.89444</v>
      </c>
      <c r="B838" s="257" t="str">
        <f>IFERROR(__xludf.DUMMYFUNCTION("""COMPUTED_VALUE"""),"Justin")</f>
        <v>Justin</v>
      </c>
      <c r="C838" s="258" t="str">
        <f>IFERROR(__xludf.DUMMYFUNCTION("""COMPUTED_VALUE"""),"UK")</f>
        <v>UK</v>
      </c>
      <c r="D838" s="258" t="str">
        <f>IFERROR(__xludf.DUMMYFUNCTION("""COMPUTED_VALUE"""),"mi. My car displays range in miles and I will enter all range numbers in miles.")</f>
        <v>mi. My car displays range in miles and I will enter all range numbers in miles.</v>
      </c>
      <c r="E838" s="259">
        <f>IFERROR(__xludf.DUMMYFUNCTION("""COMPUTED_VALUE"""),42375.0)</f>
        <v>42375</v>
      </c>
      <c r="F838" s="258" t="str">
        <f>IFERROR(__xludf.DUMMYFUNCTION("""COMPUTED_VALUE"""),"Model S 85D")</f>
        <v>Model S 85D</v>
      </c>
      <c r="G838" s="258" t="str">
        <f>IFERROR(__xludf.DUMMYFUNCTION("""COMPUTED_VALUE"""),"Weekly")</f>
        <v>Weekly</v>
      </c>
      <c r="H838" s="258" t="str">
        <f>IFERROR(__xludf.DUMMYFUNCTION("""COMPUTED_VALUE"""),"Never")</f>
        <v>Never</v>
      </c>
      <c r="I838" s="258" t="str">
        <f>IFERROR(__xludf.DUMMYFUNCTION("""COMPUTED_VALUE"""),"Never")</f>
        <v>Never</v>
      </c>
      <c r="J838" s="260">
        <f>IFERROR(__xludf.DUMMYFUNCTION("""COMPUTED_VALUE"""),0.8)</f>
        <v>0.8</v>
      </c>
      <c r="K838" s="258" t="str">
        <f>IFERROR(__xludf.DUMMYFUNCTION("""COMPUTED_VALUE"""),"")</f>
        <v/>
      </c>
      <c r="L838" s="258" t="str">
        <f>IFERROR(__xludf.DUMMYFUNCTION("""COMPUTED_VALUE"""),"")</f>
        <v/>
      </c>
      <c r="M838" s="261">
        <f>IFERROR(__xludf.DUMMYFUNCTION("""COMPUTED_VALUE"""),320.0)</f>
        <v>320</v>
      </c>
      <c r="N838" s="262" t="str">
        <f>IFERROR(__xludf.DUMMYFUNCTION("""COMPUTED_VALUE"""),"")</f>
        <v/>
      </c>
      <c r="O838" s="259" t="str">
        <f>IFERROR(__xludf.DUMMYFUNCTION("""COMPUTED_VALUE"""),"")</f>
        <v/>
      </c>
      <c r="P838" s="259">
        <f>IFERROR(__xludf.DUMMYFUNCTION("""COMPUTED_VALUE"""),42850.0)</f>
        <v>42850</v>
      </c>
      <c r="Q838" s="258">
        <f>IFERROR(__xludf.DUMMYFUNCTION("""COMPUTED_VALUE"""),49129.0)</f>
        <v>49129</v>
      </c>
      <c r="R838" s="261">
        <f>IFERROR(__xludf.DUMMYFUNCTION("""COMPUTED_VALUE"""),266.0)</f>
        <v>266</v>
      </c>
      <c r="S838" s="258">
        <v>264.0</v>
      </c>
      <c r="T838" s="263">
        <v>1.0075757575757576</v>
      </c>
      <c r="U838" s="264">
        <v>49129.0</v>
      </c>
      <c r="V838" s="265">
        <v>79065.0</v>
      </c>
      <c r="W838" s="264">
        <v>49129.0</v>
      </c>
      <c r="X838" s="266"/>
      <c r="Y838" s="267">
        <v>-0.01</v>
      </c>
      <c r="Z838" s="267">
        <v>0.9516303531846738</v>
      </c>
      <c r="AA838" s="269"/>
      <c r="AB838" s="270"/>
      <c r="AC838" s="270"/>
      <c r="AD838" s="270"/>
      <c r="AE838" s="270"/>
    </row>
    <row r="839">
      <c r="A839" s="256">
        <f>IFERROR(__xludf.DUMMYFUNCTION("""COMPUTED_VALUE"""),42069.08125)</f>
        <v>42069.08125</v>
      </c>
      <c r="B839" s="257" t="str">
        <f>IFERROR(__xludf.DUMMYFUNCTION("""COMPUTED_VALUE"""),"justroll")</f>
        <v>justroll</v>
      </c>
      <c r="C839" s="258" t="str">
        <f>IFERROR(__xludf.DUMMYFUNCTION("""COMPUTED_VALUE"""),"Europe (excluding UK) &amp; Asia Pacific")</f>
        <v>Europe (excluding UK) &amp; Asia Pacific</v>
      </c>
      <c r="D839" s="258" t="str">
        <f>IFERROR(__xludf.DUMMYFUNCTION("""COMPUTED_VALUE"""),"km. My car displays range in kilometres and I will enter all range numbers in kilometres.")</f>
        <v>km. My car displays range in kilometres and I will enter all range numbers in kilometres.</v>
      </c>
      <c r="E839" s="259">
        <f>IFERROR(__xludf.DUMMYFUNCTION("""COMPUTED_VALUE"""),41927.0)</f>
        <v>41927</v>
      </c>
      <c r="F839" s="258" t="str">
        <f>IFERROR(__xludf.DUMMYFUNCTION("""COMPUTED_VALUE"""),"Model S 85")</f>
        <v>Model S 85</v>
      </c>
      <c r="G839" s="258" t="str">
        <f>IFERROR(__xludf.DUMMYFUNCTION("""COMPUTED_VALUE"""),"Twice a week")</f>
        <v>Twice a week</v>
      </c>
      <c r="H839" s="258" t="str">
        <f>IFERROR(__xludf.DUMMYFUNCTION("""COMPUTED_VALUE"""),"Twice a week")</f>
        <v>Twice a week</v>
      </c>
      <c r="I839" s="258" t="str">
        <f>IFERROR(__xludf.DUMMYFUNCTION("""COMPUTED_VALUE"""),"Never")</f>
        <v>Never</v>
      </c>
      <c r="J839" s="260" t="str">
        <f>IFERROR(__xludf.DUMMYFUNCTION("""COMPUTED_VALUE"""),"")</f>
        <v/>
      </c>
      <c r="K839" s="258" t="str">
        <f>IFERROR(__xludf.DUMMYFUNCTION("""COMPUTED_VALUE"""),"")</f>
        <v/>
      </c>
      <c r="L839" s="258" t="str">
        <f>IFERROR(__xludf.DUMMYFUNCTION("""COMPUTED_VALUE"""),"")</f>
        <v/>
      </c>
      <c r="M839" s="261">
        <f>IFERROR(__xludf.DUMMYFUNCTION("""COMPUTED_VALUE"""),242.0)</f>
        <v>242</v>
      </c>
      <c r="N839" s="262" t="str">
        <f>IFERROR(__xludf.DUMMYFUNCTION("""COMPUTED_VALUE"""),"")</f>
        <v/>
      </c>
      <c r="O839" s="259" t="str">
        <f>IFERROR(__xludf.DUMMYFUNCTION("""COMPUTED_VALUE"""),"")</f>
        <v/>
      </c>
      <c r="P839" s="259">
        <f>IFERROR(__xludf.DUMMYFUNCTION("""COMPUTED_VALUE"""),42069.0)</f>
        <v>42069</v>
      </c>
      <c r="Q839" s="258">
        <f>IFERROR(__xludf.DUMMYFUNCTION("""COMPUTED_VALUE"""),649.0)</f>
        <v>649</v>
      </c>
      <c r="R839" s="261">
        <f>IFERROR(__xludf.DUMMYFUNCTION("""COMPUTED_VALUE"""),393.0)</f>
        <v>393</v>
      </c>
      <c r="S839" s="258">
        <v>395.0</v>
      </c>
      <c r="T839" s="263">
        <v>0.9949367088607595</v>
      </c>
      <c r="U839" s="264">
        <v>403.0</v>
      </c>
      <c r="V839" s="265">
        <v>649.0</v>
      </c>
      <c r="W839" s="264">
        <v>403.0</v>
      </c>
      <c r="X839" s="266"/>
      <c r="Y839" s="267">
        <v>-0.01</v>
      </c>
      <c r="Z839" s="267">
        <v>0.9987231117832294</v>
      </c>
      <c r="AA839" s="269"/>
      <c r="AB839" s="270"/>
      <c r="AC839" s="270"/>
      <c r="AD839" s="270"/>
      <c r="AE839" s="270"/>
    </row>
    <row r="840">
      <c r="A840" s="256">
        <f>IFERROR(__xludf.DUMMYFUNCTION("""COMPUTED_VALUE"""),42092.089583333334)</f>
        <v>42092.08958</v>
      </c>
      <c r="B840" s="257" t="str">
        <f>IFERROR(__xludf.DUMMYFUNCTION("""COMPUTED_VALUE"""),"justroll")</f>
        <v>justroll</v>
      </c>
      <c r="C840" s="258" t="str">
        <f>IFERROR(__xludf.DUMMYFUNCTION("""COMPUTED_VALUE"""),"Europe (excluding UK) &amp; Asia Pacific")</f>
        <v>Europe (excluding UK) &amp; Asia Pacific</v>
      </c>
      <c r="D840" s="258" t="str">
        <f>IFERROR(__xludf.DUMMYFUNCTION("""COMPUTED_VALUE"""),"km. My car displays range in kilometres and I will enter all range numbers in kilometres.")</f>
        <v>km. My car displays range in kilometres and I will enter all range numbers in kilometres.</v>
      </c>
      <c r="E840" s="259">
        <f>IFERROR(__xludf.DUMMYFUNCTION("""COMPUTED_VALUE"""),41927.0)</f>
        <v>41927</v>
      </c>
      <c r="F840" s="258" t="str">
        <f>IFERROR(__xludf.DUMMYFUNCTION("""COMPUTED_VALUE"""),"Model S 85")</f>
        <v>Model S 85</v>
      </c>
      <c r="G840" s="258" t="str">
        <f>IFERROR(__xludf.DUMMYFUNCTION("""COMPUTED_VALUE"""),"Twice a week")</f>
        <v>Twice a week</v>
      </c>
      <c r="H840" s="258" t="str">
        <f>IFERROR(__xludf.DUMMYFUNCTION("""COMPUTED_VALUE"""),"Twice a month")</f>
        <v>Twice a month</v>
      </c>
      <c r="I840" s="258" t="str">
        <f>IFERROR(__xludf.DUMMYFUNCTION("""COMPUTED_VALUE"""),"Never")</f>
        <v>Never</v>
      </c>
      <c r="J840" s="260" t="str">
        <f>IFERROR(__xludf.DUMMYFUNCTION("""COMPUTED_VALUE"""),"")</f>
        <v/>
      </c>
      <c r="K840" s="258" t="str">
        <f>IFERROR(__xludf.DUMMYFUNCTION("""COMPUTED_VALUE"""),"")</f>
        <v/>
      </c>
      <c r="L840" s="258" t="str">
        <f>IFERROR(__xludf.DUMMYFUNCTION("""COMPUTED_VALUE"""),"")</f>
        <v/>
      </c>
      <c r="M840" s="261">
        <f>IFERROR(__xludf.DUMMYFUNCTION("""COMPUTED_VALUE"""),242.0)</f>
        <v>242</v>
      </c>
      <c r="N840" s="262" t="str">
        <f>IFERROR(__xludf.DUMMYFUNCTION("""COMPUTED_VALUE"""),"")</f>
        <v/>
      </c>
      <c r="O840" s="259" t="str">
        <f>IFERROR(__xludf.DUMMYFUNCTION("""COMPUTED_VALUE"""),"")</f>
        <v/>
      </c>
      <c r="P840" s="259">
        <f>IFERROR(__xludf.DUMMYFUNCTION("""COMPUTED_VALUE"""),42092.0)</f>
        <v>42092</v>
      </c>
      <c r="Q840" s="258">
        <f>IFERROR(__xludf.DUMMYFUNCTION("""COMPUTED_VALUE"""),5249.0)</f>
        <v>5249</v>
      </c>
      <c r="R840" s="261">
        <f>IFERROR(__xludf.DUMMYFUNCTION("""COMPUTED_VALUE"""),393.0)</f>
        <v>393</v>
      </c>
      <c r="S840" s="258">
        <v>395.0</v>
      </c>
      <c r="T840" s="263">
        <v>0.9949367088607595</v>
      </c>
      <c r="U840" s="264">
        <v>3262.0</v>
      </c>
      <c r="V840" s="265">
        <v>5249.0</v>
      </c>
      <c r="W840" s="264">
        <v>3262.0</v>
      </c>
      <c r="X840" s="266"/>
      <c r="Y840" s="267">
        <v>-0.01</v>
      </c>
      <c r="Z840" s="267">
        <v>0.9907833235915171</v>
      </c>
      <c r="AA840" s="269"/>
      <c r="AB840" s="270"/>
      <c r="AC840" s="270"/>
      <c r="AD840" s="270"/>
      <c r="AE840" s="270"/>
    </row>
    <row r="841">
      <c r="A841" s="256">
        <f>IFERROR(__xludf.DUMMYFUNCTION("""COMPUTED_VALUE"""),42105.09305555555)</f>
        <v>42105.09306</v>
      </c>
      <c r="B841" s="257" t="str">
        <f>IFERROR(__xludf.DUMMYFUNCTION("""COMPUTED_VALUE"""),"justroll")</f>
        <v>justroll</v>
      </c>
      <c r="C841" s="258" t="str">
        <f>IFERROR(__xludf.DUMMYFUNCTION("""COMPUTED_VALUE"""),"Europe (excluding UK) &amp; Asia Pacific")</f>
        <v>Europe (excluding UK) &amp; Asia Pacific</v>
      </c>
      <c r="D841" s="258" t="str">
        <f>IFERROR(__xludf.DUMMYFUNCTION("""COMPUTED_VALUE"""),"km. My car displays range in kilometres and I will enter all range numbers in kilometres.")</f>
        <v>km. My car displays range in kilometres and I will enter all range numbers in kilometres.</v>
      </c>
      <c r="E841" s="259">
        <f>IFERROR(__xludf.DUMMYFUNCTION("""COMPUTED_VALUE"""),41927.0)</f>
        <v>41927</v>
      </c>
      <c r="F841" s="258" t="str">
        <f>IFERROR(__xludf.DUMMYFUNCTION("""COMPUTED_VALUE"""),"Model S 85")</f>
        <v>Model S 85</v>
      </c>
      <c r="G841" s="258" t="str">
        <f>IFERROR(__xludf.DUMMYFUNCTION("""COMPUTED_VALUE"""),"Twice a week")</f>
        <v>Twice a week</v>
      </c>
      <c r="H841" s="258" t="str">
        <f>IFERROR(__xludf.DUMMYFUNCTION("""COMPUTED_VALUE"""),"Weekly")</f>
        <v>Weekly</v>
      </c>
      <c r="I841" s="258" t="str">
        <f>IFERROR(__xludf.DUMMYFUNCTION("""COMPUTED_VALUE"""),"Never")</f>
        <v>Never</v>
      </c>
      <c r="J841" s="260" t="str">
        <f>IFERROR(__xludf.DUMMYFUNCTION("""COMPUTED_VALUE"""),"")</f>
        <v/>
      </c>
      <c r="K841" s="258" t="str">
        <f>IFERROR(__xludf.DUMMYFUNCTION("""COMPUTED_VALUE"""),"")</f>
        <v/>
      </c>
      <c r="L841" s="258" t="str">
        <f>IFERROR(__xludf.DUMMYFUNCTION("""COMPUTED_VALUE"""),"")</f>
        <v/>
      </c>
      <c r="M841" s="261">
        <f>IFERROR(__xludf.DUMMYFUNCTION("""COMPUTED_VALUE"""),232.0)</f>
        <v>232</v>
      </c>
      <c r="N841" s="262" t="str">
        <f>IFERROR(__xludf.DUMMYFUNCTION("""COMPUTED_VALUE"""),"")</f>
        <v/>
      </c>
      <c r="O841" s="259" t="str">
        <f>IFERROR(__xludf.DUMMYFUNCTION("""COMPUTED_VALUE"""),"")</f>
        <v/>
      </c>
      <c r="P841" s="259">
        <f>IFERROR(__xludf.DUMMYFUNCTION("""COMPUTED_VALUE"""),42105.0)</f>
        <v>42105</v>
      </c>
      <c r="Q841" s="258">
        <f>IFERROR(__xludf.DUMMYFUNCTION("""COMPUTED_VALUE"""),8249.0)</f>
        <v>8249</v>
      </c>
      <c r="R841" s="261">
        <f>IFERROR(__xludf.DUMMYFUNCTION("""COMPUTED_VALUE"""),393.0)</f>
        <v>393</v>
      </c>
      <c r="S841" s="258">
        <v>395.0</v>
      </c>
      <c r="T841" s="263">
        <v>0.9949367088607595</v>
      </c>
      <c r="U841" s="264">
        <v>5126.0</v>
      </c>
      <c r="V841" s="265">
        <v>8249.0</v>
      </c>
      <c r="W841" s="264">
        <v>5126.0</v>
      </c>
      <c r="X841" s="266"/>
      <c r="Y841" s="267">
        <v>-0.01</v>
      </c>
      <c r="Z841" s="267">
        <v>0.9865006346117754</v>
      </c>
      <c r="AA841" s="269"/>
      <c r="AB841" s="270"/>
      <c r="AC841" s="270"/>
      <c r="AD841" s="270"/>
      <c r="AE841" s="270"/>
    </row>
    <row r="842">
      <c r="A842" s="256">
        <f>IFERROR(__xludf.DUMMYFUNCTION("""COMPUTED_VALUE"""),42123.10763888889)</f>
        <v>42123.10764</v>
      </c>
      <c r="B842" s="257" t="str">
        <f>IFERROR(__xludf.DUMMYFUNCTION("""COMPUTED_VALUE"""),"justroll")</f>
        <v>justroll</v>
      </c>
      <c r="C842" s="258" t="str">
        <f>IFERROR(__xludf.DUMMYFUNCTION("""COMPUTED_VALUE"""),"Europe (excluding UK) &amp; Asia Pacific")</f>
        <v>Europe (excluding UK) &amp; Asia Pacific</v>
      </c>
      <c r="D842" s="258" t="str">
        <f>IFERROR(__xludf.DUMMYFUNCTION("""COMPUTED_VALUE"""),"km. My car displays range in kilometres and I will enter all range numbers in kilometres.")</f>
        <v>km. My car displays range in kilometres and I will enter all range numbers in kilometres.</v>
      </c>
      <c r="E842" s="259">
        <f>IFERROR(__xludf.DUMMYFUNCTION("""COMPUTED_VALUE"""),41927.0)</f>
        <v>41927</v>
      </c>
      <c r="F842" s="258" t="str">
        <f>IFERROR(__xludf.DUMMYFUNCTION("""COMPUTED_VALUE"""),"Model S 85")</f>
        <v>Model S 85</v>
      </c>
      <c r="G842" s="258" t="str">
        <f>IFERROR(__xludf.DUMMYFUNCTION("""COMPUTED_VALUE"""),"Twice a week")</f>
        <v>Twice a week</v>
      </c>
      <c r="H842" s="258" t="str">
        <f>IFERROR(__xludf.DUMMYFUNCTION("""COMPUTED_VALUE"""),"Monthly")</f>
        <v>Monthly</v>
      </c>
      <c r="I842" s="258" t="str">
        <f>IFERROR(__xludf.DUMMYFUNCTION("""COMPUTED_VALUE"""),"Twice a month")</f>
        <v>Twice a month</v>
      </c>
      <c r="J842" s="260" t="str">
        <f>IFERROR(__xludf.DUMMYFUNCTION("""COMPUTED_VALUE"""),"")</f>
        <v/>
      </c>
      <c r="K842" s="258" t="str">
        <f>IFERROR(__xludf.DUMMYFUNCTION("""COMPUTED_VALUE"""),"")</f>
        <v/>
      </c>
      <c r="L842" s="258" t="str">
        <f>IFERROR(__xludf.DUMMYFUNCTION("""COMPUTED_VALUE"""),"")</f>
        <v/>
      </c>
      <c r="M842" s="261">
        <f>IFERROR(__xludf.DUMMYFUNCTION("""COMPUTED_VALUE"""),228.0)</f>
        <v>228</v>
      </c>
      <c r="N842" s="262" t="str">
        <f>IFERROR(__xludf.DUMMYFUNCTION("""COMPUTED_VALUE"""),"")</f>
        <v/>
      </c>
      <c r="O842" s="259" t="str">
        <f>IFERROR(__xludf.DUMMYFUNCTION("""COMPUTED_VALUE"""),"")</f>
        <v/>
      </c>
      <c r="P842" s="259">
        <f>IFERROR(__xludf.DUMMYFUNCTION("""COMPUTED_VALUE"""),42123.0)</f>
        <v>42123</v>
      </c>
      <c r="Q842" s="258">
        <f>IFERROR(__xludf.DUMMYFUNCTION("""COMPUTED_VALUE"""),11234.0)</f>
        <v>11234</v>
      </c>
      <c r="R842" s="261">
        <f>IFERROR(__xludf.DUMMYFUNCTION("""COMPUTED_VALUE"""),389.0)</f>
        <v>389</v>
      </c>
      <c r="S842" s="258">
        <v>395.0</v>
      </c>
      <c r="T842" s="263">
        <v>0.9848101265822785</v>
      </c>
      <c r="U842" s="264">
        <v>6980.0</v>
      </c>
      <c r="V842" s="265">
        <v>11234.0</v>
      </c>
      <c r="W842" s="264">
        <v>6980.0</v>
      </c>
      <c r="X842" s="266"/>
      <c r="Y842" s="267">
        <v>-0.01</v>
      </c>
      <c r="Z842" s="267">
        <v>0.9828099309722164</v>
      </c>
      <c r="AA842" s="269"/>
      <c r="AB842" s="270"/>
      <c r="AC842" s="270"/>
      <c r="AD842" s="270"/>
      <c r="AE842" s="270"/>
    </row>
    <row r="843">
      <c r="A843" s="256">
        <f>IFERROR(__xludf.DUMMYFUNCTION("""COMPUTED_VALUE"""),42151.125)</f>
        <v>42151.125</v>
      </c>
      <c r="B843" s="257" t="str">
        <f>IFERROR(__xludf.DUMMYFUNCTION("""COMPUTED_VALUE"""),"justroll")</f>
        <v>justroll</v>
      </c>
      <c r="C843" s="258" t="str">
        <f>IFERROR(__xludf.DUMMYFUNCTION("""COMPUTED_VALUE"""),"Europe (excluding UK) &amp; Asia Pacific")</f>
        <v>Europe (excluding UK) &amp; Asia Pacific</v>
      </c>
      <c r="D843" s="258" t="str">
        <f>IFERROR(__xludf.DUMMYFUNCTION("""COMPUTED_VALUE"""),"km. My car displays range in kilometres and I will enter all range numbers in kilometres.")</f>
        <v>km. My car displays range in kilometres and I will enter all range numbers in kilometres.</v>
      </c>
      <c r="E843" s="259">
        <f>IFERROR(__xludf.DUMMYFUNCTION("""COMPUTED_VALUE"""),41927.0)</f>
        <v>41927</v>
      </c>
      <c r="F843" s="258" t="str">
        <f>IFERROR(__xludf.DUMMYFUNCTION("""COMPUTED_VALUE"""),"Model S 85")</f>
        <v>Model S 85</v>
      </c>
      <c r="G843" s="258" t="str">
        <f>IFERROR(__xludf.DUMMYFUNCTION("""COMPUTED_VALUE"""),"Twice a week")</f>
        <v>Twice a week</v>
      </c>
      <c r="H843" s="258" t="str">
        <f>IFERROR(__xludf.DUMMYFUNCTION("""COMPUTED_VALUE"""),"Monthly")</f>
        <v>Monthly</v>
      </c>
      <c r="I843" s="258" t="str">
        <f>IFERROR(__xludf.DUMMYFUNCTION("""COMPUTED_VALUE"""),"A few times a year")</f>
        <v>A few times a year</v>
      </c>
      <c r="J843" s="260">
        <f>IFERROR(__xludf.DUMMYFUNCTION("""COMPUTED_VALUE"""),0.9)</f>
        <v>0.9</v>
      </c>
      <c r="K843" s="258" t="str">
        <f>IFERROR(__xludf.DUMMYFUNCTION("""COMPUTED_VALUE"""),"")</f>
        <v/>
      </c>
      <c r="L843" s="258" t="str">
        <f>IFERROR(__xludf.DUMMYFUNCTION("""COMPUTED_VALUE"""),"")</f>
        <v/>
      </c>
      <c r="M843" s="261">
        <f>IFERROR(__xludf.DUMMYFUNCTION("""COMPUTED_VALUE"""),225.0)</f>
        <v>225</v>
      </c>
      <c r="N843" s="262" t="str">
        <f>IFERROR(__xludf.DUMMYFUNCTION("""COMPUTED_VALUE"""),"")</f>
        <v/>
      </c>
      <c r="O843" s="259" t="str">
        <f>IFERROR(__xludf.DUMMYFUNCTION("""COMPUTED_VALUE"""),"")</f>
        <v/>
      </c>
      <c r="P843" s="259">
        <f>IFERROR(__xludf.DUMMYFUNCTION("""COMPUTED_VALUE"""),42151.0)</f>
        <v>42151</v>
      </c>
      <c r="Q843" s="258">
        <f>IFERROR(__xludf.DUMMYFUNCTION("""COMPUTED_VALUE"""),14472.0)</f>
        <v>14472</v>
      </c>
      <c r="R843" s="261">
        <f>IFERROR(__xludf.DUMMYFUNCTION("""COMPUTED_VALUE"""),386.0)</f>
        <v>386</v>
      </c>
      <c r="S843" s="258">
        <v>395.0</v>
      </c>
      <c r="T843" s="263">
        <v>0.9772151898734177</v>
      </c>
      <c r="U843" s="264">
        <v>8992.0</v>
      </c>
      <c r="V843" s="265">
        <v>14472.0</v>
      </c>
      <c r="W843" s="264">
        <v>8992.0</v>
      </c>
      <c r="X843" s="266"/>
      <c r="Y843" s="267">
        <v>-0.01</v>
      </c>
      <c r="Z843" s="267">
        <v>0.9793447343286769</v>
      </c>
      <c r="AA843" s="269"/>
      <c r="AB843" s="270"/>
      <c r="AC843" s="270"/>
      <c r="AD843" s="270"/>
      <c r="AE843" s="270"/>
    </row>
    <row r="844">
      <c r="A844" s="256">
        <f>IFERROR(__xludf.DUMMYFUNCTION("""COMPUTED_VALUE"""),42184.14166666666)</f>
        <v>42184.14167</v>
      </c>
      <c r="B844" s="257" t="str">
        <f>IFERROR(__xludf.DUMMYFUNCTION("""COMPUTED_VALUE"""),"justroll")</f>
        <v>justroll</v>
      </c>
      <c r="C844" s="258" t="str">
        <f>IFERROR(__xludf.DUMMYFUNCTION("""COMPUTED_VALUE"""),"Europe (excluding UK) &amp; Asia Pacific")</f>
        <v>Europe (excluding UK) &amp; Asia Pacific</v>
      </c>
      <c r="D844" s="258" t="str">
        <f>IFERROR(__xludf.DUMMYFUNCTION("""COMPUTED_VALUE"""),"km. My car displays range in kilometres and I will enter all range numbers in kilometres.")</f>
        <v>km. My car displays range in kilometres and I will enter all range numbers in kilometres.</v>
      </c>
      <c r="E844" s="259">
        <f>IFERROR(__xludf.DUMMYFUNCTION("""COMPUTED_VALUE"""),41927.0)</f>
        <v>41927</v>
      </c>
      <c r="F844" s="258" t="str">
        <f>IFERROR(__xludf.DUMMYFUNCTION("""COMPUTED_VALUE"""),"Model S 85")</f>
        <v>Model S 85</v>
      </c>
      <c r="G844" s="258" t="str">
        <f>IFERROR(__xludf.DUMMYFUNCTION("""COMPUTED_VALUE"""),"Weekly")</f>
        <v>Weekly</v>
      </c>
      <c r="H844" s="258" t="str">
        <f>IFERROR(__xludf.DUMMYFUNCTION("""COMPUTED_VALUE"""),"Monthly")</f>
        <v>Monthly</v>
      </c>
      <c r="I844" s="258" t="str">
        <f>IFERROR(__xludf.DUMMYFUNCTION("""COMPUTED_VALUE"""),"A few times a year")</f>
        <v>A few times a year</v>
      </c>
      <c r="J844" s="260">
        <f>IFERROR(__xludf.DUMMYFUNCTION("""COMPUTED_VALUE"""),0.8)</f>
        <v>0.8</v>
      </c>
      <c r="K844" s="258" t="str">
        <f>IFERROR(__xludf.DUMMYFUNCTION("""COMPUTED_VALUE"""),"")</f>
        <v/>
      </c>
      <c r="L844" s="258" t="str">
        <f>IFERROR(__xludf.DUMMYFUNCTION("""COMPUTED_VALUE"""),"")</f>
        <v/>
      </c>
      <c r="M844" s="261">
        <f>IFERROR(__xludf.DUMMYFUNCTION("""COMPUTED_VALUE"""),223.0)</f>
        <v>223</v>
      </c>
      <c r="N844" s="262" t="str">
        <f>IFERROR(__xludf.DUMMYFUNCTION("""COMPUTED_VALUE"""),"")</f>
        <v/>
      </c>
      <c r="O844" s="259" t="str">
        <f>IFERROR(__xludf.DUMMYFUNCTION("""COMPUTED_VALUE"""),"")</f>
        <v/>
      </c>
      <c r="P844" s="259">
        <f>IFERROR(__xludf.DUMMYFUNCTION("""COMPUTED_VALUE"""),42184.0)</f>
        <v>42184</v>
      </c>
      <c r="Q844" s="258">
        <f>IFERROR(__xludf.DUMMYFUNCTION("""COMPUTED_VALUE"""),18412.0)</f>
        <v>18412</v>
      </c>
      <c r="R844" s="261">
        <f>IFERROR(__xludf.DUMMYFUNCTION("""COMPUTED_VALUE"""),382.0)</f>
        <v>382</v>
      </c>
      <c r="S844" s="258">
        <v>395.0</v>
      </c>
      <c r="T844" s="263">
        <v>0.9670886075949368</v>
      </c>
      <c r="U844" s="264">
        <v>11441.0</v>
      </c>
      <c r="V844" s="265">
        <v>18412.0</v>
      </c>
      <c r="W844" s="264">
        <v>11441.0</v>
      </c>
      <c r="X844" s="266"/>
      <c r="Y844" s="267">
        <v>-0.01</v>
      </c>
      <c r="Z844" s="267">
        <v>0.9757493202105839</v>
      </c>
      <c r="AA844" s="269"/>
      <c r="AB844" s="270"/>
      <c r="AC844" s="270"/>
      <c r="AD844" s="270"/>
      <c r="AE844" s="270"/>
    </row>
    <row r="845">
      <c r="A845" s="256">
        <f>IFERROR(__xludf.DUMMYFUNCTION("""COMPUTED_VALUE"""),42224.15)</f>
        <v>42224.15</v>
      </c>
      <c r="B845" s="257" t="str">
        <f>IFERROR(__xludf.DUMMYFUNCTION("""COMPUTED_VALUE"""),"justroll")</f>
        <v>justroll</v>
      </c>
      <c r="C845" s="258" t="str">
        <f>IFERROR(__xludf.DUMMYFUNCTION("""COMPUTED_VALUE"""),"Europe (excluding UK) &amp; Asia Pacific")</f>
        <v>Europe (excluding UK) &amp; Asia Pacific</v>
      </c>
      <c r="D845" s="258" t="str">
        <f>IFERROR(__xludf.DUMMYFUNCTION("""COMPUTED_VALUE"""),"km. My car displays range in kilometres and I will enter all range numbers in kilometres.")</f>
        <v>km. My car displays range in kilometres and I will enter all range numbers in kilometres.</v>
      </c>
      <c r="E845" s="259">
        <f>IFERROR(__xludf.DUMMYFUNCTION("""COMPUTED_VALUE"""),41927.0)</f>
        <v>41927</v>
      </c>
      <c r="F845" s="258" t="str">
        <f>IFERROR(__xludf.DUMMYFUNCTION("""COMPUTED_VALUE"""),"Model S 85")</f>
        <v>Model S 85</v>
      </c>
      <c r="G845" s="258" t="str">
        <f>IFERROR(__xludf.DUMMYFUNCTION("""COMPUTED_VALUE"""),"Weekly")</f>
        <v>Weekly</v>
      </c>
      <c r="H845" s="258" t="str">
        <f>IFERROR(__xludf.DUMMYFUNCTION("""COMPUTED_VALUE"""),"Monthly")</f>
        <v>Monthly</v>
      </c>
      <c r="I845" s="258" t="str">
        <f>IFERROR(__xludf.DUMMYFUNCTION("""COMPUTED_VALUE"""),"A few times a year")</f>
        <v>A few times a year</v>
      </c>
      <c r="J845" s="260">
        <f>IFERROR(__xludf.DUMMYFUNCTION("""COMPUTED_VALUE"""),0.9)</f>
        <v>0.9</v>
      </c>
      <c r="K845" s="258">
        <f>IFERROR(__xludf.DUMMYFUNCTION("""COMPUTED_VALUE"""),393.0)</f>
        <v>393</v>
      </c>
      <c r="L845" s="258" t="str">
        <f>IFERROR(__xludf.DUMMYFUNCTION("""COMPUTED_VALUE"""),"")</f>
        <v/>
      </c>
      <c r="M845" s="261">
        <f>IFERROR(__xludf.DUMMYFUNCTION("""COMPUTED_VALUE"""),220.0)</f>
        <v>220</v>
      </c>
      <c r="N845" s="262" t="str">
        <f>IFERROR(__xludf.DUMMYFUNCTION("""COMPUTED_VALUE"""),"")</f>
        <v/>
      </c>
      <c r="O845" s="259" t="str">
        <f>IFERROR(__xludf.DUMMYFUNCTION("""COMPUTED_VALUE"""),"")</f>
        <v/>
      </c>
      <c r="P845" s="259">
        <f>IFERROR(__xludf.DUMMYFUNCTION("""COMPUTED_VALUE"""),42224.0)</f>
        <v>42224</v>
      </c>
      <c r="Q845" s="258">
        <f>IFERROR(__xludf.DUMMYFUNCTION("""COMPUTED_VALUE"""),25412.0)</f>
        <v>25412</v>
      </c>
      <c r="R845" s="261">
        <f>IFERROR(__xludf.DUMMYFUNCTION("""COMPUTED_VALUE"""),381.0)</f>
        <v>381</v>
      </c>
      <c r="S845" s="258">
        <v>395.0</v>
      </c>
      <c r="T845" s="263">
        <v>0.9645569620253165</v>
      </c>
      <c r="U845" s="264">
        <v>15790.0</v>
      </c>
      <c r="V845" s="265">
        <v>25412.0</v>
      </c>
      <c r="W845" s="264">
        <v>15790.0</v>
      </c>
      <c r="X845" s="266"/>
      <c r="Y845" s="267">
        <v>-0.01</v>
      </c>
      <c r="Z845" s="267">
        <v>0.9706454493656518</v>
      </c>
      <c r="AA845" s="269"/>
      <c r="AB845" s="270"/>
      <c r="AC845" s="270"/>
      <c r="AD845" s="270"/>
      <c r="AE845" s="270"/>
    </row>
    <row r="846">
      <c r="A846" s="256">
        <f>IFERROR(__xludf.DUMMYFUNCTION("""COMPUTED_VALUE"""),42262.179861111115)</f>
        <v>42262.17986</v>
      </c>
      <c r="B846" s="257" t="str">
        <f>IFERROR(__xludf.DUMMYFUNCTION("""COMPUTED_VALUE"""),"justroll")</f>
        <v>justroll</v>
      </c>
      <c r="C846" s="258" t="str">
        <f>IFERROR(__xludf.DUMMYFUNCTION("""COMPUTED_VALUE"""),"Europe (excluding UK) &amp; Asia Pacific")</f>
        <v>Europe (excluding UK) &amp; Asia Pacific</v>
      </c>
      <c r="D846" s="258" t="str">
        <f>IFERROR(__xludf.DUMMYFUNCTION("""COMPUTED_VALUE"""),"km. My car displays range in kilometres and I will enter all range numbers in kilometres.")</f>
        <v>km. My car displays range in kilometres and I will enter all range numbers in kilometres.</v>
      </c>
      <c r="E846" s="259">
        <f>IFERROR(__xludf.DUMMYFUNCTION("""COMPUTED_VALUE"""),41927.0)</f>
        <v>41927</v>
      </c>
      <c r="F846" s="258" t="str">
        <f>IFERROR(__xludf.DUMMYFUNCTION("""COMPUTED_VALUE"""),"Model S 85")</f>
        <v>Model S 85</v>
      </c>
      <c r="G846" s="258" t="str">
        <f>IFERROR(__xludf.DUMMYFUNCTION("""COMPUTED_VALUE"""),"Twice a week")</f>
        <v>Twice a week</v>
      </c>
      <c r="H846" s="258" t="str">
        <f>IFERROR(__xludf.DUMMYFUNCTION("""COMPUTED_VALUE"""),"A few times a year")</f>
        <v>A few times a year</v>
      </c>
      <c r="I846" s="258" t="str">
        <f>IFERROR(__xludf.DUMMYFUNCTION("""COMPUTED_VALUE"""),"Monthly")</f>
        <v>Monthly</v>
      </c>
      <c r="J846" s="260">
        <f>IFERROR(__xludf.DUMMYFUNCTION("""COMPUTED_VALUE"""),0.9)</f>
        <v>0.9</v>
      </c>
      <c r="K846" s="258" t="str">
        <f>IFERROR(__xludf.DUMMYFUNCTION("""COMPUTED_VALUE"""),"")</f>
        <v/>
      </c>
      <c r="L846" s="258" t="str">
        <f>IFERROR(__xludf.DUMMYFUNCTION("""COMPUTED_VALUE"""),"")</f>
        <v/>
      </c>
      <c r="M846" s="261">
        <f>IFERROR(__xludf.DUMMYFUNCTION("""COMPUTED_VALUE"""),218.0)</f>
        <v>218</v>
      </c>
      <c r="N846" s="262" t="str">
        <f>IFERROR(__xludf.DUMMYFUNCTION("""COMPUTED_VALUE"""),"")</f>
        <v/>
      </c>
      <c r="O846" s="259" t="str">
        <f>IFERROR(__xludf.DUMMYFUNCTION("""COMPUTED_VALUE"""),"")</f>
        <v/>
      </c>
      <c r="P846" s="259">
        <f>IFERROR(__xludf.DUMMYFUNCTION("""COMPUTED_VALUE"""),42262.0)</f>
        <v>42262</v>
      </c>
      <c r="Q846" s="258">
        <f>IFERROR(__xludf.DUMMYFUNCTION("""COMPUTED_VALUE"""),31712.0)</f>
        <v>31712</v>
      </c>
      <c r="R846" s="261">
        <f>IFERROR(__xludf.DUMMYFUNCTION("""COMPUTED_VALUE"""),378.0)</f>
        <v>378</v>
      </c>
      <c r="S846" s="258">
        <v>395.0</v>
      </c>
      <c r="T846" s="263">
        <v>0.9569620253164557</v>
      </c>
      <c r="U846" s="264">
        <v>19705.0</v>
      </c>
      <c r="V846" s="265">
        <v>31712.0</v>
      </c>
      <c r="W846" s="264">
        <v>19705.0</v>
      </c>
      <c r="X846" s="266"/>
      <c r="Y846" s="267">
        <v>-0.01</v>
      </c>
      <c r="Z846" s="267">
        <v>0.9670617453119909</v>
      </c>
      <c r="AA846" s="269"/>
      <c r="AB846" s="270"/>
      <c r="AC846" s="270"/>
      <c r="AD846" s="270"/>
      <c r="AE846" s="270"/>
    </row>
    <row r="847">
      <c r="A847" s="256">
        <f>IFERROR(__xludf.DUMMYFUNCTION("""COMPUTED_VALUE"""),42274.18611111111)</f>
        <v>42274.18611</v>
      </c>
      <c r="B847" s="257" t="str">
        <f>IFERROR(__xludf.DUMMYFUNCTION("""COMPUTED_VALUE"""),"justroll")</f>
        <v>justroll</v>
      </c>
      <c r="C847" s="258" t="str">
        <f>IFERROR(__xludf.DUMMYFUNCTION("""COMPUTED_VALUE"""),"Europe (excluding UK) &amp; Asia Pacific")</f>
        <v>Europe (excluding UK) &amp; Asia Pacific</v>
      </c>
      <c r="D847" s="258" t="str">
        <f>IFERROR(__xludf.DUMMYFUNCTION("""COMPUTED_VALUE"""),"km. My car displays range in kilometres and I will enter all range numbers in kilometres.")</f>
        <v>km. My car displays range in kilometres and I will enter all range numbers in kilometres.</v>
      </c>
      <c r="E847" s="259">
        <f>IFERROR(__xludf.DUMMYFUNCTION("""COMPUTED_VALUE"""),41927.0)</f>
        <v>41927</v>
      </c>
      <c r="F847" s="258" t="str">
        <f>IFERROR(__xludf.DUMMYFUNCTION("""COMPUTED_VALUE"""),"Model S 85")</f>
        <v>Model S 85</v>
      </c>
      <c r="G847" s="258" t="str">
        <f>IFERROR(__xludf.DUMMYFUNCTION("""COMPUTED_VALUE"""),"Twice a week")</f>
        <v>Twice a week</v>
      </c>
      <c r="H847" s="258" t="str">
        <f>IFERROR(__xludf.DUMMYFUNCTION("""COMPUTED_VALUE"""),"Monthly")</f>
        <v>Monthly</v>
      </c>
      <c r="I847" s="258" t="str">
        <f>IFERROR(__xludf.DUMMYFUNCTION("""COMPUTED_VALUE"""),"Monthly")</f>
        <v>Monthly</v>
      </c>
      <c r="J847" s="260">
        <f>IFERROR(__xludf.DUMMYFUNCTION("""COMPUTED_VALUE"""),0.9)</f>
        <v>0.9</v>
      </c>
      <c r="K847" s="258">
        <f>IFERROR(__xludf.DUMMYFUNCTION("""COMPUTED_VALUE"""),393.0)</f>
        <v>393</v>
      </c>
      <c r="L847" s="258" t="str">
        <f>IFERROR(__xludf.DUMMYFUNCTION("""COMPUTED_VALUE"""),"")</f>
        <v/>
      </c>
      <c r="M847" s="261">
        <f>IFERROR(__xludf.DUMMYFUNCTION("""COMPUTED_VALUE"""),218.0)</f>
        <v>218</v>
      </c>
      <c r="N847" s="262" t="str">
        <f>IFERROR(__xludf.DUMMYFUNCTION("""COMPUTED_VALUE"""),"")</f>
        <v/>
      </c>
      <c r="O847" s="259" t="str">
        <f>IFERROR(__xludf.DUMMYFUNCTION("""COMPUTED_VALUE"""),"")</f>
        <v/>
      </c>
      <c r="P847" s="259">
        <f>IFERROR(__xludf.DUMMYFUNCTION("""COMPUTED_VALUE"""),42274.0)</f>
        <v>42274</v>
      </c>
      <c r="Q847" s="258">
        <f>IFERROR(__xludf.DUMMYFUNCTION("""COMPUTED_VALUE"""),33439.0)</f>
        <v>33439</v>
      </c>
      <c r="R847" s="261">
        <f>IFERROR(__xludf.DUMMYFUNCTION("""COMPUTED_VALUE"""),377.0)</f>
        <v>377</v>
      </c>
      <c r="S847" s="258">
        <v>395.0</v>
      </c>
      <c r="T847" s="263">
        <v>0.9544303797468354</v>
      </c>
      <c r="U847" s="264">
        <v>20778.0</v>
      </c>
      <c r="V847" s="265">
        <v>33439.0</v>
      </c>
      <c r="W847" s="264">
        <v>20778.0</v>
      </c>
      <c r="X847" s="266"/>
      <c r="Y847" s="267">
        <v>-0.01</v>
      </c>
      <c r="Z847" s="267">
        <v>0.9662032914517924</v>
      </c>
      <c r="AA847" s="269"/>
      <c r="AB847" s="270"/>
      <c r="AC847" s="270"/>
      <c r="AD847" s="270"/>
      <c r="AE847" s="270"/>
    </row>
    <row r="848">
      <c r="A848" s="256">
        <f>IFERROR(__xludf.DUMMYFUNCTION("""COMPUTED_VALUE"""),42274.19027777778)</f>
        <v>42274.19028</v>
      </c>
      <c r="B848" s="257" t="str">
        <f>IFERROR(__xludf.DUMMYFUNCTION("""COMPUTED_VALUE"""),"justroll")</f>
        <v>justroll</v>
      </c>
      <c r="C848" s="258" t="str">
        <f>IFERROR(__xludf.DUMMYFUNCTION("""COMPUTED_VALUE"""),"Europe (excluding UK) &amp; Asia Pacific")</f>
        <v>Europe (excluding UK) &amp; Asia Pacific</v>
      </c>
      <c r="D848" s="258" t="str">
        <f>IFERROR(__xludf.DUMMYFUNCTION("""COMPUTED_VALUE"""),"km. My car displays range in kilometres and I will enter all range numbers in kilometres.")</f>
        <v>km. My car displays range in kilometres and I will enter all range numbers in kilometres.</v>
      </c>
      <c r="E848" s="259">
        <f>IFERROR(__xludf.DUMMYFUNCTION("""COMPUTED_VALUE"""),41927.0)</f>
        <v>41927</v>
      </c>
      <c r="F848" s="258" t="str">
        <f>IFERROR(__xludf.DUMMYFUNCTION("""COMPUTED_VALUE"""),"Model S 85")</f>
        <v>Model S 85</v>
      </c>
      <c r="G848" s="258" t="str">
        <f>IFERROR(__xludf.DUMMYFUNCTION("""COMPUTED_VALUE"""),"Twice a week")</f>
        <v>Twice a week</v>
      </c>
      <c r="H848" s="258" t="str">
        <f>IFERROR(__xludf.DUMMYFUNCTION("""COMPUTED_VALUE"""),"Weekly")</f>
        <v>Weekly</v>
      </c>
      <c r="I848" s="258" t="str">
        <f>IFERROR(__xludf.DUMMYFUNCTION("""COMPUTED_VALUE"""),"Monthly")</f>
        <v>Monthly</v>
      </c>
      <c r="J848" s="260">
        <f>IFERROR(__xludf.DUMMYFUNCTION("""COMPUTED_VALUE"""),0.9)</f>
        <v>0.9</v>
      </c>
      <c r="K848" s="258">
        <f>IFERROR(__xludf.DUMMYFUNCTION("""COMPUTED_VALUE"""),393.0)</f>
        <v>393</v>
      </c>
      <c r="L848" s="258" t="str">
        <f>IFERROR(__xludf.DUMMYFUNCTION("""COMPUTED_VALUE"""),"")</f>
        <v/>
      </c>
      <c r="M848" s="261">
        <f>IFERROR(__xludf.DUMMYFUNCTION("""COMPUTED_VALUE"""),218.0)</f>
        <v>218</v>
      </c>
      <c r="N848" s="262" t="str">
        <f>IFERROR(__xludf.DUMMYFUNCTION("""COMPUTED_VALUE"""),"")</f>
        <v/>
      </c>
      <c r="O848" s="259" t="str">
        <f>IFERROR(__xludf.DUMMYFUNCTION("""COMPUTED_VALUE"""),"")</f>
        <v/>
      </c>
      <c r="P848" s="259">
        <f>IFERROR(__xludf.DUMMYFUNCTION("""COMPUTED_VALUE"""),42274.0)</f>
        <v>42274</v>
      </c>
      <c r="Q848" s="258">
        <f>IFERROR(__xludf.DUMMYFUNCTION("""COMPUTED_VALUE"""),34041.0)</f>
        <v>34041</v>
      </c>
      <c r="R848" s="261">
        <f>IFERROR(__xludf.DUMMYFUNCTION("""COMPUTED_VALUE"""),377.0)</f>
        <v>377</v>
      </c>
      <c r="S848" s="258">
        <v>395.0</v>
      </c>
      <c r="T848" s="263">
        <v>0.9544303797468354</v>
      </c>
      <c r="U848" s="264">
        <v>21152.0</v>
      </c>
      <c r="V848" s="265">
        <v>34041.0</v>
      </c>
      <c r="W848" s="264">
        <v>21152.0</v>
      </c>
      <c r="X848" s="266"/>
      <c r="Y848" s="267">
        <v>-0.01</v>
      </c>
      <c r="Z848" s="267">
        <v>0.9659146053639496</v>
      </c>
      <c r="AA848" s="269"/>
      <c r="AB848" s="270"/>
      <c r="AC848" s="270"/>
      <c r="AD848" s="270"/>
      <c r="AE848" s="270"/>
    </row>
    <row r="849">
      <c r="A849" s="256">
        <f>IFERROR(__xludf.DUMMYFUNCTION("""COMPUTED_VALUE"""),42298.20625)</f>
        <v>42298.20625</v>
      </c>
      <c r="B849" s="257" t="str">
        <f>IFERROR(__xludf.DUMMYFUNCTION("""COMPUTED_VALUE"""),"justroll")</f>
        <v>justroll</v>
      </c>
      <c r="C849" s="258" t="str">
        <f>IFERROR(__xludf.DUMMYFUNCTION("""COMPUTED_VALUE"""),"Europe (excluding UK) &amp; Asia Pacific")</f>
        <v>Europe (excluding UK) &amp; Asia Pacific</v>
      </c>
      <c r="D849" s="258" t="str">
        <f>IFERROR(__xludf.DUMMYFUNCTION("""COMPUTED_VALUE"""),"km. My car displays range in kilometres and I will enter all range numbers in kilometres.")</f>
        <v>km. My car displays range in kilometres and I will enter all range numbers in kilometres.</v>
      </c>
      <c r="E849" s="259">
        <f>IFERROR(__xludf.DUMMYFUNCTION("""COMPUTED_VALUE"""),41927.0)</f>
        <v>41927</v>
      </c>
      <c r="F849" s="258" t="str">
        <f>IFERROR(__xludf.DUMMYFUNCTION("""COMPUTED_VALUE"""),"Model S 85")</f>
        <v>Model S 85</v>
      </c>
      <c r="G849" s="258" t="str">
        <f>IFERROR(__xludf.DUMMYFUNCTION("""COMPUTED_VALUE"""),"Twice a week")</f>
        <v>Twice a week</v>
      </c>
      <c r="H849" s="258" t="str">
        <f>IFERROR(__xludf.DUMMYFUNCTION("""COMPUTED_VALUE"""),"Weekly")</f>
        <v>Weekly</v>
      </c>
      <c r="I849" s="258" t="str">
        <f>IFERROR(__xludf.DUMMYFUNCTION("""COMPUTED_VALUE"""),"Monthly")</f>
        <v>Monthly</v>
      </c>
      <c r="J849" s="260">
        <f>IFERROR(__xludf.DUMMYFUNCTION("""COMPUTED_VALUE"""),0.9)</f>
        <v>0.9</v>
      </c>
      <c r="K849" s="258">
        <f>IFERROR(__xludf.DUMMYFUNCTION("""COMPUTED_VALUE"""),393.0)</f>
        <v>393</v>
      </c>
      <c r="L849" s="258" t="str">
        <f>IFERROR(__xludf.DUMMYFUNCTION("""COMPUTED_VALUE"""),"")</f>
        <v/>
      </c>
      <c r="M849" s="261">
        <f>IFERROR(__xludf.DUMMYFUNCTION("""COMPUTED_VALUE"""),218.0)</f>
        <v>218</v>
      </c>
      <c r="N849" s="262" t="str">
        <f>IFERROR(__xludf.DUMMYFUNCTION("""COMPUTED_VALUE"""),"")</f>
        <v/>
      </c>
      <c r="O849" s="259" t="str">
        <f>IFERROR(__xludf.DUMMYFUNCTION("""COMPUTED_VALUE"""),"")</f>
        <v/>
      </c>
      <c r="P849" s="259">
        <f>IFERROR(__xludf.DUMMYFUNCTION("""COMPUTED_VALUE"""),42298.0)</f>
        <v>42298</v>
      </c>
      <c r="Q849" s="258">
        <f>IFERROR(__xludf.DUMMYFUNCTION("""COMPUTED_VALUE"""),37896.0)</f>
        <v>37896</v>
      </c>
      <c r="R849" s="261">
        <f>IFERROR(__xludf.DUMMYFUNCTION("""COMPUTED_VALUE"""),375.0)</f>
        <v>375</v>
      </c>
      <c r="S849" s="258">
        <v>395.0</v>
      </c>
      <c r="T849" s="263">
        <v>0.9493670886075949</v>
      </c>
      <c r="U849" s="264">
        <v>23547.0</v>
      </c>
      <c r="V849" s="265">
        <v>37896.0</v>
      </c>
      <c r="W849" s="264">
        <v>23547.0</v>
      </c>
      <c r="X849" s="266"/>
      <c r="Y849" s="267">
        <v>-0.01</v>
      </c>
      <c r="Z849" s="267">
        <v>0.9641808373477829</v>
      </c>
      <c r="AA849" s="269"/>
      <c r="AB849" s="270"/>
      <c r="AC849" s="270"/>
      <c r="AD849" s="270"/>
      <c r="AE849" s="270"/>
    </row>
    <row r="850">
      <c r="A850" s="256">
        <f>IFERROR(__xludf.DUMMYFUNCTION("""COMPUTED_VALUE"""),42319.226388888885)</f>
        <v>42319.22639</v>
      </c>
      <c r="B850" s="257" t="str">
        <f>IFERROR(__xludf.DUMMYFUNCTION("""COMPUTED_VALUE"""),"justroll")</f>
        <v>justroll</v>
      </c>
      <c r="C850" s="258" t="str">
        <f>IFERROR(__xludf.DUMMYFUNCTION("""COMPUTED_VALUE"""),"Europe (excluding UK) &amp; Asia Pacific")</f>
        <v>Europe (excluding UK) &amp; Asia Pacific</v>
      </c>
      <c r="D850" s="258" t="str">
        <f>IFERROR(__xludf.DUMMYFUNCTION("""COMPUTED_VALUE"""),"km. My car displays range in kilometres and I will enter all range numbers in kilometres.")</f>
        <v>km. My car displays range in kilometres and I will enter all range numbers in kilometres.</v>
      </c>
      <c r="E850" s="259">
        <f>IFERROR(__xludf.DUMMYFUNCTION("""COMPUTED_VALUE"""),41927.0)</f>
        <v>41927</v>
      </c>
      <c r="F850" s="258" t="str">
        <f>IFERROR(__xludf.DUMMYFUNCTION("""COMPUTED_VALUE"""),"Model S 85")</f>
        <v>Model S 85</v>
      </c>
      <c r="G850" s="258" t="str">
        <f>IFERROR(__xludf.DUMMYFUNCTION("""COMPUTED_VALUE"""),"Twice a week")</f>
        <v>Twice a week</v>
      </c>
      <c r="H850" s="258" t="str">
        <f>IFERROR(__xludf.DUMMYFUNCTION("""COMPUTED_VALUE"""),"Monthly")</f>
        <v>Monthly</v>
      </c>
      <c r="I850" s="258" t="str">
        <f>IFERROR(__xludf.DUMMYFUNCTION("""COMPUTED_VALUE"""),"Monthly")</f>
        <v>Monthly</v>
      </c>
      <c r="J850" s="260">
        <f>IFERROR(__xludf.DUMMYFUNCTION("""COMPUTED_VALUE"""),0.9)</f>
        <v>0.9</v>
      </c>
      <c r="K850" s="258">
        <f>IFERROR(__xludf.DUMMYFUNCTION("""COMPUTED_VALUE"""),393.0)</f>
        <v>393</v>
      </c>
      <c r="L850" s="258" t="str">
        <f>IFERROR(__xludf.DUMMYFUNCTION("""COMPUTED_VALUE"""),"")</f>
        <v/>
      </c>
      <c r="M850" s="261">
        <f>IFERROR(__xludf.DUMMYFUNCTION("""COMPUTED_VALUE"""),218.0)</f>
        <v>218</v>
      </c>
      <c r="N850" s="262" t="str">
        <f>IFERROR(__xludf.DUMMYFUNCTION("""COMPUTED_VALUE"""),"")</f>
        <v/>
      </c>
      <c r="O850" s="259" t="str">
        <f>IFERROR(__xludf.DUMMYFUNCTION("""COMPUTED_VALUE"""),"")</f>
        <v/>
      </c>
      <c r="P850" s="259">
        <f>IFERROR(__xludf.DUMMYFUNCTION("""COMPUTED_VALUE"""),42319.0)</f>
        <v>42319</v>
      </c>
      <c r="Q850" s="258">
        <f>IFERROR(__xludf.DUMMYFUNCTION("""COMPUTED_VALUE"""),41628.0)</f>
        <v>41628</v>
      </c>
      <c r="R850" s="261">
        <f>IFERROR(__xludf.DUMMYFUNCTION("""COMPUTED_VALUE"""),376.0)</f>
        <v>376</v>
      </c>
      <c r="S850" s="258">
        <v>395.0</v>
      </c>
      <c r="T850" s="263">
        <v>0.9518987341772152</v>
      </c>
      <c r="U850" s="264">
        <v>25866.0</v>
      </c>
      <c r="V850" s="265">
        <v>41628.0</v>
      </c>
      <c r="W850" s="264">
        <v>25866.0</v>
      </c>
      <c r="X850" s="266"/>
      <c r="Y850" s="267">
        <v>-0.01</v>
      </c>
      <c r="Z850" s="267">
        <v>0.9626643118415311</v>
      </c>
      <c r="AA850" s="269"/>
      <c r="AB850" s="270"/>
      <c r="AC850" s="270"/>
      <c r="AD850" s="270"/>
      <c r="AE850" s="270"/>
    </row>
    <row r="851">
      <c r="A851" s="256">
        <f>IFERROR(__xludf.DUMMYFUNCTION("""COMPUTED_VALUE"""),42365.26180555555)</f>
        <v>42365.26181</v>
      </c>
      <c r="B851" s="257" t="str">
        <f>IFERROR(__xludf.DUMMYFUNCTION("""COMPUTED_VALUE"""),"justroll")</f>
        <v>justroll</v>
      </c>
      <c r="C851" s="258" t="str">
        <f>IFERROR(__xludf.DUMMYFUNCTION("""COMPUTED_VALUE"""),"Europe (excluding UK) &amp; Asia Pacific")</f>
        <v>Europe (excluding UK) &amp; Asia Pacific</v>
      </c>
      <c r="D851" s="258" t="str">
        <f>IFERROR(__xludf.DUMMYFUNCTION("""COMPUTED_VALUE"""),"km. My car displays range in kilometres and I will enter all range numbers in kilometres.")</f>
        <v>km. My car displays range in kilometres and I will enter all range numbers in kilometres.</v>
      </c>
      <c r="E851" s="259">
        <f>IFERROR(__xludf.DUMMYFUNCTION("""COMPUTED_VALUE"""),41927.0)</f>
        <v>41927</v>
      </c>
      <c r="F851" s="258" t="str">
        <f>IFERROR(__xludf.DUMMYFUNCTION("""COMPUTED_VALUE"""),"Model S 85")</f>
        <v>Model S 85</v>
      </c>
      <c r="G851" s="258" t="str">
        <f>IFERROR(__xludf.DUMMYFUNCTION("""COMPUTED_VALUE"""),"")</f>
        <v/>
      </c>
      <c r="H851" s="258" t="str">
        <f>IFERROR(__xludf.DUMMYFUNCTION("""COMPUTED_VALUE"""),"")</f>
        <v/>
      </c>
      <c r="I851" s="258" t="str">
        <f>IFERROR(__xludf.DUMMYFUNCTION("""COMPUTED_VALUE"""),"")</f>
        <v/>
      </c>
      <c r="J851" s="260" t="str">
        <f>IFERROR(__xludf.DUMMYFUNCTION("""COMPUTED_VALUE"""),"")</f>
        <v/>
      </c>
      <c r="K851" s="258" t="str">
        <f>IFERROR(__xludf.DUMMYFUNCTION("""COMPUTED_VALUE"""),"")</f>
        <v/>
      </c>
      <c r="L851" s="258" t="str">
        <f>IFERROR(__xludf.DUMMYFUNCTION("""COMPUTED_VALUE"""),"")</f>
        <v/>
      </c>
      <c r="M851" s="261">
        <f>IFERROR(__xludf.DUMMYFUNCTION("""COMPUTED_VALUE"""),218.0)</f>
        <v>218</v>
      </c>
      <c r="N851" s="262" t="str">
        <f>IFERROR(__xludf.DUMMYFUNCTION("""COMPUTED_VALUE"""),"")</f>
        <v/>
      </c>
      <c r="O851" s="259" t="str">
        <f>IFERROR(__xludf.DUMMYFUNCTION("""COMPUTED_VALUE"""),"")</f>
        <v/>
      </c>
      <c r="P851" s="259">
        <f>IFERROR(__xludf.DUMMYFUNCTION("""COMPUTED_VALUE"""),42365.0)</f>
        <v>42365</v>
      </c>
      <c r="Q851" s="258">
        <f>IFERROR(__xludf.DUMMYFUNCTION("""COMPUTED_VALUE"""),49285.0)</f>
        <v>49285</v>
      </c>
      <c r="R851" s="261">
        <f>IFERROR(__xludf.DUMMYFUNCTION("""COMPUTED_VALUE"""),376.0)</f>
        <v>376</v>
      </c>
      <c r="S851" s="258">
        <v>395.0</v>
      </c>
      <c r="T851" s="263">
        <v>0.9518987341772152</v>
      </c>
      <c r="U851" s="264">
        <v>30624.0</v>
      </c>
      <c r="V851" s="265">
        <v>49285.0</v>
      </c>
      <c r="W851" s="264">
        <v>30624.0</v>
      </c>
      <c r="X851" s="266"/>
      <c r="Y851" s="267">
        <v>-0.01</v>
      </c>
      <c r="Z851" s="267">
        <v>0.9599259476806848</v>
      </c>
      <c r="AA851" s="269"/>
      <c r="AB851" s="270"/>
      <c r="AC851" s="270"/>
      <c r="AD851" s="270"/>
      <c r="AE851" s="270"/>
    </row>
    <row r="852">
      <c r="A852" s="256">
        <f>IFERROR(__xludf.DUMMYFUNCTION("""COMPUTED_VALUE"""),42398.27986111111)</f>
        <v>42398.27986</v>
      </c>
      <c r="B852" s="257" t="str">
        <f>IFERROR(__xludf.DUMMYFUNCTION("""COMPUTED_VALUE"""),"justroll")</f>
        <v>justroll</v>
      </c>
      <c r="C852" s="258" t="str">
        <f>IFERROR(__xludf.DUMMYFUNCTION("""COMPUTED_VALUE"""),"Europe (excluding UK) &amp; Asia Pacific")</f>
        <v>Europe (excluding UK) &amp; Asia Pacific</v>
      </c>
      <c r="D852" s="258" t="str">
        <f>IFERROR(__xludf.DUMMYFUNCTION("""COMPUTED_VALUE"""),"km. My car displays range in kilometres and I will enter all range numbers in kilometres.")</f>
        <v>km. My car displays range in kilometres and I will enter all range numbers in kilometres.</v>
      </c>
      <c r="E852" s="259">
        <f>IFERROR(__xludf.DUMMYFUNCTION("""COMPUTED_VALUE"""),41927.0)</f>
        <v>41927</v>
      </c>
      <c r="F852" s="258" t="str">
        <f>IFERROR(__xludf.DUMMYFUNCTION("""COMPUTED_VALUE"""),"Model S 85")</f>
        <v>Model S 85</v>
      </c>
      <c r="G852" s="258" t="str">
        <f>IFERROR(__xludf.DUMMYFUNCTION("""COMPUTED_VALUE"""),"")</f>
        <v/>
      </c>
      <c r="H852" s="258" t="str">
        <f>IFERROR(__xludf.DUMMYFUNCTION("""COMPUTED_VALUE"""),"")</f>
        <v/>
      </c>
      <c r="I852" s="258" t="str">
        <f>IFERROR(__xludf.DUMMYFUNCTION("""COMPUTED_VALUE"""),"")</f>
        <v/>
      </c>
      <c r="J852" s="260" t="str">
        <f>IFERROR(__xludf.DUMMYFUNCTION("""COMPUTED_VALUE"""),"")</f>
        <v/>
      </c>
      <c r="K852" s="258" t="str">
        <f>IFERROR(__xludf.DUMMYFUNCTION("""COMPUTED_VALUE"""),"")</f>
        <v/>
      </c>
      <c r="L852" s="258" t="str">
        <f>IFERROR(__xludf.DUMMYFUNCTION("""COMPUTED_VALUE"""),"")</f>
        <v/>
      </c>
      <c r="M852" s="261">
        <f>IFERROR(__xludf.DUMMYFUNCTION("""COMPUTED_VALUE"""),218.0)</f>
        <v>218</v>
      </c>
      <c r="N852" s="262" t="str">
        <f>IFERROR(__xludf.DUMMYFUNCTION("""COMPUTED_VALUE"""),"")</f>
        <v/>
      </c>
      <c r="O852" s="259" t="str">
        <f>IFERROR(__xludf.DUMMYFUNCTION("""COMPUTED_VALUE"""),"")</f>
        <v/>
      </c>
      <c r="P852" s="259">
        <f>IFERROR(__xludf.DUMMYFUNCTION("""COMPUTED_VALUE"""),42398.0)</f>
        <v>42398</v>
      </c>
      <c r="Q852" s="258">
        <f>IFERROR(__xludf.DUMMYFUNCTION("""COMPUTED_VALUE"""),52483.0)</f>
        <v>52483</v>
      </c>
      <c r="R852" s="261">
        <f>IFERROR(__xludf.DUMMYFUNCTION("""COMPUTED_VALUE"""),372.0)</f>
        <v>372</v>
      </c>
      <c r="S852" s="258">
        <v>395.0</v>
      </c>
      <c r="T852" s="263">
        <v>0.9417721518987342</v>
      </c>
      <c r="U852" s="264">
        <v>32611.0</v>
      </c>
      <c r="V852" s="265">
        <v>52483.0</v>
      </c>
      <c r="W852" s="264">
        <v>32611.0</v>
      </c>
      <c r="X852" s="266"/>
      <c r="Y852" s="267">
        <v>-0.01</v>
      </c>
      <c r="Z852" s="267">
        <v>0.9588941521589689</v>
      </c>
      <c r="AA852" s="269"/>
      <c r="AB852" s="270"/>
      <c r="AC852" s="270"/>
      <c r="AD852" s="270"/>
      <c r="AE852" s="270"/>
    </row>
    <row r="853">
      <c r="A853" s="256">
        <f>IFERROR(__xludf.DUMMYFUNCTION("""COMPUTED_VALUE"""),42447.30763888889)</f>
        <v>42447.30764</v>
      </c>
      <c r="B853" s="257" t="str">
        <f>IFERROR(__xludf.DUMMYFUNCTION("""COMPUTED_VALUE"""),"justroll")</f>
        <v>justroll</v>
      </c>
      <c r="C853" s="258" t="str">
        <f>IFERROR(__xludf.DUMMYFUNCTION("""COMPUTED_VALUE"""),"Europe (excluding UK) &amp; Asia Pacific")</f>
        <v>Europe (excluding UK) &amp; Asia Pacific</v>
      </c>
      <c r="D853" s="258" t="str">
        <f>IFERROR(__xludf.DUMMYFUNCTION("""COMPUTED_VALUE"""),"km. My car displays range in kilometres and I will enter all range numbers in kilometres.")</f>
        <v>km. My car displays range in kilometres and I will enter all range numbers in kilometres.</v>
      </c>
      <c r="E853" s="259">
        <f>IFERROR(__xludf.DUMMYFUNCTION("""COMPUTED_VALUE"""),41927.0)</f>
        <v>41927</v>
      </c>
      <c r="F853" s="258" t="str">
        <f>IFERROR(__xludf.DUMMYFUNCTION("""COMPUTED_VALUE"""),"Model S 85")</f>
        <v>Model S 85</v>
      </c>
      <c r="G853" s="258" t="str">
        <f>IFERROR(__xludf.DUMMYFUNCTION("""COMPUTED_VALUE"""),"")</f>
        <v/>
      </c>
      <c r="H853" s="258" t="str">
        <f>IFERROR(__xludf.DUMMYFUNCTION("""COMPUTED_VALUE"""),"")</f>
        <v/>
      </c>
      <c r="I853" s="258" t="str">
        <f>IFERROR(__xludf.DUMMYFUNCTION("""COMPUTED_VALUE"""),"")</f>
        <v/>
      </c>
      <c r="J853" s="260" t="str">
        <f>IFERROR(__xludf.DUMMYFUNCTION("""COMPUTED_VALUE"""),"")</f>
        <v/>
      </c>
      <c r="K853" s="258" t="str">
        <f>IFERROR(__xludf.DUMMYFUNCTION("""COMPUTED_VALUE"""),"")</f>
        <v/>
      </c>
      <c r="L853" s="258" t="str">
        <f>IFERROR(__xludf.DUMMYFUNCTION("""COMPUTED_VALUE"""),"")</f>
        <v/>
      </c>
      <c r="M853" s="261">
        <f>IFERROR(__xludf.DUMMYFUNCTION("""COMPUTED_VALUE"""),237.0)</f>
        <v>237</v>
      </c>
      <c r="N853" s="262" t="str">
        <f>IFERROR(__xludf.DUMMYFUNCTION("""COMPUTED_VALUE"""),"")</f>
        <v/>
      </c>
      <c r="O853" s="259" t="str">
        <f>IFERROR(__xludf.DUMMYFUNCTION("""COMPUTED_VALUE"""),"")</f>
        <v/>
      </c>
      <c r="P853" s="259">
        <f>IFERROR(__xludf.DUMMYFUNCTION("""COMPUTED_VALUE"""),42447.0)</f>
        <v>42447</v>
      </c>
      <c r="Q853" s="258">
        <f>IFERROR(__xludf.DUMMYFUNCTION("""COMPUTED_VALUE"""),61737.0)</f>
        <v>61737</v>
      </c>
      <c r="R853" s="261">
        <f>IFERROR(__xludf.DUMMYFUNCTION("""COMPUTED_VALUE"""),378.0)</f>
        <v>378</v>
      </c>
      <c r="S853" s="258">
        <v>395.0</v>
      </c>
      <c r="T853" s="263">
        <v>0.9569620253164557</v>
      </c>
      <c r="U853" s="264">
        <v>38362.0</v>
      </c>
      <c r="V853" s="265">
        <v>61737.0</v>
      </c>
      <c r="W853" s="264">
        <v>38362.0</v>
      </c>
      <c r="X853" s="266"/>
      <c r="Y853" s="267">
        <v>-0.01</v>
      </c>
      <c r="Z853" s="267">
        <v>0.9561606861963375</v>
      </c>
      <c r="AA853" s="269"/>
      <c r="AB853" s="270"/>
      <c r="AC853" s="270"/>
      <c r="AD853" s="270"/>
      <c r="AE853" s="270"/>
    </row>
    <row r="854">
      <c r="A854" s="256">
        <f>IFERROR(__xludf.DUMMYFUNCTION("""COMPUTED_VALUE"""),42702.46527777778)</f>
        <v>42702.46528</v>
      </c>
      <c r="B854" s="257" t="str">
        <f>IFERROR(__xludf.DUMMYFUNCTION("""COMPUTED_VALUE"""),"justroll")</f>
        <v>justroll</v>
      </c>
      <c r="C854" s="258" t="str">
        <f>IFERROR(__xludf.DUMMYFUNCTION("""COMPUTED_VALUE"""),"Europe (excluding UK) &amp; Asia Pacific")</f>
        <v>Europe (excluding UK) &amp; Asia Pacific</v>
      </c>
      <c r="D854" s="258" t="str">
        <f>IFERROR(__xludf.DUMMYFUNCTION("""COMPUTED_VALUE"""),"km. My car displays range in kilometres and I will enter all range numbers in kilometres.")</f>
        <v>km. My car displays range in kilometres and I will enter all range numbers in kilometres.</v>
      </c>
      <c r="E854" s="259">
        <f>IFERROR(__xludf.DUMMYFUNCTION("""COMPUTED_VALUE"""),41927.0)</f>
        <v>41927</v>
      </c>
      <c r="F854" s="258" t="str">
        <f>IFERROR(__xludf.DUMMYFUNCTION("""COMPUTED_VALUE"""),"Model S 85")</f>
        <v>Model S 85</v>
      </c>
      <c r="G854" s="258" t="str">
        <f>IFERROR(__xludf.DUMMYFUNCTION("""COMPUTED_VALUE"""),"Daily")</f>
        <v>Daily</v>
      </c>
      <c r="H854" s="258" t="str">
        <f>IFERROR(__xludf.DUMMYFUNCTION("""COMPUTED_VALUE"""),"A few times a year")</f>
        <v>A few times a year</v>
      </c>
      <c r="I854" s="258" t="str">
        <f>IFERROR(__xludf.DUMMYFUNCTION("""COMPUTED_VALUE"""),"Monthly")</f>
        <v>Monthly</v>
      </c>
      <c r="J854" s="260">
        <f>IFERROR(__xludf.DUMMYFUNCTION("""COMPUTED_VALUE"""),0.9)</f>
        <v>0.9</v>
      </c>
      <c r="K854" s="258">
        <f>IFERROR(__xludf.DUMMYFUNCTION("""COMPUTED_VALUE"""),393.0)</f>
        <v>393</v>
      </c>
      <c r="L854" s="258" t="str">
        <f>IFERROR(__xludf.DUMMYFUNCTION("""COMPUTED_VALUE"""),"")</f>
        <v/>
      </c>
      <c r="M854" s="261">
        <f>IFERROR(__xludf.DUMMYFUNCTION("""COMPUTED_VALUE"""),215.0)</f>
        <v>215</v>
      </c>
      <c r="N854" s="262" t="str">
        <f>IFERROR(__xludf.DUMMYFUNCTION("""COMPUTED_VALUE"""),"")</f>
        <v/>
      </c>
      <c r="O854" s="259" t="str">
        <f>IFERROR(__xludf.DUMMYFUNCTION("""COMPUTED_VALUE"""),"")</f>
        <v/>
      </c>
      <c r="P854" s="259">
        <f>IFERROR(__xludf.DUMMYFUNCTION("""COMPUTED_VALUE"""),42702.0)</f>
        <v>42702</v>
      </c>
      <c r="Q854" s="258">
        <f>IFERROR(__xludf.DUMMYFUNCTION("""COMPUTED_VALUE"""),97602.0)</f>
        <v>97602</v>
      </c>
      <c r="R854" s="261">
        <f>IFERROR(__xludf.DUMMYFUNCTION("""COMPUTED_VALUE"""),373.0)</f>
        <v>373</v>
      </c>
      <c r="S854" s="258">
        <v>395.0</v>
      </c>
      <c r="T854" s="263">
        <v>0.9443037974683545</v>
      </c>
      <c r="U854" s="264">
        <v>60647.0</v>
      </c>
      <c r="V854" s="265">
        <v>97602.0</v>
      </c>
      <c r="W854" s="264">
        <v>60647.0</v>
      </c>
      <c r="X854" s="266"/>
      <c r="Y854" s="267">
        <v>-0.01</v>
      </c>
      <c r="Z854" s="267">
        <v>0.9471523664545786</v>
      </c>
      <c r="AA854" s="269"/>
      <c r="AB854" s="270"/>
      <c r="AC854" s="270"/>
      <c r="AD854" s="270"/>
      <c r="AE854" s="270"/>
    </row>
    <row r="855">
      <c r="A855" s="256">
        <f>IFERROR(__xludf.DUMMYFUNCTION("""COMPUTED_VALUE"""),42751.49097222222)</f>
        <v>42751.49097</v>
      </c>
      <c r="B855" s="257" t="str">
        <f>IFERROR(__xludf.DUMMYFUNCTION("""COMPUTED_VALUE"""),"justroll")</f>
        <v>justroll</v>
      </c>
      <c r="C855" s="258" t="str">
        <f>IFERROR(__xludf.DUMMYFUNCTION("""COMPUTED_VALUE"""),"Europe (excluding UK) &amp; Asia Pacific")</f>
        <v>Europe (excluding UK) &amp; Asia Pacific</v>
      </c>
      <c r="D855" s="258" t="str">
        <f>IFERROR(__xludf.DUMMYFUNCTION("""COMPUTED_VALUE"""),"km. My car displays range in kilometres and I will enter all range numbers in kilometres.")</f>
        <v>km. My car displays range in kilometres and I will enter all range numbers in kilometres.</v>
      </c>
      <c r="E855" s="259">
        <f>IFERROR(__xludf.DUMMYFUNCTION("""COMPUTED_VALUE"""),41927.0)</f>
        <v>41927</v>
      </c>
      <c r="F855" s="258" t="str">
        <f>IFERROR(__xludf.DUMMYFUNCTION("""COMPUTED_VALUE"""),"Model S 85")</f>
        <v>Model S 85</v>
      </c>
      <c r="G855" s="258" t="str">
        <f>IFERROR(__xludf.DUMMYFUNCTION("""COMPUTED_VALUE"""),"Twice a week")</f>
        <v>Twice a week</v>
      </c>
      <c r="H855" s="258" t="str">
        <f>IFERROR(__xludf.DUMMYFUNCTION("""COMPUTED_VALUE"""),"A few times a year")</f>
        <v>A few times a year</v>
      </c>
      <c r="I855" s="258" t="str">
        <f>IFERROR(__xludf.DUMMYFUNCTION("""COMPUTED_VALUE"""),"Once or twice a year")</f>
        <v>Once or twice a year</v>
      </c>
      <c r="J855" s="260">
        <f>IFERROR(__xludf.DUMMYFUNCTION("""COMPUTED_VALUE"""),0.9)</f>
        <v>0.9</v>
      </c>
      <c r="K855" s="258" t="str">
        <f>IFERROR(__xludf.DUMMYFUNCTION("""COMPUTED_VALUE"""),"")</f>
        <v/>
      </c>
      <c r="L855" s="258" t="str">
        <f>IFERROR(__xludf.DUMMYFUNCTION("""COMPUTED_VALUE"""),"")</f>
        <v/>
      </c>
      <c r="M855" s="261">
        <f>IFERROR(__xludf.DUMMYFUNCTION("""COMPUTED_VALUE"""),217.0)</f>
        <v>217</v>
      </c>
      <c r="N855" s="262" t="str">
        <f>IFERROR(__xludf.DUMMYFUNCTION("""COMPUTED_VALUE"""),"")</f>
        <v/>
      </c>
      <c r="O855" s="259" t="str">
        <f>IFERROR(__xludf.DUMMYFUNCTION("""COMPUTED_VALUE"""),"")</f>
        <v/>
      </c>
      <c r="P855" s="259">
        <f>IFERROR(__xludf.DUMMYFUNCTION("""COMPUTED_VALUE"""),42751.0)</f>
        <v>42751</v>
      </c>
      <c r="Q855" s="258">
        <f>IFERROR(__xludf.DUMMYFUNCTION("""COMPUTED_VALUE"""),104958.0)</f>
        <v>104958</v>
      </c>
      <c r="R855" s="261">
        <f>IFERROR(__xludf.DUMMYFUNCTION("""COMPUTED_VALUE"""),372.0)</f>
        <v>372</v>
      </c>
      <c r="S855" s="258">
        <v>395.0</v>
      </c>
      <c r="T855" s="263">
        <v>0.9417721518987342</v>
      </c>
      <c r="U855" s="264">
        <v>65218.0</v>
      </c>
      <c r="V855" s="265">
        <v>104958.0</v>
      </c>
      <c r="W855" s="264">
        <v>65218.0</v>
      </c>
      <c r="X855" s="266"/>
      <c r="Y855" s="267">
        <v>-0.01</v>
      </c>
      <c r="Z855" s="267">
        <v>0.9454193705098717</v>
      </c>
      <c r="AA855" s="269"/>
      <c r="AB855" s="270"/>
      <c r="AC855" s="270"/>
      <c r="AD855" s="270"/>
      <c r="AE855" s="270"/>
    </row>
    <row r="856">
      <c r="A856" s="256">
        <f>IFERROR(__xludf.DUMMYFUNCTION("""COMPUTED_VALUE"""),42982.59930555556)</f>
        <v>42982.59931</v>
      </c>
      <c r="B856" s="257" t="str">
        <f>IFERROR(__xludf.DUMMYFUNCTION("""COMPUTED_VALUE"""),"justroll")</f>
        <v>justroll</v>
      </c>
      <c r="C856" s="258" t="str">
        <f>IFERROR(__xludf.DUMMYFUNCTION("""COMPUTED_VALUE"""),"Europe (excluding UK) &amp; Asia Pacific")</f>
        <v>Europe (excluding UK) &amp; Asia Pacific</v>
      </c>
      <c r="D856" s="258" t="str">
        <f>IFERROR(__xludf.DUMMYFUNCTION("""COMPUTED_VALUE"""),"km. My car displays range in kilometres and I will enter all range numbers in kilometres.")</f>
        <v>km. My car displays range in kilometres and I will enter all range numbers in kilometres.</v>
      </c>
      <c r="E856" s="259">
        <f>IFERROR(__xludf.DUMMYFUNCTION("""COMPUTED_VALUE"""),41927.0)</f>
        <v>41927</v>
      </c>
      <c r="F856" s="258" t="str">
        <f>IFERROR(__xludf.DUMMYFUNCTION("""COMPUTED_VALUE"""),"Model S 85")</f>
        <v>Model S 85</v>
      </c>
      <c r="G856" s="258" t="str">
        <f>IFERROR(__xludf.DUMMYFUNCTION("""COMPUTED_VALUE"""),"")</f>
        <v/>
      </c>
      <c r="H856" s="258" t="str">
        <f>IFERROR(__xludf.DUMMYFUNCTION("""COMPUTED_VALUE"""),"")</f>
        <v/>
      </c>
      <c r="I856" s="258" t="str">
        <f>IFERROR(__xludf.DUMMYFUNCTION("""COMPUTED_VALUE"""),"")</f>
        <v/>
      </c>
      <c r="J856" s="260" t="str">
        <f>IFERROR(__xludf.DUMMYFUNCTION("""COMPUTED_VALUE"""),"")</f>
        <v/>
      </c>
      <c r="K856" s="258" t="str">
        <f>IFERROR(__xludf.DUMMYFUNCTION("""COMPUTED_VALUE"""),"")</f>
        <v/>
      </c>
      <c r="L856" s="258" t="str">
        <f>IFERROR(__xludf.DUMMYFUNCTION("""COMPUTED_VALUE"""),"")</f>
        <v/>
      </c>
      <c r="M856" s="261">
        <f>IFERROR(__xludf.DUMMYFUNCTION("""COMPUTED_VALUE"""),215.0)</f>
        <v>215</v>
      </c>
      <c r="N856" s="262" t="str">
        <f>IFERROR(__xludf.DUMMYFUNCTION("""COMPUTED_VALUE"""),"")</f>
        <v/>
      </c>
      <c r="O856" s="259" t="str">
        <f>IFERROR(__xludf.DUMMYFUNCTION("""COMPUTED_VALUE"""),"")</f>
        <v/>
      </c>
      <c r="P856" s="259">
        <f>IFERROR(__xludf.DUMMYFUNCTION("""COMPUTED_VALUE"""),42982.0)</f>
        <v>42982</v>
      </c>
      <c r="Q856" s="258">
        <f>IFERROR(__xludf.DUMMYFUNCTION("""COMPUTED_VALUE"""),137120.0)</f>
        <v>137120</v>
      </c>
      <c r="R856" s="261">
        <f>IFERROR(__xludf.DUMMYFUNCTION("""COMPUTED_VALUE"""),374.0)</f>
        <v>374</v>
      </c>
      <c r="S856" s="258">
        <v>395.0</v>
      </c>
      <c r="T856" s="263">
        <v>0.9468354430379747</v>
      </c>
      <c r="U856" s="264">
        <v>85202.0</v>
      </c>
      <c r="V856" s="265">
        <v>137120.0</v>
      </c>
      <c r="W856" s="264">
        <v>85202.0</v>
      </c>
      <c r="X856" s="266"/>
      <c r="Y856" s="267">
        <v>-0.01</v>
      </c>
      <c r="Z856" s="267">
        <v>0.9379436785978935</v>
      </c>
      <c r="AA856" s="269"/>
      <c r="AB856" s="270"/>
      <c r="AC856" s="270"/>
      <c r="AD856" s="270"/>
      <c r="AE856" s="270"/>
    </row>
    <row r="857">
      <c r="A857" s="256">
        <f>IFERROR(__xludf.DUMMYFUNCTION("""COMPUTED_VALUE"""),42282.19236111111)</f>
        <v>42282.19236</v>
      </c>
      <c r="B857" s="257" t="str">
        <f>IFERROR(__xludf.DUMMYFUNCTION("""COMPUTED_VALUE"""),"jvds")</f>
        <v>jvds</v>
      </c>
      <c r="C857" s="258" t="str">
        <f>IFERROR(__xludf.DUMMYFUNCTION("""COMPUTED_VALUE"""),"Europe (excluding UK) &amp; Asia Pacific")</f>
        <v>Europe (excluding UK) &amp; Asia Pacific</v>
      </c>
      <c r="D857" s="258" t="str">
        <f>IFERROR(__xludf.DUMMYFUNCTION("""COMPUTED_VALUE"""),"km. My car displays range in kilometres and I will enter all range numbers in kilometres.")</f>
        <v>km. My car displays range in kilometres and I will enter all range numbers in kilometres.</v>
      </c>
      <c r="E857" s="259">
        <f>IFERROR(__xludf.DUMMYFUNCTION("""COMPUTED_VALUE"""),42266.0)</f>
        <v>42266</v>
      </c>
      <c r="F857" s="258" t="str">
        <f>IFERROR(__xludf.DUMMYFUNCTION("""COMPUTED_VALUE"""),"Model S 70D")</f>
        <v>Model S 70D</v>
      </c>
      <c r="G857" s="258" t="str">
        <f>IFERROR(__xludf.DUMMYFUNCTION("""COMPUTED_VALUE"""),"A few times a year")</f>
        <v>A few times a year</v>
      </c>
      <c r="H857" s="258" t="str">
        <f>IFERROR(__xludf.DUMMYFUNCTION("""COMPUTED_VALUE"""),"A few times a year")</f>
        <v>A few times a year</v>
      </c>
      <c r="I857" s="258" t="str">
        <f>IFERROR(__xludf.DUMMYFUNCTION("""COMPUTED_VALUE"""),"Never")</f>
        <v>Never</v>
      </c>
      <c r="J857" s="260">
        <f>IFERROR(__xludf.DUMMYFUNCTION("""COMPUTED_VALUE"""),0.9)</f>
        <v>0.9</v>
      </c>
      <c r="K857" s="258">
        <f>IFERROR(__xludf.DUMMYFUNCTION("""COMPUTED_VALUE"""),323.0)</f>
        <v>323</v>
      </c>
      <c r="L857" s="258" t="str">
        <f>IFERROR(__xludf.DUMMYFUNCTION("""COMPUTED_VALUE"""),"")</f>
        <v/>
      </c>
      <c r="M857" s="261">
        <f>IFERROR(__xludf.DUMMYFUNCTION("""COMPUTED_VALUE"""),197.0)</f>
        <v>197</v>
      </c>
      <c r="N857" s="262" t="str">
        <f>IFERROR(__xludf.DUMMYFUNCTION("""COMPUTED_VALUE"""),"")</f>
        <v/>
      </c>
      <c r="O857" s="259" t="str">
        <f>IFERROR(__xludf.DUMMYFUNCTION("""COMPUTED_VALUE"""),"")</f>
        <v/>
      </c>
      <c r="P857" s="259">
        <f>IFERROR(__xludf.DUMMYFUNCTION("""COMPUTED_VALUE"""),42282.0)</f>
        <v>42282</v>
      </c>
      <c r="Q857" s="258">
        <f>IFERROR(__xludf.DUMMYFUNCTION("""COMPUTED_VALUE"""),896.0)</f>
        <v>896</v>
      </c>
      <c r="R857" s="261">
        <f>IFERROR(__xludf.DUMMYFUNCTION("""COMPUTED_VALUE"""),351.0)</f>
        <v>351</v>
      </c>
      <c r="S857" s="258">
        <v>360.0</v>
      </c>
      <c r="T857" s="263">
        <v>0.975</v>
      </c>
      <c r="U857" s="264">
        <v>557.0</v>
      </c>
      <c r="V857" s="265">
        <v>896.0</v>
      </c>
      <c r="W857" s="264">
        <v>557.0</v>
      </c>
      <c r="X857" s="266"/>
      <c r="Y857" s="267">
        <v>-0.01</v>
      </c>
      <c r="Z857" s="267">
        <v>0.9982481973926915</v>
      </c>
      <c r="AA857" s="269"/>
      <c r="AB857" s="270"/>
      <c r="AC857" s="270"/>
      <c r="AD857" s="270"/>
      <c r="AE857" s="270"/>
    </row>
    <row r="858">
      <c r="A858" s="256">
        <f>IFERROR(__xludf.DUMMYFUNCTION("""COMPUTED_VALUE"""),42285.195138888885)</f>
        <v>42285.19514</v>
      </c>
      <c r="B858" s="257" t="str">
        <f>IFERROR(__xludf.DUMMYFUNCTION("""COMPUTED_VALUE"""),"jvds")</f>
        <v>jvds</v>
      </c>
      <c r="C858" s="258" t="str">
        <f>IFERROR(__xludf.DUMMYFUNCTION("""COMPUTED_VALUE"""),"Europe (excluding UK) &amp; Asia Pacific")</f>
        <v>Europe (excluding UK) &amp; Asia Pacific</v>
      </c>
      <c r="D858" s="258" t="str">
        <f>IFERROR(__xludf.DUMMYFUNCTION("""COMPUTED_VALUE"""),"km. My car displays range in kilometres and I will enter all range numbers in kilometres.")</f>
        <v>km. My car displays range in kilometres and I will enter all range numbers in kilometres.</v>
      </c>
      <c r="E858" s="259">
        <f>IFERROR(__xludf.DUMMYFUNCTION("""COMPUTED_VALUE"""),42266.0)</f>
        <v>42266</v>
      </c>
      <c r="F858" s="258" t="str">
        <f>IFERROR(__xludf.DUMMYFUNCTION("""COMPUTED_VALUE"""),"Model S 70D")</f>
        <v>Model S 70D</v>
      </c>
      <c r="G858" s="258" t="str">
        <f>IFERROR(__xludf.DUMMYFUNCTION("""COMPUTED_VALUE"""),"A few times a year")</f>
        <v>A few times a year</v>
      </c>
      <c r="H858" s="258" t="str">
        <f>IFERROR(__xludf.DUMMYFUNCTION("""COMPUTED_VALUE"""),"A few times a year")</f>
        <v>A few times a year</v>
      </c>
      <c r="I858" s="258" t="str">
        <f>IFERROR(__xludf.DUMMYFUNCTION("""COMPUTED_VALUE"""),"Never")</f>
        <v>Never</v>
      </c>
      <c r="J858" s="260">
        <f>IFERROR(__xludf.DUMMYFUNCTION("""COMPUTED_VALUE"""),0.9)</f>
        <v>0.9</v>
      </c>
      <c r="K858" s="258">
        <f>IFERROR(__xludf.DUMMYFUNCTION("""COMPUTED_VALUE"""),323.0)</f>
        <v>323</v>
      </c>
      <c r="L858" s="258" t="str">
        <f>IFERROR(__xludf.DUMMYFUNCTION("""COMPUTED_VALUE"""),"")</f>
        <v/>
      </c>
      <c r="M858" s="261">
        <f>IFERROR(__xludf.DUMMYFUNCTION("""COMPUTED_VALUE"""),198.0)</f>
        <v>198</v>
      </c>
      <c r="N858" s="262" t="str">
        <f>IFERROR(__xludf.DUMMYFUNCTION("""COMPUTED_VALUE"""),"")</f>
        <v/>
      </c>
      <c r="O858" s="259" t="str">
        <f>IFERROR(__xludf.DUMMYFUNCTION("""COMPUTED_VALUE"""),"")</f>
        <v/>
      </c>
      <c r="P858" s="259">
        <f>IFERROR(__xludf.DUMMYFUNCTION("""COMPUTED_VALUE"""),42285.0)</f>
        <v>42285</v>
      </c>
      <c r="Q858" s="258">
        <f>IFERROR(__xludf.DUMMYFUNCTION("""COMPUTED_VALUE"""),1068.0)</f>
        <v>1068</v>
      </c>
      <c r="R858" s="261">
        <f>IFERROR(__xludf.DUMMYFUNCTION("""COMPUTED_VALUE"""),351.0)</f>
        <v>351</v>
      </c>
      <c r="S858" s="258">
        <v>360.0</v>
      </c>
      <c r="T858" s="263">
        <v>0.975</v>
      </c>
      <c r="U858" s="264">
        <v>664.0</v>
      </c>
      <c r="V858" s="265">
        <v>1068.0</v>
      </c>
      <c r="W858" s="264">
        <v>664.0</v>
      </c>
      <c r="X858" s="266"/>
      <c r="Y858" s="267">
        <v>-0.01</v>
      </c>
      <c r="Z858" s="267">
        <v>0.9979210124621185</v>
      </c>
      <c r="AA858" s="269"/>
      <c r="AB858" s="270"/>
      <c r="AC858" s="270"/>
      <c r="AD858" s="270"/>
      <c r="AE858" s="270"/>
    </row>
    <row r="859">
      <c r="A859" s="256">
        <f>IFERROR(__xludf.DUMMYFUNCTION("""COMPUTED_VALUE"""),42301.209027777775)</f>
        <v>42301.20903</v>
      </c>
      <c r="B859" s="257" t="str">
        <f>IFERROR(__xludf.DUMMYFUNCTION("""COMPUTED_VALUE"""),"jvds")</f>
        <v>jvds</v>
      </c>
      <c r="C859" s="258" t="str">
        <f>IFERROR(__xludf.DUMMYFUNCTION("""COMPUTED_VALUE"""),"Europe (excluding UK) &amp; Asia Pacific")</f>
        <v>Europe (excluding UK) &amp; Asia Pacific</v>
      </c>
      <c r="D859" s="258" t="str">
        <f>IFERROR(__xludf.DUMMYFUNCTION("""COMPUTED_VALUE"""),"km. My car displays range in kilometres and I will enter all range numbers in kilometres.")</f>
        <v>km. My car displays range in kilometres and I will enter all range numbers in kilometres.</v>
      </c>
      <c r="E859" s="259">
        <f>IFERROR(__xludf.DUMMYFUNCTION("""COMPUTED_VALUE"""),42266.0)</f>
        <v>42266</v>
      </c>
      <c r="F859" s="258" t="str">
        <f>IFERROR(__xludf.DUMMYFUNCTION("""COMPUTED_VALUE"""),"Model S 70D")</f>
        <v>Model S 70D</v>
      </c>
      <c r="G859" s="258" t="str">
        <f>IFERROR(__xludf.DUMMYFUNCTION("""COMPUTED_VALUE"""),"Monthly")</f>
        <v>Monthly</v>
      </c>
      <c r="H859" s="258" t="str">
        <f>IFERROR(__xludf.DUMMYFUNCTION("""COMPUTED_VALUE"""),"Monthly")</f>
        <v>Monthly</v>
      </c>
      <c r="I859" s="258" t="str">
        <f>IFERROR(__xludf.DUMMYFUNCTION("""COMPUTED_VALUE"""),"Never")</f>
        <v>Never</v>
      </c>
      <c r="J859" s="260">
        <f>IFERROR(__xludf.DUMMYFUNCTION("""COMPUTED_VALUE"""),0.9)</f>
        <v>0.9</v>
      </c>
      <c r="K859" s="258" t="str">
        <f>IFERROR(__xludf.DUMMYFUNCTION("""COMPUTED_VALUE"""),"")</f>
        <v/>
      </c>
      <c r="L859" s="258" t="str">
        <f>IFERROR(__xludf.DUMMYFUNCTION("""COMPUTED_VALUE"""),"")</f>
        <v/>
      </c>
      <c r="M859" s="261">
        <f>IFERROR(__xludf.DUMMYFUNCTION("""COMPUTED_VALUE"""),210.0)</f>
        <v>210</v>
      </c>
      <c r="N859" s="262" t="str">
        <f>IFERROR(__xludf.DUMMYFUNCTION("""COMPUTED_VALUE"""),"")</f>
        <v/>
      </c>
      <c r="O859" s="259" t="str">
        <f>IFERROR(__xludf.DUMMYFUNCTION("""COMPUTED_VALUE"""),"")</f>
        <v/>
      </c>
      <c r="P859" s="259">
        <f>IFERROR(__xludf.DUMMYFUNCTION("""COMPUTED_VALUE"""),42301.0)</f>
        <v>42301</v>
      </c>
      <c r="Q859" s="258">
        <f>IFERROR(__xludf.DUMMYFUNCTION("""COMPUTED_VALUE"""),2611.0)</f>
        <v>2611</v>
      </c>
      <c r="R859" s="261">
        <f>IFERROR(__xludf.DUMMYFUNCTION("""COMPUTED_VALUE"""),351.0)</f>
        <v>351</v>
      </c>
      <c r="S859" s="258">
        <v>360.0</v>
      </c>
      <c r="T859" s="263">
        <v>0.975</v>
      </c>
      <c r="U859" s="264">
        <v>1622.0</v>
      </c>
      <c r="V859" s="265">
        <v>2611.0</v>
      </c>
      <c r="W859" s="264">
        <v>1622.0</v>
      </c>
      <c r="X859" s="266"/>
      <c r="Y859" s="267">
        <v>-0.01</v>
      </c>
      <c r="Z859" s="267">
        <v>0.9951104821912017</v>
      </c>
      <c r="AA859" s="269"/>
      <c r="AB859" s="270"/>
      <c r="AC859" s="270"/>
      <c r="AD859" s="270"/>
      <c r="AE859" s="270"/>
    </row>
    <row r="860">
      <c r="A860" s="256">
        <f>IFERROR(__xludf.DUMMYFUNCTION("""COMPUTED_VALUE"""),42303.214583333334)</f>
        <v>42303.21458</v>
      </c>
      <c r="B860" s="257" t="str">
        <f>IFERROR(__xludf.DUMMYFUNCTION("""COMPUTED_VALUE"""),"jvds")</f>
        <v>jvds</v>
      </c>
      <c r="C860" s="258" t="str">
        <f>IFERROR(__xludf.DUMMYFUNCTION("""COMPUTED_VALUE"""),"Europe (excluding UK) &amp; Asia Pacific")</f>
        <v>Europe (excluding UK) &amp; Asia Pacific</v>
      </c>
      <c r="D860" s="258" t="str">
        <f>IFERROR(__xludf.DUMMYFUNCTION("""COMPUTED_VALUE"""),"km. My car displays range in kilometres and I will enter all range numbers in kilometres.")</f>
        <v>km. My car displays range in kilometres and I will enter all range numbers in kilometres.</v>
      </c>
      <c r="E860" s="259">
        <f>IFERROR(__xludf.DUMMYFUNCTION("""COMPUTED_VALUE"""),42266.0)</f>
        <v>42266</v>
      </c>
      <c r="F860" s="258" t="str">
        <f>IFERROR(__xludf.DUMMYFUNCTION("""COMPUTED_VALUE"""),"Model S 70D")</f>
        <v>Model S 70D</v>
      </c>
      <c r="G860" s="258" t="str">
        <f>IFERROR(__xludf.DUMMYFUNCTION("""COMPUTED_VALUE"""),"Twice a month")</f>
        <v>Twice a month</v>
      </c>
      <c r="H860" s="258" t="str">
        <f>IFERROR(__xludf.DUMMYFUNCTION("""COMPUTED_VALUE"""),"Monthly")</f>
        <v>Monthly</v>
      </c>
      <c r="I860" s="258" t="str">
        <f>IFERROR(__xludf.DUMMYFUNCTION("""COMPUTED_VALUE"""),"Never")</f>
        <v>Never</v>
      </c>
      <c r="J860" s="260">
        <f>IFERROR(__xludf.DUMMYFUNCTION("""COMPUTED_VALUE"""),0.9)</f>
        <v>0.9</v>
      </c>
      <c r="K860" s="258">
        <f>IFERROR(__xludf.DUMMYFUNCTION("""COMPUTED_VALUE"""),360.0)</f>
        <v>360</v>
      </c>
      <c r="L860" s="258" t="str">
        <f>IFERROR(__xludf.DUMMYFUNCTION("""COMPUTED_VALUE"""),"")</f>
        <v/>
      </c>
      <c r="M860" s="261">
        <f>IFERROR(__xludf.DUMMYFUNCTION("""COMPUTED_VALUE"""),209.0)</f>
        <v>209</v>
      </c>
      <c r="N860" s="262" t="str">
        <f>IFERROR(__xludf.DUMMYFUNCTION("""COMPUTED_VALUE"""),"")</f>
        <v/>
      </c>
      <c r="O860" s="259" t="str">
        <f>IFERROR(__xludf.DUMMYFUNCTION("""COMPUTED_VALUE"""),"")</f>
        <v/>
      </c>
      <c r="P860" s="259">
        <f>IFERROR(__xludf.DUMMYFUNCTION("""COMPUTED_VALUE"""),42303.0)</f>
        <v>42303</v>
      </c>
      <c r="Q860" s="258">
        <f>IFERROR(__xludf.DUMMYFUNCTION("""COMPUTED_VALUE"""),2787.0)</f>
        <v>2787</v>
      </c>
      <c r="R860" s="261">
        <f>IFERROR(__xludf.DUMMYFUNCTION("""COMPUTED_VALUE"""),360.0)</f>
        <v>360</v>
      </c>
      <c r="S860" s="258">
        <v>360.0</v>
      </c>
      <c r="T860" s="263">
        <v>1.0</v>
      </c>
      <c r="U860" s="264">
        <v>1732.0</v>
      </c>
      <c r="V860" s="265">
        <v>2787.0</v>
      </c>
      <c r="W860" s="264">
        <v>1732.0</v>
      </c>
      <c r="X860" s="266"/>
      <c r="Y860" s="267">
        <v>-0.01</v>
      </c>
      <c r="Z860" s="267">
        <v>0.9948036386541266</v>
      </c>
      <c r="AA860" s="269"/>
      <c r="AB860" s="270"/>
      <c r="AC860" s="270"/>
      <c r="AD860" s="270"/>
      <c r="AE860" s="270"/>
    </row>
    <row r="861">
      <c r="A861" s="256">
        <f>IFERROR(__xludf.DUMMYFUNCTION("""COMPUTED_VALUE"""),42311.21805555555)</f>
        <v>42311.21806</v>
      </c>
      <c r="B861" s="257" t="str">
        <f>IFERROR(__xludf.DUMMYFUNCTION("""COMPUTED_VALUE"""),"jvds")</f>
        <v>jvds</v>
      </c>
      <c r="C861" s="258" t="str">
        <f>IFERROR(__xludf.DUMMYFUNCTION("""COMPUTED_VALUE"""),"Europe (excluding UK) &amp; Asia Pacific")</f>
        <v>Europe (excluding UK) &amp; Asia Pacific</v>
      </c>
      <c r="D861" s="258" t="str">
        <f>IFERROR(__xludf.DUMMYFUNCTION("""COMPUTED_VALUE"""),"km. My car displays range in kilometres and I will enter all range numbers in kilometres.")</f>
        <v>km. My car displays range in kilometres and I will enter all range numbers in kilometres.</v>
      </c>
      <c r="E861" s="259">
        <f>IFERROR(__xludf.DUMMYFUNCTION("""COMPUTED_VALUE"""),42266.0)</f>
        <v>42266</v>
      </c>
      <c r="F861" s="258" t="str">
        <f>IFERROR(__xludf.DUMMYFUNCTION("""COMPUTED_VALUE"""),"Model S 70D")</f>
        <v>Model S 70D</v>
      </c>
      <c r="G861" s="258" t="str">
        <f>IFERROR(__xludf.DUMMYFUNCTION("""COMPUTED_VALUE"""),"Twice a month")</f>
        <v>Twice a month</v>
      </c>
      <c r="H861" s="258" t="str">
        <f>IFERROR(__xludf.DUMMYFUNCTION("""COMPUTED_VALUE"""),"A few times a year")</f>
        <v>A few times a year</v>
      </c>
      <c r="I861" s="258" t="str">
        <f>IFERROR(__xludf.DUMMYFUNCTION("""COMPUTED_VALUE"""),"Never")</f>
        <v>Never</v>
      </c>
      <c r="J861" s="260">
        <f>IFERROR(__xludf.DUMMYFUNCTION("""COMPUTED_VALUE"""),0.9)</f>
        <v>0.9</v>
      </c>
      <c r="K861" s="258">
        <f>IFERROR(__xludf.DUMMYFUNCTION("""COMPUTED_VALUE"""),360.0)</f>
        <v>360</v>
      </c>
      <c r="L861" s="258" t="str">
        <f>IFERROR(__xludf.DUMMYFUNCTION("""COMPUTED_VALUE"""),"")</f>
        <v/>
      </c>
      <c r="M861" s="261">
        <f>IFERROR(__xludf.DUMMYFUNCTION("""COMPUTED_VALUE"""),202.0)</f>
        <v>202</v>
      </c>
      <c r="N861" s="262" t="str">
        <f>IFERROR(__xludf.DUMMYFUNCTION("""COMPUTED_VALUE"""),"")</f>
        <v/>
      </c>
      <c r="O861" s="259" t="str">
        <f>IFERROR(__xludf.DUMMYFUNCTION("""COMPUTED_VALUE"""),"")</f>
        <v/>
      </c>
      <c r="P861" s="259">
        <f>IFERROR(__xludf.DUMMYFUNCTION("""COMPUTED_VALUE"""),42311.0)</f>
        <v>42311</v>
      </c>
      <c r="Q861" s="258">
        <f>IFERROR(__xludf.DUMMYFUNCTION("""COMPUTED_VALUE"""),3567.0)</f>
        <v>3567</v>
      </c>
      <c r="R861" s="261">
        <f>IFERROR(__xludf.DUMMYFUNCTION("""COMPUTED_VALUE"""),366.0)</f>
        <v>366</v>
      </c>
      <c r="S861" s="258">
        <v>360.0</v>
      </c>
      <c r="T861" s="263">
        <v>1.0166666666666666</v>
      </c>
      <c r="U861" s="264">
        <v>2216.0</v>
      </c>
      <c r="V861" s="265">
        <v>3567.0</v>
      </c>
      <c r="W861" s="264">
        <v>2216.0</v>
      </c>
      <c r="X861" s="266"/>
      <c r="Y861" s="267">
        <v>-0.01</v>
      </c>
      <c r="Z861" s="267">
        <v>0.9934760112790545</v>
      </c>
      <c r="AA861" s="269"/>
      <c r="AB861" s="270"/>
      <c r="AC861" s="270"/>
      <c r="AD861" s="270"/>
      <c r="AE861" s="270"/>
    </row>
    <row r="862">
      <c r="A862" s="256">
        <f>IFERROR(__xludf.DUMMYFUNCTION("""COMPUTED_VALUE"""),42313.21944444445)</f>
        <v>42313.21944</v>
      </c>
      <c r="B862" s="257" t="str">
        <f>IFERROR(__xludf.DUMMYFUNCTION("""COMPUTED_VALUE"""),"jvds")</f>
        <v>jvds</v>
      </c>
      <c r="C862" s="258" t="str">
        <f>IFERROR(__xludf.DUMMYFUNCTION("""COMPUTED_VALUE"""),"Europe (excluding UK) &amp; Asia Pacific")</f>
        <v>Europe (excluding UK) &amp; Asia Pacific</v>
      </c>
      <c r="D862" s="258" t="str">
        <f>IFERROR(__xludf.DUMMYFUNCTION("""COMPUTED_VALUE"""),"km. My car displays range in kilometres and I will enter all range numbers in kilometres.")</f>
        <v>km. My car displays range in kilometres and I will enter all range numbers in kilometres.</v>
      </c>
      <c r="E862" s="259">
        <f>IFERROR(__xludf.DUMMYFUNCTION("""COMPUTED_VALUE"""),42266.0)</f>
        <v>42266</v>
      </c>
      <c r="F862" s="258" t="str">
        <f>IFERROR(__xludf.DUMMYFUNCTION("""COMPUTED_VALUE"""),"Model S 70D")</f>
        <v>Model S 70D</v>
      </c>
      <c r="G862" s="258" t="str">
        <f>IFERROR(__xludf.DUMMYFUNCTION("""COMPUTED_VALUE"""),"Twice a month")</f>
        <v>Twice a month</v>
      </c>
      <c r="H862" s="258" t="str">
        <f>IFERROR(__xludf.DUMMYFUNCTION("""COMPUTED_VALUE"""),"A few times a year")</f>
        <v>A few times a year</v>
      </c>
      <c r="I862" s="258" t="str">
        <f>IFERROR(__xludf.DUMMYFUNCTION("""COMPUTED_VALUE"""),"Never")</f>
        <v>Never</v>
      </c>
      <c r="J862" s="260">
        <f>IFERROR(__xludf.DUMMYFUNCTION("""COMPUTED_VALUE"""),0.9)</f>
        <v>0.9</v>
      </c>
      <c r="K862" s="258">
        <f>IFERROR(__xludf.DUMMYFUNCTION("""COMPUTED_VALUE"""),360.0)</f>
        <v>360</v>
      </c>
      <c r="L862" s="258" t="str">
        <f>IFERROR(__xludf.DUMMYFUNCTION("""COMPUTED_VALUE"""),"")</f>
        <v/>
      </c>
      <c r="M862" s="261">
        <f>IFERROR(__xludf.DUMMYFUNCTION("""COMPUTED_VALUE"""),205.0)</f>
        <v>205</v>
      </c>
      <c r="N862" s="262" t="str">
        <f>IFERROR(__xludf.DUMMYFUNCTION("""COMPUTED_VALUE"""),"")</f>
        <v/>
      </c>
      <c r="O862" s="259" t="str">
        <f>IFERROR(__xludf.DUMMYFUNCTION("""COMPUTED_VALUE"""),"")</f>
        <v/>
      </c>
      <c r="P862" s="259">
        <f>IFERROR(__xludf.DUMMYFUNCTION("""COMPUTED_VALUE"""),42313.0)</f>
        <v>42313</v>
      </c>
      <c r="Q862" s="258">
        <f>IFERROR(__xludf.DUMMYFUNCTION("""COMPUTED_VALUE"""),3700.0)</f>
        <v>3700</v>
      </c>
      <c r="R862" s="261">
        <f>IFERROR(__xludf.DUMMYFUNCTION("""COMPUTED_VALUE"""),352.0)</f>
        <v>352</v>
      </c>
      <c r="S862" s="258">
        <v>360.0</v>
      </c>
      <c r="T862" s="263">
        <v>0.9777777777777777</v>
      </c>
      <c r="U862" s="264">
        <v>2299.0</v>
      </c>
      <c r="V862" s="265">
        <v>3700.0</v>
      </c>
      <c r="W862" s="264">
        <v>2299.0</v>
      </c>
      <c r="X862" s="266"/>
      <c r="Y862" s="267">
        <v>-0.01</v>
      </c>
      <c r="Z862" s="267">
        <v>0.9932547753766154</v>
      </c>
      <c r="AA862" s="269"/>
      <c r="AB862" s="270"/>
      <c r="AC862" s="270"/>
      <c r="AD862" s="270"/>
      <c r="AE862" s="270"/>
    </row>
    <row r="863">
      <c r="A863" s="256">
        <f>IFERROR(__xludf.DUMMYFUNCTION("""COMPUTED_VALUE"""),42324.231944444444)</f>
        <v>42324.23194</v>
      </c>
      <c r="B863" s="257" t="str">
        <f>IFERROR(__xludf.DUMMYFUNCTION("""COMPUTED_VALUE"""),"jvds")</f>
        <v>jvds</v>
      </c>
      <c r="C863" s="258" t="str">
        <f>IFERROR(__xludf.DUMMYFUNCTION("""COMPUTED_VALUE"""),"Europe (excluding UK) &amp; Asia Pacific")</f>
        <v>Europe (excluding UK) &amp; Asia Pacific</v>
      </c>
      <c r="D863" s="258" t="str">
        <f>IFERROR(__xludf.DUMMYFUNCTION("""COMPUTED_VALUE"""),"km. My car displays range in kilometres and I will enter all range numbers in kilometres.")</f>
        <v>km. My car displays range in kilometres and I will enter all range numbers in kilometres.</v>
      </c>
      <c r="E863" s="259">
        <f>IFERROR(__xludf.DUMMYFUNCTION("""COMPUTED_VALUE"""),42266.0)</f>
        <v>42266</v>
      </c>
      <c r="F863" s="258" t="str">
        <f>IFERROR(__xludf.DUMMYFUNCTION("""COMPUTED_VALUE"""),"Model S 70D")</f>
        <v>Model S 70D</v>
      </c>
      <c r="G863" s="258" t="str">
        <f>IFERROR(__xludf.DUMMYFUNCTION("""COMPUTED_VALUE"""),"Twice a month")</f>
        <v>Twice a month</v>
      </c>
      <c r="H863" s="258" t="str">
        <f>IFERROR(__xludf.DUMMYFUNCTION("""COMPUTED_VALUE"""),"Monthly")</f>
        <v>Monthly</v>
      </c>
      <c r="I863" s="258" t="str">
        <f>IFERROR(__xludf.DUMMYFUNCTION("""COMPUTED_VALUE"""),"Never")</f>
        <v>Never</v>
      </c>
      <c r="J863" s="260">
        <f>IFERROR(__xludf.DUMMYFUNCTION("""COMPUTED_VALUE"""),0.9)</f>
        <v>0.9</v>
      </c>
      <c r="K863" s="258">
        <f>IFERROR(__xludf.DUMMYFUNCTION("""COMPUTED_VALUE"""),360.0)</f>
        <v>360</v>
      </c>
      <c r="L863" s="258" t="str">
        <f>IFERROR(__xludf.DUMMYFUNCTION("""COMPUTED_VALUE"""),"")</f>
        <v/>
      </c>
      <c r="M863" s="261">
        <f>IFERROR(__xludf.DUMMYFUNCTION("""COMPUTED_VALUE"""),205.0)</f>
        <v>205</v>
      </c>
      <c r="N863" s="262" t="str">
        <f>IFERROR(__xludf.DUMMYFUNCTION("""COMPUTED_VALUE"""),"")</f>
        <v/>
      </c>
      <c r="O863" s="259" t="str">
        <f>IFERROR(__xludf.DUMMYFUNCTION("""COMPUTED_VALUE"""),"")</f>
        <v/>
      </c>
      <c r="P863" s="259">
        <f>IFERROR(__xludf.DUMMYFUNCTION("""COMPUTED_VALUE"""),42324.0)</f>
        <v>42324</v>
      </c>
      <c r="Q863" s="258">
        <f>IFERROR(__xludf.DUMMYFUNCTION("""COMPUTED_VALUE"""),4400.0)</f>
        <v>4400</v>
      </c>
      <c r="R863" s="261">
        <f>IFERROR(__xludf.DUMMYFUNCTION("""COMPUTED_VALUE"""),350.0)</f>
        <v>350</v>
      </c>
      <c r="S863" s="258">
        <v>360.0</v>
      </c>
      <c r="T863" s="263">
        <v>0.9722222222222222</v>
      </c>
      <c r="U863" s="264">
        <v>2734.0</v>
      </c>
      <c r="V863" s="265">
        <v>4400.0</v>
      </c>
      <c r="W863" s="264">
        <v>2734.0</v>
      </c>
      <c r="X863" s="266"/>
      <c r="Y863" s="267">
        <v>-0.01</v>
      </c>
      <c r="Z863" s="267">
        <v>0.9921143055452037</v>
      </c>
      <c r="AA863" s="269"/>
      <c r="AB863" s="270"/>
      <c r="AC863" s="270"/>
      <c r="AD863" s="270"/>
      <c r="AE863" s="270"/>
    </row>
    <row r="864">
      <c r="A864" s="256">
        <f>IFERROR(__xludf.DUMMYFUNCTION("""COMPUTED_VALUE"""),42840.52222222222)</f>
        <v>42840.52222</v>
      </c>
      <c r="B864" s="257" t="str">
        <f>IFERROR(__xludf.DUMMYFUNCTION("""COMPUTED_VALUE"""),"jvds")</f>
        <v>jvds</v>
      </c>
      <c r="C864" s="258" t="str">
        <f>IFERROR(__xludf.DUMMYFUNCTION("""COMPUTED_VALUE"""),"Europe (excluding UK) &amp; Asia Pacific")</f>
        <v>Europe (excluding UK) &amp; Asia Pacific</v>
      </c>
      <c r="D864" s="258" t="str">
        <f>IFERROR(__xludf.DUMMYFUNCTION("""COMPUTED_VALUE"""),"km. My car displays range in kilometres and I will enter all range numbers in kilometres.")</f>
        <v>km. My car displays range in kilometres and I will enter all range numbers in kilometres.</v>
      </c>
      <c r="E864" s="259">
        <f>IFERROR(__xludf.DUMMYFUNCTION("""COMPUTED_VALUE"""),42266.0)</f>
        <v>42266</v>
      </c>
      <c r="F864" s="258" t="str">
        <f>IFERROR(__xludf.DUMMYFUNCTION("""COMPUTED_VALUE"""),"Model S 70D")</f>
        <v>Model S 70D</v>
      </c>
      <c r="G864" s="258" t="str">
        <f>IFERROR(__xludf.DUMMYFUNCTION("""COMPUTED_VALUE"""),"Monthly")</f>
        <v>Monthly</v>
      </c>
      <c r="H864" s="258" t="str">
        <f>IFERROR(__xludf.DUMMYFUNCTION("""COMPUTED_VALUE"""),"A few times a year")</f>
        <v>A few times a year</v>
      </c>
      <c r="I864" s="258" t="str">
        <f>IFERROR(__xludf.DUMMYFUNCTION("""COMPUTED_VALUE"""),"Never")</f>
        <v>Never</v>
      </c>
      <c r="J864" s="260">
        <f>IFERROR(__xludf.DUMMYFUNCTION("""COMPUTED_VALUE"""),0.9)</f>
        <v>0.9</v>
      </c>
      <c r="K864" s="258">
        <f>IFERROR(__xludf.DUMMYFUNCTION("""COMPUTED_VALUE"""),358.0)</f>
        <v>358</v>
      </c>
      <c r="L864" s="258" t="str">
        <f>IFERROR(__xludf.DUMMYFUNCTION("""COMPUTED_VALUE"""),"")</f>
        <v/>
      </c>
      <c r="M864" s="261">
        <f>IFERROR(__xludf.DUMMYFUNCTION("""COMPUTED_VALUE"""),219.0)</f>
        <v>219</v>
      </c>
      <c r="N864" s="262" t="str">
        <f>IFERROR(__xludf.DUMMYFUNCTION("""COMPUTED_VALUE"""),"")</f>
        <v/>
      </c>
      <c r="O864" s="259" t="str">
        <f>IFERROR(__xludf.DUMMYFUNCTION("""COMPUTED_VALUE"""),"")</f>
        <v/>
      </c>
      <c r="P864" s="259">
        <f>IFERROR(__xludf.DUMMYFUNCTION("""COMPUTED_VALUE"""),42840.0)</f>
        <v>42840</v>
      </c>
      <c r="Q864" s="258">
        <f>IFERROR(__xludf.DUMMYFUNCTION("""COMPUTED_VALUE"""),31913.0)</f>
        <v>31913</v>
      </c>
      <c r="R864" s="261">
        <f>IFERROR(__xludf.DUMMYFUNCTION("""COMPUTED_VALUE"""),348.0)</f>
        <v>348</v>
      </c>
      <c r="S864" s="258">
        <v>360.0</v>
      </c>
      <c r="T864" s="263">
        <v>0.9666666666666667</v>
      </c>
      <c r="U864" s="264">
        <v>19830.0</v>
      </c>
      <c r="V864" s="265">
        <v>31913.0</v>
      </c>
      <c r="W864" s="264">
        <v>19830.0</v>
      </c>
      <c r="X864" s="266"/>
      <c r="Y864" s="267">
        <v>-0.01</v>
      </c>
      <c r="Z864" s="267">
        <v>0.966959426706713</v>
      </c>
      <c r="AA864" s="269"/>
      <c r="AB864" s="270"/>
      <c r="AC864" s="270"/>
      <c r="AD864" s="270"/>
      <c r="AE864" s="270"/>
    </row>
    <row r="865">
      <c r="A865" s="256">
        <f>IFERROR(__xludf.DUMMYFUNCTION("""COMPUTED_VALUE"""),42847.527083333334)</f>
        <v>42847.52708</v>
      </c>
      <c r="B865" s="257" t="str">
        <f>IFERROR(__xludf.DUMMYFUNCTION("""COMPUTED_VALUE"""),"jvds")</f>
        <v>jvds</v>
      </c>
      <c r="C865" s="258" t="str">
        <f>IFERROR(__xludf.DUMMYFUNCTION("""COMPUTED_VALUE"""),"Europe (excluding UK) &amp; Asia Pacific")</f>
        <v>Europe (excluding UK) &amp; Asia Pacific</v>
      </c>
      <c r="D865" s="258" t="str">
        <f>IFERROR(__xludf.DUMMYFUNCTION("""COMPUTED_VALUE"""),"km. My car displays range in kilometres and I will enter all range numbers in kilometres.")</f>
        <v>km. My car displays range in kilometres and I will enter all range numbers in kilometres.</v>
      </c>
      <c r="E865" s="259">
        <f>IFERROR(__xludf.DUMMYFUNCTION("""COMPUTED_VALUE"""),42266.0)</f>
        <v>42266</v>
      </c>
      <c r="F865" s="258" t="str">
        <f>IFERROR(__xludf.DUMMYFUNCTION("""COMPUTED_VALUE"""),"Model S 70D")</f>
        <v>Model S 70D</v>
      </c>
      <c r="G865" s="258" t="str">
        <f>IFERROR(__xludf.DUMMYFUNCTION("""COMPUTED_VALUE"""),"Monthly")</f>
        <v>Monthly</v>
      </c>
      <c r="H865" s="258" t="str">
        <f>IFERROR(__xludf.DUMMYFUNCTION("""COMPUTED_VALUE"""),"A few times a year")</f>
        <v>A few times a year</v>
      </c>
      <c r="I865" s="258" t="str">
        <f>IFERROR(__xludf.DUMMYFUNCTION("""COMPUTED_VALUE"""),"Once or twice a year")</f>
        <v>Once or twice a year</v>
      </c>
      <c r="J865" s="260">
        <f>IFERROR(__xludf.DUMMYFUNCTION("""COMPUTED_VALUE"""),0.9)</f>
        <v>0.9</v>
      </c>
      <c r="K865" s="258" t="str">
        <f>IFERROR(__xludf.DUMMYFUNCTION("""COMPUTED_VALUE"""),"")</f>
        <v/>
      </c>
      <c r="L865" s="258" t="str">
        <f>IFERROR(__xludf.DUMMYFUNCTION("""COMPUTED_VALUE"""),"")</f>
        <v/>
      </c>
      <c r="M865" s="261">
        <f>IFERROR(__xludf.DUMMYFUNCTION("""COMPUTED_VALUE"""),212.0)</f>
        <v>212</v>
      </c>
      <c r="N865" s="262" t="str">
        <f>IFERROR(__xludf.DUMMYFUNCTION("""COMPUTED_VALUE"""),"")</f>
        <v/>
      </c>
      <c r="O865" s="259" t="str">
        <f>IFERROR(__xludf.DUMMYFUNCTION("""COMPUTED_VALUE"""),"")</f>
        <v/>
      </c>
      <c r="P865" s="259">
        <f>IFERROR(__xludf.DUMMYFUNCTION("""COMPUTED_VALUE"""),42847.0)</f>
        <v>42847</v>
      </c>
      <c r="Q865" s="258">
        <f>IFERROR(__xludf.DUMMYFUNCTION("""COMPUTED_VALUE"""),32373.0)</f>
        <v>32373</v>
      </c>
      <c r="R865" s="261">
        <f>IFERROR(__xludf.DUMMYFUNCTION("""COMPUTED_VALUE"""),352.0)</f>
        <v>352</v>
      </c>
      <c r="S865" s="258">
        <v>360.0</v>
      </c>
      <c r="T865" s="263">
        <v>0.9777777777777777</v>
      </c>
      <c r="U865" s="264">
        <v>20116.0</v>
      </c>
      <c r="V865" s="265">
        <v>32373.0</v>
      </c>
      <c r="W865" s="264">
        <v>20116.0</v>
      </c>
      <c r="X865" s="266"/>
      <c r="Y865" s="267">
        <v>-0.01</v>
      </c>
      <c r="Z865" s="267">
        <v>0.9667276989755539</v>
      </c>
      <c r="AA865" s="269"/>
      <c r="AB865" s="270"/>
      <c r="AC865" s="270"/>
      <c r="AD865" s="270"/>
      <c r="AE865" s="270"/>
    </row>
    <row r="866">
      <c r="A866" s="256">
        <f>IFERROR(__xludf.DUMMYFUNCTION("""COMPUTED_VALUE"""),42854.52847222222)</f>
        <v>42854.52847</v>
      </c>
      <c r="B866" s="257" t="str">
        <f>IFERROR(__xludf.DUMMYFUNCTION("""COMPUTED_VALUE"""),"jvds")</f>
        <v>jvds</v>
      </c>
      <c r="C866" s="258" t="str">
        <f>IFERROR(__xludf.DUMMYFUNCTION("""COMPUTED_VALUE"""),"Europe (excluding UK) &amp; Asia Pacific")</f>
        <v>Europe (excluding UK) &amp; Asia Pacific</v>
      </c>
      <c r="D866" s="258" t="str">
        <f>IFERROR(__xludf.DUMMYFUNCTION("""COMPUTED_VALUE"""),"km. My car displays range in kilometres and I will enter all range numbers in kilometres.")</f>
        <v>km. My car displays range in kilometres and I will enter all range numbers in kilometres.</v>
      </c>
      <c r="E866" s="259">
        <f>IFERROR(__xludf.DUMMYFUNCTION("""COMPUTED_VALUE"""),42266.0)</f>
        <v>42266</v>
      </c>
      <c r="F866" s="258" t="str">
        <f>IFERROR(__xludf.DUMMYFUNCTION("""COMPUTED_VALUE"""),"Model S 70D")</f>
        <v>Model S 70D</v>
      </c>
      <c r="G866" s="258" t="str">
        <f>IFERROR(__xludf.DUMMYFUNCTION("""COMPUTED_VALUE"""),"A few times a year")</f>
        <v>A few times a year</v>
      </c>
      <c r="H866" s="258" t="str">
        <f>IFERROR(__xludf.DUMMYFUNCTION("""COMPUTED_VALUE"""),"A few times a year")</f>
        <v>A few times a year</v>
      </c>
      <c r="I866" s="258" t="str">
        <f>IFERROR(__xludf.DUMMYFUNCTION("""COMPUTED_VALUE"""),"Never")</f>
        <v>Never</v>
      </c>
      <c r="J866" s="260">
        <f>IFERROR(__xludf.DUMMYFUNCTION("""COMPUTED_VALUE"""),0.9)</f>
        <v>0.9</v>
      </c>
      <c r="K866" s="258">
        <f>IFERROR(__xludf.DUMMYFUNCTION("""COMPUTED_VALUE"""),352.0)</f>
        <v>352</v>
      </c>
      <c r="L866" s="258" t="str">
        <f>IFERROR(__xludf.DUMMYFUNCTION("""COMPUTED_VALUE"""),"")</f>
        <v/>
      </c>
      <c r="M866" s="261" t="str">
        <f>IFERROR(__xludf.DUMMYFUNCTION("""COMPUTED_VALUE"""),"")</f>
        <v/>
      </c>
      <c r="N866" s="262" t="str">
        <f>IFERROR(__xludf.DUMMYFUNCTION("""COMPUTED_VALUE"""),"")</f>
        <v/>
      </c>
      <c r="O866" s="259" t="str">
        <f>IFERROR(__xludf.DUMMYFUNCTION("""COMPUTED_VALUE"""),"")</f>
        <v/>
      </c>
      <c r="P866" s="259">
        <f>IFERROR(__xludf.DUMMYFUNCTION("""COMPUTED_VALUE"""),42854.0)</f>
        <v>42854</v>
      </c>
      <c r="Q866" s="258">
        <f>IFERROR(__xludf.DUMMYFUNCTION("""COMPUTED_VALUE"""),32788.0)</f>
        <v>32788</v>
      </c>
      <c r="R866" s="261">
        <f>IFERROR(__xludf.DUMMYFUNCTION("""COMPUTED_VALUE"""),345.0)</f>
        <v>345</v>
      </c>
      <c r="S866" s="258">
        <v>360.0</v>
      </c>
      <c r="T866" s="263">
        <v>0.9583333333333334</v>
      </c>
      <c r="U866" s="264">
        <v>20374.0</v>
      </c>
      <c r="V866" s="265">
        <v>32788.0</v>
      </c>
      <c r="W866" s="264">
        <v>20374.0</v>
      </c>
      <c r="X866" s="266"/>
      <c r="Y866" s="267">
        <v>-0.01</v>
      </c>
      <c r="Z866" s="267">
        <v>0.9665214874448005</v>
      </c>
      <c r="AA866" s="269"/>
      <c r="AB866" s="270"/>
      <c r="AC866" s="270"/>
      <c r="AD866" s="270"/>
      <c r="AE866" s="270"/>
    </row>
    <row r="867">
      <c r="A867" s="256">
        <f>IFERROR(__xludf.DUMMYFUNCTION("""COMPUTED_VALUE"""),42909.55138888889)</f>
        <v>42909.55139</v>
      </c>
      <c r="B867" s="257" t="str">
        <f>IFERROR(__xludf.DUMMYFUNCTION("""COMPUTED_VALUE"""),"jvds")</f>
        <v>jvds</v>
      </c>
      <c r="C867" s="258" t="str">
        <f>IFERROR(__xludf.DUMMYFUNCTION("""COMPUTED_VALUE"""),"Europe (excluding UK) &amp; Asia Pacific")</f>
        <v>Europe (excluding UK) &amp; Asia Pacific</v>
      </c>
      <c r="D867" s="258" t="str">
        <f>IFERROR(__xludf.DUMMYFUNCTION("""COMPUTED_VALUE"""),"km. My car displays range in kilometres and I will enter all range numbers in kilometres.")</f>
        <v>km. My car displays range in kilometres and I will enter all range numbers in kilometres.</v>
      </c>
      <c r="E867" s="259">
        <f>IFERROR(__xludf.DUMMYFUNCTION("""COMPUTED_VALUE"""),42266.0)</f>
        <v>42266</v>
      </c>
      <c r="F867" s="258" t="str">
        <f>IFERROR(__xludf.DUMMYFUNCTION("""COMPUTED_VALUE"""),"Model S 70D")</f>
        <v>Model S 70D</v>
      </c>
      <c r="G867" s="258" t="str">
        <f>IFERROR(__xludf.DUMMYFUNCTION("""COMPUTED_VALUE"""),"Monthly")</f>
        <v>Monthly</v>
      </c>
      <c r="H867" s="258" t="str">
        <f>IFERROR(__xludf.DUMMYFUNCTION("""COMPUTED_VALUE"""),"Monthly")</f>
        <v>Monthly</v>
      </c>
      <c r="I867" s="258" t="str">
        <f>IFERROR(__xludf.DUMMYFUNCTION("""COMPUTED_VALUE"""),"Never")</f>
        <v>Never</v>
      </c>
      <c r="J867" s="260">
        <f>IFERROR(__xludf.DUMMYFUNCTION("""COMPUTED_VALUE"""),0.9)</f>
        <v>0.9</v>
      </c>
      <c r="K867" s="258">
        <f>IFERROR(__xludf.DUMMYFUNCTION("""COMPUTED_VALUE"""),352.0)</f>
        <v>352</v>
      </c>
      <c r="L867" s="258" t="str">
        <f>IFERROR(__xludf.DUMMYFUNCTION("""COMPUTED_VALUE"""),"")</f>
        <v/>
      </c>
      <c r="M867" s="261">
        <f>IFERROR(__xludf.DUMMYFUNCTION("""COMPUTED_VALUE"""),200.0)</f>
        <v>200</v>
      </c>
      <c r="N867" s="262" t="str">
        <f>IFERROR(__xludf.DUMMYFUNCTION("""COMPUTED_VALUE"""),"")</f>
        <v/>
      </c>
      <c r="O867" s="259" t="str">
        <f>IFERROR(__xludf.DUMMYFUNCTION("""COMPUTED_VALUE"""),"")</f>
        <v/>
      </c>
      <c r="P867" s="259">
        <f>IFERROR(__xludf.DUMMYFUNCTION("""COMPUTED_VALUE"""),42909.0)</f>
        <v>42909</v>
      </c>
      <c r="Q867" s="258">
        <f>IFERROR(__xludf.DUMMYFUNCTION("""COMPUTED_VALUE"""),37050.0)</f>
        <v>37050</v>
      </c>
      <c r="R867" s="261">
        <f>IFERROR(__xludf.DUMMYFUNCTION("""COMPUTED_VALUE"""),355.0)</f>
        <v>355</v>
      </c>
      <c r="S867" s="258">
        <v>360.0</v>
      </c>
      <c r="T867" s="263">
        <v>0.9861111111111112</v>
      </c>
      <c r="U867" s="264">
        <v>23022.0</v>
      </c>
      <c r="V867" s="265">
        <v>37050.0</v>
      </c>
      <c r="W867" s="264">
        <v>23022.0</v>
      </c>
      <c r="X867" s="266"/>
      <c r="Y867" s="267">
        <v>-0.01</v>
      </c>
      <c r="Z867" s="267">
        <v>0.9645454594894372</v>
      </c>
      <c r="AA867" s="269"/>
      <c r="AB867" s="270"/>
      <c r="AC867" s="270"/>
      <c r="AD867" s="270"/>
      <c r="AE867" s="270"/>
    </row>
    <row r="868">
      <c r="A868" s="256">
        <f>IFERROR(__xludf.DUMMYFUNCTION("""COMPUTED_VALUE"""),42917.55347222222)</f>
        <v>42917.55347</v>
      </c>
      <c r="B868" s="257" t="str">
        <f>IFERROR(__xludf.DUMMYFUNCTION("""COMPUTED_VALUE"""),"jvds")</f>
        <v>jvds</v>
      </c>
      <c r="C868" s="258" t="str">
        <f>IFERROR(__xludf.DUMMYFUNCTION("""COMPUTED_VALUE"""),"Europe (excluding UK) &amp; Asia Pacific")</f>
        <v>Europe (excluding UK) &amp; Asia Pacific</v>
      </c>
      <c r="D868" s="258" t="str">
        <f>IFERROR(__xludf.DUMMYFUNCTION("""COMPUTED_VALUE"""),"km. My car displays range in kilometres and I will enter all range numbers in kilometres.")</f>
        <v>km. My car displays range in kilometres and I will enter all range numbers in kilometres.</v>
      </c>
      <c r="E868" s="259">
        <f>IFERROR(__xludf.DUMMYFUNCTION("""COMPUTED_VALUE"""),42266.0)</f>
        <v>42266</v>
      </c>
      <c r="F868" s="258" t="str">
        <f>IFERROR(__xludf.DUMMYFUNCTION("""COMPUTED_VALUE"""),"Model S 70D")</f>
        <v>Model S 70D</v>
      </c>
      <c r="G868" s="258" t="str">
        <f>IFERROR(__xludf.DUMMYFUNCTION("""COMPUTED_VALUE"""),"Monthly")</f>
        <v>Monthly</v>
      </c>
      <c r="H868" s="258" t="str">
        <f>IFERROR(__xludf.DUMMYFUNCTION("""COMPUTED_VALUE"""),"Twice a month")</f>
        <v>Twice a month</v>
      </c>
      <c r="I868" s="258" t="str">
        <f>IFERROR(__xludf.DUMMYFUNCTION("""COMPUTED_VALUE"""),"Never")</f>
        <v>Never</v>
      </c>
      <c r="J868" s="260">
        <f>IFERROR(__xludf.DUMMYFUNCTION("""COMPUTED_VALUE"""),0.9)</f>
        <v>0.9</v>
      </c>
      <c r="K868" s="258">
        <f>IFERROR(__xludf.DUMMYFUNCTION("""COMPUTED_VALUE"""),352.0)</f>
        <v>352</v>
      </c>
      <c r="L868" s="258" t="str">
        <f>IFERROR(__xludf.DUMMYFUNCTION("""COMPUTED_VALUE"""),"")</f>
        <v/>
      </c>
      <c r="M868" s="261">
        <f>IFERROR(__xludf.DUMMYFUNCTION("""COMPUTED_VALUE"""),203.0)</f>
        <v>203</v>
      </c>
      <c r="N868" s="262" t="str">
        <f>IFERROR(__xludf.DUMMYFUNCTION("""COMPUTED_VALUE"""),"")</f>
        <v/>
      </c>
      <c r="O868" s="259" t="str">
        <f>IFERROR(__xludf.DUMMYFUNCTION("""COMPUTED_VALUE"""),"")</f>
        <v/>
      </c>
      <c r="P868" s="259">
        <f>IFERROR(__xludf.DUMMYFUNCTION("""COMPUTED_VALUE"""),42917.0)</f>
        <v>42917</v>
      </c>
      <c r="Q868" s="258">
        <f>IFERROR(__xludf.DUMMYFUNCTION("""COMPUTED_VALUE"""),37891.0)</f>
        <v>37891</v>
      </c>
      <c r="R868" s="261">
        <f>IFERROR(__xludf.DUMMYFUNCTION("""COMPUTED_VALUE"""),355.0)</f>
        <v>355</v>
      </c>
      <c r="S868" s="258">
        <v>360.0</v>
      </c>
      <c r="T868" s="263">
        <v>0.9861111111111112</v>
      </c>
      <c r="U868" s="264">
        <v>23544.0</v>
      </c>
      <c r="V868" s="265">
        <v>37891.0</v>
      </c>
      <c r="W868" s="264">
        <v>23544.0</v>
      </c>
      <c r="X868" s="266"/>
      <c r="Y868" s="267">
        <v>-0.01</v>
      </c>
      <c r="Z868" s="267">
        <v>0.964182968033125</v>
      </c>
      <c r="AA868" s="269"/>
      <c r="AB868" s="270"/>
      <c r="AC868" s="270"/>
      <c r="AD868" s="270"/>
      <c r="AE868" s="270"/>
    </row>
    <row r="869">
      <c r="A869" s="256">
        <f>IFERROR(__xludf.DUMMYFUNCTION("""COMPUTED_VALUE"""),42986.60277777778)</f>
        <v>42986.60278</v>
      </c>
      <c r="B869" s="257" t="str">
        <f>IFERROR(__xludf.DUMMYFUNCTION("""COMPUTED_VALUE"""),"jvds")</f>
        <v>jvds</v>
      </c>
      <c r="C869" s="258" t="str">
        <f>IFERROR(__xludf.DUMMYFUNCTION("""COMPUTED_VALUE"""),"Europe (excluding UK) &amp; Asia Pacific")</f>
        <v>Europe (excluding UK) &amp; Asia Pacific</v>
      </c>
      <c r="D869" s="258" t="str">
        <f>IFERROR(__xludf.DUMMYFUNCTION("""COMPUTED_VALUE"""),"km. My car displays range in kilometres and I will enter all range numbers in kilometres.")</f>
        <v>km. My car displays range in kilometres and I will enter all range numbers in kilometres.</v>
      </c>
      <c r="E869" s="259">
        <f>IFERROR(__xludf.DUMMYFUNCTION("""COMPUTED_VALUE"""),42266.0)</f>
        <v>42266</v>
      </c>
      <c r="F869" s="258" t="str">
        <f>IFERROR(__xludf.DUMMYFUNCTION("""COMPUTED_VALUE"""),"Model S 70D")</f>
        <v>Model S 70D</v>
      </c>
      <c r="G869" s="258" t="str">
        <f>IFERROR(__xludf.DUMMYFUNCTION("""COMPUTED_VALUE"""),"Monthly")</f>
        <v>Monthly</v>
      </c>
      <c r="H869" s="258" t="str">
        <f>IFERROR(__xludf.DUMMYFUNCTION("""COMPUTED_VALUE"""),"Monthly")</f>
        <v>Monthly</v>
      </c>
      <c r="I869" s="258" t="str">
        <f>IFERROR(__xludf.DUMMYFUNCTION("""COMPUTED_VALUE"""),"Once or twice a year")</f>
        <v>Once or twice a year</v>
      </c>
      <c r="J869" s="260">
        <f>IFERROR(__xludf.DUMMYFUNCTION("""COMPUTED_VALUE"""),0.9)</f>
        <v>0.9</v>
      </c>
      <c r="K869" s="258">
        <f>IFERROR(__xludf.DUMMYFUNCTION("""COMPUTED_VALUE"""),352.0)</f>
        <v>352</v>
      </c>
      <c r="L869" s="258" t="str">
        <f>IFERROR(__xludf.DUMMYFUNCTION("""COMPUTED_VALUE"""),"")</f>
        <v/>
      </c>
      <c r="M869" s="261">
        <f>IFERROR(__xludf.DUMMYFUNCTION("""COMPUTED_VALUE"""),189.0)</f>
        <v>189</v>
      </c>
      <c r="N869" s="262" t="str">
        <f>IFERROR(__xludf.DUMMYFUNCTION("""COMPUTED_VALUE"""),"")</f>
        <v/>
      </c>
      <c r="O869" s="259" t="str">
        <f>IFERROR(__xludf.DUMMYFUNCTION("""COMPUTED_VALUE"""),"")</f>
        <v/>
      </c>
      <c r="P869" s="259">
        <f>IFERROR(__xludf.DUMMYFUNCTION("""COMPUTED_VALUE"""),42986.0)</f>
        <v>42986</v>
      </c>
      <c r="Q869" s="258">
        <f>IFERROR(__xludf.DUMMYFUNCTION("""COMPUTED_VALUE"""),42825.0)</f>
        <v>42825</v>
      </c>
      <c r="R869" s="261">
        <f>IFERROR(__xludf.DUMMYFUNCTION("""COMPUTED_VALUE"""),348.0)</f>
        <v>348</v>
      </c>
      <c r="S869" s="258">
        <v>360.0</v>
      </c>
      <c r="T869" s="263">
        <v>0.9666666666666667</v>
      </c>
      <c r="U869" s="264">
        <v>26610.0</v>
      </c>
      <c r="V869" s="265">
        <v>42825.0</v>
      </c>
      <c r="W869" s="264">
        <v>26610.0</v>
      </c>
      <c r="X869" s="266"/>
      <c r="Y869" s="267">
        <v>-0.01</v>
      </c>
      <c r="Z869" s="267">
        <v>0.9622062993461303</v>
      </c>
      <c r="AA869" s="269"/>
      <c r="AB869" s="270"/>
      <c r="AC869" s="270"/>
      <c r="AD869" s="270"/>
      <c r="AE869" s="270"/>
    </row>
    <row r="870">
      <c r="A870" s="256">
        <f>IFERROR(__xludf.DUMMYFUNCTION("""COMPUTED_VALUE"""),43036.62986111111)</f>
        <v>43036.62986</v>
      </c>
      <c r="B870" s="257" t="str">
        <f>IFERROR(__xludf.DUMMYFUNCTION("""COMPUTED_VALUE"""),"jvds")</f>
        <v>jvds</v>
      </c>
      <c r="C870" s="258" t="str">
        <f>IFERROR(__xludf.DUMMYFUNCTION("""COMPUTED_VALUE"""),"Europe (excluding UK) &amp; Asia Pacific")</f>
        <v>Europe (excluding UK) &amp; Asia Pacific</v>
      </c>
      <c r="D870" s="258" t="str">
        <f>IFERROR(__xludf.DUMMYFUNCTION("""COMPUTED_VALUE"""),"km. My car displays range in kilometres and I will enter all range numbers in kilometres.")</f>
        <v>km. My car displays range in kilometres and I will enter all range numbers in kilometres.</v>
      </c>
      <c r="E870" s="259">
        <f>IFERROR(__xludf.DUMMYFUNCTION("""COMPUTED_VALUE"""),42266.0)</f>
        <v>42266</v>
      </c>
      <c r="F870" s="258" t="str">
        <f>IFERROR(__xludf.DUMMYFUNCTION("""COMPUTED_VALUE"""),"Model S 70D")</f>
        <v>Model S 70D</v>
      </c>
      <c r="G870" s="258" t="str">
        <f>IFERROR(__xludf.DUMMYFUNCTION("""COMPUTED_VALUE"""),"Monthly")</f>
        <v>Monthly</v>
      </c>
      <c r="H870" s="258" t="str">
        <f>IFERROR(__xludf.DUMMYFUNCTION("""COMPUTED_VALUE"""),"Monthly")</f>
        <v>Monthly</v>
      </c>
      <c r="I870" s="258" t="str">
        <f>IFERROR(__xludf.DUMMYFUNCTION("""COMPUTED_VALUE"""),"Once or twice a year")</f>
        <v>Once or twice a year</v>
      </c>
      <c r="J870" s="260">
        <f>IFERROR(__xludf.DUMMYFUNCTION("""COMPUTED_VALUE"""),0.9)</f>
        <v>0.9</v>
      </c>
      <c r="K870" s="258">
        <f>IFERROR(__xludf.DUMMYFUNCTION("""COMPUTED_VALUE"""),360.0)</f>
        <v>360</v>
      </c>
      <c r="L870" s="258" t="str">
        <f>IFERROR(__xludf.DUMMYFUNCTION("""COMPUTED_VALUE"""),"")</f>
        <v/>
      </c>
      <c r="M870" s="261">
        <f>IFERROR(__xludf.DUMMYFUNCTION("""COMPUTED_VALUE"""),218.0)</f>
        <v>218</v>
      </c>
      <c r="N870" s="262" t="str">
        <f>IFERROR(__xludf.DUMMYFUNCTION("""COMPUTED_VALUE"""),"")</f>
        <v/>
      </c>
      <c r="O870" s="259" t="str">
        <f>IFERROR(__xludf.DUMMYFUNCTION("""COMPUTED_VALUE"""),"")</f>
        <v/>
      </c>
      <c r="P870" s="259">
        <f>IFERROR(__xludf.DUMMYFUNCTION("""COMPUTED_VALUE"""),43036.0)</f>
        <v>43036</v>
      </c>
      <c r="Q870" s="258">
        <f>IFERROR(__xludf.DUMMYFUNCTION("""COMPUTED_VALUE"""),45754.0)</f>
        <v>45754</v>
      </c>
      <c r="R870" s="261">
        <f>IFERROR(__xludf.DUMMYFUNCTION("""COMPUTED_VALUE"""),348.0)</f>
        <v>348</v>
      </c>
      <c r="S870" s="258">
        <v>360.0</v>
      </c>
      <c r="T870" s="263">
        <v>0.9666666666666667</v>
      </c>
      <c r="U870" s="264">
        <v>28430.0</v>
      </c>
      <c r="V870" s="265">
        <v>45754.0</v>
      </c>
      <c r="W870" s="264">
        <v>28430.0</v>
      </c>
      <c r="X870" s="266"/>
      <c r="Y870" s="267">
        <v>-0.01</v>
      </c>
      <c r="Z870" s="267">
        <v>0.961135484392071</v>
      </c>
      <c r="AA870" s="269"/>
      <c r="AB870" s="270"/>
      <c r="AC870" s="270"/>
      <c r="AD870" s="270"/>
      <c r="AE870" s="270"/>
    </row>
    <row r="871">
      <c r="A871" s="256">
        <f>IFERROR(__xludf.DUMMYFUNCTION("""COMPUTED_VALUE"""),43072.64097222222)</f>
        <v>43072.64097</v>
      </c>
      <c r="B871" s="257" t="str">
        <f>IFERROR(__xludf.DUMMYFUNCTION("""COMPUTED_VALUE"""),"jvds")</f>
        <v>jvds</v>
      </c>
      <c r="C871" s="258" t="str">
        <f>IFERROR(__xludf.DUMMYFUNCTION("""COMPUTED_VALUE"""),"Europe (excluding UK) &amp; Asia Pacific")</f>
        <v>Europe (excluding UK) &amp; Asia Pacific</v>
      </c>
      <c r="D871" s="258" t="str">
        <f>IFERROR(__xludf.DUMMYFUNCTION("""COMPUTED_VALUE"""),"km. My car displays range in kilometres and I will enter all range numbers in kilometres.")</f>
        <v>km. My car displays range in kilometres and I will enter all range numbers in kilometres.</v>
      </c>
      <c r="E871" s="259">
        <f>IFERROR(__xludf.DUMMYFUNCTION("""COMPUTED_VALUE"""),42266.0)</f>
        <v>42266</v>
      </c>
      <c r="F871" s="258" t="str">
        <f>IFERROR(__xludf.DUMMYFUNCTION("""COMPUTED_VALUE"""),"Model S 70D")</f>
        <v>Model S 70D</v>
      </c>
      <c r="G871" s="258" t="str">
        <f>IFERROR(__xludf.DUMMYFUNCTION("""COMPUTED_VALUE"""),"Monthly")</f>
        <v>Monthly</v>
      </c>
      <c r="H871" s="258" t="str">
        <f>IFERROR(__xludf.DUMMYFUNCTION("""COMPUTED_VALUE"""),"Monthly")</f>
        <v>Monthly</v>
      </c>
      <c r="I871" s="258" t="str">
        <f>IFERROR(__xludf.DUMMYFUNCTION("""COMPUTED_VALUE"""),"Once or twice a year")</f>
        <v>Once or twice a year</v>
      </c>
      <c r="J871" s="260">
        <f>IFERROR(__xludf.DUMMYFUNCTION("""COMPUTED_VALUE"""),0.9)</f>
        <v>0.9</v>
      </c>
      <c r="K871" s="258">
        <f>IFERROR(__xludf.DUMMYFUNCTION("""COMPUTED_VALUE"""),360.0)</f>
        <v>360</v>
      </c>
      <c r="L871" s="258" t="str">
        <f>IFERROR(__xludf.DUMMYFUNCTION("""COMPUTED_VALUE"""),"")</f>
        <v/>
      </c>
      <c r="M871" s="261">
        <f>IFERROR(__xludf.DUMMYFUNCTION("""COMPUTED_VALUE"""),218.0)</f>
        <v>218</v>
      </c>
      <c r="N871" s="262" t="str">
        <f>IFERROR(__xludf.DUMMYFUNCTION("""COMPUTED_VALUE"""),"")</f>
        <v/>
      </c>
      <c r="O871" s="259" t="str">
        <f>IFERROR(__xludf.DUMMYFUNCTION("""COMPUTED_VALUE"""),"")</f>
        <v/>
      </c>
      <c r="P871" s="259">
        <f>IFERROR(__xludf.DUMMYFUNCTION("""COMPUTED_VALUE"""),43072.0)</f>
        <v>43072</v>
      </c>
      <c r="Q871" s="258">
        <f>IFERROR(__xludf.DUMMYFUNCTION("""COMPUTED_VALUE"""),47832.0)</f>
        <v>47832</v>
      </c>
      <c r="R871" s="261">
        <f>IFERROR(__xludf.DUMMYFUNCTION("""COMPUTED_VALUE"""),350.0)</f>
        <v>350</v>
      </c>
      <c r="S871" s="258">
        <v>360.0</v>
      </c>
      <c r="T871" s="263">
        <v>0.9722222222222222</v>
      </c>
      <c r="U871" s="264">
        <v>29721.0</v>
      </c>
      <c r="V871" s="265">
        <v>47832.0</v>
      </c>
      <c r="W871" s="264">
        <v>29721.0</v>
      </c>
      <c r="X871" s="266"/>
      <c r="Y871" s="267">
        <v>-0.01</v>
      </c>
      <c r="Z871" s="267">
        <v>0.9604139158731065</v>
      </c>
      <c r="AA871" s="269"/>
      <c r="AB871" s="270"/>
      <c r="AC871" s="270"/>
      <c r="AD871" s="270"/>
      <c r="AE871" s="270"/>
    </row>
    <row r="872">
      <c r="A872" s="256">
        <f>IFERROR(__xludf.DUMMYFUNCTION("""COMPUTED_VALUE"""),42964.57916666666)</f>
        <v>42964.57917</v>
      </c>
      <c r="B872" s="257" t="str">
        <f>IFERROR(__xludf.DUMMYFUNCTION("""COMPUTED_VALUE"""),"KaJu74")</f>
        <v>KaJu74</v>
      </c>
      <c r="C872" s="258" t="str">
        <f>IFERROR(__xludf.DUMMYFUNCTION("""COMPUTED_VALUE"""),"Europe (excluding UK) &amp; Asia Pacific")</f>
        <v>Europe (excluding UK) &amp; Asia Pacific</v>
      </c>
      <c r="D872" s="258" t="str">
        <f>IFERROR(__xludf.DUMMYFUNCTION("""COMPUTED_VALUE"""),"km. My car displays range in kilometres and I will enter all range numbers in kilometres.")</f>
        <v>km. My car displays range in kilometres and I will enter all range numbers in kilometres.</v>
      </c>
      <c r="E872" s="259">
        <f>IFERROR(__xludf.DUMMYFUNCTION("""COMPUTED_VALUE"""),42558.0)</f>
        <v>42558</v>
      </c>
      <c r="F872" s="258" t="str">
        <f>IFERROR(__xludf.DUMMYFUNCTION("""COMPUTED_VALUE"""),"Model S 75D")</f>
        <v>Model S 75D</v>
      </c>
      <c r="G872" s="258" t="str">
        <f>IFERROR(__xludf.DUMMYFUNCTION("""COMPUTED_VALUE"""),"A few times a year")</f>
        <v>A few times a year</v>
      </c>
      <c r="H872" s="258" t="str">
        <f>IFERROR(__xludf.DUMMYFUNCTION("""COMPUTED_VALUE"""),"A few times a year")</f>
        <v>A few times a year</v>
      </c>
      <c r="I872" s="258" t="str">
        <f>IFERROR(__xludf.DUMMYFUNCTION("""COMPUTED_VALUE"""),"Never")</f>
        <v>Never</v>
      </c>
      <c r="J872" s="260">
        <f>IFERROR(__xludf.DUMMYFUNCTION("""COMPUTED_VALUE"""),0.9)</f>
        <v>0.9</v>
      </c>
      <c r="K872" s="258" t="str">
        <f>IFERROR(__xludf.DUMMYFUNCTION("""COMPUTED_VALUE"""),"")</f>
        <v/>
      </c>
      <c r="L872" s="258" t="str">
        <f>IFERROR(__xludf.DUMMYFUNCTION("""COMPUTED_VALUE"""),"")</f>
        <v/>
      </c>
      <c r="M872" s="261">
        <f>IFERROR(__xludf.DUMMYFUNCTION("""COMPUTED_VALUE"""),215.0)</f>
        <v>215</v>
      </c>
      <c r="N872" s="262" t="str">
        <f>IFERROR(__xludf.DUMMYFUNCTION("""COMPUTED_VALUE"""),"")</f>
        <v/>
      </c>
      <c r="O872" s="259" t="str">
        <f>IFERROR(__xludf.DUMMYFUNCTION("""COMPUTED_VALUE"""),"")</f>
        <v/>
      </c>
      <c r="P872" s="259">
        <f>IFERROR(__xludf.DUMMYFUNCTION("""COMPUTED_VALUE"""),42964.0)</f>
        <v>42964</v>
      </c>
      <c r="Q872" s="258">
        <f>IFERROR(__xludf.DUMMYFUNCTION("""COMPUTED_VALUE"""),23357.0)</f>
        <v>23357</v>
      </c>
      <c r="R872" s="261">
        <f>IFERROR(__xludf.DUMMYFUNCTION("""COMPUTED_VALUE"""),375.0)</f>
        <v>375</v>
      </c>
      <c r="S872" s="258">
        <v>384.0</v>
      </c>
      <c r="T872" s="263">
        <v>0.9765625</v>
      </c>
      <c r="U872" s="264">
        <v>14513.0</v>
      </c>
      <c r="V872" s="265">
        <v>23357.0</v>
      </c>
      <c r="W872" s="264">
        <v>14513.0</v>
      </c>
      <c r="X872" s="266"/>
      <c r="Y872" s="267">
        <v>-0.01</v>
      </c>
      <c r="Z872" s="267">
        <v>0.972001071827767</v>
      </c>
      <c r="AA872" s="269"/>
      <c r="AB872" s="270"/>
      <c r="AC872" s="270"/>
      <c r="AD872" s="270"/>
      <c r="AE872" s="270"/>
    </row>
    <row r="873">
      <c r="A873" s="256">
        <f>IFERROR(__xludf.DUMMYFUNCTION("""COMPUTED_VALUE"""),42299.90277777778)</f>
        <v>42299.90278</v>
      </c>
      <c r="B873" s="257" t="str">
        <f>IFERROR(__xludf.DUMMYFUNCTION("""COMPUTED_VALUE"""),"Kalud")</f>
        <v>Kalud</v>
      </c>
      <c r="C873" s="258" t="str">
        <f>IFERROR(__xludf.DUMMYFUNCTION("""COMPUTED_VALUE"""),"Canada")</f>
        <v>Canada</v>
      </c>
      <c r="D873" s="258" t="str">
        <f>IFERROR(__xludf.DUMMYFUNCTION("""COMPUTED_VALUE"""),"km. My car displays range in kilometres and I will enter all range numbers in kilometres.")</f>
        <v>km. My car displays range in kilometres and I will enter all range numbers in kilometres.</v>
      </c>
      <c r="E873" s="259">
        <f>IFERROR(__xludf.DUMMYFUNCTION("""COMPUTED_VALUE"""),41607.0)</f>
        <v>41607</v>
      </c>
      <c r="F873" s="258" t="str">
        <f>IFERROR(__xludf.DUMMYFUNCTION("""COMPUTED_VALUE"""),"Model S P85")</f>
        <v>Model S P85</v>
      </c>
      <c r="G873" s="258" t="str">
        <f>IFERROR(__xludf.DUMMYFUNCTION("""COMPUTED_VALUE"""),"A few times a year")</f>
        <v>A few times a year</v>
      </c>
      <c r="H873" s="258" t="str">
        <f>IFERROR(__xludf.DUMMYFUNCTION("""COMPUTED_VALUE"""),"A few times a year")</f>
        <v>A few times a year</v>
      </c>
      <c r="I873" s="258" t="str">
        <f>IFERROR(__xludf.DUMMYFUNCTION("""COMPUTED_VALUE"""),"A few times a year")</f>
        <v>A few times a year</v>
      </c>
      <c r="J873" s="260">
        <f>IFERROR(__xludf.DUMMYFUNCTION("""COMPUTED_VALUE"""),0.9)</f>
        <v>0.9</v>
      </c>
      <c r="K873" s="258">
        <f>IFERROR(__xludf.DUMMYFUNCTION("""COMPUTED_VALUE"""),430.0)</f>
        <v>430</v>
      </c>
      <c r="L873" s="258" t="str">
        <f>IFERROR(__xludf.DUMMYFUNCTION("""COMPUTED_VALUE"""),"")</f>
        <v/>
      </c>
      <c r="M873" s="261">
        <f>IFERROR(__xludf.DUMMYFUNCTION("""COMPUTED_VALUE"""),233.0)</f>
        <v>233</v>
      </c>
      <c r="N873" s="262" t="str">
        <f>IFERROR(__xludf.DUMMYFUNCTION("""COMPUTED_VALUE"""),"")</f>
        <v/>
      </c>
      <c r="O873" s="259" t="str">
        <f>IFERROR(__xludf.DUMMYFUNCTION("""COMPUTED_VALUE"""),"")</f>
        <v/>
      </c>
      <c r="P873" s="259">
        <f>IFERROR(__xludf.DUMMYFUNCTION("""COMPUTED_VALUE"""),42299.0)</f>
        <v>42299</v>
      </c>
      <c r="Q873" s="258">
        <f>IFERROR(__xludf.DUMMYFUNCTION("""COMPUTED_VALUE"""),59365.0)</f>
        <v>59365</v>
      </c>
      <c r="R873" s="261">
        <f>IFERROR(__xludf.DUMMYFUNCTION("""COMPUTED_VALUE"""),414.0)</f>
        <v>414</v>
      </c>
      <c r="S873" s="258">
        <v>428.0</v>
      </c>
      <c r="T873" s="263">
        <v>0.9672897196261683</v>
      </c>
      <c r="U873" s="264">
        <v>36888.0</v>
      </c>
      <c r="V873" s="265">
        <v>59365.0</v>
      </c>
      <c r="W873" s="264">
        <v>36888.0</v>
      </c>
      <c r="X873" s="266"/>
      <c r="Y873" s="267">
        <v>-0.01</v>
      </c>
      <c r="Z873" s="267">
        <v>0.9568320859789634</v>
      </c>
      <c r="AA873" s="269"/>
      <c r="AB873" s="270"/>
      <c r="AC873" s="270"/>
      <c r="AD873" s="270"/>
      <c r="AE873" s="270"/>
    </row>
    <row r="874">
      <c r="A874" s="256">
        <f>IFERROR(__xludf.DUMMYFUNCTION("""COMPUTED_VALUE"""),41908.02013888889)</f>
        <v>41908.02014</v>
      </c>
      <c r="B874" s="257" t="str">
        <f>IFERROR(__xludf.DUMMYFUNCTION("""COMPUTED_VALUE"""),"kbekaert")</f>
        <v>kbekaert</v>
      </c>
      <c r="C874" s="258" t="str">
        <f>IFERROR(__xludf.DUMMYFUNCTION("""COMPUTED_VALUE"""),"Europe (excluding UK) &amp; Asia Pacific")</f>
        <v>Europe (excluding UK) &amp; Asia Pacific</v>
      </c>
      <c r="D874" s="258" t="str">
        <f>IFERROR(__xludf.DUMMYFUNCTION("""COMPUTED_VALUE"""),"km. My car displays range in kilometres and I will enter all range numbers in kilometres.")</f>
        <v>km. My car displays range in kilometres and I will enter all range numbers in kilometres.</v>
      </c>
      <c r="E874" s="259">
        <f>IFERROR(__xludf.DUMMYFUNCTION("""COMPUTED_VALUE"""),41542.0)</f>
        <v>41542</v>
      </c>
      <c r="F874" s="258" t="str">
        <f>IFERROR(__xludf.DUMMYFUNCTION("""COMPUTED_VALUE"""),"Unspecified 85 kWh")</f>
        <v>Unspecified 85 kWh</v>
      </c>
      <c r="G874" s="258" t="str">
        <f>IFERROR(__xludf.DUMMYFUNCTION("""COMPUTED_VALUE"""),"A few times a year")</f>
        <v>A few times a year</v>
      </c>
      <c r="H874" s="258" t="str">
        <f>IFERROR(__xludf.DUMMYFUNCTION("""COMPUTED_VALUE"""),"Once or twice a year")</f>
        <v>Once or twice a year</v>
      </c>
      <c r="I874" s="258" t="str">
        <f>IFERROR(__xludf.DUMMYFUNCTION("""COMPUTED_VALUE"""),"Never")</f>
        <v>Never</v>
      </c>
      <c r="J874" s="260" t="str">
        <f>IFERROR(__xludf.DUMMYFUNCTION("""COMPUTED_VALUE"""),"")</f>
        <v/>
      </c>
      <c r="K874" s="258" t="str">
        <f>IFERROR(__xludf.DUMMYFUNCTION("""COMPUTED_VALUE"""),"")</f>
        <v/>
      </c>
      <c r="L874" s="258" t="str">
        <f>IFERROR(__xludf.DUMMYFUNCTION("""COMPUTED_VALUE"""),"")</f>
        <v/>
      </c>
      <c r="M874" s="261">
        <f>IFERROR(__xludf.DUMMYFUNCTION("""COMPUTED_VALUE"""),214.0)</f>
        <v>214</v>
      </c>
      <c r="N874" s="262" t="str">
        <f>IFERROR(__xludf.DUMMYFUNCTION("""COMPUTED_VALUE"""),"")</f>
        <v/>
      </c>
      <c r="O874" s="259" t="str">
        <f>IFERROR(__xludf.DUMMYFUNCTION("""COMPUTED_VALUE"""),"")</f>
        <v/>
      </c>
      <c r="P874" s="259">
        <f>IFERROR(__xludf.DUMMYFUNCTION("""COMPUTED_VALUE"""),41908.0)</f>
        <v>41908</v>
      </c>
      <c r="Q874" s="258">
        <f>IFERROR(__xludf.DUMMYFUNCTION("""COMPUTED_VALUE"""),29481.0)</f>
        <v>29481</v>
      </c>
      <c r="R874" s="261">
        <f>IFERROR(__xludf.DUMMYFUNCTION("""COMPUTED_VALUE"""),385.0)</f>
        <v>385</v>
      </c>
      <c r="S874" s="258">
        <v>395.0</v>
      </c>
      <c r="T874" s="263">
        <v>0.9746835443037974</v>
      </c>
      <c r="U874" s="264">
        <v>18319.0</v>
      </c>
      <c r="V874" s="265">
        <v>29481.0</v>
      </c>
      <c r="W874" s="264">
        <v>18319.0</v>
      </c>
      <c r="X874" s="266"/>
      <c r="Y874" s="267">
        <v>-0.01</v>
      </c>
      <c r="Z874" s="267">
        <v>0.9682433951651921</v>
      </c>
      <c r="AA874" s="269"/>
      <c r="AB874" s="270"/>
      <c r="AC874" s="270"/>
      <c r="AD874" s="270"/>
      <c r="AE874" s="270"/>
    </row>
    <row r="875">
      <c r="A875" s="256">
        <f>IFERROR(__xludf.DUMMYFUNCTION("""COMPUTED_VALUE"""),43018.85625)</f>
        <v>43018.85625</v>
      </c>
      <c r="B875" s="257" t="str">
        <f>IFERROR(__xludf.DUMMYFUNCTION("""COMPUTED_VALUE"""),"KC")</f>
        <v>KC</v>
      </c>
      <c r="C875" s="258" t="str">
        <f>IFERROR(__xludf.DUMMYFUNCTION("""COMPUTED_VALUE"""),"USA")</f>
        <v>USA</v>
      </c>
      <c r="D875" s="258" t="str">
        <f>IFERROR(__xludf.DUMMYFUNCTION("""COMPUTED_VALUE"""),"mi. My car displays range in miles and I will enter all range numbers in miles.")</f>
        <v>mi. My car displays range in miles and I will enter all range numbers in miles.</v>
      </c>
      <c r="E875" s="259">
        <f>IFERROR(__xludf.DUMMYFUNCTION("""COMPUTED_VALUE"""),42865.0)</f>
        <v>42865</v>
      </c>
      <c r="F875" s="258" t="str">
        <f>IFERROR(__xludf.DUMMYFUNCTION("""COMPUTED_VALUE"""),"Model S 75")</f>
        <v>Model S 75</v>
      </c>
      <c r="G875" s="258" t="str">
        <f>IFERROR(__xludf.DUMMYFUNCTION("""COMPUTED_VALUE"""),"Twice a month")</f>
        <v>Twice a month</v>
      </c>
      <c r="H875" s="258" t="str">
        <f>IFERROR(__xludf.DUMMYFUNCTION("""COMPUTED_VALUE"""),"A few times a year")</f>
        <v>A few times a year</v>
      </c>
      <c r="I875" s="258" t="str">
        <f>IFERROR(__xludf.DUMMYFUNCTION("""COMPUTED_VALUE"""),"A few times a year")</f>
        <v>A few times a year</v>
      </c>
      <c r="J875" s="260">
        <f>IFERROR(__xludf.DUMMYFUNCTION("""COMPUTED_VALUE"""),0.8)</f>
        <v>0.8</v>
      </c>
      <c r="K875" s="258" t="str">
        <f>IFERROR(__xludf.DUMMYFUNCTION("""COMPUTED_VALUE"""),"")</f>
        <v/>
      </c>
      <c r="L875" s="258" t="str">
        <f>IFERROR(__xludf.DUMMYFUNCTION("""COMPUTED_VALUE"""),"")</f>
        <v/>
      </c>
      <c r="M875" s="261">
        <f>IFERROR(__xludf.DUMMYFUNCTION("""COMPUTED_VALUE"""),265.0)</f>
        <v>265</v>
      </c>
      <c r="N875" s="262" t="str">
        <f>IFERROR(__xludf.DUMMYFUNCTION("""COMPUTED_VALUE"""),"")</f>
        <v/>
      </c>
      <c r="O875" s="259" t="str">
        <f>IFERROR(__xludf.DUMMYFUNCTION("""COMPUTED_VALUE"""),"")</f>
        <v/>
      </c>
      <c r="P875" s="259">
        <f>IFERROR(__xludf.DUMMYFUNCTION("""COMPUTED_VALUE"""),43018.0)</f>
        <v>43018</v>
      </c>
      <c r="Q875" s="258">
        <f>IFERROR(__xludf.DUMMYFUNCTION("""COMPUTED_VALUE"""),5500.0)</f>
        <v>5500</v>
      </c>
      <c r="R875" s="261">
        <f>IFERROR(__xludf.DUMMYFUNCTION("""COMPUTED_VALUE"""),240.0)</f>
        <v>240</v>
      </c>
      <c r="S875" s="258">
        <v>246.0</v>
      </c>
      <c r="T875" s="263">
        <v>0.975609756097561</v>
      </c>
      <c r="U875" s="264">
        <v>5500.0</v>
      </c>
      <c r="V875" s="265">
        <v>8851.0</v>
      </c>
      <c r="W875" s="264">
        <v>5500.0</v>
      </c>
      <c r="X875" s="266"/>
      <c r="Y875" s="267">
        <v>-0.01</v>
      </c>
      <c r="Z875" s="267">
        <v>0.9857136623256552</v>
      </c>
      <c r="AA875" s="269"/>
      <c r="AB875" s="270"/>
      <c r="AC875" s="270"/>
      <c r="AD875" s="270"/>
      <c r="AE875" s="270"/>
    </row>
    <row r="876">
      <c r="A876" s="256">
        <f>IFERROR(__xludf.DUMMYFUNCTION("""COMPUTED_VALUE"""),43188.882638888885)</f>
        <v>43188.88264</v>
      </c>
      <c r="B876" s="257" t="str">
        <f>IFERROR(__xludf.DUMMYFUNCTION("""COMPUTED_VALUE"""),"KC")</f>
        <v>KC</v>
      </c>
      <c r="C876" s="258" t="str">
        <f>IFERROR(__xludf.DUMMYFUNCTION("""COMPUTED_VALUE"""),"USA")</f>
        <v>USA</v>
      </c>
      <c r="D876" s="258" t="str">
        <f>IFERROR(__xludf.DUMMYFUNCTION("""COMPUTED_VALUE"""),"mi. My car displays range in miles and I will enter all range numbers in miles.")</f>
        <v>mi. My car displays range in miles and I will enter all range numbers in miles.</v>
      </c>
      <c r="E876" s="259">
        <f>IFERROR(__xludf.DUMMYFUNCTION("""COMPUTED_VALUE"""),42865.0)</f>
        <v>42865</v>
      </c>
      <c r="F876" s="258" t="str">
        <f>IFERROR(__xludf.DUMMYFUNCTION("""COMPUTED_VALUE"""),"Model S 75")</f>
        <v>Model S 75</v>
      </c>
      <c r="G876" s="258" t="str">
        <f>IFERROR(__xludf.DUMMYFUNCTION("""COMPUTED_VALUE"""),"Twice a month")</f>
        <v>Twice a month</v>
      </c>
      <c r="H876" s="258" t="str">
        <f>IFERROR(__xludf.DUMMYFUNCTION("""COMPUTED_VALUE"""),"A few times a year")</f>
        <v>A few times a year</v>
      </c>
      <c r="I876" s="258" t="str">
        <f>IFERROR(__xludf.DUMMYFUNCTION("""COMPUTED_VALUE"""),"A few times a year")</f>
        <v>A few times a year</v>
      </c>
      <c r="J876" s="260">
        <f>IFERROR(__xludf.DUMMYFUNCTION("""COMPUTED_VALUE"""),0.8)</f>
        <v>0.8</v>
      </c>
      <c r="K876" s="258" t="str">
        <f>IFERROR(__xludf.DUMMYFUNCTION("""COMPUTED_VALUE"""),"")</f>
        <v/>
      </c>
      <c r="L876" s="258" t="str">
        <f>IFERROR(__xludf.DUMMYFUNCTION("""COMPUTED_VALUE"""),"")</f>
        <v/>
      </c>
      <c r="M876" s="261">
        <f>IFERROR(__xludf.DUMMYFUNCTION("""COMPUTED_VALUE"""),265.0)</f>
        <v>265</v>
      </c>
      <c r="N876" s="262" t="str">
        <f>IFERROR(__xludf.DUMMYFUNCTION("""COMPUTED_VALUE"""),"")</f>
        <v/>
      </c>
      <c r="O876" s="259" t="str">
        <f>IFERROR(__xludf.DUMMYFUNCTION("""COMPUTED_VALUE"""),"")</f>
        <v/>
      </c>
      <c r="P876" s="259">
        <f>IFERROR(__xludf.DUMMYFUNCTION("""COMPUTED_VALUE"""),43188.0)</f>
        <v>43188</v>
      </c>
      <c r="Q876" s="258">
        <f>IFERROR(__xludf.DUMMYFUNCTION("""COMPUTED_VALUE"""),9235.0)</f>
        <v>9235</v>
      </c>
      <c r="R876" s="261">
        <f>IFERROR(__xludf.DUMMYFUNCTION("""COMPUTED_VALUE"""),236.0)</f>
        <v>236</v>
      </c>
      <c r="S876" s="258">
        <v>246.0</v>
      </c>
      <c r="T876" s="263">
        <v>0.959349593495935</v>
      </c>
      <c r="U876" s="264">
        <v>9235.0</v>
      </c>
      <c r="V876" s="265">
        <v>14862.0</v>
      </c>
      <c r="W876" s="264">
        <v>9235.0</v>
      </c>
      <c r="X876" s="266"/>
      <c r="Y876" s="267">
        <v>-0.01</v>
      </c>
      <c r="Z876" s="267">
        <v>0.9789605700807543</v>
      </c>
      <c r="AA876" s="269"/>
      <c r="AB876" s="270"/>
      <c r="AC876" s="270"/>
      <c r="AD876" s="270"/>
      <c r="AE876" s="270"/>
    </row>
    <row r="877">
      <c r="A877" s="256">
        <f>IFERROR(__xludf.DUMMYFUNCTION("""COMPUTED_VALUE"""),43083.865277777775)</f>
        <v>43083.86528</v>
      </c>
      <c r="B877" s="257" t="str">
        <f>IFERROR(__xludf.DUMMYFUNCTION("""COMPUTED_VALUE"""),"kcain")</f>
        <v>kcain</v>
      </c>
      <c r="C877" s="258" t="str">
        <f>IFERROR(__xludf.DUMMYFUNCTION("""COMPUTED_VALUE"""),"USA")</f>
        <v>USA</v>
      </c>
      <c r="D877" s="258" t="str">
        <f>IFERROR(__xludf.DUMMYFUNCTION("""COMPUTED_VALUE"""),"mi. My car displays range in miles and I will enter all range numbers in miles.")</f>
        <v>mi. My car displays range in miles and I will enter all range numbers in miles.</v>
      </c>
      <c r="E877" s="259">
        <f>IFERROR(__xludf.DUMMYFUNCTION("""COMPUTED_VALUE"""),42724.0)</f>
        <v>42724</v>
      </c>
      <c r="F877" s="258" t="str">
        <f>IFERROR(__xludf.DUMMYFUNCTION("""COMPUTED_VALUE"""),"Model S 75D")</f>
        <v>Model S 75D</v>
      </c>
      <c r="G877" s="258" t="str">
        <f>IFERROR(__xludf.DUMMYFUNCTION("""COMPUTED_VALUE"""),"Monthly")</f>
        <v>Monthly</v>
      </c>
      <c r="H877" s="258" t="str">
        <f>IFERROR(__xludf.DUMMYFUNCTION("""COMPUTED_VALUE"""),"Weekly")</f>
        <v>Weekly</v>
      </c>
      <c r="I877" s="258" t="str">
        <f>IFERROR(__xludf.DUMMYFUNCTION("""COMPUTED_VALUE"""),"Once or twice a year")</f>
        <v>Once or twice a year</v>
      </c>
      <c r="J877" s="260">
        <f>IFERROR(__xludf.DUMMYFUNCTION("""COMPUTED_VALUE"""),0.9)</f>
        <v>0.9</v>
      </c>
      <c r="K877" s="258" t="str">
        <f>IFERROR(__xludf.DUMMYFUNCTION("""COMPUTED_VALUE"""),"")</f>
        <v/>
      </c>
      <c r="L877" s="258" t="str">
        <f>IFERROR(__xludf.DUMMYFUNCTION("""COMPUTED_VALUE"""),"")</f>
        <v/>
      </c>
      <c r="M877" s="261" t="str">
        <f>IFERROR(__xludf.DUMMYFUNCTION("""COMPUTED_VALUE"""),"")</f>
        <v/>
      </c>
      <c r="N877" s="262" t="str">
        <f>IFERROR(__xludf.DUMMYFUNCTION("""COMPUTED_VALUE"""),"")</f>
        <v/>
      </c>
      <c r="O877" s="259" t="str">
        <f>IFERROR(__xludf.DUMMYFUNCTION("""COMPUTED_VALUE"""),"")</f>
        <v/>
      </c>
      <c r="P877" s="259">
        <f>IFERROR(__xludf.DUMMYFUNCTION("""COMPUTED_VALUE"""),43083.0)</f>
        <v>43083</v>
      </c>
      <c r="Q877" s="258">
        <f>IFERROR(__xludf.DUMMYFUNCTION("""COMPUTED_VALUE"""),28583.0)</f>
        <v>28583</v>
      </c>
      <c r="R877" s="261">
        <f>IFERROR(__xludf.DUMMYFUNCTION("""COMPUTED_VALUE"""),252.0)</f>
        <v>252</v>
      </c>
      <c r="S877" s="258">
        <v>259.0</v>
      </c>
      <c r="T877" s="263">
        <v>0.972972972972973</v>
      </c>
      <c r="U877" s="264">
        <v>28583.0</v>
      </c>
      <c r="V877" s="265">
        <v>46000.0</v>
      </c>
      <c r="W877" s="264">
        <v>28583.0</v>
      </c>
      <c r="X877" s="266"/>
      <c r="Y877" s="267">
        <v>-0.01</v>
      </c>
      <c r="Z877" s="267">
        <v>0.961048512128177</v>
      </c>
      <c r="AA877" s="269"/>
      <c r="AB877" s="270"/>
      <c r="AC877" s="270"/>
      <c r="AD877" s="270"/>
      <c r="AE877" s="270"/>
    </row>
    <row r="878">
      <c r="A878" s="256">
        <f>IFERROR(__xludf.DUMMYFUNCTION("""COMPUTED_VALUE"""),42029.06527777778)</f>
        <v>42029.06528</v>
      </c>
      <c r="B878" s="257" t="str">
        <f>IFERROR(__xludf.DUMMYFUNCTION("""COMPUTED_VALUE"""),"Keezje")</f>
        <v>Keezje</v>
      </c>
      <c r="C878" s="258" t="str">
        <f>IFERROR(__xludf.DUMMYFUNCTION("""COMPUTED_VALUE"""),"Europe (excluding UK) &amp; Asia Pacific")</f>
        <v>Europe (excluding UK) &amp; Asia Pacific</v>
      </c>
      <c r="D878" s="258" t="str">
        <f>IFERROR(__xludf.DUMMYFUNCTION("""COMPUTED_VALUE"""),"km. My car displays range in kilometres and I will enter all range numbers in kilometres.")</f>
        <v>km. My car displays range in kilometres and I will enter all range numbers in kilometres.</v>
      </c>
      <c r="E878" s="259">
        <f>IFERROR(__xludf.DUMMYFUNCTION("""COMPUTED_VALUE"""),41631.0)</f>
        <v>41631</v>
      </c>
      <c r="F878" s="258" t="str">
        <f>IFERROR(__xludf.DUMMYFUNCTION("""COMPUTED_VALUE"""),"Model S P85")</f>
        <v>Model S P85</v>
      </c>
      <c r="G878" s="258" t="str">
        <f>IFERROR(__xludf.DUMMYFUNCTION("""COMPUTED_VALUE"""),"Twice a month")</f>
        <v>Twice a month</v>
      </c>
      <c r="H878" s="258" t="str">
        <f>IFERROR(__xludf.DUMMYFUNCTION("""COMPUTED_VALUE"""),"Monthly")</f>
        <v>Monthly</v>
      </c>
      <c r="I878" s="258" t="str">
        <f>IFERROR(__xludf.DUMMYFUNCTION("""COMPUTED_VALUE"""),"Monthly")</f>
        <v>Monthly</v>
      </c>
      <c r="J878" s="260" t="str">
        <f>IFERROR(__xludf.DUMMYFUNCTION("""COMPUTED_VALUE"""),"")</f>
        <v/>
      </c>
      <c r="K878" s="258" t="str">
        <f>IFERROR(__xludf.DUMMYFUNCTION("""COMPUTED_VALUE"""),"")</f>
        <v/>
      </c>
      <c r="L878" s="258" t="str">
        <f>IFERROR(__xludf.DUMMYFUNCTION("""COMPUTED_VALUE"""),"")</f>
        <v/>
      </c>
      <c r="M878" s="261">
        <f>IFERROR(__xludf.DUMMYFUNCTION("""COMPUTED_VALUE"""),230.0)</f>
        <v>230</v>
      </c>
      <c r="N878" s="262" t="str">
        <f>IFERROR(__xludf.DUMMYFUNCTION("""COMPUTED_VALUE"""),"")</f>
        <v/>
      </c>
      <c r="O878" s="259" t="str">
        <f>IFERROR(__xludf.DUMMYFUNCTION("""COMPUTED_VALUE"""),"")</f>
        <v/>
      </c>
      <c r="P878" s="259">
        <f>IFERROR(__xludf.DUMMYFUNCTION("""COMPUTED_VALUE"""),42029.0)</f>
        <v>42029</v>
      </c>
      <c r="Q878" s="258">
        <f>IFERROR(__xludf.DUMMYFUNCTION("""COMPUTED_VALUE"""),33000.0)</f>
        <v>33000</v>
      </c>
      <c r="R878" s="261">
        <f>IFERROR(__xludf.DUMMYFUNCTION("""COMPUTED_VALUE"""),375.0)</f>
        <v>375</v>
      </c>
      <c r="S878" s="258">
        <v>395.0</v>
      </c>
      <c r="T878" s="263">
        <v>0.9493670886075949</v>
      </c>
      <c r="U878" s="264">
        <v>20505.0</v>
      </c>
      <c r="V878" s="265">
        <v>33000.0</v>
      </c>
      <c r="W878" s="264">
        <v>20505.0</v>
      </c>
      <c r="X878" s="266"/>
      <c r="Y878" s="267">
        <v>-0.01</v>
      </c>
      <c r="Z878" s="267">
        <v>0.966417166126978</v>
      </c>
      <c r="AA878" s="269"/>
      <c r="AB878" s="270"/>
      <c r="AC878" s="270"/>
      <c r="AD878" s="270"/>
      <c r="AE878" s="270"/>
    </row>
    <row r="879">
      <c r="A879" s="256">
        <f>IFERROR(__xludf.DUMMYFUNCTION("""COMPUTED_VALUE"""),42113.101388888885)</f>
        <v>42113.10139</v>
      </c>
      <c r="B879" s="257" t="str">
        <f>IFERROR(__xludf.DUMMYFUNCTION("""COMPUTED_VALUE"""),"Keezje")</f>
        <v>Keezje</v>
      </c>
      <c r="C879" s="258" t="str">
        <f>IFERROR(__xludf.DUMMYFUNCTION("""COMPUTED_VALUE"""),"Europe (excluding UK) &amp; Asia Pacific")</f>
        <v>Europe (excluding UK) &amp; Asia Pacific</v>
      </c>
      <c r="D879" s="258" t="str">
        <f>IFERROR(__xludf.DUMMYFUNCTION("""COMPUTED_VALUE"""),"km. My car displays range in kilometres and I will enter all range numbers in kilometres.")</f>
        <v>km. My car displays range in kilometres and I will enter all range numbers in kilometres.</v>
      </c>
      <c r="E879" s="259">
        <f>IFERROR(__xludf.DUMMYFUNCTION("""COMPUTED_VALUE"""),41631.0)</f>
        <v>41631</v>
      </c>
      <c r="F879" s="258" t="str">
        <f>IFERROR(__xludf.DUMMYFUNCTION("""COMPUTED_VALUE"""),"Model S P85")</f>
        <v>Model S P85</v>
      </c>
      <c r="G879" s="258" t="str">
        <f>IFERROR(__xludf.DUMMYFUNCTION("""COMPUTED_VALUE"""),"Twice a month")</f>
        <v>Twice a month</v>
      </c>
      <c r="H879" s="258" t="str">
        <f>IFERROR(__xludf.DUMMYFUNCTION("""COMPUTED_VALUE"""),"Monthly")</f>
        <v>Monthly</v>
      </c>
      <c r="I879" s="258" t="str">
        <f>IFERROR(__xludf.DUMMYFUNCTION("""COMPUTED_VALUE"""),"Monthly")</f>
        <v>Monthly</v>
      </c>
      <c r="J879" s="260" t="str">
        <f>IFERROR(__xludf.DUMMYFUNCTION("""COMPUTED_VALUE"""),"")</f>
        <v/>
      </c>
      <c r="K879" s="258" t="str">
        <f>IFERROR(__xludf.DUMMYFUNCTION("""COMPUTED_VALUE"""),"")</f>
        <v/>
      </c>
      <c r="L879" s="258" t="str">
        <f>IFERROR(__xludf.DUMMYFUNCTION("""COMPUTED_VALUE"""),"")</f>
        <v/>
      </c>
      <c r="M879" s="261">
        <f>IFERROR(__xludf.DUMMYFUNCTION("""COMPUTED_VALUE"""),233.0)</f>
        <v>233</v>
      </c>
      <c r="N879" s="262" t="str">
        <f>IFERROR(__xludf.DUMMYFUNCTION("""COMPUTED_VALUE"""),"")</f>
        <v/>
      </c>
      <c r="O879" s="259" t="str">
        <f>IFERROR(__xludf.DUMMYFUNCTION("""COMPUTED_VALUE"""),"")</f>
        <v/>
      </c>
      <c r="P879" s="259">
        <f>IFERROR(__xludf.DUMMYFUNCTION("""COMPUTED_VALUE"""),42113.0)</f>
        <v>42113</v>
      </c>
      <c r="Q879" s="258">
        <f>IFERROR(__xludf.DUMMYFUNCTION("""COMPUTED_VALUE"""),40500.0)</f>
        <v>40500</v>
      </c>
      <c r="R879" s="261">
        <f>IFERROR(__xludf.DUMMYFUNCTION("""COMPUTED_VALUE"""),373.0)</f>
        <v>373</v>
      </c>
      <c r="S879" s="258">
        <v>395.0</v>
      </c>
      <c r="T879" s="263">
        <v>0.9443037974683545</v>
      </c>
      <c r="U879" s="264">
        <v>25166.0</v>
      </c>
      <c r="V879" s="265">
        <v>40500.0</v>
      </c>
      <c r="W879" s="264">
        <v>25166.0</v>
      </c>
      <c r="X879" s="266"/>
      <c r="Y879" s="267">
        <v>-0.01</v>
      </c>
      <c r="Z879" s="267">
        <v>0.9631079062315592</v>
      </c>
      <c r="AA879" s="269"/>
      <c r="AB879" s="270"/>
      <c r="AC879" s="270"/>
      <c r="AD879" s="270"/>
      <c r="AE879" s="270"/>
    </row>
    <row r="880">
      <c r="A880" s="256">
        <f>IFERROR(__xludf.DUMMYFUNCTION("""COMPUTED_VALUE"""),42225.15555555555)</f>
        <v>42225.15556</v>
      </c>
      <c r="B880" s="257" t="str">
        <f>IFERROR(__xludf.DUMMYFUNCTION("""COMPUTED_VALUE"""),"Keezje")</f>
        <v>Keezje</v>
      </c>
      <c r="C880" s="258" t="str">
        <f>IFERROR(__xludf.DUMMYFUNCTION("""COMPUTED_VALUE"""),"Europe (excluding UK) &amp; Asia Pacific")</f>
        <v>Europe (excluding UK) &amp; Asia Pacific</v>
      </c>
      <c r="D880" s="258" t="str">
        <f>IFERROR(__xludf.DUMMYFUNCTION("""COMPUTED_VALUE"""),"km. My car displays range in kilometres and I will enter all range numbers in kilometres.")</f>
        <v>km. My car displays range in kilometres and I will enter all range numbers in kilometres.</v>
      </c>
      <c r="E880" s="259">
        <f>IFERROR(__xludf.DUMMYFUNCTION("""COMPUTED_VALUE"""),41631.0)</f>
        <v>41631</v>
      </c>
      <c r="F880" s="258" t="str">
        <f>IFERROR(__xludf.DUMMYFUNCTION("""COMPUTED_VALUE"""),"Model S P85")</f>
        <v>Model S P85</v>
      </c>
      <c r="G880" s="258" t="str">
        <f>IFERROR(__xludf.DUMMYFUNCTION("""COMPUTED_VALUE"""),"A few times a year")</f>
        <v>A few times a year</v>
      </c>
      <c r="H880" s="258" t="str">
        <f>IFERROR(__xludf.DUMMYFUNCTION("""COMPUTED_VALUE"""),"A few times a year")</f>
        <v>A few times a year</v>
      </c>
      <c r="I880" s="258" t="str">
        <f>IFERROR(__xludf.DUMMYFUNCTION("""COMPUTED_VALUE"""),"A few times a year")</f>
        <v>A few times a year</v>
      </c>
      <c r="J880" s="260">
        <f>IFERROR(__xludf.DUMMYFUNCTION("""COMPUTED_VALUE"""),0.9)</f>
        <v>0.9</v>
      </c>
      <c r="K880" s="258">
        <f>IFERROR(__xludf.DUMMYFUNCTION("""COMPUTED_VALUE"""),396.0)</f>
        <v>396</v>
      </c>
      <c r="L880" s="258" t="str">
        <f>IFERROR(__xludf.DUMMYFUNCTION("""COMPUTED_VALUE"""),"")</f>
        <v/>
      </c>
      <c r="M880" s="261">
        <f>IFERROR(__xludf.DUMMYFUNCTION("""COMPUTED_VALUE"""),233.0)</f>
        <v>233</v>
      </c>
      <c r="N880" s="262" t="str">
        <f>IFERROR(__xludf.DUMMYFUNCTION("""COMPUTED_VALUE"""),"")</f>
        <v/>
      </c>
      <c r="O880" s="259" t="str">
        <f>IFERROR(__xludf.DUMMYFUNCTION("""COMPUTED_VALUE"""),"")</f>
        <v/>
      </c>
      <c r="P880" s="259">
        <f>IFERROR(__xludf.DUMMYFUNCTION("""COMPUTED_VALUE"""),42225.0)</f>
        <v>42225</v>
      </c>
      <c r="Q880" s="258">
        <f>IFERROR(__xludf.DUMMYFUNCTION("""COMPUTED_VALUE"""),52500.0)</f>
        <v>52500</v>
      </c>
      <c r="R880" s="261">
        <f>IFERROR(__xludf.DUMMYFUNCTION("""COMPUTED_VALUE"""),373.0)</f>
        <v>373</v>
      </c>
      <c r="S880" s="258">
        <v>395.0</v>
      </c>
      <c r="T880" s="263">
        <v>0.9443037974683545</v>
      </c>
      <c r="U880" s="264">
        <v>32622.0</v>
      </c>
      <c r="V880" s="265">
        <v>52500.0</v>
      </c>
      <c r="W880" s="264">
        <v>32622.0</v>
      </c>
      <c r="X880" s="266"/>
      <c r="Y880" s="267">
        <v>-0.01</v>
      </c>
      <c r="Z880" s="267">
        <v>0.95888880890043</v>
      </c>
      <c r="AA880" s="269"/>
      <c r="AB880" s="270"/>
      <c r="AC880" s="270"/>
      <c r="AD880" s="270"/>
      <c r="AE880" s="270"/>
    </row>
    <row r="881">
      <c r="A881" s="256">
        <f>IFERROR(__xludf.DUMMYFUNCTION("""COMPUTED_VALUE"""),42278.191666666666)</f>
        <v>42278.19167</v>
      </c>
      <c r="B881" s="257" t="str">
        <f>IFERROR(__xludf.DUMMYFUNCTION("""COMPUTED_VALUE"""),"Keezje")</f>
        <v>Keezje</v>
      </c>
      <c r="C881" s="258" t="str">
        <f>IFERROR(__xludf.DUMMYFUNCTION("""COMPUTED_VALUE"""),"Europe (excluding UK) &amp; Asia Pacific")</f>
        <v>Europe (excluding UK) &amp; Asia Pacific</v>
      </c>
      <c r="D881" s="258" t="str">
        <f>IFERROR(__xludf.DUMMYFUNCTION("""COMPUTED_VALUE"""),"km. My car displays range in kilometres and I will enter all range numbers in kilometres.")</f>
        <v>km. My car displays range in kilometres and I will enter all range numbers in kilometres.</v>
      </c>
      <c r="E881" s="259">
        <f>IFERROR(__xludf.DUMMYFUNCTION("""COMPUTED_VALUE"""),41631.0)</f>
        <v>41631</v>
      </c>
      <c r="F881" s="258" t="str">
        <f>IFERROR(__xludf.DUMMYFUNCTION("""COMPUTED_VALUE"""),"Model S P85")</f>
        <v>Model S P85</v>
      </c>
      <c r="G881" s="258" t="str">
        <f>IFERROR(__xludf.DUMMYFUNCTION("""COMPUTED_VALUE"""),"A few times a year")</f>
        <v>A few times a year</v>
      </c>
      <c r="H881" s="258" t="str">
        <f>IFERROR(__xludf.DUMMYFUNCTION("""COMPUTED_VALUE"""),"A few times a year")</f>
        <v>A few times a year</v>
      </c>
      <c r="I881" s="258" t="str">
        <f>IFERROR(__xludf.DUMMYFUNCTION("""COMPUTED_VALUE"""),"A few times a year")</f>
        <v>A few times a year</v>
      </c>
      <c r="J881" s="260">
        <f>IFERROR(__xludf.DUMMYFUNCTION("""COMPUTED_VALUE"""),0.9)</f>
        <v>0.9</v>
      </c>
      <c r="K881" s="258">
        <f>IFERROR(__xludf.DUMMYFUNCTION("""COMPUTED_VALUE"""),396.0)</f>
        <v>396</v>
      </c>
      <c r="L881" s="258" t="str">
        <f>IFERROR(__xludf.DUMMYFUNCTION("""COMPUTED_VALUE"""),"")</f>
        <v/>
      </c>
      <c r="M881" s="261">
        <f>IFERROR(__xludf.DUMMYFUNCTION("""COMPUTED_VALUE"""),228.0)</f>
        <v>228</v>
      </c>
      <c r="N881" s="262" t="str">
        <f>IFERROR(__xludf.DUMMYFUNCTION("""COMPUTED_VALUE"""),"")</f>
        <v/>
      </c>
      <c r="O881" s="259" t="str">
        <f>IFERROR(__xludf.DUMMYFUNCTION("""COMPUTED_VALUE"""),"")</f>
        <v/>
      </c>
      <c r="P881" s="259">
        <f>IFERROR(__xludf.DUMMYFUNCTION("""COMPUTED_VALUE"""),42278.0)</f>
        <v>42278</v>
      </c>
      <c r="Q881" s="258">
        <f>IFERROR(__xludf.DUMMYFUNCTION("""COMPUTED_VALUE"""),56000.0)</f>
        <v>56000</v>
      </c>
      <c r="R881" s="261">
        <f>IFERROR(__xludf.DUMMYFUNCTION("""COMPUTED_VALUE"""),374.0)</f>
        <v>374</v>
      </c>
      <c r="S881" s="258">
        <v>395.0</v>
      </c>
      <c r="T881" s="263">
        <v>0.9468354430379747</v>
      </c>
      <c r="U881" s="264">
        <v>34797.0</v>
      </c>
      <c r="V881" s="265">
        <v>56000.0</v>
      </c>
      <c r="W881" s="264">
        <v>34797.0</v>
      </c>
      <c r="X881" s="266"/>
      <c r="Y881" s="267">
        <v>-0.01</v>
      </c>
      <c r="Z881" s="267">
        <v>0.9578167276561874</v>
      </c>
      <c r="AA881" s="269"/>
      <c r="AB881" s="270"/>
      <c r="AC881" s="270"/>
      <c r="AD881" s="270"/>
      <c r="AE881" s="270"/>
    </row>
    <row r="882">
      <c r="A882" s="256">
        <f>IFERROR(__xludf.DUMMYFUNCTION("""COMPUTED_VALUE"""),42363.26041666667)</f>
        <v>42363.26042</v>
      </c>
      <c r="B882" s="257" t="str">
        <f>IFERROR(__xludf.DUMMYFUNCTION("""COMPUTED_VALUE"""),"Keezje")</f>
        <v>Keezje</v>
      </c>
      <c r="C882" s="258" t="str">
        <f>IFERROR(__xludf.DUMMYFUNCTION("""COMPUTED_VALUE"""),"Europe (excluding UK) &amp; Asia Pacific")</f>
        <v>Europe (excluding UK) &amp; Asia Pacific</v>
      </c>
      <c r="D882" s="258" t="str">
        <f>IFERROR(__xludf.DUMMYFUNCTION("""COMPUTED_VALUE"""),"km. My car displays range in kilometres and I will enter all range numbers in kilometres.")</f>
        <v>km. My car displays range in kilometres and I will enter all range numbers in kilometres.</v>
      </c>
      <c r="E882" s="259">
        <f>IFERROR(__xludf.DUMMYFUNCTION("""COMPUTED_VALUE"""),41631.0)</f>
        <v>41631</v>
      </c>
      <c r="F882" s="258" t="str">
        <f>IFERROR(__xludf.DUMMYFUNCTION("""COMPUTED_VALUE"""),"Model S P85")</f>
        <v>Model S P85</v>
      </c>
      <c r="G882" s="258" t="str">
        <f>IFERROR(__xludf.DUMMYFUNCTION("""COMPUTED_VALUE"""),"A few times a year")</f>
        <v>A few times a year</v>
      </c>
      <c r="H882" s="258" t="str">
        <f>IFERROR(__xludf.DUMMYFUNCTION("""COMPUTED_VALUE"""),"A few times a year")</f>
        <v>A few times a year</v>
      </c>
      <c r="I882" s="258" t="str">
        <f>IFERROR(__xludf.DUMMYFUNCTION("""COMPUTED_VALUE"""),"A few times a year")</f>
        <v>A few times a year</v>
      </c>
      <c r="J882" s="260">
        <f>IFERROR(__xludf.DUMMYFUNCTION("""COMPUTED_VALUE"""),0.9)</f>
        <v>0.9</v>
      </c>
      <c r="K882" s="258">
        <f>IFERROR(__xludf.DUMMYFUNCTION("""COMPUTED_VALUE"""),396.0)</f>
        <v>396</v>
      </c>
      <c r="L882" s="258" t="str">
        <f>IFERROR(__xludf.DUMMYFUNCTION("""COMPUTED_VALUE"""),"")</f>
        <v/>
      </c>
      <c r="M882" s="261">
        <f>IFERROR(__xludf.DUMMYFUNCTION("""COMPUTED_VALUE"""),226.0)</f>
        <v>226</v>
      </c>
      <c r="N882" s="262" t="str">
        <f>IFERROR(__xludf.DUMMYFUNCTION("""COMPUTED_VALUE"""),"")</f>
        <v/>
      </c>
      <c r="O882" s="259" t="str">
        <f>IFERROR(__xludf.DUMMYFUNCTION("""COMPUTED_VALUE"""),"")</f>
        <v/>
      </c>
      <c r="P882" s="259">
        <f>IFERROR(__xludf.DUMMYFUNCTION("""COMPUTED_VALUE"""),42363.0)</f>
        <v>42363</v>
      </c>
      <c r="Q882" s="258">
        <f>IFERROR(__xludf.DUMMYFUNCTION("""COMPUTED_VALUE"""),64000.0)</f>
        <v>64000</v>
      </c>
      <c r="R882" s="261">
        <f>IFERROR(__xludf.DUMMYFUNCTION("""COMPUTED_VALUE"""),374.0)</f>
        <v>374</v>
      </c>
      <c r="S882" s="258">
        <v>395.0</v>
      </c>
      <c r="T882" s="263">
        <v>0.9468354430379747</v>
      </c>
      <c r="U882" s="264">
        <v>39768.0</v>
      </c>
      <c r="V882" s="265">
        <v>64000.0</v>
      </c>
      <c r="W882" s="264">
        <v>39768.0</v>
      </c>
      <c r="X882" s="266"/>
      <c r="Y882" s="267">
        <v>-0.01</v>
      </c>
      <c r="Z882" s="267">
        <v>0.9555350957587039</v>
      </c>
      <c r="AA882" s="269"/>
      <c r="AB882" s="270"/>
      <c r="AC882" s="270"/>
      <c r="AD882" s="270"/>
      <c r="AE882" s="270"/>
    </row>
    <row r="883">
      <c r="A883" s="256">
        <f>IFERROR(__xludf.DUMMYFUNCTION("""COMPUTED_VALUE"""),42457.31319444445)</f>
        <v>42457.31319</v>
      </c>
      <c r="B883" s="257" t="str">
        <f>IFERROR(__xludf.DUMMYFUNCTION("""COMPUTED_VALUE"""),"Keezje")</f>
        <v>Keezje</v>
      </c>
      <c r="C883" s="258" t="str">
        <f>IFERROR(__xludf.DUMMYFUNCTION("""COMPUTED_VALUE"""),"Europe (excluding UK) &amp; Asia Pacific")</f>
        <v>Europe (excluding UK) &amp; Asia Pacific</v>
      </c>
      <c r="D883" s="258" t="str">
        <f>IFERROR(__xludf.DUMMYFUNCTION("""COMPUTED_VALUE"""),"km. My car displays range in kilometres and I will enter all range numbers in kilometres.")</f>
        <v>km. My car displays range in kilometres and I will enter all range numbers in kilometres.</v>
      </c>
      <c r="E883" s="259">
        <f>IFERROR(__xludf.DUMMYFUNCTION("""COMPUTED_VALUE"""),41631.0)</f>
        <v>41631</v>
      </c>
      <c r="F883" s="258" t="str">
        <f>IFERROR(__xludf.DUMMYFUNCTION("""COMPUTED_VALUE"""),"Model S P85")</f>
        <v>Model S P85</v>
      </c>
      <c r="G883" s="258" t="str">
        <f>IFERROR(__xludf.DUMMYFUNCTION("""COMPUTED_VALUE"""),"A few times a year")</f>
        <v>A few times a year</v>
      </c>
      <c r="H883" s="258" t="str">
        <f>IFERROR(__xludf.DUMMYFUNCTION("""COMPUTED_VALUE"""),"A few times a year")</f>
        <v>A few times a year</v>
      </c>
      <c r="I883" s="258" t="str">
        <f>IFERROR(__xludf.DUMMYFUNCTION("""COMPUTED_VALUE"""),"A few times a year")</f>
        <v>A few times a year</v>
      </c>
      <c r="J883" s="260">
        <f>IFERROR(__xludf.DUMMYFUNCTION("""COMPUTED_VALUE"""),0.9)</f>
        <v>0.9</v>
      </c>
      <c r="K883" s="258">
        <f>IFERROR(__xludf.DUMMYFUNCTION("""COMPUTED_VALUE"""),396.0)</f>
        <v>396</v>
      </c>
      <c r="L883" s="258" t="str">
        <f>IFERROR(__xludf.DUMMYFUNCTION("""COMPUTED_VALUE"""),"")</f>
        <v/>
      </c>
      <c r="M883" s="261">
        <f>IFERROR(__xludf.DUMMYFUNCTION("""COMPUTED_VALUE"""),221.0)</f>
        <v>221</v>
      </c>
      <c r="N883" s="262" t="str">
        <f>IFERROR(__xludf.DUMMYFUNCTION("""COMPUTED_VALUE"""),"")</f>
        <v/>
      </c>
      <c r="O883" s="259" t="str">
        <f>IFERROR(__xludf.DUMMYFUNCTION("""COMPUTED_VALUE"""),"")</f>
        <v/>
      </c>
      <c r="P883" s="259">
        <f>IFERROR(__xludf.DUMMYFUNCTION("""COMPUTED_VALUE"""),42457.0)</f>
        <v>42457</v>
      </c>
      <c r="Q883" s="258">
        <f>IFERROR(__xludf.DUMMYFUNCTION("""COMPUTED_VALUE"""),71000.0)</f>
        <v>71000</v>
      </c>
      <c r="R883" s="261">
        <f>IFERROR(__xludf.DUMMYFUNCTION("""COMPUTED_VALUE"""),376.0)</f>
        <v>376</v>
      </c>
      <c r="S883" s="258">
        <v>395.0</v>
      </c>
      <c r="T883" s="263">
        <v>0.9518987341772152</v>
      </c>
      <c r="U883" s="264">
        <v>44117.0</v>
      </c>
      <c r="V883" s="265">
        <v>71000.0</v>
      </c>
      <c r="W883" s="264">
        <v>44117.0</v>
      </c>
      <c r="X883" s="266"/>
      <c r="Y883" s="267">
        <v>-0.01</v>
      </c>
      <c r="Z883" s="267">
        <v>0.9536741550828826</v>
      </c>
      <c r="AA883" s="269"/>
      <c r="AB883" s="270"/>
      <c r="AC883" s="270"/>
      <c r="AD883" s="270"/>
      <c r="AE883" s="270"/>
    </row>
    <row r="884">
      <c r="A884" s="256">
        <f>IFERROR(__xludf.DUMMYFUNCTION("""COMPUTED_VALUE"""),42532.35)</f>
        <v>42532.35</v>
      </c>
      <c r="B884" s="257" t="str">
        <f>IFERROR(__xludf.DUMMYFUNCTION("""COMPUTED_VALUE"""),"Keezje")</f>
        <v>Keezje</v>
      </c>
      <c r="C884" s="258" t="str">
        <f>IFERROR(__xludf.DUMMYFUNCTION("""COMPUTED_VALUE"""),"Europe (excluding UK) &amp; Asia Pacific")</f>
        <v>Europe (excluding UK) &amp; Asia Pacific</v>
      </c>
      <c r="D884" s="258" t="str">
        <f>IFERROR(__xludf.DUMMYFUNCTION("""COMPUTED_VALUE"""),"km. My car displays range in kilometres and I will enter all range numbers in kilometres.")</f>
        <v>km. My car displays range in kilometres and I will enter all range numbers in kilometres.</v>
      </c>
      <c r="E884" s="259">
        <f>IFERROR(__xludf.DUMMYFUNCTION("""COMPUTED_VALUE"""),41631.0)</f>
        <v>41631</v>
      </c>
      <c r="F884" s="258" t="str">
        <f>IFERROR(__xludf.DUMMYFUNCTION("""COMPUTED_VALUE"""),"Model S P85")</f>
        <v>Model S P85</v>
      </c>
      <c r="G884" s="258" t="str">
        <f>IFERROR(__xludf.DUMMYFUNCTION("""COMPUTED_VALUE"""),"Twice a month")</f>
        <v>Twice a month</v>
      </c>
      <c r="H884" s="258" t="str">
        <f>IFERROR(__xludf.DUMMYFUNCTION("""COMPUTED_VALUE"""),"Monthly")</f>
        <v>Monthly</v>
      </c>
      <c r="I884" s="258" t="str">
        <f>IFERROR(__xludf.DUMMYFUNCTION("""COMPUTED_VALUE"""),"Monthly")</f>
        <v>Monthly</v>
      </c>
      <c r="J884" s="260">
        <f>IFERROR(__xludf.DUMMYFUNCTION("""COMPUTED_VALUE"""),0.9)</f>
        <v>0.9</v>
      </c>
      <c r="K884" s="258">
        <f>IFERROR(__xludf.DUMMYFUNCTION("""COMPUTED_VALUE"""),396.0)</f>
        <v>396</v>
      </c>
      <c r="L884" s="258" t="str">
        <f>IFERROR(__xludf.DUMMYFUNCTION("""COMPUTED_VALUE"""),"")</f>
        <v/>
      </c>
      <c r="M884" s="261">
        <f>IFERROR(__xludf.DUMMYFUNCTION("""COMPUTED_VALUE"""),226.0)</f>
        <v>226</v>
      </c>
      <c r="N884" s="262" t="str">
        <f>IFERROR(__xludf.DUMMYFUNCTION("""COMPUTED_VALUE"""),"")</f>
        <v/>
      </c>
      <c r="O884" s="259" t="str">
        <f>IFERROR(__xludf.DUMMYFUNCTION("""COMPUTED_VALUE"""),"")</f>
        <v/>
      </c>
      <c r="P884" s="259">
        <f>IFERROR(__xludf.DUMMYFUNCTION("""COMPUTED_VALUE"""),42532.0)</f>
        <v>42532</v>
      </c>
      <c r="Q884" s="258">
        <f>IFERROR(__xludf.DUMMYFUNCTION("""COMPUTED_VALUE"""),74500.0)</f>
        <v>74500</v>
      </c>
      <c r="R884" s="261">
        <f>IFERROR(__xludf.DUMMYFUNCTION("""COMPUTED_VALUE"""),379.0)</f>
        <v>379</v>
      </c>
      <c r="S884" s="258">
        <v>395.0</v>
      </c>
      <c r="T884" s="263">
        <v>0.959493670886076</v>
      </c>
      <c r="U884" s="264">
        <v>46292.0</v>
      </c>
      <c r="V884" s="265">
        <v>74500.0</v>
      </c>
      <c r="W884" s="264">
        <v>46292.0</v>
      </c>
      <c r="X884" s="266"/>
      <c r="Y884" s="267">
        <v>-0.01</v>
      </c>
      <c r="Z884" s="267">
        <v>0.9527765617267461</v>
      </c>
      <c r="AA884" s="269"/>
      <c r="AB884" s="270"/>
      <c r="AC884" s="270"/>
      <c r="AD884" s="270"/>
      <c r="AE884" s="270"/>
    </row>
    <row r="885">
      <c r="A885" s="256">
        <f>IFERROR(__xludf.DUMMYFUNCTION("""COMPUTED_VALUE"""),42605.382638888885)</f>
        <v>42605.38264</v>
      </c>
      <c r="B885" s="257" t="str">
        <f>IFERROR(__xludf.DUMMYFUNCTION("""COMPUTED_VALUE"""),"Keezje")</f>
        <v>Keezje</v>
      </c>
      <c r="C885" s="258" t="str">
        <f>IFERROR(__xludf.DUMMYFUNCTION("""COMPUTED_VALUE"""),"Europe (excluding UK) &amp; Asia Pacific")</f>
        <v>Europe (excluding UK) &amp; Asia Pacific</v>
      </c>
      <c r="D885" s="258" t="str">
        <f>IFERROR(__xludf.DUMMYFUNCTION("""COMPUTED_VALUE"""),"km. My car displays range in kilometres and I will enter all range numbers in kilometres.")</f>
        <v>km. My car displays range in kilometres and I will enter all range numbers in kilometres.</v>
      </c>
      <c r="E885" s="259">
        <f>IFERROR(__xludf.DUMMYFUNCTION("""COMPUTED_VALUE"""),41631.0)</f>
        <v>41631</v>
      </c>
      <c r="F885" s="258" t="str">
        <f>IFERROR(__xludf.DUMMYFUNCTION("""COMPUTED_VALUE"""),"Model S P85")</f>
        <v>Model S P85</v>
      </c>
      <c r="G885" s="258" t="str">
        <f>IFERROR(__xludf.DUMMYFUNCTION("""COMPUTED_VALUE"""),"Twice a month")</f>
        <v>Twice a month</v>
      </c>
      <c r="H885" s="258" t="str">
        <f>IFERROR(__xludf.DUMMYFUNCTION("""COMPUTED_VALUE"""),"Monthly")</f>
        <v>Monthly</v>
      </c>
      <c r="I885" s="258" t="str">
        <f>IFERROR(__xludf.DUMMYFUNCTION("""COMPUTED_VALUE"""),"Monthly")</f>
        <v>Monthly</v>
      </c>
      <c r="J885" s="260">
        <f>IFERROR(__xludf.DUMMYFUNCTION("""COMPUTED_VALUE"""),0.9)</f>
        <v>0.9</v>
      </c>
      <c r="K885" s="258">
        <f>IFERROR(__xludf.DUMMYFUNCTION("""COMPUTED_VALUE"""),396.0)</f>
        <v>396</v>
      </c>
      <c r="L885" s="258" t="str">
        <f>IFERROR(__xludf.DUMMYFUNCTION("""COMPUTED_VALUE"""),"")</f>
        <v/>
      </c>
      <c r="M885" s="261">
        <f>IFERROR(__xludf.DUMMYFUNCTION("""COMPUTED_VALUE"""),225.0)</f>
        <v>225</v>
      </c>
      <c r="N885" s="262" t="str">
        <f>IFERROR(__xludf.DUMMYFUNCTION("""COMPUTED_VALUE"""),"")</f>
        <v/>
      </c>
      <c r="O885" s="259" t="str">
        <f>IFERROR(__xludf.DUMMYFUNCTION("""COMPUTED_VALUE"""),"")</f>
        <v/>
      </c>
      <c r="P885" s="259">
        <f>IFERROR(__xludf.DUMMYFUNCTION("""COMPUTED_VALUE"""),42605.0)</f>
        <v>42605</v>
      </c>
      <c r="Q885" s="258">
        <f>IFERROR(__xludf.DUMMYFUNCTION("""COMPUTED_VALUE"""),84561.0)</f>
        <v>84561</v>
      </c>
      <c r="R885" s="261">
        <f>IFERROR(__xludf.DUMMYFUNCTION("""COMPUTED_VALUE"""),381.0)</f>
        <v>381</v>
      </c>
      <c r="S885" s="258">
        <v>395.0</v>
      </c>
      <c r="T885" s="263">
        <v>0.9645569620253165</v>
      </c>
      <c r="U885" s="264">
        <v>52544.0</v>
      </c>
      <c r="V885" s="265">
        <v>84561.0</v>
      </c>
      <c r="W885" s="264">
        <v>52544.0</v>
      </c>
      <c r="X885" s="266"/>
      <c r="Y885" s="267">
        <v>-0.01</v>
      </c>
      <c r="Z885" s="267">
        <v>0.950278758807697</v>
      </c>
      <c r="AA885" s="269"/>
      <c r="AB885" s="270"/>
      <c r="AC885" s="270"/>
      <c r="AD885" s="270"/>
      <c r="AE885" s="270"/>
    </row>
    <row r="886">
      <c r="A886" s="256">
        <f>IFERROR(__xludf.DUMMYFUNCTION("""COMPUTED_VALUE"""),42771.49791666667)</f>
        <v>42771.49792</v>
      </c>
      <c r="B886" s="257" t="str">
        <f>IFERROR(__xludf.DUMMYFUNCTION("""COMPUTED_VALUE"""),"Keezje")</f>
        <v>Keezje</v>
      </c>
      <c r="C886" s="258" t="str">
        <f>IFERROR(__xludf.DUMMYFUNCTION("""COMPUTED_VALUE"""),"Europe (excluding UK) &amp; Asia Pacific")</f>
        <v>Europe (excluding UK) &amp; Asia Pacific</v>
      </c>
      <c r="D886" s="258" t="str">
        <f>IFERROR(__xludf.DUMMYFUNCTION("""COMPUTED_VALUE"""),"km. My car displays range in kilometres and I will enter all range numbers in kilometres.")</f>
        <v>km. My car displays range in kilometres and I will enter all range numbers in kilometres.</v>
      </c>
      <c r="E886" s="259">
        <f>IFERROR(__xludf.DUMMYFUNCTION("""COMPUTED_VALUE"""),41631.0)</f>
        <v>41631</v>
      </c>
      <c r="F886" s="258" t="str">
        <f>IFERROR(__xludf.DUMMYFUNCTION("""COMPUTED_VALUE"""),"Model S P85")</f>
        <v>Model S P85</v>
      </c>
      <c r="G886" s="258" t="str">
        <f>IFERROR(__xludf.DUMMYFUNCTION("""COMPUTED_VALUE"""),"Twice a month")</f>
        <v>Twice a month</v>
      </c>
      <c r="H886" s="258" t="str">
        <f>IFERROR(__xludf.DUMMYFUNCTION("""COMPUTED_VALUE"""),"Monthly")</f>
        <v>Monthly</v>
      </c>
      <c r="I886" s="258" t="str">
        <f>IFERROR(__xludf.DUMMYFUNCTION("""COMPUTED_VALUE"""),"Monthly")</f>
        <v>Monthly</v>
      </c>
      <c r="J886" s="260">
        <f>IFERROR(__xludf.DUMMYFUNCTION("""COMPUTED_VALUE"""),0.9)</f>
        <v>0.9</v>
      </c>
      <c r="K886" s="258">
        <f>IFERROR(__xludf.DUMMYFUNCTION("""COMPUTED_VALUE"""),396.0)</f>
        <v>396</v>
      </c>
      <c r="L886" s="258" t="str">
        <f>IFERROR(__xludf.DUMMYFUNCTION("""COMPUTED_VALUE"""),"")</f>
        <v/>
      </c>
      <c r="M886" s="261">
        <f>IFERROR(__xludf.DUMMYFUNCTION("""COMPUTED_VALUE"""),212.0)</f>
        <v>212</v>
      </c>
      <c r="N886" s="262" t="str">
        <f>IFERROR(__xludf.DUMMYFUNCTION("""COMPUTED_VALUE"""),"")</f>
        <v/>
      </c>
      <c r="O886" s="259" t="str">
        <f>IFERROR(__xludf.DUMMYFUNCTION("""COMPUTED_VALUE"""),"")</f>
        <v/>
      </c>
      <c r="P886" s="259">
        <f>IFERROR(__xludf.DUMMYFUNCTION("""COMPUTED_VALUE"""),42771.0)</f>
        <v>42771</v>
      </c>
      <c r="Q886" s="258">
        <f>IFERROR(__xludf.DUMMYFUNCTION("""COMPUTED_VALUE"""),98000.0)</f>
        <v>98000</v>
      </c>
      <c r="R886" s="261">
        <f>IFERROR(__xludf.DUMMYFUNCTION("""COMPUTED_VALUE"""),374.0)</f>
        <v>374</v>
      </c>
      <c r="S886" s="258">
        <v>395.0</v>
      </c>
      <c r="T886" s="263">
        <v>0.9468354430379747</v>
      </c>
      <c r="U886" s="264">
        <v>60894.0</v>
      </c>
      <c r="V886" s="265">
        <v>98000.0</v>
      </c>
      <c r="W886" s="264">
        <v>60894.0</v>
      </c>
      <c r="X886" s="266"/>
      <c r="Y886" s="267">
        <v>-0.01</v>
      </c>
      <c r="Z886" s="267">
        <v>0.9470581790847977</v>
      </c>
      <c r="AA886" s="269"/>
      <c r="AB886" s="270"/>
      <c r="AC886" s="270"/>
      <c r="AD886" s="270"/>
      <c r="AE886" s="270"/>
    </row>
    <row r="887">
      <c r="A887" s="256">
        <f>IFERROR(__xludf.DUMMYFUNCTION("""COMPUTED_VALUE"""),42965.580555555556)</f>
        <v>42965.58056</v>
      </c>
      <c r="B887" s="257" t="str">
        <f>IFERROR(__xludf.DUMMYFUNCTION("""COMPUTED_VALUE"""),"Keezje")</f>
        <v>Keezje</v>
      </c>
      <c r="C887" s="258" t="str">
        <f>IFERROR(__xludf.DUMMYFUNCTION("""COMPUTED_VALUE"""),"Europe (excluding UK) &amp; Asia Pacific")</f>
        <v>Europe (excluding UK) &amp; Asia Pacific</v>
      </c>
      <c r="D887" s="258" t="str">
        <f>IFERROR(__xludf.DUMMYFUNCTION("""COMPUTED_VALUE"""),"km. My car displays range in kilometres and I will enter all range numbers in kilometres.")</f>
        <v>km. My car displays range in kilometres and I will enter all range numbers in kilometres.</v>
      </c>
      <c r="E887" s="259">
        <f>IFERROR(__xludf.DUMMYFUNCTION("""COMPUTED_VALUE"""),41631.0)</f>
        <v>41631</v>
      </c>
      <c r="F887" s="258" t="str">
        <f>IFERROR(__xludf.DUMMYFUNCTION("""COMPUTED_VALUE"""),"Model S P85")</f>
        <v>Model S P85</v>
      </c>
      <c r="G887" s="258" t="str">
        <f>IFERROR(__xludf.DUMMYFUNCTION("""COMPUTED_VALUE"""),"Twice a month")</f>
        <v>Twice a month</v>
      </c>
      <c r="H887" s="258" t="str">
        <f>IFERROR(__xludf.DUMMYFUNCTION("""COMPUTED_VALUE"""),"Monthly")</f>
        <v>Monthly</v>
      </c>
      <c r="I887" s="258" t="str">
        <f>IFERROR(__xludf.DUMMYFUNCTION("""COMPUTED_VALUE"""),"A few times a year")</f>
        <v>A few times a year</v>
      </c>
      <c r="J887" s="260">
        <f>IFERROR(__xludf.DUMMYFUNCTION("""COMPUTED_VALUE"""),0.9)</f>
        <v>0.9</v>
      </c>
      <c r="K887" s="258">
        <f>IFERROR(__xludf.DUMMYFUNCTION("""COMPUTED_VALUE"""),396.0)</f>
        <v>396</v>
      </c>
      <c r="L887" s="258" t="str">
        <f>IFERROR(__xludf.DUMMYFUNCTION("""COMPUTED_VALUE"""),"")</f>
        <v/>
      </c>
      <c r="M887" s="261">
        <f>IFERROR(__xludf.DUMMYFUNCTION("""COMPUTED_VALUE"""),221.0)</f>
        <v>221</v>
      </c>
      <c r="N887" s="262" t="str">
        <f>IFERROR(__xludf.DUMMYFUNCTION("""COMPUTED_VALUE"""),"")</f>
        <v/>
      </c>
      <c r="O887" s="259" t="str">
        <f>IFERROR(__xludf.DUMMYFUNCTION("""COMPUTED_VALUE"""),"")</f>
        <v/>
      </c>
      <c r="P887" s="259">
        <f>IFERROR(__xludf.DUMMYFUNCTION("""COMPUTED_VALUE"""),42965.0)</f>
        <v>42965</v>
      </c>
      <c r="Q887" s="258">
        <f>IFERROR(__xludf.DUMMYFUNCTION("""COMPUTED_VALUE"""),121000.0)</f>
        <v>121000</v>
      </c>
      <c r="R887" s="261">
        <f>IFERROR(__xludf.DUMMYFUNCTION("""COMPUTED_VALUE"""),374.0)</f>
        <v>374</v>
      </c>
      <c r="S887" s="258">
        <v>395.0</v>
      </c>
      <c r="T887" s="263">
        <v>0.9468354430379747</v>
      </c>
      <c r="U887" s="264">
        <v>75186.0</v>
      </c>
      <c r="V887" s="265">
        <v>121000.0</v>
      </c>
      <c r="W887" s="264">
        <v>75186.0</v>
      </c>
      <c r="X887" s="266"/>
      <c r="Y887" s="267">
        <v>-0.01</v>
      </c>
      <c r="Z887" s="267">
        <v>0.9416780143241452</v>
      </c>
      <c r="AA887" s="269"/>
      <c r="AB887" s="270"/>
      <c r="AC887" s="270"/>
      <c r="AD887" s="270"/>
      <c r="AE887" s="270"/>
    </row>
    <row r="888">
      <c r="A888" s="256">
        <f>IFERROR(__xludf.DUMMYFUNCTION("""COMPUTED_VALUE"""),42655.91180555556)</f>
        <v>42655.91181</v>
      </c>
      <c r="B888" s="257" t="str">
        <f>IFERROR(__xludf.DUMMYFUNCTION("""COMPUTED_VALUE"""),"Kensiko")</f>
        <v>Kensiko</v>
      </c>
      <c r="C888" s="258" t="str">
        <f>IFERROR(__xludf.DUMMYFUNCTION("""COMPUTED_VALUE"""),"Canada")</f>
        <v>Canada</v>
      </c>
      <c r="D888" s="258" t="str">
        <f>IFERROR(__xludf.DUMMYFUNCTION("""COMPUTED_VALUE"""),"km. My car displays range in kilometres and I will enter all range numbers in kilometres.")</f>
        <v>km. My car displays range in kilometres and I will enter all range numbers in kilometres.</v>
      </c>
      <c r="E888" s="259">
        <f>IFERROR(__xludf.DUMMYFUNCTION("""COMPUTED_VALUE"""),41760.0)</f>
        <v>41760</v>
      </c>
      <c r="F888" s="258" t="str">
        <f>IFERROR(__xludf.DUMMYFUNCTION("""COMPUTED_VALUE"""),"Model S 60")</f>
        <v>Model S 60</v>
      </c>
      <c r="G888" s="258" t="str">
        <f>IFERROR(__xludf.DUMMYFUNCTION("""COMPUTED_VALUE"""),"A few times a year")</f>
        <v>A few times a year</v>
      </c>
      <c r="H888" s="258" t="str">
        <f>IFERROR(__xludf.DUMMYFUNCTION("""COMPUTED_VALUE"""),"Monthly")</f>
        <v>Monthly</v>
      </c>
      <c r="I888" s="258" t="str">
        <f>IFERROR(__xludf.DUMMYFUNCTION("""COMPUTED_VALUE"""),"Never")</f>
        <v>Never</v>
      </c>
      <c r="J888" s="260">
        <f>IFERROR(__xludf.DUMMYFUNCTION("""COMPUTED_VALUE"""),0.8)</f>
        <v>0.8</v>
      </c>
      <c r="K888" s="258" t="str">
        <f>IFERROR(__xludf.DUMMYFUNCTION("""COMPUTED_VALUE"""),"")</f>
        <v/>
      </c>
      <c r="L888" s="258" t="str">
        <f>IFERROR(__xludf.DUMMYFUNCTION("""COMPUTED_VALUE"""),"")</f>
        <v/>
      </c>
      <c r="M888" s="261">
        <f>IFERROR(__xludf.DUMMYFUNCTION("""COMPUTED_VALUE"""),190.0)</f>
        <v>190</v>
      </c>
      <c r="N888" s="262" t="str">
        <f>IFERROR(__xludf.DUMMYFUNCTION("""COMPUTED_VALUE"""),"")</f>
        <v/>
      </c>
      <c r="O888" s="259" t="str">
        <f>IFERROR(__xludf.DUMMYFUNCTION("""COMPUTED_VALUE"""),"")</f>
        <v/>
      </c>
      <c r="P888" s="259">
        <f>IFERROR(__xludf.DUMMYFUNCTION("""COMPUTED_VALUE"""),42655.0)</f>
        <v>42655</v>
      </c>
      <c r="Q888" s="258">
        <f>IFERROR(__xludf.DUMMYFUNCTION("""COMPUTED_VALUE"""),54401.0)</f>
        <v>54401</v>
      </c>
      <c r="R888" s="261">
        <f>IFERROR(__xludf.DUMMYFUNCTION("""COMPUTED_VALUE"""),307.0)</f>
        <v>307</v>
      </c>
      <c r="S888" s="258">
        <v>333.0</v>
      </c>
      <c r="T888" s="263">
        <v>0.9219219219219219</v>
      </c>
      <c r="U888" s="264">
        <v>33803.0</v>
      </c>
      <c r="V888" s="265">
        <v>54401.0</v>
      </c>
      <c r="W888" s="264">
        <v>33803.0</v>
      </c>
      <c r="X888" s="266"/>
      <c r="Y888" s="267">
        <v>-0.01</v>
      </c>
      <c r="Z888" s="267">
        <v>0.9582998551505879</v>
      </c>
      <c r="AA888" s="269"/>
      <c r="AB888" s="270"/>
      <c r="AC888" s="270"/>
      <c r="AD888" s="270"/>
      <c r="AE888" s="270"/>
    </row>
    <row r="889">
      <c r="A889" s="256">
        <f>IFERROR(__xludf.DUMMYFUNCTION("""COMPUTED_VALUE"""),42911.92152777778)</f>
        <v>42911.92153</v>
      </c>
      <c r="B889" s="257" t="str">
        <f>IFERROR(__xludf.DUMMYFUNCTION("""COMPUTED_VALUE"""),"Kensiko")</f>
        <v>Kensiko</v>
      </c>
      <c r="C889" s="258" t="str">
        <f>IFERROR(__xludf.DUMMYFUNCTION("""COMPUTED_VALUE"""),"Canada")</f>
        <v>Canada</v>
      </c>
      <c r="D889" s="258" t="str">
        <f>IFERROR(__xludf.DUMMYFUNCTION("""COMPUTED_VALUE"""),"km. My car displays range in kilometres and I will enter all range numbers in kilometres.")</f>
        <v>km. My car displays range in kilometres and I will enter all range numbers in kilometres.</v>
      </c>
      <c r="E889" s="259">
        <f>IFERROR(__xludf.DUMMYFUNCTION("""COMPUTED_VALUE"""),41760.0)</f>
        <v>41760</v>
      </c>
      <c r="F889" s="258" t="str">
        <f>IFERROR(__xludf.DUMMYFUNCTION("""COMPUTED_VALUE"""),"Model S 60")</f>
        <v>Model S 60</v>
      </c>
      <c r="G889" s="258" t="str">
        <f>IFERROR(__xludf.DUMMYFUNCTION("""COMPUTED_VALUE"""),"A few times a year")</f>
        <v>A few times a year</v>
      </c>
      <c r="H889" s="258" t="str">
        <f>IFERROR(__xludf.DUMMYFUNCTION("""COMPUTED_VALUE"""),"A few times a year")</f>
        <v>A few times a year</v>
      </c>
      <c r="I889" s="258" t="str">
        <f>IFERROR(__xludf.DUMMYFUNCTION("""COMPUTED_VALUE"""),"Never")</f>
        <v>Never</v>
      </c>
      <c r="J889" s="260">
        <f>IFERROR(__xludf.DUMMYFUNCTION("""COMPUTED_VALUE"""),0.9)</f>
        <v>0.9</v>
      </c>
      <c r="K889" s="258" t="str">
        <f>IFERROR(__xludf.DUMMYFUNCTION("""COMPUTED_VALUE"""),"")</f>
        <v/>
      </c>
      <c r="L889" s="258" t="str">
        <f>IFERROR(__xludf.DUMMYFUNCTION("""COMPUTED_VALUE"""),"")</f>
        <v/>
      </c>
      <c r="M889" s="261">
        <f>IFERROR(__xludf.DUMMYFUNCTION("""COMPUTED_VALUE"""),224.0)</f>
        <v>224</v>
      </c>
      <c r="N889" s="262" t="str">
        <f>IFERROR(__xludf.DUMMYFUNCTION("""COMPUTED_VALUE"""),"")</f>
        <v/>
      </c>
      <c r="O889" s="259" t="str">
        <f>IFERROR(__xludf.DUMMYFUNCTION("""COMPUTED_VALUE"""),"")</f>
        <v/>
      </c>
      <c r="P889" s="259">
        <f>IFERROR(__xludf.DUMMYFUNCTION("""COMPUTED_VALUE"""),42911.0)</f>
        <v>42911</v>
      </c>
      <c r="Q889" s="258">
        <f>IFERROR(__xludf.DUMMYFUNCTION("""COMPUTED_VALUE"""),64423.0)</f>
        <v>64423</v>
      </c>
      <c r="R889" s="261">
        <f>IFERROR(__xludf.DUMMYFUNCTION("""COMPUTED_VALUE"""),306.0)</f>
        <v>306</v>
      </c>
      <c r="S889" s="258">
        <v>333.0</v>
      </c>
      <c r="T889" s="263">
        <v>0.918918918918919</v>
      </c>
      <c r="U889" s="264">
        <v>40031.0</v>
      </c>
      <c r="V889" s="265">
        <v>64423.0</v>
      </c>
      <c r="W889" s="264">
        <v>40031.0</v>
      </c>
      <c r="X889" s="266"/>
      <c r="Y889" s="267">
        <v>-0.01</v>
      </c>
      <c r="Z889" s="267">
        <v>0.9554196278724049</v>
      </c>
      <c r="AA889" s="269"/>
      <c r="AB889" s="270"/>
      <c r="AC889" s="270"/>
      <c r="AD889" s="270"/>
      <c r="AE889" s="270"/>
    </row>
    <row r="890">
      <c r="A890" s="256">
        <f>IFERROR(__xludf.DUMMYFUNCTION("""COMPUTED_VALUE"""),42856.82708333334)</f>
        <v>42856.82708</v>
      </c>
      <c r="B890" s="257" t="str">
        <f>IFERROR(__xludf.DUMMYFUNCTION("""COMPUTED_VALUE"""),"khattar")</f>
        <v>khattar</v>
      </c>
      <c r="C890" s="258" t="str">
        <f>IFERROR(__xludf.DUMMYFUNCTION("""COMPUTED_VALUE"""),"USA")</f>
        <v>USA</v>
      </c>
      <c r="D890" s="258" t="str">
        <f>IFERROR(__xludf.DUMMYFUNCTION("""COMPUTED_VALUE"""),"mi. My car displays range in miles and I will enter all range numbers in miles.")</f>
        <v>mi. My car displays range in miles and I will enter all range numbers in miles.</v>
      </c>
      <c r="E890" s="259">
        <f>IFERROR(__xludf.DUMMYFUNCTION("""COMPUTED_VALUE"""),42601.0)</f>
        <v>42601</v>
      </c>
      <c r="F890" s="258" t="str">
        <f>IFERROR(__xludf.DUMMYFUNCTION("""COMPUTED_VALUE"""),"Model S 60")</f>
        <v>Model S 60</v>
      </c>
      <c r="G890" s="258" t="str">
        <f>IFERROR(__xludf.DUMMYFUNCTION("""COMPUTED_VALUE"""),"Twice a month")</f>
        <v>Twice a month</v>
      </c>
      <c r="H890" s="258" t="str">
        <f>IFERROR(__xludf.DUMMYFUNCTION("""COMPUTED_VALUE"""),"Monthly")</f>
        <v>Monthly</v>
      </c>
      <c r="I890" s="258" t="str">
        <f>IFERROR(__xludf.DUMMYFUNCTION("""COMPUTED_VALUE"""),"Never")</f>
        <v>Never</v>
      </c>
      <c r="J890" s="260">
        <f>IFERROR(__xludf.DUMMYFUNCTION("""COMPUTED_VALUE"""),0.6)</f>
        <v>0.6</v>
      </c>
      <c r="K890" s="258">
        <f>IFERROR(__xludf.DUMMYFUNCTION("""COMPUTED_VALUE"""),210.0)</f>
        <v>210</v>
      </c>
      <c r="L890" s="258" t="str">
        <f>IFERROR(__xludf.DUMMYFUNCTION("""COMPUTED_VALUE"""),"")</f>
        <v/>
      </c>
      <c r="M890" s="261" t="str">
        <f>IFERROR(__xludf.DUMMYFUNCTION("""COMPUTED_VALUE"""),"")</f>
        <v/>
      </c>
      <c r="N890" s="262" t="str">
        <f>IFERROR(__xludf.DUMMYFUNCTION("""COMPUTED_VALUE"""),"")</f>
        <v/>
      </c>
      <c r="O890" s="259" t="str">
        <f>IFERROR(__xludf.DUMMYFUNCTION("""COMPUTED_VALUE"""),"")</f>
        <v/>
      </c>
      <c r="P890" s="259">
        <f>IFERROR(__xludf.DUMMYFUNCTION("""COMPUTED_VALUE"""),42856.0)</f>
        <v>42856</v>
      </c>
      <c r="Q890" s="258">
        <f>IFERROR(__xludf.DUMMYFUNCTION("""COMPUTED_VALUE"""),8000.0)</f>
        <v>8000</v>
      </c>
      <c r="R890" s="261">
        <f>IFERROR(__xludf.DUMMYFUNCTION("""COMPUTED_VALUE"""),210.0)</f>
        <v>210</v>
      </c>
      <c r="S890" s="258">
        <v>207.0</v>
      </c>
      <c r="T890" s="263">
        <v>1.0144927536231885</v>
      </c>
      <c r="U890" s="264">
        <v>8000.0</v>
      </c>
      <c r="V890" s="265">
        <v>12875.0</v>
      </c>
      <c r="W890" s="264">
        <v>8000.0</v>
      </c>
      <c r="X890" s="266"/>
      <c r="Y890" s="267">
        <v>-0.01</v>
      </c>
      <c r="Z890" s="267">
        <v>0.9809899068050503</v>
      </c>
      <c r="AA890" s="269"/>
      <c r="AB890" s="270"/>
      <c r="AC890" s="270"/>
      <c r="AD890" s="270"/>
      <c r="AE890" s="270"/>
    </row>
    <row r="891">
      <c r="A891" s="256">
        <f>IFERROR(__xludf.DUMMYFUNCTION("""COMPUTED_VALUE"""),43077.64236111111)</f>
        <v>43077.64236</v>
      </c>
      <c r="B891" s="257" t="str">
        <f>IFERROR(__xludf.DUMMYFUNCTION("""COMPUTED_VALUE"""),"khwa")</f>
        <v>khwa</v>
      </c>
      <c r="C891" s="258" t="str">
        <f>IFERROR(__xludf.DUMMYFUNCTION("""COMPUTED_VALUE"""),"Europe (excluding UK) &amp; Asia Pacific")</f>
        <v>Europe (excluding UK) &amp; Asia Pacific</v>
      </c>
      <c r="D891" s="258" t="str">
        <f>IFERROR(__xludf.DUMMYFUNCTION("""COMPUTED_VALUE"""),"km. My car displays range in kilometres and I will enter all range numbers in kilometres.")</f>
        <v>km. My car displays range in kilometres and I will enter all range numbers in kilometres.</v>
      </c>
      <c r="E891" s="259">
        <f>IFERROR(__xludf.DUMMYFUNCTION("""COMPUTED_VALUE"""),42083.0)</f>
        <v>42083</v>
      </c>
      <c r="F891" s="258" t="str">
        <f>IFERROR(__xludf.DUMMYFUNCTION("""COMPUTED_VALUE"""),"Model S P85D")</f>
        <v>Model S P85D</v>
      </c>
      <c r="G891" s="258" t="str">
        <f>IFERROR(__xludf.DUMMYFUNCTION("""COMPUTED_VALUE"""),"Twice a month")</f>
        <v>Twice a month</v>
      </c>
      <c r="H891" s="258" t="str">
        <f>IFERROR(__xludf.DUMMYFUNCTION("""COMPUTED_VALUE"""),"Monthly")</f>
        <v>Monthly</v>
      </c>
      <c r="I891" s="258" t="str">
        <f>IFERROR(__xludf.DUMMYFUNCTION("""COMPUTED_VALUE"""),"Monthly")</f>
        <v>Monthly</v>
      </c>
      <c r="J891" s="260">
        <f>IFERROR(__xludf.DUMMYFUNCTION("""COMPUTED_VALUE"""),0.9)</f>
        <v>0.9</v>
      </c>
      <c r="K891" s="258" t="str">
        <f>IFERROR(__xludf.DUMMYFUNCTION("""COMPUTED_VALUE"""),"")</f>
        <v/>
      </c>
      <c r="L891" s="258" t="str">
        <f>IFERROR(__xludf.DUMMYFUNCTION("""COMPUTED_VALUE"""),"")</f>
        <v/>
      </c>
      <c r="M891" s="261">
        <f>IFERROR(__xludf.DUMMYFUNCTION("""COMPUTED_VALUE"""),239.0)</f>
        <v>239</v>
      </c>
      <c r="N891" s="262" t="str">
        <f>IFERROR(__xludf.DUMMYFUNCTION("""COMPUTED_VALUE"""),"")</f>
        <v/>
      </c>
      <c r="O891" s="259" t="str">
        <f>IFERROR(__xludf.DUMMYFUNCTION("""COMPUTED_VALUE"""),"")</f>
        <v/>
      </c>
      <c r="P891" s="259">
        <f>IFERROR(__xludf.DUMMYFUNCTION("""COMPUTED_VALUE"""),43077.0)</f>
        <v>43077</v>
      </c>
      <c r="Q891" s="258">
        <f>IFERROR(__xludf.DUMMYFUNCTION("""COMPUTED_VALUE"""),93075.0)</f>
        <v>93075</v>
      </c>
      <c r="R891" s="261">
        <f>IFERROR(__xludf.DUMMYFUNCTION("""COMPUTED_VALUE"""),379.0)</f>
        <v>379</v>
      </c>
      <c r="S891" s="258">
        <v>403.0</v>
      </c>
      <c r="T891" s="263">
        <v>0.9404466501240695</v>
      </c>
      <c r="U891" s="264">
        <v>57834.0</v>
      </c>
      <c r="V891" s="265">
        <v>93075.0</v>
      </c>
      <c r="W891" s="264">
        <v>57834.0</v>
      </c>
      <c r="X891" s="266"/>
      <c r="Y891" s="267">
        <v>-0.01</v>
      </c>
      <c r="Z891" s="267">
        <v>0.9482279626850032</v>
      </c>
      <c r="AA891" s="269"/>
      <c r="AB891" s="270"/>
      <c r="AC891" s="270"/>
      <c r="AD891" s="270"/>
      <c r="AE891" s="270"/>
    </row>
    <row r="892">
      <c r="A892" s="256">
        <f>IFERROR(__xludf.DUMMYFUNCTION("""COMPUTED_VALUE"""),43128.68680555555)</f>
        <v>43128.68681</v>
      </c>
      <c r="B892" s="257" t="str">
        <f>IFERROR(__xludf.DUMMYFUNCTION("""COMPUTED_VALUE"""),"khwa")</f>
        <v>khwa</v>
      </c>
      <c r="C892" s="258" t="str">
        <f>IFERROR(__xludf.DUMMYFUNCTION("""COMPUTED_VALUE"""),"Europe (excluding UK) &amp; Asia Pacific")</f>
        <v>Europe (excluding UK) &amp; Asia Pacific</v>
      </c>
      <c r="D892" s="258" t="str">
        <f>IFERROR(__xludf.DUMMYFUNCTION("""COMPUTED_VALUE"""),"km. My car displays range in kilometres and I will enter all range numbers in kilometres.")</f>
        <v>km. My car displays range in kilometres and I will enter all range numbers in kilometres.</v>
      </c>
      <c r="E892" s="259">
        <f>IFERROR(__xludf.DUMMYFUNCTION("""COMPUTED_VALUE"""),42083.0)</f>
        <v>42083</v>
      </c>
      <c r="F892" s="258" t="str">
        <f>IFERROR(__xludf.DUMMYFUNCTION("""COMPUTED_VALUE"""),"Model S P85D")</f>
        <v>Model S P85D</v>
      </c>
      <c r="G892" s="258" t="str">
        <f>IFERROR(__xludf.DUMMYFUNCTION("""COMPUTED_VALUE"""),"Twice a month")</f>
        <v>Twice a month</v>
      </c>
      <c r="H892" s="258" t="str">
        <f>IFERROR(__xludf.DUMMYFUNCTION("""COMPUTED_VALUE"""),"Monthly")</f>
        <v>Monthly</v>
      </c>
      <c r="I892" s="258" t="str">
        <f>IFERROR(__xludf.DUMMYFUNCTION("""COMPUTED_VALUE"""),"Monthly")</f>
        <v>Monthly</v>
      </c>
      <c r="J892" s="260">
        <f>IFERROR(__xludf.DUMMYFUNCTION("""COMPUTED_VALUE"""),0.9)</f>
        <v>0.9</v>
      </c>
      <c r="K892" s="258" t="str">
        <f>IFERROR(__xludf.DUMMYFUNCTION("""COMPUTED_VALUE"""),"")</f>
        <v/>
      </c>
      <c r="L892" s="258" t="str">
        <f>IFERROR(__xludf.DUMMYFUNCTION("""COMPUTED_VALUE"""),"")</f>
        <v/>
      </c>
      <c r="M892" s="261">
        <f>IFERROR(__xludf.DUMMYFUNCTION("""COMPUTED_VALUE"""),243.0)</f>
        <v>243</v>
      </c>
      <c r="N892" s="262" t="str">
        <f>IFERROR(__xludf.DUMMYFUNCTION("""COMPUTED_VALUE"""),"")</f>
        <v/>
      </c>
      <c r="O892" s="259" t="str">
        <f>IFERROR(__xludf.DUMMYFUNCTION("""COMPUTED_VALUE"""),"")</f>
        <v/>
      </c>
      <c r="P892" s="259">
        <f>IFERROR(__xludf.DUMMYFUNCTION("""COMPUTED_VALUE"""),43128.0)</f>
        <v>43128</v>
      </c>
      <c r="Q892" s="258">
        <f>IFERROR(__xludf.DUMMYFUNCTION("""COMPUTED_VALUE"""),97594.0)</f>
        <v>97594</v>
      </c>
      <c r="R892" s="261">
        <f>IFERROR(__xludf.DUMMYFUNCTION("""COMPUTED_VALUE"""),378.0)</f>
        <v>378</v>
      </c>
      <c r="S892" s="258">
        <v>403.0</v>
      </c>
      <c r="T892" s="263">
        <v>0.9379652605459057</v>
      </c>
      <c r="U892" s="264">
        <v>60642.0</v>
      </c>
      <c r="V892" s="265">
        <v>97594.0</v>
      </c>
      <c r="W892" s="264">
        <v>60642.0</v>
      </c>
      <c r="X892" s="266"/>
      <c r="Y892" s="267">
        <v>-0.01</v>
      </c>
      <c r="Z892" s="267">
        <v>0.947154260237269</v>
      </c>
      <c r="AA892" s="269"/>
      <c r="AB892" s="270"/>
      <c r="AC892" s="270"/>
      <c r="AD892" s="270"/>
      <c r="AE892" s="270"/>
    </row>
    <row r="893">
      <c r="A893" s="256">
        <f>IFERROR(__xludf.DUMMYFUNCTION("""COMPUTED_VALUE"""),43131.6875)</f>
        <v>43131.6875</v>
      </c>
      <c r="B893" s="257" t="str">
        <f>IFERROR(__xludf.DUMMYFUNCTION("""COMPUTED_VALUE"""),"khwa")</f>
        <v>khwa</v>
      </c>
      <c r="C893" s="258" t="str">
        <f>IFERROR(__xludf.DUMMYFUNCTION("""COMPUTED_VALUE"""),"Europe (excluding UK) &amp; Asia Pacific")</f>
        <v>Europe (excluding UK) &amp; Asia Pacific</v>
      </c>
      <c r="D893" s="258" t="str">
        <f>IFERROR(__xludf.DUMMYFUNCTION("""COMPUTED_VALUE"""),"km. My car displays range in kilometres and I will enter all range numbers in kilometres.")</f>
        <v>km. My car displays range in kilometres and I will enter all range numbers in kilometres.</v>
      </c>
      <c r="E893" s="259">
        <f>IFERROR(__xludf.DUMMYFUNCTION("""COMPUTED_VALUE"""),42083.0)</f>
        <v>42083</v>
      </c>
      <c r="F893" s="258" t="str">
        <f>IFERROR(__xludf.DUMMYFUNCTION("""COMPUTED_VALUE"""),"Model S P85D")</f>
        <v>Model S P85D</v>
      </c>
      <c r="G893" s="258" t="str">
        <f>IFERROR(__xludf.DUMMYFUNCTION("""COMPUTED_VALUE"""),"Twice a month")</f>
        <v>Twice a month</v>
      </c>
      <c r="H893" s="258" t="str">
        <f>IFERROR(__xludf.DUMMYFUNCTION("""COMPUTED_VALUE"""),"Monthly")</f>
        <v>Monthly</v>
      </c>
      <c r="I893" s="258" t="str">
        <f>IFERROR(__xludf.DUMMYFUNCTION("""COMPUTED_VALUE"""),"Monthly")</f>
        <v>Monthly</v>
      </c>
      <c r="J893" s="260">
        <f>IFERROR(__xludf.DUMMYFUNCTION("""COMPUTED_VALUE"""),0.9)</f>
        <v>0.9</v>
      </c>
      <c r="K893" s="258" t="str">
        <f>IFERROR(__xludf.DUMMYFUNCTION("""COMPUTED_VALUE"""),"")</f>
        <v/>
      </c>
      <c r="L893" s="258" t="str">
        <f>IFERROR(__xludf.DUMMYFUNCTION("""COMPUTED_VALUE"""),"")</f>
        <v/>
      </c>
      <c r="M893" s="261">
        <f>IFERROR(__xludf.DUMMYFUNCTION("""COMPUTED_VALUE"""),243.0)</f>
        <v>243</v>
      </c>
      <c r="N893" s="262" t="str">
        <f>IFERROR(__xludf.DUMMYFUNCTION("""COMPUTED_VALUE"""),"")</f>
        <v/>
      </c>
      <c r="O893" s="259" t="str">
        <f>IFERROR(__xludf.DUMMYFUNCTION("""COMPUTED_VALUE"""),"")</f>
        <v/>
      </c>
      <c r="P893" s="259">
        <f>IFERROR(__xludf.DUMMYFUNCTION("""COMPUTED_VALUE"""),43131.0)</f>
        <v>43131</v>
      </c>
      <c r="Q893" s="258">
        <f>IFERROR(__xludf.DUMMYFUNCTION("""COMPUTED_VALUE"""),97738.0)</f>
        <v>97738</v>
      </c>
      <c r="R893" s="261">
        <f>IFERROR(__xludf.DUMMYFUNCTION("""COMPUTED_VALUE"""),376.0)</f>
        <v>376</v>
      </c>
      <c r="S893" s="258">
        <v>403.0</v>
      </c>
      <c r="T893" s="263">
        <v>0.9330024813895782</v>
      </c>
      <c r="U893" s="264">
        <v>60732.0</v>
      </c>
      <c r="V893" s="265">
        <v>97738.0</v>
      </c>
      <c r="W893" s="264">
        <v>60732.0</v>
      </c>
      <c r="X893" s="266"/>
      <c r="Y893" s="267">
        <v>-0.01</v>
      </c>
      <c r="Z893" s="267">
        <v>0.9471201755984556</v>
      </c>
      <c r="AA893" s="269"/>
      <c r="AB893" s="270"/>
      <c r="AC893" s="270"/>
      <c r="AD893" s="270"/>
      <c r="AE893" s="270"/>
    </row>
    <row r="894">
      <c r="A894" s="256">
        <f>IFERROR(__xludf.DUMMYFUNCTION("""COMPUTED_VALUE"""),43795.4878624537)</f>
        <v>43795.48786</v>
      </c>
      <c r="B894" s="257" t="str">
        <f>IFERROR(__xludf.DUMMYFUNCTION("""COMPUTED_VALUE"""),"khwa")</f>
        <v>khwa</v>
      </c>
      <c r="C894" s="258" t="str">
        <f>IFERROR(__xludf.DUMMYFUNCTION("""COMPUTED_VALUE"""),"Europe (excluding UK) &amp; Asia Pacific")</f>
        <v>Europe (excluding UK) &amp; Asia Pacific</v>
      </c>
      <c r="D894" s="258" t="str">
        <f>IFERROR(__xludf.DUMMYFUNCTION("""COMPUTED_VALUE"""),"km. My car displays range in kilometres and I will enter all range numbers in kilometres.")</f>
        <v>km. My car displays range in kilometres and I will enter all range numbers in kilometres.</v>
      </c>
      <c r="E894" s="259">
        <f>IFERROR(__xludf.DUMMYFUNCTION("""COMPUTED_VALUE"""),42036.0)</f>
        <v>42036</v>
      </c>
      <c r="F894" s="258" t="str">
        <f>IFERROR(__xludf.DUMMYFUNCTION("""COMPUTED_VALUE"""),"Model S P85D")</f>
        <v>Model S P85D</v>
      </c>
      <c r="G894" s="258" t="str">
        <f>IFERROR(__xludf.DUMMYFUNCTION("""COMPUTED_VALUE"""),"A few times a year")</f>
        <v>A few times a year</v>
      </c>
      <c r="H894" s="258" t="str">
        <f>IFERROR(__xludf.DUMMYFUNCTION("""COMPUTED_VALUE"""),"A few times a year")</f>
        <v>A few times a year</v>
      </c>
      <c r="I894" s="258" t="str">
        <f>IFERROR(__xludf.DUMMYFUNCTION("""COMPUTED_VALUE"""),"A few times a year")</f>
        <v>A few times a year</v>
      </c>
      <c r="J894" s="260">
        <f>IFERROR(__xludf.DUMMYFUNCTION("""COMPUTED_VALUE"""),0.9)</f>
        <v>0.9</v>
      </c>
      <c r="K894" s="258">
        <f>IFERROR(__xludf.DUMMYFUNCTION("""COMPUTED_VALUE"""),404.0)</f>
        <v>404</v>
      </c>
      <c r="L894" s="258" t="str">
        <f>IFERROR(__xludf.DUMMYFUNCTION("""COMPUTED_VALUE"""),"")</f>
        <v/>
      </c>
      <c r="M894" s="261">
        <f>IFERROR(__xludf.DUMMYFUNCTION("""COMPUTED_VALUE"""),239.0)</f>
        <v>239</v>
      </c>
      <c r="N894" s="262" t="str">
        <f>IFERROR(__xludf.DUMMYFUNCTION("""COMPUTED_VALUE"""),"")</f>
        <v/>
      </c>
      <c r="O894" s="259" t="str">
        <f>IFERROR(__xludf.DUMMYFUNCTION("""COMPUTED_VALUE"""),"")</f>
        <v/>
      </c>
      <c r="P894" s="259">
        <f>IFERROR(__xludf.DUMMYFUNCTION("""COMPUTED_VALUE"""),43795.0)</f>
        <v>43795</v>
      </c>
      <c r="Q894" s="258">
        <f>IFERROR(__xludf.DUMMYFUNCTION("""COMPUTED_VALUE"""),147051.0)</f>
        <v>147051</v>
      </c>
      <c r="R894" s="261">
        <f>IFERROR(__xludf.DUMMYFUNCTION("""COMPUTED_VALUE"""),372.0)</f>
        <v>372</v>
      </c>
      <c r="S894" s="258">
        <v>403.0</v>
      </c>
      <c r="T894" s="263">
        <v>0.9230769230769231</v>
      </c>
      <c r="U894" s="264">
        <v>91373.0</v>
      </c>
      <c r="V894" s="265">
        <v>147051.0</v>
      </c>
      <c r="W894" s="264">
        <v>91373.0</v>
      </c>
      <c r="X894" s="266"/>
      <c r="Y894" s="267">
        <v>-0.01</v>
      </c>
      <c r="Z894" s="267">
        <v>0.9356485171738104</v>
      </c>
      <c r="AA894" s="269"/>
      <c r="AB894" s="270"/>
      <c r="AC894" s="270"/>
      <c r="AD894" s="270"/>
      <c r="AE894" s="270"/>
    </row>
    <row r="895">
      <c r="A895" s="256">
        <f>IFERROR(__xludf.DUMMYFUNCTION("""COMPUTED_VALUE"""),43795.4878624537)</f>
        <v>43795.48786</v>
      </c>
      <c r="B895" s="257" t="str">
        <f>IFERROR(__xludf.DUMMYFUNCTION("""COMPUTED_VALUE"""),"khwa")</f>
        <v>khwa</v>
      </c>
      <c r="C895" s="258" t="str">
        <f>IFERROR(__xludf.DUMMYFUNCTION("""COMPUTED_VALUE"""),"Europe (excluding UK) &amp; Asia Pacific")</f>
        <v>Europe (excluding UK) &amp; Asia Pacific</v>
      </c>
      <c r="D895" s="258" t="str">
        <f>IFERROR(__xludf.DUMMYFUNCTION("""COMPUTED_VALUE"""),"km. My car displays range in kilometres and I will enter all range numbers in kilometres.")</f>
        <v>km. My car displays range in kilometres and I will enter all range numbers in kilometres.</v>
      </c>
      <c r="E895" s="259">
        <f>IFERROR(__xludf.DUMMYFUNCTION("""COMPUTED_VALUE"""),42036.0)</f>
        <v>42036</v>
      </c>
      <c r="F895" s="258" t="str">
        <f>IFERROR(__xludf.DUMMYFUNCTION("""COMPUTED_VALUE"""),"Model S P85D")</f>
        <v>Model S P85D</v>
      </c>
      <c r="G895" s="258" t="str">
        <f>IFERROR(__xludf.DUMMYFUNCTION("""COMPUTED_VALUE"""),"A few times a year")</f>
        <v>A few times a year</v>
      </c>
      <c r="H895" s="258" t="str">
        <f>IFERROR(__xludf.DUMMYFUNCTION("""COMPUTED_VALUE"""),"A few times a year")</f>
        <v>A few times a year</v>
      </c>
      <c r="I895" s="258" t="str">
        <f>IFERROR(__xludf.DUMMYFUNCTION("""COMPUTED_VALUE"""),"A few times a year")</f>
        <v>A few times a year</v>
      </c>
      <c r="J895" s="260">
        <f>IFERROR(__xludf.DUMMYFUNCTION("""COMPUTED_VALUE"""),0.9)</f>
        <v>0.9</v>
      </c>
      <c r="K895" s="258">
        <f>IFERROR(__xludf.DUMMYFUNCTION("""COMPUTED_VALUE"""),404.0)</f>
        <v>404</v>
      </c>
      <c r="L895" s="258" t="str">
        <f>IFERROR(__xludf.DUMMYFUNCTION("""COMPUTED_VALUE"""),"")</f>
        <v/>
      </c>
      <c r="M895" s="261">
        <f>IFERROR(__xludf.DUMMYFUNCTION("""COMPUTED_VALUE"""),239.0)</f>
        <v>239</v>
      </c>
      <c r="N895" s="262" t="str">
        <f>IFERROR(__xludf.DUMMYFUNCTION("""COMPUTED_VALUE"""),"")</f>
        <v/>
      </c>
      <c r="O895" s="259" t="str">
        <f>IFERROR(__xludf.DUMMYFUNCTION("""COMPUTED_VALUE"""),"")</f>
        <v/>
      </c>
      <c r="P895" s="259">
        <f>IFERROR(__xludf.DUMMYFUNCTION("""COMPUTED_VALUE"""),43393.0)</f>
        <v>43393</v>
      </c>
      <c r="Q895" s="258">
        <f>IFERROR(__xludf.DUMMYFUNCTION("""COMPUTED_VALUE"""),123287.0)</f>
        <v>123287</v>
      </c>
      <c r="R895" s="261">
        <f>IFERROR(__xludf.DUMMYFUNCTION("""COMPUTED_VALUE"""),374.0)</f>
        <v>374</v>
      </c>
      <c r="S895" s="258">
        <v>403.0</v>
      </c>
      <c r="T895" s="263">
        <v>0.9280397022332506</v>
      </c>
      <c r="U895" s="264">
        <v>76607.0</v>
      </c>
      <c r="V895" s="265">
        <v>123287.0</v>
      </c>
      <c r="W895" s="264">
        <v>76607.0</v>
      </c>
      <c r="X895" s="266"/>
      <c r="Y895" s="267">
        <v>-0.01</v>
      </c>
      <c r="Z895" s="267">
        <v>0.9411471870770944</v>
      </c>
      <c r="AA895" s="269"/>
      <c r="AB895" s="270"/>
      <c r="AC895" s="270"/>
      <c r="AD895" s="270"/>
      <c r="AE895" s="270"/>
    </row>
    <row r="896">
      <c r="A896" s="256">
        <f>IFERROR(__xludf.DUMMYFUNCTION("""COMPUTED_VALUE"""),43795.4878624537)</f>
        <v>43795.48786</v>
      </c>
      <c r="B896" s="257" t="str">
        <f>IFERROR(__xludf.DUMMYFUNCTION("""COMPUTED_VALUE"""),"khwa")</f>
        <v>khwa</v>
      </c>
      <c r="C896" s="258" t="str">
        <f>IFERROR(__xludf.DUMMYFUNCTION("""COMPUTED_VALUE"""),"Europe (excluding UK) &amp; Asia Pacific")</f>
        <v>Europe (excluding UK) &amp; Asia Pacific</v>
      </c>
      <c r="D896" s="258" t="str">
        <f>IFERROR(__xludf.DUMMYFUNCTION("""COMPUTED_VALUE"""),"km. My car displays range in kilometres and I will enter all range numbers in kilometres.")</f>
        <v>km. My car displays range in kilometres and I will enter all range numbers in kilometres.</v>
      </c>
      <c r="E896" s="259">
        <f>IFERROR(__xludf.DUMMYFUNCTION("""COMPUTED_VALUE"""),42036.0)</f>
        <v>42036</v>
      </c>
      <c r="F896" s="258" t="str">
        <f>IFERROR(__xludf.DUMMYFUNCTION("""COMPUTED_VALUE"""),"Model S P85D")</f>
        <v>Model S P85D</v>
      </c>
      <c r="G896" s="258" t="str">
        <f>IFERROR(__xludf.DUMMYFUNCTION("""COMPUTED_VALUE"""),"A few times a year")</f>
        <v>A few times a year</v>
      </c>
      <c r="H896" s="258" t="str">
        <f>IFERROR(__xludf.DUMMYFUNCTION("""COMPUTED_VALUE"""),"A few times a year")</f>
        <v>A few times a year</v>
      </c>
      <c r="I896" s="258" t="str">
        <f>IFERROR(__xludf.DUMMYFUNCTION("""COMPUTED_VALUE"""),"A few times a year")</f>
        <v>A few times a year</v>
      </c>
      <c r="J896" s="260">
        <f>IFERROR(__xludf.DUMMYFUNCTION("""COMPUTED_VALUE"""),0.9)</f>
        <v>0.9</v>
      </c>
      <c r="K896" s="258">
        <f>IFERROR(__xludf.DUMMYFUNCTION("""COMPUTED_VALUE"""),404.0)</f>
        <v>404</v>
      </c>
      <c r="L896" s="258" t="str">
        <f>IFERROR(__xludf.DUMMYFUNCTION("""COMPUTED_VALUE"""),"")</f>
        <v/>
      </c>
      <c r="M896" s="261">
        <f>IFERROR(__xludf.DUMMYFUNCTION("""COMPUTED_VALUE"""),239.0)</f>
        <v>239</v>
      </c>
      <c r="N896" s="262" t="str">
        <f>IFERROR(__xludf.DUMMYFUNCTION("""COMPUTED_VALUE"""),"")</f>
        <v/>
      </c>
      <c r="O896" s="259" t="str">
        <f>IFERROR(__xludf.DUMMYFUNCTION("""COMPUTED_VALUE"""),"")</f>
        <v/>
      </c>
      <c r="P896" s="259">
        <f>IFERROR(__xludf.DUMMYFUNCTION("""COMPUTED_VALUE"""),43437.0)</f>
        <v>43437</v>
      </c>
      <c r="Q896" s="258">
        <f>IFERROR(__xludf.DUMMYFUNCTION("""COMPUTED_VALUE"""),126882.0)</f>
        <v>126882</v>
      </c>
      <c r="R896" s="261">
        <f>IFERROR(__xludf.DUMMYFUNCTION("""COMPUTED_VALUE"""),374.0)</f>
        <v>374</v>
      </c>
      <c r="S896" s="258">
        <v>403.0</v>
      </c>
      <c r="T896" s="263">
        <v>0.9280397022332506</v>
      </c>
      <c r="U896" s="264">
        <v>78841.0</v>
      </c>
      <c r="V896" s="265">
        <v>126882.0</v>
      </c>
      <c r="W896" s="264">
        <v>78841.0</v>
      </c>
      <c r="X896" s="266"/>
      <c r="Y896" s="267">
        <v>-0.01</v>
      </c>
      <c r="Z896" s="267">
        <v>0.9403135844815921</v>
      </c>
      <c r="AA896" s="269"/>
      <c r="AB896" s="270"/>
      <c r="AC896" s="270"/>
      <c r="AD896" s="270"/>
      <c r="AE896" s="270"/>
    </row>
    <row r="897">
      <c r="A897" s="256">
        <f>IFERROR(__xludf.DUMMYFUNCTION("""COMPUTED_VALUE"""),43795.4878624537)</f>
        <v>43795.48786</v>
      </c>
      <c r="B897" s="257" t="str">
        <f>IFERROR(__xludf.DUMMYFUNCTION("""COMPUTED_VALUE"""),"khwa")</f>
        <v>khwa</v>
      </c>
      <c r="C897" s="258" t="str">
        <f>IFERROR(__xludf.DUMMYFUNCTION("""COMPUTED_VALUE"""),"Europe (excluding UK) &amp; Asia Pacific")</f>
        <v>Europe (excluding UK) &amp; Asia Pacific</v>
      </c>
      <c r="D897" s="258" t="str">
        <f>IFERROR(__xludf.DUMMYFUNCTION("""COMPUTED_VALUE"""),"km. My car displays range in kilometres and I will enter all range numbers in kilometres.")</f>
        <v>km. My car displays range in kilometres and I will enter all range numbers in kilometres.</v>
      </c>
      <c r="E897" s="259">
        <f>IFERROR(__xludf.DUMMYFUNCTION("""COMPUTED_VALUE"""),42036.0)</f>
        <v>42036</v>
      </c>
      <c r="F897" s="258" t="str">
        <f>IFERROR(__xludf.DUMMYFUNCTION("""COMPUTED_VALUE"""),"Model S P85D")</f>
        <v>Model S P85D</v>
      </c>
      <c r="G897" s="258" t="str">
        <f>IFERROR(__xludf.DUMMYFUNCTION("""COMPUTED_VALUE"""),"A few times a year")</f>
        <v>A few times a year</v>
      </c>
      <c r="H897" s="258" t="str">
        <f>IFERROR(__xludf.DUMMYFUNCTION("""COMPUTED_VALUE"""),"A few times a year")</f>
        <v>A few times a year</v>
      </c>
      <c r="I897" s="258" t="str">
        <f>IFERROR(__xludf.DUMMYFUNCTION("""COMPUTED_VALUE"""),"A few times a year")</f>
        <v>A few times a year</v>
      </c>
      <c r="J897" s="260">
        <f>IFERROR(__xludf.DUMMYFUNCTION("""COMPUTED_VALUE"""),0.9)</f>
        <v>0.9</v>
      </c>
      <c r="K897" s="258">
        <f>IFERROR(__xludf.DUMMYFUNCTION("""COMPUTED_VALUE"""),404.0)</f>
        <v>404</v>
      </c>
      <c r="L897" s="258" t="str">
        <f>IFERROR(__xludf.DUMMYFUNCTION("""COMPUTED_VALUE"""),"")</f>
        <v/>
      </c>
      <c r="M897" s="261">
        <f>IFERROR(__xludf.DUMMYFUNCTION("""COMPUTED_VALUE"""),239.0)</f>
        <v>239</v>
      </c>
      <c r="N897" s="262" t="str">
        <f>IFERROR(__xludf.DUMMYFUNCTION("""COMPUTED_VALUE"""),"")</f>
        <v/>
      </c>
      <c r="O897" s="259" t="str">
        <f>IFERROR(__xludf.DUMMYFUNCTION("""COMPUTED_VALUE"""),"")</f>
        <v/>
      </c>
      <c r="P897" s="259">
        <f>IFERROR(__xludf.DUMMYFUNCTION("""COMPUTED_VALUE"""),43485.0)</f>
        <v>43485</v>
      </c>
      <c r="Q897" s="258">
        <f>IFERROR(__xludf.DUMMYFUNCTION("""COMPUTED_VALUE"""),130817.0)</f>
        <v>130817</v>
      </c>
      <c r="R897" s="261">
        <f>IFERROR(__xludf.DUMMYFUNCTION("""COMPUTED_VALUE"""),373.0)</f>
        <v>373</v>
      </c>
      <c r="S897" s="258">
        <v>403.0</v>
      </c>
      <c r="T897" s="263">
        <v>0.9255583126550868</v>
      </c>
      <c r="U897" s="264">
        <v>81286.0</v>
      </c>
      <c r="V897" s="265">
        <v>130817.0</v>
      </c>
      <c r="W897" s="264">
        <v>81286.0</v>
      </c>
      <c r="X897" s="266"/>
      <c r="Y897" s="267">
        <v>-0.01</v>
      </c>
      <c r="Z897" s="267">
        <v>0.9394020943963813</v>
      </c>
      <c r="AA897" s="269"/>
      <c r="AB897" s="270"/>
      <c r="AC897" s="270"/>
      <c r="AD897" s="270"/>
      <c r="AE897" s="270"/>
    </row>
    <row r="898">
      <c r="A898" s="256">
        <f>IFERROR(__xludf.DUMMYFUNCTION("""COMPUTED_VALUE"""),43795.4878624537)</f>
        <v>43795.48786</v>
      </c>
      <c r="B898" s="257" t="str">
        <f>IFERROR(__xludf.DUMMYFUNCTION("""COMPUTED_VALUE"""),"khwa")</f>
        <v>khwa</v>
      </c>
      <c r="C898" s="258" t="str">
        <f>IFERROR(__xludf.DUMMYFUNCTION("""COMPUTED_VALUE"""),"Europe (excluding UK) &amp; Asia Pacific")</f>
        <v>Europe (excluding UK) &amp; Asia Pacific</v>
      </c>
      <c r="D898" s="258" t="str">
        <f>IFERROR(__xludf.DUMMYFUNCTION("""COMPUTED_VALUE"""),"km. My car displays range in kilometres and I will enter all range numbers in kilometres.")</f>
        <v>km. My car displays range in kilometres and I will enter all range numbers in kilometres.</v>
      </c>
      <c r="E898" s="259">
        <f>IFERROR(__xludf.DUMMYFUNCTION("""COMPUTED_VALUE"""),42036.0)</f>
        <v>42036</v>
      </c>
      <c r="F898" s="258" t="str">
        <f>IFERROR(__xludf.DUMMYFUNCTION("""COMPUTED_VALUE"""),"Model S P85D")</f>
        <v>Model S P85D</v>
      </c>
      <c r="G898" s="258" t="str">
        <f>IFERROR(__xludf.DUMMYFUNCTION("""COMPUTED_VALUE"""),"A few times a year")</f>
        <v>A few times a year</v>
      </c>
      <c r="H898" s="258" t="str">
        <f>IFERROR(__xludf.DUMMYFUNCTION("""COMPUTED_VALUE"""),"A few times a year")</f>
        <v>A few times a year</v>
      </c>
      <c r="I898" s="258" t="str">
        <f>IFERROR(__xludf.DUMMYFUNCTION("""COMPUTED_VALUE"""),"A few times a year")</f>
        <v>A few times a year</v>
      </c>
      <c r="J898" s="260">
        <f>IFERROR(__xludf.DUMMYFUNCTION("""COMPUTED_VALUE"""),0.9)</f>
        <v>0.9</v>
      </c>
      <c r="K898" s="258">
        <f>IFERROR(__xludf.DUMMYFUNCTION("""COMPUTED_VALUE"""),404.0)</f>
        <v>404</v>
      </c>
      <c r="L898" s="258" t="str">
        <f>IFERROR(__xludf.DUMMYFUNCTION("""COMPUTED_VALUE"""),"")</f>
        <v/>
      </c>
      <c r="M898" s="261">
        <f>IFERROR(__xludf.DUMMYFUNCTION("""COMPUTED_VALUE"""),239.0)</f>
        <v>239</v>
      </c>
      <c r="N898" s="262" t="str">
        <f>IFERROR(__xludf.DUMMYFUNCTION("""COMPUTED_VALUE"""),"")</f>
        <v/>
      </c>
      <c r="O898" s="259" t="str">
        <f>IFERROR(__xludf.DUMMYFUNCTION("""COMPUTED_VALUE"""),"")</f>
        <v/>
      </c>
      <c r="P898" s="259">
        <f>IFERROR(__xludf.DUMMYFUNCTION("""COMPUTED_VALUE"""),43662.0)</f>
        <v>43662</v>
      </c>
      <c r="Q898" s="258">
        <f>IFERROR(__xludf.DUMMYFUNCTION("""COMPUTED_VALUE"""),142606.0)</f>
        <v>142606</v>
      </c>
      <c r="R898" s="261">
        <f>IFERROR(__xludf.DUMMYFUNCTION("""COMPUTED_VALUE"""),373.0)</f>
        <v>373</v>
      </c>
      <c r="S898" s="258">
        <v>403.0</v>
      </c>
      <c r="T898" s="263">
        <v>0.9255583126550868</v>
      </c>
      <c r="U898" s="264">
        <v>88611.0</v>
      </c>
      <c r="V898" s="265">
        <v>142606.0</v>
      </c>
      <c r="W898" s="264">
        <v>88611.0</v>
      </c>
      <c r="X898" s="266"/>
      <c r="Y898" s="267">
        <v>-0.01</v>
      </c>
      <c r="Z898" s="267">
        <v>0.9366754814628951</v>
      </c>
      <c r="AA898" s="269"/>
      <c r="AB898" s="270"/>
      <c r="AC898" s="270"/>
      <c r="AD898" s="270"/>
      <c r="AE898" s="270"/>
    </row>
    <row r="899">
      <c r="A899" s="256">
        <f>IFERROR(__xludf.DUMMYFUNCTION("""COMPUTED_VALUE"""),42252.75902777778)</f>
        <v>42252.75903</v>
      </c>
      <c r="B899" s="257" t="str">
        <f>IFERROR(__xludf.DUMMYFUNCTION("""COMPUTED_VALUE"""),"KidDoc")</f>
        <v>KidDoc</v>
      </c>
      <c r="C899" s="258" t="str">
        <f>IFERROR(__xludf.DUMMYFUNCTION("""COMPUTED_VALUE"""),"USA")</f>
        <v>USA</v>
      </c>
      <c r="D899" s="258" t="str">
        <f>IFERROR(__xludf.DUMMYFUNCTION("""COMPUTED_VALUE"""),"mi. My car displays range in miles and I will enter all range numbers in miles.")</f>
        <v>mi. My car displays range in miles and I will enter all range numbers in miles.</v>
      </c>
      <c r="E899" s="259">
        <f>IFERROR(__xludf.DUMMYFUNCTION("""COMPUTED_VALUE"""),41716.0)</f>
        <v>41716</v>
      </c>
      <c r="F899" s="258" t="str">
        <f>IFERROR(__xludf.DUMMYFUNCTION("""COMPUTED_VALUE"""),"Model S 85")</f>
        <v>Model S 85</v>
      </c>
      <c r="G899" s="258" t="str">
        <f>IFERROR(__xludf.DUMMYFUNCTION("""COMPUTED_VALUE"""),"A few times a year")</f>
        <v>A few times a year</v>
      </c>
      <c r="H899" s="258" t="str">
        <f>IFERROR(__xludf.DUMMYFUNCTION("""COMPUTED_VALUE"""),"Twice a month")</f>
        <v>Twice a month</v>
      </c>
      <c r="I899" s="258" t="str">
        <f>IFERROR(__xludf.DUMMYFUNCTION("""COMPUTED_VALUE"""),"Once or twice a year")</f>
        <v>Once or twice a year</v>
      </c>
      <c r="J899" s="260">
        <f>IFERROR(__xludf.DUMMYFUNCTION("""COMPUTED_VALUE"""),0.9)</f>
        <v>0.9</v>
      </c>
      <c r="K899" s="258">
        <f>IFERROR(__xludf.DUMMYFUNCTION("""COMPUTED_VALUE"""),265.0)</f>
        <v>265</v>
      </c>
      <c r="L899" s="258" t="str">
        <f>IFERROR(__xludf.DUMMYFUNCTION("""COMPUTED_VALUE"""),"")</f>
        <v/>
      </c>
      <c r="M899" s="261">
        <f>IFERROR(__xludf.DUMMYFUNCTION("""COMPUTED_VALUE"""),334.0)</f>
        <v>334</v>
      </c>
      <c r="N899" s="262" t="str">
        <f>IFERROR(__xludf.DUMMYFUNCTION("""COMPUTED_VALUE"""),"")</f>
        <v/>
      </c>
      <c r="O899" s="259" t="str">
        <f>IFERROR(__xludf.DUMMYFUNCTION("""COMPUTED_VALUE"""),"")</f>
        <v/>
      </c>
      <c r="P899" s="259">
        <f>IFERROR(__xludf.DUMMYFUNCTION("""COMPUTED_VALUE"""),42252.0)</f>
        <v>42252</v>
      </c>
      <c r="Q899" s="258">
        <f>IFERROR(__xludf.DUMMYFUNCTION("""COMPUTED_VALUE"""),32000.0)</f>
        <v>32000</v>
      </c>
      <c r="R899" s="261">
        <f>IFERROR(__xludf.DUMMYFUNCTION("""COMPUTED_VALUE"""),264.0)</f>
        <v>264</v>
      </c>
      <c r="S899" s="258">
        <v>266.0</v>
      </c>
      <c r="T899" s="263">
        <v>0.9924812030075187</v>
      </c>
      <c r="U899" s="264">
        <v>32000.0</v>
      </c>
      <c r="V899" s="265">
        <v>51499.0</v>
      </c>
      <c r="W899" s="264">
        <v>32000.0</v>
      </c>
      <c r="X899" s="266"/>
      <c r="Y899" s="267">
        <v>-0.01</v>
      </c>
      <c r="Z899" s="267">
        <v>0.9592058748090977</v>
      </c>
      <c r="AA899" s="269"/>
      <c r="AB899" s="270"/>
      <c r="AC899" s="270"/>
      <c r="AD899" s="270"/>
      <c r="AE899" s="270"/>
    </row>
    <row r="900">
      <c r="A900" s="256">
        <f>IFERROR(__xludf.DUMMYFUNCTION("""COMPUTED_VALUE"""),42621.39791666667)</f>
        <v>42621.39792</v>
      </c>
      <c r="B900" s="257" t="str">
        <f>IFERROR(__xludf.DUMMYFUNCTION("""COMPUTED_VALUE"""),"Kirre")</f>
        <v>Kirre</v>
      </c>
      <c r="C900" s="258" t="str">
        <f>IFERROR(__xludf.DUMMYFUNCTION("""COMPUTED_VALUE"""),"Europe (excluding UK) &amp; Asia Pacific")</f>
        <v>Europe (excluding UK) &amp; Asia Pacific</v>
      </c>
      <c r="D900" s="258" t="str">
        <f>IFERROR(__xludf.DUMMYFUNCTION("""COMPUTED_VALUE"""),"km. My car displays range in kilometres and I will enter all range numbers in kilometres.")</f>
        <v>km. My car displays range in kilometres and I will enter all range numbers in kilometres.</v>
      </c>
      <c r="E900" s="259">
        <f>IFERROR(__xludf.DUMMYFUNCTION("""COMPUTED_VALUE"""),42550.0)</f>
        <v>42550</v>
      </c>
      <c r="F900" s="258" t="str">
        <f>IFERROR(__xludf.DUMMYFUNCTION("""COMPUTED_VALUE"""),"Model S 70D")</f>
        <v>Model S 70D</v>
      </c>
      <c r="G900" s="258" t="str">
        <f>IFERROR(__xludf.DUMMYFUNCTION("""COMPUTED_VALUE"""),"Monthly")</f>
        <v>Monthly</v>
      </c>
      <c r="H900" s="258" t="str">
        <f>IFERROR(__xludf.DUMMYFUNCTION("""COMPUTED_VALUE"""),"Twice a month")</f>
        <v>Twice a month</v>
      </c>
      <c r="I900" s="258" t="str">
        <f>IFERROR(__xludf.DUMMYFUNCTION("""COMPUTED_VALUE"""),"A few times a year")</f>
        <v>A few times a year</v>
      </c>
      <c r="J900" s="260">
        <f>IFERROR(__xludf.DUMMYFUNCTION("""COMPUTED_VALUE"""),0.8)</f>
        <v>0.8</v>
      </c>
      <c r="K900" s="258" t="str">
        <f>IFERROR(__xludf.DUMMYFUNCTION("""COMPUTED_VALUE"""),"")</f>
        <v/>
      </c>
      <c r="L900" s="258" t="str">
        <f>IFERROR(__xludf.DUMMYFUNCTION("""COMPUTED_VALUE"""),"")</f>
        <v/>
      </c>
      <c r="M900" s="261">
        <f>IFERROR(__xludf.DUMMYFUNCTION("""COMPUTED_VALUE"""),181.0)</f>
        <v>181</v>
      </c>
      <c r="N900" s="262" t="str">
        <f>IFERROR(__xludf.DUMMYFUNCTION("""COMPUTED_VALUE"""),"")</f>
        <v/>
      </c>
      <c r="O900" s="259" t="str">
        <f>IFERROR(__xludf.DUMMYFUNCTION("""COMPUTED_VALUE"""),"")</f>
        <v/>
      </c>
      <c r="P900" s="259">
        <f>IFERROR(__xludf.DUMMYFUNCTION("""COMPUTED_VALUE"""),42621.0)</f>
        <v>42621</v>
      </c>
      <c r="Q900" s="258">
        <f>IFERROR(__xludf.DUMMYFUNCTION("""COMPUTED_VALUE"""),6316.0)</f>
        <v>6316</v>
      </c>
      <c r="R900" s="261">
        <f>IFERROR(__xludf.DUMMYFUNCTION("""COMPUTED_VALUE"""),357.0)</f>
        <v>357</v>
      </c>
      <c r="S900" s="258">
        <v>360.0</v>
      </c>
      <c r="T900" s="263">
        <v>0.9916666666666667</v>
      </c>
      <c r="U900" s="264">
        <v>3925.0</v>
      </c>
      <c r="V900" s="265">
        <v>6316.0</v>
      </c>
      <c r="W900" s="264">
        <v>3925.0</v>
      </c>
      <c r="X900" s="266"/>
      <c r="Y900" s="267">
        <v>-0.01</v>
      </c>
      <c r="Z900" s="267">
        <v>0.9891877907053901</v>
      </c>
      <c r="AA900" s="269"/>
      <c r="AB900" s="270"/>
      <c r="AC900" s="270"/>
      <c r="AD900" s="270"/>
      <c r="AE900" s="270"/>
    </row>
    <row r="901">
      <c r="A901" s="256">
        <f>IFERROR(__xludf.DUMMYFUNCTION("""COMPUTED_VALUE"""),43596.868159861115)</f>
        <v>43596.86816</v>
      </c>
      <c r="B901" s="257" t="str">
        <f>IFERROR(__xludf.DUMMYFUNCTION("""COMPUTED_VALUE"""),"kkitzhaber")</f>
        <v>kkitzhaber</v>
      </c>
      <c r="C901" s="258" t="str">
        <f>IFERROR(__xludf.DUMMYFUNCTION("""COMPUTED_VALUE"""),"USA")</f>
        <v>USA</v>
      </c>
      <c r="D901" s="258" t="str">
        <f>IFERROR(__xludf.DUMMYFUNCTION("""COMPUTED_VALUE"""),"mi. My car displays range in miles and I will enter all range numbers in miles.")</f>
        <v>mi. My car displays range in miles and I will enter all range numbers in miles.</v>
      </c>
      <c r="E901" s="259">
        <f>IFERROR(__xludf.DUMMYFUNCTION("""COMPUTED_VALUE"""),42231.0)</f>
        <v>42231</v>
      </c>
      <c r="F901" s="258" t="str">
        <f>IFERROR(__xludf.DUMMYFUNCTION("""COMPUTED_VALUE"""),"Model S 90D")</f>
        <v>Model S 90D</v>
      </c>
      <c r="G901" s="258" t="str">
        <f>IFERROR(__xludf.DUMMYFUNCTION("""COMPUTED_VALUE"""),"Monthly")</f>
        <v>Monthly</v>
      </c>
      <c r="H901" s="258" t="str">
        <f>IFERROR(__xludf.DUMMYFUNCTION("""COMPUTED_VALUE"""),"A few times a year")</f>
        <v>A few times a year</v>
      </c>
      <c r="I901" s="258" t="str">
        <f>IFERROR(__xludf.DUMMYFUNCTION("""COMPUTED_VALUE"""),"Never")</f>
        <v>Never</v>
      </c>
      <c r="J901" s="260">
        <f>IFERROR(__xludf.DUMMYFUNCTION("""COMPUTED_VALUE"""),0.7)</f>
        <v>0.7</v>
      </c>
      <c r="K901" s="258">
        <f>IFERROR(__xludf.DUMMYFUNCTION("""COMPUTED_VALUE"""),280.0)</f>
        <v>280</v>
      </c>
      <c r="L901" s="258">
        <f>IFERROR(__xludf.DUMMYFUNCTION("""COMPUTED_VALUE"""),275.0)</f>
        <v>275</v>
      </c>
      <c r="M901" s="261">
        <f>IFERROR(__xludf.DUMMYFUNCTION("""COMPUTED_VALUE"""),300.0)</f>
        <v>300</v>
      </c>
      <c r="N901" s="262" t="str">
        <f>IFERROR(__xludf.DUMMYFUNCTION("""COMPUTED_VALUE"""),"")</f>
        <v/>
      </c>
      <c r="O901" s="259" t="str">
        <f>IFERROR(__xludf.DUMMYFUNCTION("""COMPUTED_VALUE"""),"")</f>
        <v/>
      </c>
      <c r="P901" s="259">
        <f>IFERROR(__xludf.DUMMYFUNCTION("""COMPUTED_VALUE"""),43595.0)</f>
        <v>43595</v>
      </c>
      <c r="Q901" s="258">
        <f>IFERROR(__xludf.DUMMYFUNCTION("""COMPUTED_VALUE"""),66257.0)</f>
        <v>66257</v>
      </c>
      <c r="R901" s="261">
        <f>IFERROR(__xludf.DUMMYFUNCTION("""COMPUTED_VALUE"""),264.0)</f>
        <v>264</v>
      </c>
      <c r="S901" s="258">
        <v>292.0</v>
      </c>
      <c r="T901" s="263">
        <v>0.9041095890410958</v>
      </c>
      <c r="U901" s="264">
        <v>66257.0</v>
      </c>
      <c r="V901" s="265">
        <v>106630.0</v>
      </c>
      <c r="W901" s="264">
        <v>66257.0</v>
      </c>
      <c r="X901" s="266"/>
      <c r="Y901" s="267">
        <v>-0.01</v>
      </c>
      <c r="Z901" s="267">
        <v>0.9450274181720891</v>
      </c>
      <c r="AA901" s="269"/>
      <c r="AB901" s="270"/>
      <c r="AC901" s="270"/>
      <c r="AD901" s="270"/>
      <c r="AE901" s="270"/>
    </row>
    <row r="902">
      <c r="A902" s="256">
        <f>IFERROR(__xludf.DUMMYFUNCTION("""COMPUTED_VALUE"""),43596.868159861115)</f>
        <v>43596.86816</v>
      </c>
      <c r="B902" s="257" t="str">
        <f>IFERROR(__xludf.DUMMYFUNCTION("""COMPUTED_VALUE"""),"kkitzhaber")</f>
        <v>kkitzhaber</v>
      </c>
      <c r="C902" s="258" t="str">
        <f>IFERROR(__xludf.DUMMYFUNCTION("""COMPUTED_VALUE"""),"USA")</f>
        <v>USA</v>
      </c>
      <c r="D902" s="258" t="str">
        <f>IFERROR(__xludf.DUMMYFUNCTION("""COMPUTED_VALUE"""),"mi. My car displays range in miles and I will enter all range numbers in miles.")</f>
        <v>mi. My car displays range in miles and I will enter all range numbers in miles.</v>
      </c>
      <c r="E902" s="259">
        <f>IFERROR(__xludf.DUMMYFUNCTION("""COMPUTED_VALUE"""),42231.0)</f>
        <v>42231</v>
      </c>
      <c r="F902" s="258" t="str">
        <f>IFERROR(__xludf.DUMMYFUNCTION("""COMPUTED_VALUE"""),"Model S 90D")</f>
        <v>Model S 90D</v>
      </c>
      <c r="G902" s="258" t="str">
        <f>IFERROR(__xludf.DUMMYFUNCTION("""COMPUTED_VALUE"""),"Monthly")</f>
        <v>Monthly</v>
      </c>
      <c r="H902" s="258" t="str">
        <f>IFERROR(__xludf.DUMMYFUNCTION("""COMPUTED_VALUE"""),"A few times a year")</f>
        <v>A few times a year</v>
      </c>
      <c r="I902" s="258" t="str">
        <f>IFERROR(__xludf.DUMMYFUNCTION("""COMPUTED_VALUE"""),"Never")</f>
        <v>Never</v>
      </c>
      <c r="J902" s="260">
        <f>IFERROR(__xludf.DUMMYFUNCTION("""COMPUTED_VALUE"""),0.7)</f>
        <v>0.7</v>
      </c>
      <c r="K902" s="258">
        <f>IFERROR(__xludf.DUMMYFUNCTION("""COMPUTED_VALUE"""),280.0)</f>
        <v>280</v>
      </c>
      <c r="L902" s="258">
        <f>IFERROR(__xludf.DUMMYFUNCTION("""COMPUTED_VALUE"""),275.0)</f>
        <v>275</v>
      </c>
      <c r="M902" s="261">
        <f>IFERROR(__xludf.DUMMYFUNCTION("""COMPUTED_VALUE"""),300.0)</f>
        <v>300</v>
      </c>
      <c r="N902" s="262" t="str">
        <f>IFERROR(__xludf.DUMMYFUNCTION("""COMPUTED_VALUE"""),"")</f>
        <v/>
      </c>
      <c r="O902" s="259" t="str">
        <f>IFERROR(__xludf.DUMMYFUNCTION("""COMPUTED_VALUE"""),"")</f>
        <v/>
      </c>
      <c r="P902" s="259">
        <f>IFERROR(__xludf.DUMMYFUNCTION("""COMPUTED_VALUE"""),43525.0)</f>
        <v>43525</v>
      </c>
      <c r="Q902" s="258">
        <f>IFERROR(__xludf.DUMMYFUNCTION("""COMPUTED_VALUE"""),65150.0)</f>
        <v>65150</v>
      </c>
      <c r="R902" s="261">
        <f>IFERROR(__xludf.DUMMYFUNCTION("""COMPUTED_VALUE"""),263.0)</f>
        <v>263</v>
      </c>
      <c r="S902" s="258">
        <v>292.0</v>
      </c>
      <c r="T902" s="263">
        <v>0.9006849315068494</v>
      </c>
      <c r="U902" s="264">
        <v>65150.0</v>
      </c>
      <c r="V902" s="265">
        <v>104849.0</v>
      </c>
      <c r="W902" s="264">
        <v>65150.0</v>
      </c>
      <c r="X902" s="266"/>
      <c r="Y902" s="267">
        <v>-0.01</v>
      </c>
      <c r="Z902" s="267">
        <v>0.9454449441169422</v>
      </c>
      <c r="AA902" s="269"/>
      <c r="AB902" s="270"/>
      <c r="AC902" s="270"/>
      <c r="AD902" s="270"/>
      <c r="AE902" s="270"/>
    </row>
    <row r="903">
      <c r="A903" s="256">
        <f>IFERROR(__xludf.DUMMYFUNCTION("""COMPUTED_VALUE"""),42135.73819444445)</f>
        <v>42135.73819</v>
      </c>
      <c r="B903" s="257" t="str">
        <f>IFERROR(__xludf.DUMMYFUNCTION("""COMPUTED_VALUE"""),"KL")</f>
        <v>KL</v>
      </c>
      <c r="C903" s="258" t="str">
        <f>IFERROR(__xludf.DUMMYFUNCTION("""COMPUTED_VALUE"""),"USA")</f>
        <v>USA</v>
      </c>
      <c r="D903" s="258" t="str">
        <f>IFERROR(__xludf.DUMMYFUNCTION("""COMPUTED_VALUE"""),"mi. My car displays range in miles and I will enter all range numbers in miles.")</f>
        <v>mi. My car displays range in miles and I will enter all range numbers in miles.</v>
      </c>
      <c r="E903" s="259">
        <f>IFERROR(__xludf.DUMMYFUNCTION("""COMPUTED_VALUE"""),42063.0)</f>
        <v>42063</v>
      </c>
      <c r="F903" s="258" t="str">
        <f>IFERROR(__xludf.DUMMYFUNCTION("""COMPUTED_VALUE"""),"Model S 85D")</f>
        <v>Model S 85D</v>
      </c>
      <c r="G903" s="258" t="str">
        <f>IFERROR(__xludf.DUMMYFUNCTION("""COMPUTED_VALUE"""),"Twice a month")</f>
        <v>Twice a month</v>
      </c>
      <c r="H903" s="258" t="str">
        <f>IFERROR(__xludf.DUMMYFUNCTION("""COMPUTED_VALUE"""),"Twice a month")</f>
        <v>Twice a month</v>
      </c>
      <c r="I903" s="258" t="str">
        <f>IFERROR(__xludf.DUMMYFUNCTION("""COMPUTED_VALUE"""),"Never")</f>
        <v>Never</v>
      </c>
      <c r="J903" s="260">
        <f>IFERROR(__xludf.DUMMYFUNCTION("""COMPUTED_VALUE"""),0.8)</f>
        <v>0.8</v>
      </c>
      <c r="K903" s="258" t="str">
        <f>IFERROR(__xludf.DUMMYFUNCTION("""COMPUTED_VALUE"""),"")</f>
        <v/>
      </c>
      <c r="L903" s="258" t="str">
        <f>IFERROR(__xludf.DUMMYFUNCTION("""COMPUTED_VALUE"""),"")</f>
        <v/>
      </c>
      <c r="M903" s="261">
        <f>IFERROR(__xludf.DUMMYFUNCTION("""COMPUTED_VALUE"""),324.0)</f>
        <v>324</v>
      </c>
      <c r="N903" s="262" t="str">
        <f>IFERROR(__xludf.DUMMYFUNCTION("""COMPUTED_VALUE"""),"")</f>
        <v/>
      </c>
      <c r="O903" s="259" t="str">
        <f>IFERROR(__xludf.DUMMYFUNCTION("""COMPUTED_VALUE"""),"")</f>
        <v/>
      </c>
      <c r="P903" s="259">
        <f>IFERROR(__xludf.DUMMYFUNCTION("""COMPUTED_VALUE"""),42135.0)</f>
        <v>42135</v>
      </c>
      <c r="Q903" s="258">
        <f>IFERROR(__xludf.DUMMYFUNCTION("""COMPUTED_VALUE"""),13679.0)</f>
        <v>13679</v>
      </c>
      <c r="R903" s="261">
        <f>IFERROR(__xludf.DUMMYFUNCTION("""COMPUTED_VALUE"""),269.0)</f>
        <v>269</v>
      </c>
      <c r="S903" s="258">
        <v>270.0</v>
      </c>
      <c r="T903" s="263">
        <v>0.9962962962962963</v>
      </c>
      <c r="U903" s="264">
        <v>13679.0</v>
      </c>
      <c r="V903" s="265">
        <v>22014.0</v>
      </c>
      <c r="W903" s="264">
        <v>13679.0</v>
      </c>
      <c r="X903" s="266"/>
      <c r="Y903" s="267">
        <v>-0.01</v>
      </c>
      <c r="Z903" s="267">
        <v>0.9729466126092448</v>
      </c>
      <c r="AA903" s="269"/>
      <c r="AB903" s="270"/>
      <c r="AC903" s="270"/>
      <c r="AD903" s="270"/>
      <c r="AE903" s="270"/>
    </row>
    <row r="904">
      <c r="A904" s="256">
        <f>IFERROR(__xludf.DUMMYFUNCTION("""COMPUTED_VALUE"""),43016.85902777778)</f>
        <v>43016.85903</v>
      </c>
      <c r="B904" s="257" t="str">
        <f>IFERROR(__xludf.DUMMYFUNCTION("""COMPUTED_VALUE"""),"KmanAuto")</f>
        <v>KmanAuto</v>
      </c>
      <c r="C904" s="258" t="str">
        <f>IFERROR(__xludf.DUMMYFUNCTION("""COMPUTED_VALUE"""),"USA")</f>
        <v>USA</v>
      </c>
      <c r="D904" s="258" t="str">
        <f>IFERROR(__xludf.DUMMYFUNCTION("""COMPUTED_VALUE"""),"mi. My car displays range in miles and I will enter all range numbers in miles.")</f>
        <v>mi. My car displays range in miles and I will enter all range numbers in miles.</v>
      </c>
      <c r="E904" s="259">
        <f>IFERROR(__xludf.DUMMYFUNCTION("""COMPUTED_VALUE"""),42384.0)</f>
        <v>42384</v>
      </c>
      <c r="F904" s="258" t="str">
        <f>IFERROR(__xludf.DUMMYFUNCTION("""COMPUTED_VALUE"""),"Model S 90D")</f>
        <v>Model S 90D</v>
      </c>
      <c r="G904" s="258" t="str">
        <f>IFERROR(__xludf.DUMMYFUNCTION("""COMPUTED_VALUE"""),"Twice a week")</f>
        <v>Twice a week</v>
      </c>
      <c r="H904" s="258" t="str">
        <f>IFERROR(__xludf.DUMMYFUNCTION("""COMPUTED_VALUE"""),"Twice a month")</f>
        <v>Twice a month</v>
      </c>
      <c r="I904" s="258" t="str">
        <f>IFERROR(__xludf.DUMMYFUNCTION("""COMPUTED_VALUE"""),"Monthly")</f>
        <v>Monthly</v>
      </c>
      <c r="J904" s="260">
        <f>IFERROR(__xludf.DUMMYFUNCTION("""COMPUTED_VALUE"""),0.9)</f>
        <v>0.9</v>
      </c>
      <c r="K904" s="258">
        <f>IFERROR(__xludf.DUMMYFUNCTION("""COMPUTED_VALUE"""),294.0)</f>
        <v>294</v>
      </c>
      <c r="L904" s="258" t="str">
        <f>IFERROR(__xludf.DUMMYFUNCTION("""COMPUTED_VALUE"""),"")</f>
        <v/>
      </c>
      <c r="M904" s="261">
        <f>IFERROR(__xludf.DUMMYFUNCTION("""COMPUTED_VALUE"""),367.0)</f>
        <v>367</v>
      </c>
      <c r="N904" s="262" t="str">
        <f>IFERROR(__xludf.DUMMYFUNCTION("""COMPUTED_VALUE"""),"")</f>
        <v/>
      </c>
      <c r="O904" s="259" t="str">
        <f>IFERROR(__xludf.DUMMYFUNCTION("""COMPUTED_VALUE"""),"")</f>
        <v/>
      </c>
      <c r="P904" s="259">
        <f>IFERROR(__xludf.DUMMYFUNCTION("""COMPUTED_VALUE"""),43016.0)</f>
        <v>43016</v>
      </c>
      <c r="Q904" s="258">
        <f>IFERROR(__xludf.DUMMYFUNCTION("""COMPUTED_VALUE"""),46000.0)</f>
        <v>46000</v>
      </c>
      <c r="R904" s="261">
        <f>IFERROR(__xludf.DUMMYFUNCTION("""COMPUTED_VALUE"""),272.0)</f>
        <v>272</v>
      </c>
      <c r="S904" s="258">
        <v>292.0</v>
      </c>
      <c r="T904" s="263">
        <v>0.9315068493150684</v>
      </c>
      <c r="U904" s="264">
        <v>46000.0</v>
      </c>
      <c r="V904" s="265">
        <v>74030.0</v>
      </c>
      <c r="W904" s="264">
        <v>46000.0</v>
      </c>
      <c r="X904" s="266"/>
      <c r="Y904" s="267">
        <v>-0.01</v>
      </c>
      <c r="Z904" s="267">
        <v>0.9528960541828191</v>
      </c>
      <c r="AA904" s="269"/>
      <c r="AB904" s="270"/>
      <c r="AC904" s="270"/>
      <c r="AD904" s="270"/>
      <c r="AE904" s="270"/>
    </row>
    <row r="905">
      <c r="A905" s="256">
        <f>IFERROR(__xludf.DUMMYFUNCTION("""COMPUTED_VALUE"""),42169.90069444444)</f>
        <v>42169.90069</v>
      </c>
      <c r="B905" s="257" t="str">
        <f>IFERROR(__xludf.DUMMYFUNCTION("""COMPUTED_VALUE"""),"Knobby")</f>
        <v>Knobby</v>
      </c>
      <c r="C905" s="258" t="str">
        <f>IFERROR(__xludf.DUMMYFUNCTION("""COMPUTED_VALUE"""),"Canada")</f>
        <v>Canada</v>
      </c>
      <c r="D905" s="258" t="str">
        <f>IFERROR(__xludf.DUMMYFUNCTION("""COMPUTED_VALUE"""),"km. My car displays range in kilometres and I will enter all range numbers in kilometres.")</f>
        <v>km. My car displays range in kilometres and I will enter all range numbers in kilometres.</v>
      </c>
      <c r="E905" s="259">
        <f>IFERROR(__xludf.DUMMYFUNCTION("""COMPUTED_VALUE"""),41754.0)</f>
        <v>41754</v>
      </c>
      <c r="F905" s="258" t="str">
        <f>IFERROR(__xludf.DUMMYFUNCTION("""COMPUTED_VALUE"""),"Model S P85")</f>
        <v>Model S P85</v>
      </c>
      <c r="G905" s="258" t="str">
        <f>IFERROR(__xludf.DUMMYFUNCTION("""COMPUTED_VALUE"""),"A few times a year")</f>
        <v>A few times a year</v>
      </c>
      <c r="H905" s="258" t="str">
        <f>IFERROR(__xludf.DUMMYFUNCTION("""COMPUTED_VALUE"""),"A few times a year")</f>
        <v>A few times a year</v>
      </c>
      <c r="I905" s="258" t="str">
        <f>IFERROR(__xludf.DUMMYFUNCTION("""COMPUTED_VALUE"""),"A few times a year")</f>
        <v>A few times a year</v>
      </c>
      <c r="J905" s="260">
        <f>IFERROR(__xludf.DUMMYFUNCTION("""COMPUTED_VALUE"""),0.7)</f>
        <v>0.7</v>
      </c>
      <c r="K905" s="258">
        <f>IFERROR(__xludf.DUMMYFUNCTION("""COMPUTED_VALUE"""),430.0)</f>
        <v>430</v>
      </c>
      <c r="L905" s="258" t="str">
        <f>IFERROR(__xludf.DUMMYFUNCTION("""COMPUTED_VALUE"""),"")</f>
        <v/>
      </c>
      <c r="M905" s="261">
        <f>IFERROR(__xludf.DUMMYFUNCTION("""COMPUTED_VALUE"""),194.0)</f>
        <v>194</v>
      </c>
      <c r="N905" s="262" t="str">
        <f>IFERROR(__xludf.DUMMYFUNCTION("""COMPUTED_VALUE"""),"")</f>
        <v/>
      </c>
      <c r="O905" s="259" t="str">
        <f>IFERROR(__xludf.DUMMYFUNCTION("""COMPUTED_VALUE"""),"")</f>
        <v/>
      </c>
      <c r="P905" s="259">
        <f>IFERROR(__xludf.DUMMYFUNCTION("""COMPUTED_VALUE"""),42169.0)</f>
        <v>42169</v>
      </c>
      <c r="Q905" s="258">
        <f>IFERROR(__xludf.DUMMYFUNCTION("""COMPUTED_VALUE"""),15425.0)</f>
        <v>15425</v>
      </c>
      <c r="R905" s="261">
        <f>IFERROR(__xludf.DUMMYFUNCTION("""COMPUTED_VALUE"""),408.0)</f>
        <v>408</v>
      </c>
      <c r="S905" s="258">
        <v>428.0</v>
      </c>
      <c r="T905" s="263">
        <v>0.9532710280373832</v>
      </c>
      <c r="U905" s="264">
        <v>9585.0</v>
      </c>
      <c r="V905" s="265">
        <v>15425.0</v>
      </c>
      <c r="W905" s="264">
        <v>9585.0</v>
      </c>
      <c r="X905" s="266"/>
      <c r="Y905" s="267">
        <v>-0.01</v>
      </c>
      <c r="Z905" s="267">
        <v>0.9784175896929201</v>
      </c>
      <c r="AA905" s="269"/>
      <c r="AB905" s="270"/>
      <c r="AC905" s="270"/>
      <c r="AD905" s="270"/>
      <c r="AE905" s="270"/>
    </row>
    <row r="906">
      <c r="A906" s="256">
        <f>IFERROR(__xludf.DUMMYFUNCTION("""COMPUTED_VALUE"""),42367.27291666667)</f>
        <v>42367.27292</v>
      </c>
      <c r="B906" s="257" t="str">
        <f>IFERROR(__xludf.DUMMYFUNCTION("""COMPUTED_VALUE"""),"Koen De Smet")</f>
        <v>Koen De Smet</v>
      </c>
      <c r="C906" s="258" t="str">
        <f>IFERROR(__xludf.DUMMYFUNCTION("""COMPUTED_VALUE"""),"Europe (excluding UK) &amp; Asia Pacific")</f>
        <v>Europe (excluding UK) &amp; Asia Pacific</v>
      </c>
      <c r="D906" s="258" t="str">
        <f>IFERROR(__xludf.DUMMYFUNCTION("""COMPUTED_VALUE"""),"km. My car displays range in kilometres and I will enter all range numbers in kilometres.")</f>
        <v>km. My car displays range in kilometres and I will enter all range numbers in kilometres.</v>
      </c>
      <c r="E906" s="259">
        <f>IFERROR(__xludf.DUMMYFUNCTION("""COMPUTED_VALUE"""),42180.0)</f>
        <v>42180</v>
      </c>
      <c r="F906" s="258" t="str">
        <f>IFERROR(__xludf.DUMMYFUNCTION("""COMPUTED_VALUE"""),"Model S 85")</f>
        <v>Model S 85</v>
      </c>
      <c r="G906" s="258" t="str">
        <f>IFERROR(__xludf.DUMMYFUNCTION("""COMPUTED_VALUE"""),"Twice a month")</f>
        <v>Twice a month</v>
      </c>
      <c r="H906" s="258" t="str">
        <f>IFERROR(__xludf.DUMMYFUNCTION("""COMPUTED_VALUE"""),"A few times a year")</f>
        <v>A few times a year</v>
      </c>
      <c r="I906" s="258" t="str">
        <f>IFERROR(__xludf.DUMMYFUNCTION("""COMPUTED_VALUE"""),"A few times a year")</f>
        <v>A few times a year</v>
      </c>
      <c r="J906" s="260">
        <f>IFERROR(__xludf.DUMMYFUNCTION("""COMPUTED_VALUE"""),0.8)</f>
        <v>0.8</v>
      </c>
      <c r="K906" s="258" t="str">
        <f>IFERROR(__xludf.DUMMYFUNCTION("""COMPUTED_VALUE"""),"")</f>
        <v/>
      </c>
      <c r="L906" s="258" t="str">
        <f>IFERROR(__xludf.DUMMYFUNCTION("""COMPUTED_VALUE"""),"")</f>
        <v/>
      </c>
      <c r="M906" s="261">
        <f>IFERROR(__xludf.DUMMYFUNCTION("""COMPUTED_VALUE"""),228.0)</f>
        <v>228</v>
      </c>
      <c r="N906" s="262" t="str">
        <f>IFERROR(__xludf.DUMMYFUNCTION("""COMPUTED_VALUE"""),"")</f>
        <v/>
      </c>
      <c r="O906" s="259" t="str">
        <f>IFERROR(__xludf.DUMMYFUNCTION("""COMPUTED_VALUE"""),"")</f>
        <v/>
      </c>
      <c r="P906" s="259">
        <f>IFERROR(__xludf.DUMMYFUNCTION("""COMPUTED_VALUE"""),42367.0)</f>
        <v>42367</v>
      </c>
      <c r="Q906" s="258">
        <f>IFERROR(__xludf.DUMMYFUNCTION("""COMPUTED_VALUE"""),19225.0)</f>
        <v>19225</v>
      </c>
      <c r="R906" s="261">
        <f>IFERROR(__xludf.DUMMYFUNCTION("""COMPUTED_VALUE"""),379.0)</f>
        <v>379</v>
      </c>
      <c r="S906" s="258">
        <v>395.0</v>
      </c>
      <c r="T906" s="263">
        <v>0.959493670886076</v>
      </c>
      <c r="U906" s="264">
        <v>11946.0</v>
      </c>
      <c r="V906" s="265">
        <v>19225.0</v>
      </c>
      <c r="W906" s="264">
        <v>11946.0</v>
      </c>
      <c r="X906" s="266"/>
      <c r="Y906" s="267">
        <v>-0.01</v>
      </c>
      <c r="Z906" s="267">
        <v>0.9750799748132688</v>
      </c>
      <c r="AA906" s="269"/>
      <c r="AB906" s="270"/>
      <c r="AC906" s="270"/>
      <c r="AD906" s="270"/>
      <c r="AE906" s="270"/>
    </row>
    <row r="907">
      <c r="A907" s="256">
        <f>IFERROR(__xludf.DUMMYFUNCTION("""COMPUTED_VALUE"""),42405.31388888889)</f>
        <v>42405.31389</v>
      </c>
      <c r="B907" s="257" t="str">
        <f>IFERROR(__xludf.DUMMYFUNCTION("""COMPUTED_VALUE"""),"Koen De Smet")</f>
        <v>Koen De Smet</v>
      </c>
      <c r="C907" s="258" t="str">
        <f>IFERROR(__xludf.DUMMYFUNCTION("""COMPUTED_VALUE"""),"Europe (excluding UK) &amp; Asia Pacific")</f>
        <v>Europe (excluding UK) &amp; Asia Pacific</v>
      </c>
      <c r="D907" s="258" t="str">
        <f>IFERROR(__xludf.DUMMYFUNCTION("""COMPUTED_VALUE"""),"km. My car displays range in kilometres and I will enter all range numbers in kilometres.")</f>
        <v>km. My car displays range in kilometres and I will enter all range numbers in kilometres.</v>
      </c>
      <c r="E907" s="259">
        <f>IFERROR(__xludf.DUMMYFUNCTION("""COMPUTED_VALUE"""),42180.0)</f>
        <v>42180</v>
      </c>
      <c r="F907" s="258" t="str">
        <f>IFERROR(__xludf.DUMMYFUNCTION("""COMPUTED_VALUE"""),"Model S 85")</f>
        <v>Model S 85</v>
      </c>
      <c r="G907" s="258" t="str">
        <f>IFERROR(__xludf.DUMMYFUNCTION("""COMPUTED_VALUE"""),"Twice a month")</f>
        <v>Twice a month</v>
      </c>
      <c r="H907" s="258" t="str">
        <f>IFERROR(__xludf.DUMMYFUNCTION("""COMPUTED_VALUE"""),"A few times a year")</f>
        <v>A few times a year</v>
      </c>
      <c r="I907" s="258" t="str">
        <f>IFERROR(__xludf.DUMMYFUNCTION("""COMPUTED_VALUE"""),"A few times a year")</f>
        <v>A few times a year</v>
      </c>
      <c r="J907" s="260">
        <f>IFERROR(__xludf.DUMMYFUNCTION("""COMPUTED_VALUE"""),0.8)</f>
        <v>0.8</v>
      </c>
      <c r="K907" s="258" t="str">
        <f>IFERROR(__xludf.DUMMYFUNCTION("""COMPUTED_VALUE"""),"")</f>
        <v/>
      </c>
      <c r="L907" s="258" t="str">
        <f>IFERROR(__xludf.DUMMYFUNCTION("""COMPUTED_VALUE"""),"")</f>
        <v/>
      </c>
      <c r="M907" s="261">
        <f>IFERROR(__xludf.DUMMYFUNCTION("""COMPUTED_VALUE"""),228.0)</f>
        <v>228</v>
      </c>
      <c r="N907" s="262" t="str">
        <f>IFERROR(__xludf.DUMMYFUNCTION("""COMPUTED_VALUE"""),"")</f>
        <v/>
      </c>
      <c r="O907" s="259" t="str">
        <f>IFERROR(__xludf.DUMMYFUNCTION("""COMPUTED_VALUE"""),"")</f>
        <v/>
      </c>
      <c r="P907" s="259">
        <f>IFERROR(__xludf.DUMMYFUNCTION("""COMPUTED_VALUE"""),42405.0)</f>
        <v>42405</v>
      </c>
      <c r="Q907" s="258">
        <f>IFERROR(__xludf.DUMMYFUNCTION("""COMPUTED_VALUE"""),24639.0)</f>
        <v>24639</v>
      </c>
      <c r="R907" s="261">
        <f>IFERROR(__xludf.DUMMYFUNCTION("""COMPUTED_VALUE"""),382.0)</f>
        <v>382</v>
      </c>
      <c r="S907" s="258">
        <v>395.0</v>
      </c>
      <c r="T907" s="263">
        <v>0.9670886075949368</v>
      </c>
      <c r="U907" s="264">
        <v>15310.0</v>
      </c>
      <c r="V907" s="265">
        <v>24639.0</v>
      </c>
      <c r="W907" s="264">
        <v>15310.0</v>
      </c>
      <c r="X907" s="266"/>
      <c r="Y907" s="267">
        <v>-0.01</v>
      </c>
      <c r="Z907" s="267">
        <v>0.9711430796995401</v>
      </c>
      <c r="AA907" s="269"/>
      <c r="AB907" s="270"/>
      <c r="AC907" s="270"/>
      <c r="AD907" s="270"/>
      <c r="AE907" s="270"/>
    </row>
    <row r="908">
      <c r="A908" s="256">
        <f>IFERROR(__xludf.DUMMYFUNCTION("""COMPUTED_VALUE"""),42698.46388888889)</f>
        <v>42698.46389</v>
      </c>
      <c r="B908" s="257" t="str">
        <f>IFERROR(__xludf.DUMMYFUNCTION("""COMPUTED_VALUE"""),"Koen De Smet")</f>
        <v>Koen De Smet</v>
      </c>
      <c r="C908" s="258" t="str">
        <f>IFERROR(__xludf.DUMMYFUNCTION("""COMPUTED_VALUE"""),"Europe (excluding UK) &amp; Asia Pacific")</f>
        <v>Europe (excluding UK) &amp; Asia Pacific</v>
      </c>
      <c r="D908" s="258" t="str">
        <f>IFERROR(__xludf.DUMMYFUNCTION("""COMPUTED_VALUE"""),"km. My car displays range in kilometres and I will enter all range numbers in kilometres.")</f>
        <v>km. My car displays range in kilometres and I will enter all range numbers in kilometres.</v>
      </c>
      <c r="E908" s="259">
        <f>IFERROR(__xludf.DUMMYFUNCTION("""COMPUTED_VALUE"""),42180.0)</f>
        <v>42180</v>
      </c>
      <c r="F908" s="258" t="str">
        <f>IFERROR(__xludf.DUMMYFUNCTION("""COMPUTED_VALUE"""),"Model S 85")</f>
        <v>Model S 85</v>
      </c>
      <c r="G908" s="258" t="str">
        <f>IFERROR(__xludf.DUMMYFUNCTION("""COMPUTED_VALUE"""),"Weekly")</f>
        <v>Weekly</v>
      </c>
      <c r="H908" s="258" t="str">
        <f>IFERROR(__xludf.DUMMYFUNCTION("""COMPUTED_VALUE"""),"A few times a year")</f>
        <v>A few times a year</v>
      </c>
      <c r="I908" s="258" t="str">
        <f>IFERROR(__xludf.DUMMYFUNCTION("""COMPUTED_VALUE"""),"A few times a year")</f>
        <v>A few times a year</v>
      </c>
      <c r="J908" s="260">
        <f>IFERROR(__xludf.DUMMYFUNCTION("""COMPUTED_VALUE"""),0.9)</f>
        <v>0.9</v>
      </c>
      <c r="K908" s="258" t="str">
        <f>IFERROR(__xludf.DUMMYFUNCTION("""COMPUTED_VALUE"""),"")</f>
        <v/>
      </c>
      <c r="L908" s="258" t="str">
        <f>IFERROR(__xludf.DUMMYFUNCTION("""COMPUTED_VALUE"""),"")</f>
        <v/>
      </c>
      <c r="M908" s="261">
        <f>IFERROR(__xludf.DUMMYFUNCTION("""COMPUTED_VALUE"""),226.0)</f>
        <v>226</v>
      </c>
      <c r="N908" s="262" t="str">
        <f>IFERROR(__xludf.DUMMYFUNCTION("""COMPUTED_VALUE"""),"")</f>
        <v/>
      </c>
      <c r="O908" s="259" t="str">
        <f>IFERROR(__xludf.DUMMYFUNCTION("""COMPUTED_VALUE"""),"")</f>
        <v/>
      </c>
      <c r="P908" s="259">
        <f>IFERROR(__xludf.DUMMYFUNCTION("""COMPUTED_VALUE"""),42698.0)</f>
        <v>42698</v>
      </c>
      <c r="Q908" s="258">
        <f>IFERROR(__xludf.DUMMYFUNCTION("""COMPUTED_VALUE"""),58163.0)</f>
        <v>58163</v>
      </c>
      <c r="R908" s="261">
        <f>IFERROR(__xludf.DUMMYFUNCTION("""COMPUTED_VALUE"""),378.0)</f>
        <v>378</v>
      </c>
      <c r="S908" s="258">
        <v>395.0</v>
      </c>
      <c r="T908" s="263">
        <v>0.9569620253164557</v>
      </c>
      <c r="U908" s="264">
        <v>36141.0</v>
      </c>
      <c r="V908" s="265">
        <v>58163.0</v>
      </c>
      <c r="W908" s="264">
        <v>36141.0</v>
      </c>
      <c r="X908" s="266"/>
      <c r="Y908" s="267">
        <v>-0.01</v>
      </c>
      <c r="Z908" s="267">
        <v>0.957179170095865</v>
      </c>
      <c r="AA908" s="269"/>
      <c r="AB908" s="270"/>
      <c r="AC908" s="270"/>
      <c r="AD908" s="270"/>
      <c r="AE908" s="270"/>
    </row>
    <row r="909">
      <c r="A909" s="256">
        <f>IFERROR(__xludf.DUMMYFUNCTION("""COMPUTED_VALUE"""),42776.55416666667)</f>
        <v>42776.55417</v>
      </c>
      <c r="B909" s="257" t="str">
        <f>IFERROR(__xludf.DUMMYFUNCTION("""COMPUTED_VALUE"""),"Koen De Smet")</f>
        <v>Koen De Smet</v>
      </c>
      <c r="C909" s="258" t="str">
        <f>IFERROR(__xludf.DUMMYFUNCTION("""COMPUTED_VALUE"""),"Europe (excluding UK) &amp; Asia Pacific")</f>
        <v>Europe (excluding UK) &amp; Asia Pacific</v>
      </c>
      <c r="D909" s="258" t="str">
        <f>IFERROR(__xludf.DUMMYFUNCTION("""COMPUTED_VALUE"""),"km. My car displays range in kilometres and I will enter all range numbers in kilometres.")</f>
        <v>km. My car displays range in kilometres and I will enter all range numbers in kilometres.</v>
      </c>
      <c r="E909" s="259">
        <f>IFERROR(__xludf.DUMMYFUNCTION("""COMPUTED_VALUE"""),42180.0)</f>
        <v>42180</v>
      </c>
      <c r="F909" s="258" t="str">
        <f>IFERROR(__xludf.DUMMYFUNCTION("""COMPUTED_VALUE"""),"Model S 85")</f>
        <v>Model S 85</v>
      </c>
      <c r="G909" s="258" t="str">
        <f>IFERROR(__xludf.DUMMYFUNCTION("""COMPUTED_VALUE"""),"A few times a year")</f>
        <v>A few times a year</v>
      </c>
      <c r="H909" s="258" t="str">
        <f>IFERROR(__xludf.DUMMYFUNCTION("""COMPUTED_VALUE"""),"A few times a year")</f>
        <v>A few times a year</v>
      </c>
      <c r="I909" s="258" t="str">
        <f>IFERROR(__xludf.DUMMYFUNCTION("""COMPUTED_VALUE"""),"A few times a year")</f>
        <v>A few times a year</v>
      </c>
      <c r="J909" s="260">
        <f>IFERROR(__xludf.DUMMYFUNCTION("""COMPUTED_VALUE"""),0.9)</f>
        <v>0.9</v>
      </c>
      <c r="K909" s="258" t="str">
        <f>IFERROR(__xludf.DUMMYFUNCTION("""COMPUTED_VALUE"""),"")</f>
        <v/>
      </c>
      <c r="L909" s="258" t="str">
        <f>IFERROR(__xludf.DUMMYFUNCTION("""COMPUTED_VALUE"""),"")</f>
        <v/>
      </c>
      <c r="M909" s="261">
        <f>IFERROR(__xludf.DUMMYFUNCTION("""COMPUTED_VALUE"""),222.0)</f>
        <v>222</v>
      </c>
      <c r="N909" s="262" t="str">
        <f>IFERROR(__xludf.DUMMYFUNCTION("""COMPUTED_VALUE"""),"")</f>
        <v/>
      </c>
      <c r="O909" s="259" t="str">
        <f>IFERROR(__xludf.DUMMYFUNCTION("""COMPUTED_VALUE"""),"")</f>
        <v/>
      </c>
      <c r="P909" s="259">
        <f>IFERROR(__xludf.DUMMYFUNCTION("""COMPUTED_VALUE"""),42776.0)</f>
        <v>42776</v>
      </c>
      <c r="Q909" s="258">
        <f>IFERROR(__xludf.DUMMYFUNCTION("""COMPUTED_VALUE"""),66387.0)</f>
        <v>66387</v>
      </c>
      <c r="R909" s="261">
        <f>IFERROR(__xludf.DUMMYFUNCTION("""COMPUTED_VALUE"""),382.0)</f>
        <v>382</v>
      </c>
      <c r="S909" s="258">
        <v>395.0</v>
      </c>
      <c r="T909" s="263">
        <v>0.9670886075949368</v>
      </c>
      <c r="U909" s="264">
        <v>41251.0</v>
      </c>
      <c r="V909" s="265">
        <v>66387.0</v>
      </c>
      <c r="W909" s="264">
        <v>41251.0</v>
      </c>
      <c r="X909" s="266"/>
      <c r="Y909" s="267">
        <v>-0.01</v>
      </c>
      <c r="Z909" s="267">
        <v>0.9548890400358973</v>
      </c>
      <c r="AA909" s="269"/>
      <c r="AB909" s="270"/>
      <c r="AC909" s="270"/>
      <c r="AD909" s="270"/>
      <c r="AE909" s="270"/>
    </row>
    <row r="910">
      <c r="A910" s="256">
        <f>IFERROR(__xludf.DUMMYFUNCTION("""COMPUTED_VALUE"""),42826.554861111115)</f>
        <v>42826.55486</v>
      </c>
      <c r="B910" s="257" t="str">
        <f>IFERROR(__xludf.DUMMYFUNCTION("""COMPUTED_VALUE"""),"Koen De Smet")</f>
        <v>Koen De Smet</v>
      </c>
      <c r="C910" s="258" t="str">
        <f>IFERROR(__xludf.DUMMYFUNCTION("""COMPUTED_VALUE"""),"Europe (excluding UK) &amp; Asia Pacific")</f>
        <v>Europe (excluding UK) &amp; Asia Pacific</v>
      </c>
      <c r="D910" s="258" t="str">
        <f>IFERROR(__xludf.DUMMYFUNCTION("""COMPUTED_VALUE"""),"km. My car displays range in kilometres and I will enter all range numbers in kilometres.")</f>
        <v>km. My car displays range in kilometres and I will enter all range numbers in kilometres.</v>
      </c>
      <c r="E910" s="259">
        <f>IFERROR(__xludf.DUMMYFUNCTION("""COMPUTED_VALUE"""),42180.0)</f>
        <v>42180</v>
      </c>
      <c r="F910" s="258" t="str">
        <f>IFERROR(__xludf.DUMMYFUNCTION("""COMPUTED_VALUE"""),"Model S 85")</f>
        <v>Model S 85</v>
      </c>
      <c r="G910" s="258" t="str">
        <f>IFERROR(__xludf.DUMMYFUNCTION("""COMPUTED_VALUE"""),"A few times a year")</f>
        <v>A few times a year</v>
      </c>
      <c r="H910" s="258" t="str">
        <f>IFERROR(__xludf.DUMMYFUNCTION("""COMPUTED_VALUE"""),"A few times a year")</f>
        <v>A few times a year</v>
      </c>
      <c r="I910" s="258" t="str">
        <f>IFERROR(__xludf.DUMMYFUNCTION("""COMPUTED_VALUE"""),"A few times a year")</f>
        <v>A few times a year</v>
      </c>
      <c r="J910" s="260" t="str">
        <f>IFERROR(__xludf.DUMMYFUNCTION("""COMPUTED_VALUE"""),"")</f>
        <v/>
      </c>
      <c r="K910" s="258" t="str">
        <f>IFERROR(__xludf.DUMMYFUNCTION("""COMPUTED_VALUE"""),"")</f>
        <v/>
      </c>
      <c r="L910" s="258" t="str">
        <f>IFERROR(__xludf.DUMMYFUNCTION("""COMPUTED_VALUE"""),"")</f>
        <v/>
      </c>
      <c r="M910" s="261">
        <f>IFERROR(__xludf.DUMMYFUNCTION("""COMPUTED_VALUE"""),222.0)</f>
        <v>222</v>
      </c>
      <c r="N910" s="262" t="str">
        <f>IFERROR(__xludf.DUMMYFUNCTION("""COMPUTED_VALUE"""),"")</f>
        <v/>
      </c>
      <c r="O910" s="259" t="str">
        <f>IFERROR(__xludf.DUMMYFUNCTION("""COMPUTED_VALUE"""),"")</f>
        <v/>
      </c>
      <c r="P910" s="259">
        <f>IFERROR(__xludf.DUMMYFUNCTION("""COMPUTED_VALUE"""),42826.0)</f>
        <v>42826</v>
      </c>
      <c r="Q910" s="258">
        <f>IFERROR(__xludf.DUMMYFUNCTION("""COMPUTED_VALUE"""),72626.0)</f>
        <v>72626</v>
      </c>
      <c r="R910" s="261">
        <f>IFERROR(__xludf.DUMMYFUNCTION("""COMPUTED_VALUE"""),382.0)</f>
        <v>382</v>
      </c>
      <c r="S910" s="258">
        <v>395.0</v>
      </c>
      <c r="T910" s="263">
        <v>0.9670886075949368</v>
      </c>
      <c r="U910" s="264">
        <v>45128.0</v>
      </c>
      <c r="V910" s="265">
        <v>72626.0</v>
      </c>
      <c r="W910" s="264">
        <v>45128.0</v>
      </c>
      <c r="X910" s="266"/>
      <c r="Y910" s="267">
        <v>-0.01</v>
      </c>
      <c r="Z910" s="267">
        <v>0.9532548692560322</v>
      </c>
      <c r="AA910" s="269"/>
      <c r="AB910" s="270"/>
      <c r="AC910" s="270"/>
      <c r="AD910" s="270"/>
      <c r="AE910" s="270"/>
    </row>
    <row r="911">
      <c r="A911" s="256">
        <f>IFERROR(__xludf.DUMMYFUNCTION("""COMPUTED_VALUE"""),42636.40486111111)</f>
        <v>42636.40486</v>
      </c>
      <c r="B911" s="257" t="str">
        <f>IFERROR(__xludf.DUMMYFUNCTION("""COMPUTED_VALUE"""),"korgmatose")</f>
        <v>korgmatose</v>
      </c>
      <c r="C911" s="258" t="str">
        <f>IFERROR(__xludf.DUMMYFUNCTION("""COMPUTED_VALUE"""),"Europe (excluding UK) &amp; Asia Pacific")</f>
        <v>Europe (excluding UK) &amp; Asia Pacific</v>
      </c>
      <c r="D911" s="258" t="str">
        <f>IFERROR(__xludf.DUMMYFUNCTION("""COMPUTED_VALUE"""),"km. My car displays range in kilometres and I will enter all range numbers in kilometres.")</f>
        <v>km. My car displays range in kilometres and I will enter all range numbers in kilometres.</v>
      </c>
      <c r="E911" s="259">
        <f>IFERROR(__xludf.DUMMYFUNCTION("""COMPUTED_VALUE"""),41942.0)</f>
        <v>41942</v>
      </c>
      <c r="F911" s="258" t="str">
        <f>IFERROR(__xludf.DUMMYFUNCTION("""COMPUTED_VALUE"""),"Model S 85")</f>
        <v>Model S 85</v>
      </c>
      <c r="G911" s="258" t="str">
        <f>IFERROR(__xludf.DUMMYFUNCTION("""COMPUTED_VALUE"""),"Twice a week")</f>
        <v>Twice a week</v>
      </c>
      <c r="H911" s="258" t="str">
        <f>IFERROR(__xludf.DUMMYFUNCTION("""COMPUTED_VALUE"""),"A few times a year")</f>
        <v>A few times a year</v>
      </c>
      <c r="I911" s="258" t="str">
        <f>IFERROR(__xludf.DUMMYFUNCTION("""COMPUTED_VALUE"""),"")</f>
        <v/>
      </c>
      <c r="J911" s="260">
        <f>IFERROR(__xludf.DUMMYFUNCTION("""COMPUTED_VALUE"""),0.9)</f>
        <v>0.9</v>
      </c>
      <c r="K911" s="258" t="str">
        <f>IFERROR(__xludf.DUMMYFUNCTION("""COMPUTED_VALUE"""),"")</f>
        <v/>
      </c>
      <c r="L911" s="258" t="str">
        <f>IFERROR(__xludf.DUMMYFUNCTION("""COMPUTED_VALUE"""),"")</f>
        <v/>
      </c>
      <c r="M911" s="261">
        <f>IFERROR(__xludf.DUMMYFUNCTION("""COMPUTED_VALUE"""),220.0)</f>
        <v>220</v>
      </c>
      <c r="N911" s="262" t="str">
        <f>IFERROR(__xludf.DUMMYFUNCTION("""COMPUTED_VALUE"""),"")</f>
        <v/>
      </c>
      <c r="O911" s="259" t="str">
        <f>IFERROR(__xludf.DUMMYFUNCTION("""COMPUTED_VALUE"""),"")</f>
        <v/>
      </c>
      <c r="P911" s="259">
        <f>IFERROR(__xludf.DUMMYFUNCTION("""COMPUTED_VALUE"""),42636.0)</f>
        <v>42636</v>
      </c>
      <c r="Q911" s="258">
        <f>IFERROR(__xludf.DUMMYFUNCTION("""COMPUTED_VALUE"""),68439.0)</f>
        <v>68439</v>
      </c>
      <c r="R911" s="261">
        <f>IFERROR(__xludf.DUMMYFUNCTION("""COMPUTED_VALUE"""),384.0)</f>
        <v>384</v>
      </c>
      <c r="S911" s="258">
        <v>395.0</v>
      </c>
      <c r="T911" s="263">
        <v>0.9721518987341772</v>
      </c>
      <c r="U911" s="264">
        <v>42526.0</v>
      </c>
      <c r="V911" s="265">
        <v>68439.0</v>
      </c>
      <c r="W911" s="264">
        <v>42526.0</v>
      </c>
      <c r="X911" s="266"/>
      <c r="Y911" s="267">
        <v>-0.01</v>
      </c>
      <c r="Z911" s="267">
        <v>0.9543436081297625</v>
      </c>
      <c r="AA911" s="269"/>
      <c r="AB911" s="270"/>
      <c r="AC911" s="270"/>
      <c r="AD911" s="270"/>
      <c r="AE911" s="270"/>
    </row>
    <row r="912">
      <c r="A912" s="256">
        <f>IFERROR(__xludf.DUMMYFUNCTION("""COMPUTED_VALUE"""),42666.415972222225)</f>
        <v>42666.41597</v>
      </c>
      <c r="B912" s="257" t="str">
        <f>IFERROR(__xludf.DUMMYFUNCTION("""COMPUTED_VALUE"""),"korgmatose")</f>
        <v>korgmatose</v>
      </c>
      <c r="C912" s="258" t="str">
        <f>IFERROR(__xludf.DUMMYFUNCTION("""COMPUTED_VALUE"""),"Europe (excluding UK) &amp; Asia Pacific")</f>
        <v>Europe (excluding UK) &amp; Asia Pacific</v>
      </c>
      <c r="D912" s="258" t="str">
        <f>IFERROR(__xludf.DUMMYFUNCTION("""COMPUTED_VALUE"""),"km. My car displays range in kilometres and I will enter all range numbers in kilometres.")</f>
        <v>km. My car displays range in kilometres and I will enter all range numbers in kilometres.</v>
      </c>
      <c r="E912" s="259">
        <f>IFERROR(__xludf.DUMMYFUNCTION("""COMPUTED_VALUE"""),41942.0)</f>
        <v>41942</v>
      </c>
      <c r="F912" s="258" t="str">
        <f>IFERROR(__xludf.DUMMYFUNCTION("""COMPUTED_VALUE"""),"Model S 85")</f>
        <v>Model S 85</v>
      </c>
      <c r="G912" s="258" t="str">
        <f>IFERROR(__xludf.DUMMYFUNCTION("""COMPUTED_VALUE"""),"")</f>
        <v/>
      </c>
      <c r="H912" s="258" t="str">
        <f>IFERROR(__xludf.DUMMYFUNCTION("""COMPUTED_VALUE"""),"")</f>
        <v/>
      </c>
      <c r="I912" s="258" t="str">
        <f>IFERROR(__xludf.DUMMYFUNCTION("""COMPUTED_VALUE"""),"")</f>
        <v/>
      </c>
      <c r="J912" s="260" t="str">
        <f>IFERROR(__xludf.DUMMYFUNCTION("""COMPUTED_VALUE"""),"")</f>
        <v/>
      </c>
      <c r="K912" s="258" t="str">
        <f>IFERROR(__xludf.DUMMYFUNCTION("""COMPUTED_VALUE"""),"")</f>
        <v/>
      </c>
      <c r="L912" s="258" t="str">
        <f>IFERROR(__xludf.DUMMYFUNCTION("""COMPUTED_VALUE"""),"")</f>
        <v/>
      </c>
      <c r="M912" s="261">
        <f>IFERROR(__xludf.DUMMYFUNCTION("""COMPUTED_VALUE"""),220.0)</f>
        <v>220</v>
      </c>
      <c r="N912" s="262" t="str">
        <f>IFERROR(__xludf.DUMMYFUNCTION("""COMPUTED_VALUE"""),"")</f>
        <v/>
      </c>
      <c r="O912" s="259" t="str">
        <f>IFERROR(__xludf.DUMMYFUNCTION("""COMPUTED_VALUE"""),"")</f>
        <v/>
      </c>
      <c r="P912" s="259">
        <f>IFERROR(__xludf.DUMMYFUNCTION("""COMPUTED_VALUE"""),42666.0)</f>
        <v>42666</v>
      </c>
      <c r="Q912" s="258">
        <f>IFERROR(__xludf.DUMMYFUNCTION("""COMPUTED_VALUE"""),73402.0)</f>
        <v>73402</v>
      </c>
      <c r="R912" s="261">
        <f>IFERROR(__xludf.DUMMYFUNCTION("""COMPUTED_VALUE"""),383.0)</f>
        <v>383</v>
      </c>
      <c r="S912" s="258">
        <v>395.0</v>
      </c>
      <c r="T912" s="263">
        <v>0.9696202531645569</v>
      </c>
      <c r="U912" s="264">
        <v>45610.0</v>
      </c>
      <c r="V912" s="265">
        <v>73402.0</v>
      </c>
      <c r="W912" s="264">
        <v>45610.0</v>
      </c>
      <c r="X912" s="266"/>
      <c r="Y912" s="267">
        <v>-0.01</v>
      </c>
      <c r="Z912" s="267">
        <v>0.9530561973492178</v>
      </c>
      <c r="AA912" s="269"/>
      <c r="AB912" s="270"/>
      <c r="AC912" s="270"/>
      <c r="AD912" s="270"/>
      <c r="AE912" s="270"/>
    </row>
    <row r="913">
      <c r="A913" s="256">
        <f>IFERROR(__xludf.DUMMYFUNCTION("""COMPUTED_VALUE"""),42688.45694444445)</f>
        <v>42688.45694</v>
      </c>
      <c r="B913" s="257" t="str">
        <f>IFERROR(__xludf.DUMMYFUNCTION("""COMPUTED_VALUE"""),"korgmatose")</f>
        <v>korgmatose</v>
      </c>
      <c r="C913" s="258" t="str">
        <f>IFERROR(__xludf.DUMMYFUNCTION("""COMPUTED_VALUE"""),"Europe (excluding UK) &amp; Asia Pacific")</f>
        <v>Europe (excluding UK) &amp; Asia Pacific</v>
      </c>
      <c r="D913" s="258" t="str">
        <f>IFERROR(__xludf.DUMMYFUNCTION("""COMPUTED_VALUE"""),"km. My car displays range in kilometres and I will enter all range numbers in kilometres.")</f>
        <v>km. My car displays range in kilometres and I will enter all range numbers in kilometres.</v>
      </c>
      <c r="E913" s="259">
        <f>IFERROR(__xludf.DUMMYFUNCTION("""COMPUTED_VALUE"""),41942.0)</f>
        <v>41942</v>
      </c>
      <c r="F913" s="258" t="str">
        <f>IFERROR(__xludf.DUMMYFUNCTION("""COMPUTED_VALUE"""),"Model S 85")</f>
        <v>Model S 85</v>
      </c>
      <c r="G913" s="258" t="str">
        <f>IFERROR(__xludf.DUMMYFUNCTION("""COMPUTED_VALUE"""),"Twice a week")</f>
        <v>Twice a week</v>
      </c>
      <c r="H913" s="258" t="str">
        <f>IFERROR(__xludf.DUMMYFUNCTION("""COMPUTED_VALUE"""),"Once or twice a year")</f>
        <v>Once or twice a year</v>
      </c>
      <c r="I913" s="258" t="str">
        <f>IFERROR(__xludf.DUMMYFUNCTION("""COMPUTED_VALUE"""),"Never")</f>
        <v>Never</v>
      </c>
      <c r="J913" s="260">
        <f>IFERROR(__xludf.DUMMYFUNCTION("""COMPUTED_VALUE"""),0.9)</f>
        <v>0.9</v>
      </c>
      <c r="K913" s="258" t="str">
        <f>IFERROR(__xludf.DUMMYFUNCTION("""COMPUTED_VALUE"""),"")</f>
        <v/>
      </c>
      <c r="L913" s="258" t="str">
        <f>IFERROR(__xludf.DUMMYFUNCTION("""COMPUTED_VALUE"""),"")</f>
        <v/>
      </c>
      <c r="M913" s="261">
        <f>IFERROR(__xludf.DUMMYFUNCTION("""COMPUTED_VALUE"""),193.0)</f>
        <v>193</v>
      </c>
      <c r="N913" s="262" t="str">
        <f>IFERROR(__xludf.DUMMYFUNCTION("""COMPUTED_VALUE"""),"")</f>
        <v/>
      </c>
      <c r="O913" s="259" t="str">
        <f>IFERROR(__xludf.DUMMYFUNCTION("""COMPUTED_VALUE"""),"")</f>
        <v/>
      </c>
      <c r="P913" s="259">
        <f>IFERROR(__xludf.DUMMYFUNCTION("""COMPUTED_VALUE"""),42688.0)</f>
        <v>42688</v>
      </c>
      <c r="Q913" s="258">
        <f>IFERROR(__xludf.DUMMYFUNCTION("""COMPUTED_VALUE"""),77430.0)</f>
        <v>77430</v>
      </c>
      <c r="R913" s="261">
        <f>IFERROR(__xludf.DUMMYFUNCTION("""COMPUTED_VALUE"""),377.0)</f>
        <v>377</v>
      </c>
      <c r="S913" s="258">
        <v>395.0</v>
      </c>
      <c r="T913" s="263">
        <v>0.9544303797468354</v>
      </c>
      <c r="U913" s="264">
        <v>48113.0</v>
      </c>
      <c r="V913" s="265">
        <v>77430.0</v>
      </c>
      <c r="W913" s="264">
        <v>48113.0</v>
      </c>
      <c r="X913" s="266"/>
      <c r="Y913" s="267">
        <v>-0.01</v>
      </c>
      <c r="Z913" s="267">
        <v>0.9520380722507298</v>
      </c>
      <c r="AA913" s="269"/>
      <c r="AB913" s="270"/>
      <c r="AC913" s="270"/>
      <c r="AD913" s="270"/>
      <c r="AE913" s="270"/>
    </row>
    <row r="914">
      <c r="A914" s="256">
        <f>IFERROR(__xludf.DUMMYFUNCTION("""COMPUTED_VALUE"""),42698.461805555555)</f>
        <v>42698.46181</v>
      </c>
      <c r="B914" s="257" t="str">
        <f>IFERROR(__xludf.DUMMYFUNCTION("""COMPUTED_VALUE"""),"korgmatose")</f>
        <v>korgmatose</v>
      </c>
      <c r="C914" s="258" t="str">
        <f>IFERROR(__xludf.DUMMYFUNCTION("""COMPUTED_VALUE"""),"Europe (excluding UK) &amp; Asia Pacific")</f>
        <v>Europe (excluding UK) &amp; Asia Pacific</v>
      </c>
      <c r="D914" s="258" t="str">
        <f>IFERROR(__xludf.DUMMYFUNCTION("""COMPUTED_VALUE"""),"km. My car displays range in kilometres and I will enter all range numbers in kilometres.")</f>
        <v>km. My car displays range in kilometres and I will enter all range numbers in kilometres.</v>
      </c>
      <c r="E914" s="259">
        <f>IFERROR(__xludf.DUMMYFUNCTION("""COMPUTED_VALUE"""),41942.0)</f>
        <v>41942</v>
      </c>
      <c r="F914" s="258" t="str">
        <f>IFERROR(__xludf.DUMMYFUNCTION("""COMPUTED_VALUE"""),"Model S 85")</f>
        <v>Model S 85</v>
      </c>
      <c r="G914" s="258" t="str">
        <f>IFERROR(__xludf.DUMMYFUNCTION("""COMPUTED_VALUE"""),"Twice a week")</f>
        <v>Twice a week</v>
      </c>
      <c r="H914" s="258" t="str">
        <f>IFERROR(__xludf.DUMMYFUNCTION("""COMPUTED_VALUE"""),"A few times a year")</f>
        <v>A few times a year</v>
      </c>
      <c r="I914" s="258" t="str">
        <f>IFERROR(__xludf.DUMMYFUNCTION("""COMPUTED_VALUE"""),"Never")</f>
        <v>Never</v>
      </c>
      <c r="J914" s="260">
        <f>IFERROR(__xludf.DUMMYFUNCTION("""COMPUTED_VALUE"""),0.9)</f>
        <v>0.9</v>
      </c>
      <c r="K914" s="258" t="str">
        <f>IFERROR(__xludf.DUMMYFUNCTION("""COMPUTED_VALUE"""),"")</f>
        <v/>
      </c>
      <c r="L914" s="258" t="str">
        <f>IFERROR(__xludf.DUMMYFUNCTION("""COMPUTED_VALUE"""),"")</f>
        <v/>
      </c>
      <c r="M914" s="261">
        <f>IFERROR(__xludf.DUMMYFUNCTION("""COMPUTED_VALUE"""),194.0)</f>
        <v>194</v>
      </c>
      <c r="N914" s="262" t="str">
        <f>IFERROR(__xludf.DUMMYFUNCTION("""COMPUTED_VALUE"""),"")</f>
        <v/>
      </c>
      <c r="O914" s="259" t="str">
        <f>IFERROR(__xludf.DUMMYFUNCTION("""COMPUTED_VALUE"""),"")</f>
        <v/>
      </c>
      <c r="P914" s="259">
        <f>IFERROR(__xludf.DUMMYFUNCTION("""COMPUTED_VALUE"""),42698.0)</f>
        <v>42698</v>
      </c>
      <c r="Q914" s="258">
        <f>IFERROR(__xludf.DUMMYFUNCTION("""COMPUTED_VALUE"""),78334.0)</f>
        <v>78334</v>
      </c>
      <c r="R914" s="261">
        <f>IFERROR(__xludf.DUMMYFUNCTION("""COMPUTED_VALUE"""),376.0)</f>
        <v>376</v>
      </c>
      <c r="S914" s="258">
        <v>395.0</v>
      </c>
      <c r="T914" s="263">
        <v>0.9518987341772152</v>
      </c>
      <c r="U914" s="264">
        <v>48674.0</v>
      </c>
      <c r="V914" s="265">
        <v>78334.0</v>
      </c>
      <c r="W914" s="264">
        <v>48674.0</v>
      </c>
      <c r="X914" s="266"/>
      <c r="Y914" s="267">
        <v>-0.01</v>
      </c>
      <c r="Z914" s="267">
        <v>0.9518122832709444</v>
      </c>
      <c r="AA914" s="269"/>
      <c r="AB914" s="270"/>
      <c r="AC914" s="270"/>
      <c r="AD914" s="270"/>
      <c r="AE914" s="270"/>
    </row>
    <row r="915">
      <c r="A915" s="256">
        <f>IFERROR(__xludf.DUMMYFUNCTION("""COMPUTED_VALUE"""),42701.4625)</f>
        <v>42701.4625</v>
      </c>
      <c r="B915" s="257" t="str">
        <f>IFERROR(__xludf.DUMMYFUNCTION("""COMPUTED_VALUE"""),"korgmatose")</f>
        <v>korgmatose</v>
      </c>
      <c r="C915" s="258" t="str">
        <f>IFERROR(__xludf.DUMMYFUNCTION("""COMPUTED_VALUE"""),"Europe (excluding UK) &amp; Asia Pacific")</f>
        <v>Europe (excluding UK) &amp; Asia Pacific</v>
      </c>
      <c r="D915" s="258" t="str">
        <f>IFERROR(__xludf.DUMMYFUNCTION("""COMPUTED_VALUE"""),"km. My car displays range in kilometres and I will enter all range numbers in kilometres.")</f>
        <v>km. My car displays range in kilometres and I will enter all range numbers in kilometres.</v>
      </c>
      <c r="E915" s="259">
        <f>IFERROR(__xludf.DUMMYFUNCTION("""COMPUTED_VALUE"""),41942.0)</f>
        <v>41942</v>
      </c>
      <c r="F915" s="258" t="str">
        <f>IFERROR(__xludf.DUMMYFUNCTION("""COMPUTED_VALUE"""),"Model S 85")</f>
        <v>Model S 85</v>
      </c>
      <c r="G915" s="258" t="str">
        <f>IFERROR(__xludf.DUMMYFUNCTION("""COMPUTED_VALUE"""),"")</f>
        <v/>
      </c>
      <c r="H915" s="258" t="str">
        <f>IFERROR(__xludf.DUMMYFUNCTION("""COMPUTED_VALUE"""),"")</f>
        <v/>
      </c>
      <c r="I915" s="258" t="str">
        <f>IFERROR(__xludf.DUMMYFUNCTION("""COMPUTED_VALUE"""),"")</f>
        <v/>
      </c>
      <c r="J915" s="260" t="str">
        <f>IFERROR(__xludf.DUMMYFUNCTION("""COMPUTED_VALUE"""),"")</f>
        <v/>
      </c>
      <c r="K915" s="258" t="str">
        <f>IFERROR(__xludf.DUMMYFUNCTION("""COMPUTED_VALUE"""),"")</f>
        <v/>
      </c>
      <c r="L915" s="258" t="str">
        <f>IFERROR(__xludf.DUMMYFUNCTION("""COMPUTED_VALUE"""),"")</f>
        <v/>
      </c>
      <c r="M915" s="261">
        <f>IFERROR(__xludf.DUMMYFUNCTION("""COMPUTED_VALUE"""),194.0)</f>
        <v>194</v>
      </c>
      <c r="N915" s="262" t="str">
        <f>IFERROR(__xludf.DUMMYFUNCTION("""COMPUTED_VALUE"""),"")</f>
        <v/>
      </c>
      <c r="O915" s="259" t="str">
        <f>IFERROR(__xludf.DUMMYFUNCTION("""COMPUTED_VALUE"""),"")</f>
        <v/>
      </c>
      <c r="P915" s="259">
        <f>IFERROR(__xludf.DUMMYFUNCTION("""COMPUTED_VALUE"""),42701.0)</f>
        <v>42701</v>
      </c>
      <c r="Q915" s="258">
        <f>IFERROR(__xludf.DUMMYFUNCTION("""COMPUTED_VALUE"""),78456.0)</f>
        <v>78456</v>
      </c>
      <c r="R915" s="261">
        <f>IFERROR(__xludf.DUMMYFUNCTION("""COMPUTED_VALUE"""),376.0)</f>
        <v>376</v>
      </c>
      <c r="S915" s="258">
        <v>395.0</v>
      </c>
      <c r="T915" s="263">
        <v>0.9518987341772152</v>
      </c>
      <c r="U915" s="264">
        <v>48750.0</v>
      </c>
      <c r="V915" s="265">
        <v>78456.0</v>
      </c>
      <c r="W915" s="264">
        <v>48750.0</v>
      </c>
      <c r="X915" s="266"/>
      <c r="Y915" s="267">
        <v>-0.01</v>
      </c>
      <c r="Z915" s="267">
        <v>0.9517818805486391</v>
      </c>
      <c r="AA915" s="269"/>
      <c r="AB915" s="270"/>
      <c r="AC915" s="270"/>
      <c r="AD915" s="270"/>
      <c r="AE915" s="270"/>
    </row>
    <row r="916">
      <c r="A916" s="256">
        <f>IFERROR(__xludf.DUMMYFUNCTION("""COMPUTED_VALUE"""),42710.46944444445)</f>
        <v>42710.46944</v>
      </c>
      <c r="B916" s="257" t="str">
        <f>IFERROR(__xludf.DUMMYFUNCTION("""COMPUTED_VALUE"""),"korgmatose")</f>
        <v>korgmatose</v>
      </c>
      <c r="C916" s="258" t="str">
        <f>IFERROR(__xludf.DUMMYFUNCTION("""COMPUTED_VALUE"""),"Europe (excluding UK) &amp; Asia Pacific")</f>
        <v>Europe (excluding UK) &amp; Asia Pacific</v>
      </c>
      <c r="D916" s="258" t="str">
        <f>IFERROR(__xludf.DUMMYFUNCTION("""COMPUTED_VALUE"""),"km. My car displays range in kilometres and I will enter all range numbers in kilometres.")</f>
        <v>km. My car displays range in kilometres and I will enter all range numbers in kilometres.</v>
      </c>
      <c r="E916" s="259">
        <f>IFERROR(__xludf.DUMMYFUNCTION("""COMPUTED_VALUE"""),41942.0)</f>
        <v>41942</v>
      </c>
      <c r="F916" s="258" t="str">
        <f>IFERROR(__xludf.DUMMYFUNCTION("""COMPUTED_VALUE"""),"Model S 85")</f>
        <v>Model S 85</v>
      </c>
      <c r="G916" s="258" t="str">
        <f>IFERROR(__xludf.DUMMYFUNCTION("""COMPUTED_VALUE"""),"Twice a week")</f>
        <v>Twice a week</v>
      </c>
      <c r="H916" s="258" t="str">
        <f>IFERROR(__xludf.DUMMYFUNCTION("""COMPUTED_VALUE"""),"A few times a year")</f>
        <v>A few times a year</v>
      </c>
      <c r="I916" s="258" t="str">
        <f>IFERROR(__xludf.DUMMYFUNCTION("""COMPUTED_VALUE"""),"Never")</f>
        <v>Never</v>
      </c>
      <c r="J916" s="260">
        <f>IFERROR(__xludf.DUMMYFUNCTION("""COMPUTED_VALUE"""),0.9)</f>
        <v>0.9</v>
      </c>
      <c r="K916" s="258" t="str">
        <f>IFERROR(__xludf.DUMMYFUNCTION("""COMPUTED_VALUE"""),"")</f>
        <v/>
      </c>
      <c r="L916" s="258" t="str">
        <f>IFERROR(__xludf.DUMMYFUNCTION("""COMPUTED_VALUE"""),"")</f>
        <v/>
      </c>
      <c r="M916" s="261">
        <f>IFERROR(__xludf.DUMMYFUNCTION("""COMPUTED_VALUE"""),194.0)</f>
        <v>194</v>
      </c>
      <c r="N916" s="262" t="str">
        <f>IFERROR(__xludf.DUMMYFUNCTION("""COMPUTED_VALUE"""),"")</f>
        <v/>
      </c>
      <c r="O916" s="259" t="str">
        <f>IFERROR(__xludf.DUMMYFUNCTION("""COMPUTED_VALUE"""),"")</f>
        <v/>
      </c>
      <c r="P916" s="259">
        <f>IFERROR(__xludf.DUMMYFUNCTION("""COMPUTED_VALUE"""),42710.0)</f>
        <v>42710</v>
      </c>
      <c r="Q916" s="258">
        <f>IFERROR(__xludf.DUMMYFUNCTION("""COMPUTED_VALUE"""),79700.0)</f>
        <v>79700</v>
      </c>
      <c r="R916" s="261">
        <f>IFERROR(__xludf.DUMMYFUNCTION("""COMPUTED_VALUE"""),376.0)</f>
        <v>376</v>
      </c>
      <c r="S916" s="258">
        <v>395.0</v>
      </c>
      <c r="T916" s="263">
        <v>0.9518987341772152</v>
      </c>
      <c r="U916" s="264">
        <v>49523.0</v>
      </c>
      <c r="V916" s="265">
        <v>79700.0</v>
      </c>
      <c r="W916" s="264">
        <v>49523.0</v>
      </c>
      <c r="X916" s="266"/>
      <c r="Y916" s="267">
        <v>-0.01</v>
      </c>
      <c r="Z916" s="267">
        <v>0.9514727663303786</v>
      </c>
      <c r="AA916" s="269"/>
      <c r="AB916" s="270"/>
      <c r="AC916" s="270"/>
      <c r="AD916" s="270"/>
      <c r="AE916" s="270"/>
    </row>
    <row r="917">
      <c r="A917" s="256">
        <f>IFERROR(__xludf.DUMMYFUNCTION("""COMPUTED_VALUE"""),42736.481944444444)</f>
        <v>42736.48194</v>
      </c>
      <c r="B917" s="257" t="str">
        <f>IFERROR(__xludf.DUMMYFUNCTION("""COMPUTED_VALUE"""),"korgmatose")</f>
        <v>korgmatose</v>
      </c>
      <c r="C917" s="258" t="str">
        <f>IFERROR(__xludf.DUMMYFUNCTION("""COMPUTED_VALUE"""),"Europe (excluding UK) &amp; Asia Pacific")</f>
        <v>Europe (excluding UK) &amp; Asia Pacific</v>
      </c>
      <c r="D917" s="258" t="str">
        <f>IFERROR(__xludf.DUMMYFUNCTION("""COMPUTED_VALUE"""),"km. My car displays range in kilometres and I will enter all range numbers in kilometres.")</f>
        <v>km. My car displays range in kilometres and I will enter all range numbers in kilometres.</v>
      </c>
      <c r="E917" s="259">
        <f>IFERROR(__xludf.DUMMYFUNCTION("""COMPUTED_VALUE"""),41942.0)</f>
        <v>41942</v>
      </c>
      <c r="F917" s="258" t="str">
        <f>IFERROR(__xludf.DUMMYFUNCTION("""COMPUTED_VALUE"""),"Model S 85")</f>
        <v>Model S 85</v>
      </c>
      <c r="G917" s="258" t="str">
        <f>IFERROR(__xludf.DUMMYFUNCTION("""COMPUTED_VALUE"""),"")</f>
        <v/>
      </c>
      <c r="H917" s="258" t="str">
        <f>IFERROR(__xludf.DUMMYFUNCTION("""COMPUTED_VALUE"""),"")</f>
        <v/>
      </c>
      <c r="I917" s="258" t="str">
        <f>IFERROR(__xludf.DUMMYFUNCTION("""COMPUTED_VALUE"""),"")</f>
        <v/>
      </c>
      <c r="J917" s="260" t="str">
        <f>IFERROR(__xludf.DUMMYFUNCTION("""COMPUTED_VALUE"""),"")</f>
        <v/>
      </c>
      <c r="K917" s="258" t="str">
        <f>IFERROR(__xludf.DUMMYFUNCTION("""COMPUTED_VALUE"""),"")</f>
        <v/>
      </c>
      <c r="L917" s="258" t="str">
        <f>IFERROR(__xludf.DUMMYFUNCTION("""COMPUTED_VALUE"""),"")</f>
        <v/>
      </c>
      <c r="M917" s="261">
        <f>IFERROR(__xludf.DUMMYFUNCTION("""COMPUTED_VALUE"""),214.0)</f>
        <v>214</v>
      </c>
      <c r="N917" s="262" t="str">
        <f>IFERROR(__xludf.DUMMYFUNCTION("""COMPUTED_VALUE"""),"")</f>
        <v/>
      </c>
      <c r="O917" s="259" t="str">
        <f>IFERROR(__xludf.DUMMYFUNCTION("""COMPUTED_VALUE"""),"")</f>
        <v/>
      </c>
      <c r="P917" s="259">
        <f>IFERROR(__xludf.DUMMYFUNCTION("""COMPUTED_VALUE"""),42736.0)</f>
        <v>42736</v>
      </c>
      <c r="Q917" s="258">
        <f>IFERROR(__xludf.DUMMYFUNCTION("""COMPUTED_VALUE"""),83021.0)</f>
        <v>83021</v>
      </c>
      <c r="R917" s="261">
        <f>IFERROR(__xludf.DUMMYFUNCTION("""COMPUTED_VALUE"""),377.0)</f>
        <v>377</v>
      </c>
      <c r="S917" s="258">
        <v>395.0</v>
      </c>
      <c r="T917" s="263">
        <v>0.9544303797468354</v>
      </c>
      <c r="U917" s="264">
        <v>51587.0</v>
      </c>
      <c r="V917" s="265">
        <v>83021.0</v>
      </c>
      <c r="W917" s="264">
        <v>51587.0</v>
      </c>
      <c r="X917" s="266"/>
      <c r="Y917" s="267">
        <v>-0.01</v>
      </c>
      <c r="Z917" s="267">
        <v>0.9506548430348261</v>
      </c>
      <c r="AA917" s="269"/>
      <c r="AB917" s="270"/>
      <c r="AC917" s="270"/>
      <c r="AD917" s="270"/>
      <c r="AE917" s="270"/>
    </row>
    <row r="918">
      <c r="A918" s="256">
        <f>IFERROR(__xludf.DUMMYFUNCTION("""COMPUTED_VALUE"""),42756.493055555555)</f>
        <v>42756.49306</v>
      </c>
      <c r="B918" s="257" t="str">
        <f>IFERROR(__xludf.DUMMYFUNCTION("""COMPUTED_VALUE"""),"korgmatose")</f>
        <v>korgmatose</v>
      </c>
      <c r="C918" s="258" t="str">
        <f>IFERROR(__xludf.DUMMYFUNCTION("""COMPUTED_VALUE"""),"Europe (excluding UK) &amp; Asia Pacific")</f>
        <v>Europe (excluding UK) &amp; Asia Pacific</v>
      </c>
      <c r="D918" s="258" t="str">
        <f>IFERROR(__xludf.DUMMYFUNCTION("""COMPUTED_VALUE"""),"km. My car displays range in kilometres and I will enter all range numbers in kilometres.")</f>
        <v>km. My car displays range in kilometres and I will enter all range numbers in kilometres.</v>
      </c>
      <c r="E918" s="259">
        <f>IFERROR(__xludf.DUMMYFUNCTION("""COMPUTED_VALUE"""),41942.0)</f>
        <v>41942</v>
      </c>
      <c r="F918" s="258" t="str">
        <f>IFERROR(__xludf.DUMMYFUNCTION("""COMPUTED_VALUE"""),"Model S 85")</f>
        <v>Model S 85</v>
      </c>
      <c r="G918" s="258" t="str">
        <f>IFERROR(__xludf.DUMMYFUNCTION("""COMPUTED_VALUE"""),"")</f>
        <v/>
      </c>
      <c r="H918" s="258" t="str">
        <f>IFERROR(__xludf.DUMMYFUNCTION("""COMPUTED_VALUE"""),"")</f>
        <v/>
      </c>
      <c r="I918" s="258" t="str">
        <f>IFERROR(__xludf.DUMMYFUNCTION("""COMPUTED_VALUE"""),"")</f>
        <v/>
      </c>
      <c r="J918" s="260" t="str">
        <f>IFERROR(__xludf.DUMMYFUNCTION("""COMPUTED_VALUE"""),"")</f>
        <v/>
      </c>
      <c r="K918" s="258" t="str">
        <f>IFERROR(__xludf.DUMMYFUNCTION("""COMPUTED_VALUE"""),"")</f>
        <v/>
      </c>
      <c r="L918" s="258" t="str">
        <f>IFERROR(__xludf.DUMMYFUNCTION("""COMPUTED_VALUE"""),"")</f>
        <v/>
      </c>
      <c r="M918" s="261">
        <f>IFERROR(__xludf.DUMMYFUNCTION("""COMPUTED_VALUE"""),208.0)</f>
        <v>208</v>
      </c>
      <c r="N918" s="262" t="str">
        <f>IFERROR(__xludf.DUMMYFUNCTION("""COMPUTED_VALUE"""),"")</f>
        <v/>
      </c>
      <c r="O918" s="259" t="str">
        <f>IFERROR(__xludf.DUMMYFUNCTION("""COMPUTED_VALUE"""),"")</f>
        <v/>
      </c>
      <c r="P918" s="259">
        <f>IFERROR(__xludf.DUMMYFUNCTION("""COMPUTED_VALUE"""),42756.0)</f>
        <v>42756</v>
      </c>
      <c r="Q918" s="258">
        <f>IFERROR(__xludf.DUMMYFUNCTION("""COMPUTED_VALUE"""),86130.0)</f>
        <v>86130</v>
      </c>
      <c r="R918" s="261">
        <f>IFERROR(__xludf.DUMMYFUNCTION("""COMPUTED_VALUE"""),378.0)</f>
        <v>378</v>
      </c>
      <c r="S918" s="258">
        <v>395.0</v>
      </c>
      <c r="T918" s="263">
        <v>0.9569620253164557</v>
      </c>
      <c r="U918" s="264">
        <v>53519.0</v>
      </c>
      <c r="V918" s="265">
        <v>86130.0</v>
      </c>
      <c r="W918" s="264">
        <v>53519.0</v>
      </c>
      <c r="X918" s="266"/>
      <c r="Y918" s="267">
        <v>-0.01</v>
      </c>
      <c r="Z918" s="267">
        <v>0.949897431222008</v>
      </c>
      <c r="AA918" s="269"/>
      <c r="AB918" s="270"/>
      <c r="AC918" s="270"/>
      <c r="AD918" s="270"/>
      <c r="AE918" s="270"/>
    </row>
    <row r="919">
      <c r="A919" s="256">
        <f>IFERROR(__xludf.DUMMYFUNCTION("""COMPUTED_VALUE"""),42808.5125)</f>
        <v>42808.5125</v>
      </c>
      <c r="B919" s="257" t="str">
        <f>IFERROR(__xludf.DUMMYFUNCTION("""COMPUTED_VALUE"""),"korgmatose")</f>
        <v>korgmatose</v>
      </c>
      <c r="C919" s="258" t="str">
        <f>IFERROR(__xludf.DUMMYFUNCTION("""COMPUTED_VALUE"""),"Europe (excluding UK) &amp; Asia Pacific")</f>
        <v>Europe (excluding UK) &amp; Asia Pacific</v>
      </c>
      <c r="D919" s="258" t="str">
        <f>IFERROR(__xludf.DUMMYFUNCTION("""COMPUTED_VALUE"""),"km. My car displays range in kilometres and I will enter all range numbers in kilometres.")</f>
        <v>km. My car displays range in kilometres and I will enter all range numbers in kilometres.</v>
      </c>
      <c r="E919" s="259">
        <f>IFERROR(__xludf.DUMMYFUNCTION("""COMPUTED_VALUE"""),41942.0)</f>
        <v>41942</v>
      </c>
      <c r="F919" s="258" t="str">
        <f>IFERROR(__xludf.DUMMYFUNCTION("""COMPUTED_VALUE"""),"Model S 85")</f>
        <v>Model S 85</v>
      </c>
      <c r="G919" s="258" t="str">
        <f>IFERROR(__xludf.DUMMYFUNCTION("""COMPUTED_VALUE"""),"Twice a week")</f>
        <v>Twice a week</v>
      </c>
      <c r="H919" s="258" t="str">
        <f>IFERROR(__xludf.DUMMYFUNCTION("""COMPUTED_VALUE"""),"Monthly")</f>
        <v>Monthly</v>
      </c>
      <c r="I919" s="258" t="str">
        <f>IFERROR(__xludf.DUMMYFUNCTION("""COMPUTED_VALUE"""),"Never")</f>
        <v>Never</v>
      </c>
      <c r="J919" s="260">
        <f>IFERROR(__xludf.DUMMYFUNCTION("""COMPUTED_VALUE"""),0.9)</f>
        <v>0.9</v>
      </c>
      <c r="K919" s="258" t="str">
        <f>IFERROR(__xludf.DUMMYFUNCTION("""COMPUTED_VALUE"""),"")</f>
        <v/>
      </c>
      <c r="L919" s="258" t="str">
        <f>IFERROR(__xludf.DUMMYFUNCTION("""COMPUTED_VALUE"""),"")</f>
        <v/>
      </c>
      <c r="M919" s="261">
        <f>IFERROR(__xludf.DUMMYFUNCTION("""COMPUTED_VALUE"""),206.0)</f>
        <v>206</v>
      </c>
      <c r="N919" s="262" t="str">
        <f>IFERROR(__xludf.DUMMYFUNCTION("""COMPUTED_VALUE"""),"")</f>
        <v/>
      </c>
      <c r="O919" s="259" t="str">
        <f>IFERROR(__xludf.DUMMYFUNCTION("""COMPUTED_VALUE"""),"")</f>
        <v/>
      </c>
      <c r="P919" s="259">
        <f>IFERROR(__xludf.DUMMYFUNCTION("""COMPUTED_VALUE"""),42808.0)</f>
        <v>42808</v>
      </c>
      <c r="Q919" s="258">
        <f>IFERROR(__xludf.DUMMYFUNCTION("""COMPUTED_VALUE"""),93406.0)</f>
        <v>93406</v>
      </c>
      <c r="R919" s="261">
        <f>IFERROR(__xludf.DUMMYFUNCTION("""COMPUTED_VALUE"""),380.0)</f>
        <v>380</v>
      </c>
      <c r="S919" s="258">
        <v>395.0</v>
      </c>
      <c r="T919" s="263">
        <v>0.9620253164556962</v>
      </c>
      <c r="U919" s="264">
        <v>58040.0</v>
      </c>
      <c r="V919" s="265">
        <v>93406.0</v>
      </c>
      <c r="W919" s="264">
        <v>58040.0</v>
      </c>
      <c r="X919" s="266"/>
      <c r="Y919" s="267">
        <v>-0.01</v>
      </c>
      <c r="Z919" s="267">
        <v>0.9481490275361915</v>
      </c>
      <c r="AA919" s="269"/>
      <c r="AB919" s="270"/>
      <c r="AC919" s="270"/>
      <c r="AD919" s="270"/>
      <c r="AE919" s="270"/>
    </row>
    <row r="920">
      <c r="A920" s="256">
        <f>IFERROR(__xludf.DUMMYFUNCTION("""COMPUTED_VALUE"""),42821.51597222222)</f>
        <v>42821.51597</v>
      </c>
      <c r="B920" s="257" t="str">
        <f>IFERROR(__xludf.DUMMYFUNCTION("""COMPUTED_VALUE"""),"korgmatose")</f>
        <v>korgmatose</v>
      </c>
      <c r="C920" s="258" t="str">
        <f>IFERROR(__xludf.DUMMYFUNCTION("""COMPUTED_VALUE"""),"Europe (excluding UK) &amp; Asia Pacific")</f>
        <v>Europe (excluding UK) &amp; Asia Pacific</v>
      </c>
      <c r="D920" s="258" t="str">
        <f>IFERROR(__xludf.DUMMYFUNCTION("""COMPUTED_VALUE"""),"km. My car displays range in kilometres and I will enter all range numbers in kilometres.")</f>
        <v>km. My car displays range in kilometres and I will enter all range numbers in kilometres.</v>
      </c>
      <c r="E920" s="259">
        <f>IFERROR(__xludf.DUMMYFUNCTION("""COMPUTED_VALUE"""),41942.0)</f>
        <v>41942</v>
      </c>
      <c r="F920" s="258" t="str">
        <f>IFERROR(__xludf.DUMMYFUNCTION("""COMPUTED_VALUE"""),"Model S 85")</f>
        <v>Model S 85</v>
      </c>
      <c r="G920" s="258" t="str">
        <f>IFERROR(__xludf.DUMMYFUNCTION("""COMPUTED_VALUE"""),"")</f>
        <v/>
      </c>
      <c r="H920" s="258" t="str">
        <f>IFERROR(__xludf.DUMMYFUNCTION("""COMPUTED_VALUE"""),"")</f>
        <v/>
      </c>
      <c r="I920" s="258" t="str">
        <f>IFERROR(__xludf.DUMMYFUNCTION("""COMPUTED_VALUE"""),"")</f>
        <v/>
      </c>
      <c r="J920" s="260" t="str">
        <f>IFERROR(__xludf.DUMMYFUNCTION("""COMPUTED_VALUE"""),"")</f>
        <v/>
      </c>
      <c r="K920" s="258" t="str">
        <f>IFERROR(__xludf.DUMMYFUNCTION("""COMPUTED_VALUE"""),"")</f>
        <v/>
      </c>
      <c r="L920" s="258" t="str">
        <f>IFERROR(__xludf.DUMMYFUNCTION("""COMPUTED_VALUE"""),"")</f>
        <v/>
      </c>
      <c r="M920" s="261">
        <f>IFERROR(__xludf.DUMMYFUNCTION("""COMPUTED_VALUE"""),205.0)</f>
        <v>205</v>
      </c>
      <c r="N920" s="262" t="str">
        <f>IFERROR(__xludf.DUMMYFUNCTION("""COMPUTED_VALUE"""),"")</f>
        <v/>
      </c>
      <c r="O920" s="259" t="str">
        <f>IFERROR(__xludf.DUMMYFUNCTION("""COMPUTED_VALUE"""),"")</f>
        <v/>
      </c>
      <c r="P920" s="259">
        <f>IFERROR(__xludf.DUMMYFUNCTION("""COMPUTED_VALUE"""),42821.0)</f>
        <v>42821</v>
      </c>
      <c r="Q920" s="258">
        <f>IFERROR(__xludf.DUMMYFUNCTION("""COMPUTED_VALUE"""),95393.0)</f>
        <v>95393</v>
      </c>
      <c r="R920" s="261">
        <f>IFERROR(__xludf.DUMMYFUNCTION("""COMPUTED_VALUE"""),380.0)</f>
        <v>380</v>
      </c>
      <c r="S920" s="258">
        <v>395.0</v>
      </c>
      <c r="T920" s="263">
        <v>0.9620253164556962</v>
      </c>
      <c r="U920" s="264">
        <v>59274.0</v>
      </c>
      <c r="V920" s="265">
        <v>95393.0</v>
      </c>
      <c r="W920" s="264">
        <v>59274.0</v>
      </c>
      <c r="X920" s="266"/>
      <c r="Y920" s="267">
        <v>-0.01</v>
      </c>
      <c r="Z920" s="267">
        <v>0.9476761838447462</v>
      </c>
      <c r="AA920" s="269"/>
      <c r="AB920" s="270"/>
      <c r="AC920" s="270"/>
      <c r="AD920" s="270"/>
      <c r="AE920" s="270"/>
    </row>
    <row r="921">
      <c r="A921" s="256">
        <f>IFERROR(__xludf.DUMMYFUNCTION("""COMPUTED_VALUE"""),42858.52986111111)</f>
        <v>42858.52986</v>
      </c>
      <c r="B921" s="257" t="str">
        <f>IFERROR(__xludf.DUMMYFUNCTION("""COMPUTED_VALUE"""),"korgmatose")</f>
        <v>korgmatose</v>
      </c>
      <c r="C921" s="258" t="str">
        <f>IFERROR(__xludf.DUMMYFUNCTION("""COMPUTED_VALUE"""),"Europe (excluding UK) &amp; Asia Pacific")</f>
        <v>Europe (excluding UK) &amp; Asia Pacific</v>
      </c>
      <c r="D921" s="258" t="str">
        <f>IFERROR(__xludf.DUMMYFUNCTION("""COMPUTED_VALUE"""),"km. My car displays range in kilometres and I will enter all range numbers in kilometres.")</f>
        <v>km. My car displays range in kilometres and I will enter all range numbers in kilometres.</v>
      </c>
      <c r="E921" s="259">
        <f>IFERROR(__xludf.DUMMYFUNCTION("""COMPUTED_VALUE"""),41942.0)</f>
        <v>41942</v>
      </c>
      <c r="F921" s="258" t="str">
        <f>IFERROR(__xludf.DUMMYFUNCTION("""COMPUTED_VALUE"""),"Model S 85")</f>
        <v>Model S 85</v>
      </c>
      <c r="G921" s="258" t="str">
        <f>IFERROR(__xludf.DUMMYFUNCTION("""COMPUTED_VALUE"""),"")</f>
        <v/>
      </c>
      <c r="H921" s="258" t="str">
        <f>IFERROR(__xludf.DUMMYFUNCTION("""COMPUTED_VALUE"""),"")</f>
        <v/>
      </c>
      <c r="I921" s="258" t="str">
        <f>IFERROR(__xludf.DUMMYFUNCTION("""COMPUTED_VALUE"""),"")</f>
        <v/>
      </c>
      <c r="J921" s="260" t="str">
        <f>IFERROR(__xludf.DUMMYFUNCTION("""COMPUTED_VALUE"""),"")</f>
        <v/>
      </c>
      <c r="K921" s="258" t="str">
        <f>IFERROR(__xludf.DUMMYFUNCTION("""COMPUTED_VALUE"""),"")</f>
        <v/>
      </c>
      <c r="L921" s="258" t="str">
        <f>IFERROR(__xludf.DUMMYFUNCTION("""COMPUTED_VALUE"""),"")</f>
        <v/>
      </c>
      <c r="M921" s="261">
        <f>IFERROR(__xludf.DUMMYFUNCTION("""COMPUTED_VALUE"""),204.0)</f>
        <v>204</v>
      </c>
      <c r="N921" s="262" t="str">
        <f>IFERROR(__xludf.DUMMYFUNCTION("""COMPUTED_VALUE"""),"")</f>
        <v/>
      </c>
      <c r="O921" s="259" t="str">
        <f>IFERROR(__xludf.DUMMYFUNCTION("""COMPUTED_VALUE"""),"")</f>
        <v/>
      </c>
      <c r="P921" s="259">
        <f>IFERROR(__xludf.DUMMYFUNCTION("""COMPUTED_VALUE"""),42858.0)</f>
        <v>42858</v>
      </c>
      <c r="Q921" s="258">
        <f>IFERROR(__xludf.DUMMYFUNCTION("""COMPUTED_VALUE"""),97893.0)</f>
        <v>97893</v>
      </c>
      <c r="R921" s="261">
        <f>IFERROR(__xludf.DUMMYFUNCTION("""COMPUTED_VALUE"""),378.5)</f>
        <v>378.5</v>
      </c>
      <c r="S921" s="258">
        <v>395.0</v>
      </c>
      <c r="T921" s="263">
        <v>0.9582278481012658</v>
      </c>
      <c r="U921" s="264">
        <v>60828.0</v>
      </c>
      <c r="V921" s="265">
        <v>97893.0</v>
      </c>
      <c r="W921" s="264">
        <v>60828.0</v>
      </c>
      <c r="X921" s="266"/>
      <c r="Y921" s="267">
        <v>-0.01</v>
      </c>
      <c r="Z921" s="267">
        <v>0.9470834953895026</v>
      </c>
      <c r="AA921" s="269"/>
      <c r="AB921" s="270"/>
      <c r="AC921" s="270"/>
      <c r="AD921" s="270"/>
      <c r="AE921" s="270"/>
    </row>
    <row r="922">
      <c r="A922" s="256">
        <f>IFERROR(__xludf.DUMMYFUNCTION("""COMPUTED_VALUE"""),42871.53611111111)</f>
        <v>42871.53611</v>
      </c>
      <c r="B922" s="257" t="str">
        <f>IFERROR(__xludf.DUMMYFUNCTION("""COMPUTED_VALUE"""),"korgmatose")</f>
        <v>korgmatose</v>
      </c>
      <c r="C922" s="258" t="str">
        <f>IFERROR(__xludf.DUMMYFUNCTION("""COMPUTED_VALUE"""),"Europe (excluding UK) &amp; Asia Pacific")</f>
        <v>Europe (excluding UK) &amp; Asia Pacific</v>
      </c>
      <c r="D922" s="258" t="str">
        <f>IFERROR(__xludf.DUMMYFUNCTION("""COMPUTED_VALUE"""),"km. My car displays range in kilometres and I will enter all range numbers in kilometres.")</f>
        <v>km. My car displays range in kilometres and I will enter all range numbers in kilometres.</v>
      </c>
      <c r="E922" s="259">
        <f>IFERROR(__xludf.DUMMYFUNCTION("""COMPUTED_VALUE"""),41942.0)</f>
        <v>41942</v>
      </c>
      <c r="F922" s="258" t="str">
        <f>IFERROR(__xludf.DUMMYFUNCTION("""COMPUTED_VALUE"""),"Model S 85")</f>
        <v>Model S 85</v>
      </c>
      <c r="G922" s="258" t="str">
        <f>IFERROR(__xludf.DUMMYFUNCTION("""COMPUTED_VALUE"""),"")</f>
        <v/>
      </c>
      <c r="H922" s="258" t="str">
        <f>IFERROR(__xludf.DUMMYFUNCTION("""COMPUTED_VALUE"""),"")</f>
        <v/>
      </c>
      <c r="I922" s="258" t="str">
        <f>IFERROR(__xludf.DUMMYFUNCTION("""COMPUTED_VALUE"""),"")</f>
        <v/>
      </c>
      <c r="J922" s="260" t="str">
        <f>IFERROR(__xludf.DUMMYFUNCTION("""COMPUTED_VALUE"""),"")</f>
        <v/>
      </c>
      <c r="K922" s="258" t="str">
        <f>IFERROR(__xludf.DUMMYFUNCTION("""COMPUTED_VALUE"""),"")</f>
        <v/>
      </c>
      <c r="L922" s="258" t="str">
        <f>IFERROR(__xludf.DUMMYFUNCTION("""COMPUTED_VALUE"""),"")</f>
        <v/>
      </c>
      <c r="M922" s="261">
        <f>IFERROR(__xludf.DUMMYFUNCTION("""COMPUTED_VALUE"""),206.0)</f>
        <v>206</v>
      </c>
      <c r="N922" s="262" t="str">
        <f>IFERROR(__xludf.DUMMYFUNCTION("""COMPUTED_VALUE"""),"")</f>
        <v/>
      </c>
      <c r="O922" s="259" t="str">
        <f>IFERROR(__xludf.DUMMYFUNCTION("""COMPUTED_VALUE"""),"")</f>
        <v/>
      </c>
      <c r="P922" s="259">
        <f>IFERROR(__xludf.DUMMYFUNCTION("""COMPUTED_VALUE"""),42871.0)</f>
        <v>42871</v>
      </c>
      <c r="Q922" s="258">
        <f>IFERROR(__xludf.DUMMYFUNCTION("""COMPUTED_VALUE"""),99100.0)</f>
        <v>99100</v>
      </c>
      <c r="R922" s="261">
        <f>IFERROR(__xludf.DUMMYFUNCTION("""COMPUTED_VALUE"""),379.0)</f>
        <v>379</v>
      </c>
      <c r="S922" s="258">
        <v>395.0</v>
      </c>
      <c r="T922" s="263">
        <v>0.959493670886076</v>
      </c>
      <c r="U922" s="264">
        <v>61578.0</v>
      </c>
      <c r="V922" s="265">
        <v>99100.0</v>
      </c>
      <c r="W922" s="264">
        <v>61578.0</v>
      </c>
      <c r="X922" s="266"/>
      <c r="Y922" s="267">
        <v>-0.01</v>
      </c>
      <c r="Z922" s="267">
        <v>0.9467981427550007</v>
      </c>
      <c r="AA922" s="269"/>
      <c r="AB922" s="270"/>
      <c r="AC922" s="270"/>
      <c r="AD922" s="270"/>
      <c r="AE922" s="270"/>
    </row>
    <row r="923">
      <c r="A923" s="256">
        <f>IFERROR(__xludf.DUMMYFUNCTION("""COMPUTED_VALUE"""),42897.54652777778)</f>
        <v>42897.54653</v>
      </c>
      <c r="B923" s="257" t="str">
        <f>IFERROR(__xludf.DUMMYFUNCTION("""COMPUTED_VALUE"""),"korgmatose")</f>
        <v>korgmatose</v>
      </c>
      <c r="C923" s="258" t="str">
        <f>IFERROR(__xludf.DUMMYFUNCTION("""COMPUTED_VALUE"""),"Europe (excluding UK) &amp; Asia Pacific")</f>
        <v>Europe (excluding UK) &amp; Asia Pacific</v>
      </c>
      <c r="D923" s="258" t="str">
        <f>IFERROR(__xludf.DUMMYFUNCTION("""COMPUTED_VALUE"""),"km. My car displays range in kilometres and I will enter all range numbers in kilometres.")</f>
        <v>km. My car displays range in kilometres and I will enter all range numbers in kilometres.</v>
      </c>
      <c r="E923" s="259">
        <f>IFERROR(__xludf.DUMMYFUNCTION("""COMPUTED_VALUE"""),41942.0)</f>
        <v>41942</v>
      </c>
      <c r="F923" s="258" t="str">
        <f>IFERROR(__xludf.DUMMYFUNCTION("""COMPUTED_VALUE"""),"Model S 85")</f>
        <v>Model S 85</v>
      </c>
      <c r="G923" s="258" t="str">
        <f>IFERROR(__xludf.DUMMYFUNCTION("""COMPUTED_VALUE"""),"")</f>
        <v/>
      </c>
      <c r="H923" s="258" t="str">
        <f>IFERROR(__xludf.DUMMYFUNCTION("""COMPUTED_VALUE"""),"")</f>
        <v/>
      </c>
      <c r="I923" s="258" t="str">
        <f>IFERROR(__xludf.DUMMYFUNCTION("""COMPUTED_VALUE"""),"")</f>
        <v/>
      </c>
      <c r="J923" s="260" t="str">
        <f>IFERROR(__xludf.DUMMYFUNCTION("""COMPUTED_VALUE"""),"")</f>
        <v/>
      </c>
      <c r="K923" s="258" t="str">
        <f>IFERROR(__xludf.DUMMYFUNCTION("""COMPUTED_VALUE"""),"")</f>
        <v/>
      </c>
      <c r="L923" s="258" t="str">
        <f>IFERROR(__xludf.DUMMYFUNCTION("""COMPUTED_VALUE"""),"")</f>
        <v/>
      </c>
      <c r="M923" s="261">
        <f>IFERROR(__xludf.DUMMYFUNCTION("""COMPUTED_VALUE"""),206.0)</f>
        <v>206</v>
      </c>
      <c r="N923" s="262" t="str">
        <f>IFERROR(__xludf.DUMMYFUNCTION("""COMPUTED_VALUE"""),"")</f>
        <v/>
      </c>
      <c r="O923" s="259" t="str">
        <f>IFERROR(__xludf.DUMMYFUNCTION("""COMPUTED_VALUE"""),"")</f>
        <v/>
      </c>
      <c r="P923" s="259">
        <f>IFERROR(__xludf.DUMMYFUNCTION("""COMPUTED_VALUE"""),42897.0)</f>
        <v>42897</v>
      </c>
      <c r="Q923" s="258">
        <f>IFERROR(__xludf.DUMMYFUNCTION("""COMPUTED_VALUE"""),100315.0)</f>
        <v>100315</v>
      </c>
      <c r="R923" s="261">
        <f>IFERROR(__xludf.DUMMYFUNCTION("""COMPUTED_VALUE"""),380.0)</f>
        <v>380</v>
      </c>
      <c r="S923" s="258">
        <v>395.0</v>
      </c>
      <c r="T923" s="263">
        <v>0.9620253164556962</v>
      </c>
      <c r="U923" s="264">
        <v>62333.0</v>
      </c>
      <c r="V923" s="265">
        <v>100315.0</v>
      </c>
      <c r="W923" s="264">
        <v>62333.0</v>
      </c>
      <c r="X923" s="266"/>
      <c r="Y923" s="267">
        <v>-0.01</v>
      </c>
      <c r="Z923" s="267">
        <v>0.9465113752159633</v>
      </c>
      <c r="AA923" s="269"/>
      <c r="AB923" s="270"/>
      <c r="AC923" s="270"/>
      <c r="AD923" s="270"/>
      <c r="AE923" s="270"/>
    </row>
    <row r="924">
      <c r="A924" s="256">
        <f>IFERROR(__xludf.DUMMYFUNCTION("""COMPUTED_VALUE"""),43026.62777777778)</f>
        <v>43026.62778</v>
      </c>
      <c r="B924" s="257" t="str">
        <f>IFERROR(__xludf.DUMMYFUNCTION("""COMPUTED_VALUE"""),"korgmatose")</f>
        <v>korgmatose</v>
      </c>
      <c r="C924" s="258" t="str">
        <f>IFERROR(__xludf.DUMMYFUNCTION("""COMPUTED_VALUE"""),"Europe (excluding UK) &amp; Asia Pacific")</f>
        <v>Europe (excluding UK) &amp; Asia Pacific</v>
      </c>
      <c r="D924" s="258" t="str">
        <f>IFERROR(__xludf.DUMMYFUNCTION("""COMPUTED_VALUE"""),"km. My car displays range in kilometres and I will enter all range numbers in kilometres.")</f>
        <v>km. My car displays range in kilometres and I will enter all range numbers in kilometres.</v>
      </c>
      <c r="E924" s="259">
        <f>IFERROR(__xludf.DUMMYFUNCTION("""COMPUTED_VALUE"""),41942.0)</f>
        <v>41942</v>
      </c>
      <c r="F924" s="258" t="str">
        <f>IFERROR(__xludf.DUMMYFUNCTION("""COMPUTED_VALUE"""),"Model S 85")</f>
        <v>Model S 85</v>
      </c>
      <c r="G924" s="258" t="str">
        <f>IFERROR(__xludf.DUMMYFUNCTION("""COMPUTED_VALUE"""),"")</f>
        <v/>
      </c>
      <c r="H924" s="258" t="str">
        <f>IFERROR(__xludf.DUMMYFUNCTION("""COMPUTED_VALUE"""),"")</f>
        <v/>
      </c>
      <c r="I924" s="258" t="str">
        <f>IFERROR(__xludf.DUMMYFUNCTION("""COMPUTED_VALUE"""),"")</f>
        <v/>
      </c>
      <c r="J924" s="260" t="str">
        <f>IFERROR(__xludf.DUMMYFUNCTION("""COMPUTED_VALUE"""),"")</f>
        <v/>
      </c>
      <c r="K924" s="258" t="str">
        <f>IFERROR(__xludf.DUMMYFUNCTION("""COMPUTED_VALUE"""),"")</f>
        <v/>
      </c>
      <c r="L924" s="258" t="str">
        <f>IFERROR(__xludf.DUMMYFUNCTION("""COMPUTED_VALUE"""),"")</f>
        <v/>
      </c>
      <c r="M924" s="261">
        <f>IFERROR(__xludf.DUMMYFUNCTION("""COMPUTED_VALUE"""),204.0)</f>
        <v>204</v>
      </c>
      <c r="N924" s="262" t="str">
        <f>IFERROR(__xludf.DUMMYFUNCTION("""COMPUTED_VALUE"""),"")</f>
        <v/>
      </c>
      <c r="O924" s="259" t="str">
        <f>IFERROR(__xludf.DUMMYFUNCTION("""COMPUTED_VALUE"""),"")</f>
        <v/>
      </c>
      <c r="P924" s="259">
        <f>IFERROR(__xludf.DUMMYFUNCTION("""COMPUTED_VALUE"""),43026.0)</f>
        <v>43026</v>
      </c>
      <c r="Q924" s="258">
        <f>IFERROR(__xludf.DUMMYFUNCTION("""COMPUTED_VALUE"""),110360.0)</f>
        <v>110360</v>
      </c>
      <c r="R924" s="261">
        <f>IFERROR(__xludf.DUMMYFUNCTION("""COMPUTED_VALUE"""),377.0)</f>
        <v>377</v>
      </c>
      <c r="S924" s="258">
        <v>395.0</v>
      </c>
      <c r="T924" s="263">
        <v>0.9544303797468354</v>
      </c>
      <c r="U924" s="264">
        <v>68575.0</v>
      </c>
      <c r="V924" s="265">
        <v>110360.0</v>
      </c>
      <c r="W924" s="264">
        <v>68575.0</v>
      </c>
      <c r="X924" s="266"/>
      <c r="Y924" s="267">
        <v>-0.01</v>
      </c>
      <c r="Z924" s="267">
        <v>0.9441550539318503</v>
      </c>
      <c r="AA924" s="269"/>
      <c r="AB924" s="270"/>
      <c r="AC924" s="270"/>
      <c r="AD924" s="270"/>
      <c r="AE924" s="270"/>
    </row>
    <row r="925">
      <c r="A925" s="256">
        <f>IFERROR(__xludf.DUMMYFUNCTION("""COMPUTED_VALUE"""),42454.3125)</f>
        <v>42454.3125</v>
      </c>
      <c r="B925" s="257" t="str">
        <f>IFERROR(__xludf.DUMMYFUNCTION("""COMPUTED_VALUE"""),"KR")</f>
        <v>KR</v>
      </c>
      <c r="C925" s="258" t="str">
        <f>IFERROR(__xludf.DUMMYFUNCTION("""COMPUTED_VALUE"""),"Europe (excluding UK) &amp; Asia Pacific")</f>
        <v>Europe (excluding UK) &amp; Asia Pacific</v>
      </c>
      <c r="D925" s="258" t="str">
        <f>IFERROR(__xludf.DUMMYFUNCTION("""COMPUTED_VALUE"""),"km. My car displays range in kilometres and I will enter all range numbers in kilometres.")</f>
        <v>km. My car displays range in kilometres and I will enter all range numbers in kilometres.</v>
      </c>
      <c r="E925" s="259">
        <f>IFERROR(__xludf.DUMMYFUNCTION("""COMPUTED_VALUE"""),41628.0)</f>
        <v>41628</v>
      </c>
      <c r="F925" s="258" t="str">
        <f>IFERROR(__xludf.DUMMYFUNCTION("""COMPUTED_VALUE"""),"Model S 85")</f>
        <v>Model S 85</v>
      </c>
      <c r="G925" s="258" t="str">
        <f>IFERROR(__xludf.DUMMYFUNCTION("""COMPUTED_VALUE"""),"A few times a year")</f>
        <v>A few times a year</v>
      </c>
      <c r="H925" s="258" t="str">
        <f>IFERROR(__xludf.DUMMYFUNCTION("""COMPUTED_VALUE"""),"A few times a year")</f>
        <v>A few times a year</v>
      </c>
      <c r="I925" s="258" t="str">
        <f>IFERROR(__xludf.DUMMYFUNCTION("""COMPUTED_VALUE"""),"Once or twice a year")</f>
        <v>Once or twice a year</v>
      </c>
      <c r="J925" s="260">
        <f>IFERROR(__xludf.DUMMYFUNCTION("""COMPUTED_VALUE"""),0.8)</f>
        <v>0.8</v>
      </c>
      <c r="K925" s="258" t="str">
        <f>IFERROR(__xludf.DUMMYFUNCTION("""COMPUTED_VALUE"""),"")</f>
        <v/>
      </c>
      <c r="L925" s="258" t="str">
        <f>IFERROR(__xludf.DUMMYFUNCTION("""COMPUTED_VALUE"""),"")</f>
        <v/>
      </c>
      <c r="M925" s="261">
        <f>IFERROR(__xludf.DUMMYFUNCTION("""COMPUTED_VALUE"""),222.0)</f>
        <v>222</v>
      </c>
      <c r="N925" s="262" t="str">
        <f>IFERROR(__xludf.DUMMYFUNCTION("""COMPUTED_VALUE"""),"")</f>
        <v/>
      </c>
      <c r="O925" s="259" t="str">
        <f>IFERROR(__xludf.DUMMYFUNCTION("""COMPUTED_VALUE"""),"")</f>
        <v/>
      </c>
      <c r="P925" s="259">
        <f>IFERROR(__xludf.DUMMYFUNCTION("""COMPUTED_VALUE"""),42454.0)</f>
        <v>42454</v>
      </c>
      <c r="Q925" s="258">
        <f>IFERROR(__xludf.DUMMYFUNCTION("""COMPUTED_VALUE"""),51000.0)</f>
        <v>51000</v>
      </c>
      <c r="R925" s="261">
        <f>IFERROR(__xludf.DUMMYFUNCTION("""COMPUTED_VALUE"""),369.0)</f>
        <v>369</v>
      </c>
      <c r="S925" s="258">
        <v>395.0</v>
      </c>
      <c r="T925" s="263">
        <v>0.9341772151898734</v>
      </c>
      <c r="U925" s="264">
        <v>31690.0</v>
      </c>
      <c r="V925" s="265">
        <v>51000.0</v>
      </c>
      <c r="W925" s="264">
        <v>31690.0</v>
      </c>
      <c r="X925" s="266"/>
      <c r="Y925" s="267">
        <v>-0.01</v>
      </c>
      <c r="Z925" s="267">
        <v>0.9593658427993017</v>
      </c>
      <c r="AA925" s="269"/>
      <c r="AB925" s="270"/>
      <c r="AC925" s="270"/>
      <c r="AD925" s="270"/>
      <c r="AE925" s="270"/>
    </row>
    <row r="926">
      <c r="A926" s="256">
        <f>IFERROR(__xludf.DUMMYFUNCTION("""COMPUTED_VALUE"""),41906.013194444444)</f>
        <v>41906.01319</v>
      </c>
      <c r="B926" s="257" t="str">
        <f>IFERROR(__xludf.DUMMYFUNCTION("""COMPUTED_VALUE"""),"KrisB")</f>
        <v>KrisB</v>
      </c>
      <c r="C926" s="258" t="str">
        <f>IFERROR(__xludf.DUMMYFUNCTION("""COMPUTED_VALUE"""),"Europe (excluding UK) &amp; Asia Pacific")</f>
        <v>Europe (excluding UK) &amp; Asia Pacific</v>
      </c>
      <c r="D926" s="258" t="str">
        <f>IFERROR(__xludf.DUMMYFUNCTION("""COMPUTED_VALUE"""),"km. My car displays range in kilometres and I will enter all range numbers in kilometres.")</f>
        <v>km. My car displays range in kilometres and I will enter all range numbers in kilometres.</v>
      </c>
      <c r="E926" s="259">
        <f>IFERROR(__xludf.DUMMYFUNCTION("""COMPUTED_VALUE"""),41724.0)</f>
        <v>41724</v>
      </c>
      <c r="F926" s="258" t="str">
        <f>IFERROR(__xludf.DUMMYFUNCTION("""COMPUTED_VALUE"""),"Model S P85")</f>
        <v>Model S P85</v>
      </c>
      <c r="G926" s="258" t="str">
        <f>IFERROR(__xludf.DUMMYFUNCTION("""COMPUTED_VALUE"""),"A few times a year")</f>
        <v>A few times a year</v>
      </c>
      <c r="H926" s="258" t="str">
        <f>IFERROR(__xludf.DUMMYFUNCTION("""COMPUTED_VALUE"""),"Once or twice a year")</f>
        <v>Once or twice a year</v>
      </c>
      <c r="I926" s="258" t="str">
        <f>IFERROR(__xludf.DUMMYFUNCTION("""COMPUTED_VALUE"""),"Never")</f>
        <v>Never</v>
      </c>
      <c r="J926" s="260" t="str">
        <f>IFERROR(__xludf.DUMMYFUNCTION("""COMPUTED_VALUE"""),"")</f>
        <v/>
      </c>
      <c r="K926" s="258" t="str">
        <f>IFERROR(__xludf.DUMMYFUNCTION("""COMPUTED_VALUE"""),"")</f>
        <v/>
      </c>
      <c r="L926" s="258" t="str">
        <f>IFERROR(__xludf.DUMMYFUNCTION("""COMPUTED_VALUE"""),"")</f>
        <v/>
      </c>
      <c r="M926" s="261">
        <f>IFERROR(__xludf.DUMMYFUNCTION("""COMPUTED_VALUE"""),163.0)</f>
        <v>163</v>
      </c>
      <c r="N926" s="262" t="str">
        <f>IFERROR(__xludf.DUMMYFUNCTION("""COMPUTED_VALUE"""),"")</f>
        <v/>
      </c>
      <c r="O926" s="259" t="str">
        <f>IFERROR(__xludf.DUMMYFUNCTION("""COMPUTED_VALUE"""),"")</f>
        <v/>
      </c>
      <c r="P926" s="259">
        <f>IFERROR(__xludf.DUMMYFUNCTION("""COMPUTED_VALUE"""),41906.0)</f>
        <v>41906</v>
      </c>
      <c r="Q926" s="258">
        <f>IFERROR(__xludf.DUMMYFUNCTION("""COMPUTED_VALUE"""),19800.0)</f>
        <v>19800</v>
      </c>
      <c r="R926" s="261">
        <f>IFERROR(__xludf.DUMMYFUNCTION("""COMPUTED_VALUE"""),385.0)</f>
        <v>385</v>
      </c>
      <c r="S926" s="258">
        <v>395.0</v>
      </c>
      <c r="T926" s="263">
        <v>0.9746835443037974</v>
      </c>
      <c r="U926" s="264">
        <v>12303.0</v>
      </c>
      <c r="V926" s="265">
        <v>19800.0</v>
      </c>
      <c r="W926" s="264">
        <v>12303.0</v>
      </c>
      <c r="X926" s="266"/>
      <c r="Y926" s="267">
        <v>-0.01</v>
      </c>
      <c r="Z926" s="267">
        <v>0.9746200670354969</v>
      </c>
      <c r="AA926" s="269"/>
      <c r="AB926" s="270"/>
      <c r="AC926" s="270"/>
      <c r="AD926" s="270"/>
      <c r="AE926" s="270"/>
    </row>
    <row r="927">
      <c r="A927" s="256">
        <f>IFERROR(__xludf.DUMMYFUNCTION("""COMPUTED_VALUE"""),41978.04375)</f>
        <v>41978.04375</v>
      </c>
      <c r="B927" s="257" t="str">
        <f>IFERROR(__xludf.DUMMYFUNCTION("""COMPUTED_VALUE"""),"KrisB")</f>
        <v>KrisB</v>
      </c>
      <c r="C927" s="258" t="str">
        <f>IFERROR(__xludf.DUMMYFUNCTION("""COMPUTED_VALUE"""),"Europe (excluding UK) &amp; Asia Pacific")</f>
        <v>Europe (excluding UK) &amp; Asia Pacific</v>
      </c>
      <c r="D927" s="258" t="str">
        <f>IFERROR(__xludf.DUMMYFUNCTION("""COMPUTED_VALUE"""),"km. My car displays range in kilometres and I will enter all range numbers in kilometres.")</f>
        <v>km. My car displays range in kilometres and I will enter all range numbers in kilometres.</v>
      </c>
      <c r="E927" s="259">
        <f>IFERROR(__xludf.DUMMYFUNCTION("""COMPUTED_VALUE"""),41724.0)</f>
        <v>41724</v>
      </c>
      <c r="F927" s="258" t="str">
        <f>IFERROR(__xludf.DUMMYFUNCTION("""COMPUTED_VALUE"""),"Model S P85")</f>
        <v>Model S P85</v>
      </c>
      <c r="G927" s="258" t="str">
        <f>IFERROR(__xludf.DUMMYFUNCTION("""COMPUTED_VALUE"""),"Monthly")</f>
        <v>Monthly</v>
      </c>
      <c r="H927" s="258" t="str">
        <f>IFERROR(__xludf.DUMMYFUNCTION("""COMPUTED_VALUE"""),"A few times a year")</f>
        <v>A few times a year</v>
      </c>
      <c r="I927" s="258" t="str">
        <f>IFERROR(__xludf.DUMMYFUNCTION("""COMPUTED_VALUE"""),"Never")</f>
        <v>Never</v>
      </c>
      <c r="J927" s="260" t="str">
        <f>IFERROR(__xludf.DUMMYFUNCTION("""COMPUTED_VALUE"""),"")</f>
        <v/>
      </c>
      <c r="K927" s="258" t="str">
        <f>IFERROR(__xludf.DUMMYFUNCTION("""COMPUTED_VALUE"""),"")</f>
        <v/>
      </c>
      <c r="L927" s="258" t="str">
        <f>IFERROR(__xludf.DUMMYFUNCTION("""COMPUTED_VALUE"""),"")</f>
        <v/>
      </c>
      <c r="M927" s="261">
        <f>IFERROR(__xludf.DUMMYFUNCTION("""COMPUTED_VALUE"""),167.0)</f>
        <v>167</v>
      </c>
      <c r="N927" s="262" t="str">
        <f>IFERROR(__xludf.DUMMYFUNCTION("""COMPUTED_VALUE"""),"")</f>
        <v/>
      </c>
      <c r="O927" s="259" t="str">
        <f>IFERROR(__xludf.DUMMYFUNCTION("""COMPUTED_VALUE"""),"")</f>
        <v/>
      </c>
      <c r="P927" s="259">
        <f>IFERROR(__xludf.DUMMYFUNCTION("""COMPUTED_VALUE"""),41978.0)</f>
        <v>41978</v>
      </c>
      <c r="Q927" s="258">
        <f>IFERROR(__xludf.DUMMYFUNCTION("""COMPUTED_VALUE"""),24325.0)</f>
        <v>24325</v>
      </c>
      <c r="R927" s="261">
        <f>IFERROR(__xludf.DUMMYFUNCTION("""COMPUTED_VALUE"""),387.0)</f>
        <v>387</v>
      </c>
      <c r="S927" s="258">
        <v>395.0</v>
      </c>
      <c r="T927" s="263">
        <v>0.979746835443038</v>
      </c>
      <c r="U927" s="264">
        <v>15115.0</v>
      </c>
      <c r="V927" s="265">
        <v>24325.0</v>
      </c>
      <c r="W927" s="264">
        <v>15115.0</v>
      </c>
      <c r="X927" s="266"/>
      <c r="Y927" s="267">
        <v>-0.01</v>
      </c>
      <c r="Z927" s="267">
        <v>0.9713493769173142</v>
      </c>
      <c r="AA927" s="269"/>
      <c r="AB927" s="270"/>
      <c r="AC927" s="270"/>
      <c r="AD927" s="270"/>
      <c r="AE927" s="270"/>
    </row>
    <row r="928">
      <c r="A928" s="256">
        <f>IFERROR(__xludf.DUMMYFUNCTION("""COMPUTED_VALUE"""),42079.084027777775)</f>
        <v>42079.08403</v>
      </c>
      <c r="B928" s="257" t="str">
        <f>IFERROR(__xludf.DUMMYFUNCTION("""COMPUTED_VALUE"""),"KrisB")</f>
        <v>KrisB</v>
      </c>
      <c r="C928" s="258" t="str">
        <f>IFERROR(__xludf.DUMMYFUNCTION("""COMPUTED_VALUE"""),"Europe (excluding UK) &amp; Asia Pacific")</f>
        <v>Europe (excluding UK) &amp; Asia Pacific</v>
      </c>
      <c r="D928" s="258" t="str">
        <f>IFERROR(__xludf.DUMMYFUNCTION("""COMPUTED_VALUE"""),"km. My car displays range in kilometres and I will enter all range numbers in kilometres.")</f>
        <v>km. My car displays range in kilometres and I will enter all range numbers in kilometres.</v>
      </c>
      <c r="E928" s="259">
        <f>IFERROR(__xludf.DUMMYFUNCTION("""COMPUTED_VALUE"""),41724.0)</f>
        <v>41724</v>
      </c>
      <c r="F928" s="258" t="str">
        <f>IFERROR(__xludf.DUMMYFUNCTION("""COMPUTED_VALUE"""),"Model S P85")</f>
        <v>Model S P85</v>
      </c>
      <c r="G928" s="258" t="str">
        <f>IFERROR(__xludf.DUMMYFUNCTION("""COMPUTED_VALUE"""),"Twice a month")</f>
        <v>Twice a month</v>
      </c>
      <c r="H928" s="258" t="str">
        <f>IFERROR(__xludf.DUMMYFUNCTION("""COMPUTED_VALUE"""),"A few times a year")</f>
        <v>A few times a year</v>
      </c>
      <c r="I928" s="258" t="str">
        <f>IFERROR(__xludf.DUMMYFUNCTION("""COMPUTED_VALUE"""),"Never")</f>
        <v>Never</v>
      </c>
      <c r="J928" s="260" t="str">
        <f>IFERROR(__xludf.DUMMYFUNCTION("""COMPUTED_VALUE"""),"")</f>
        <v/>
      </c>
      <c r="K928" s="258" t="str">
        <f>IFERROR(__xludf.DUMMYFUNCTION("""COMPUTED_VALUE"""),"")</f>
        <v/>
      </c>
      <c r="L928" s="258" t="str">
        <f>IFERROR(__xludf.DUMMYFUNCTION("""COMPUTED_VALUE"""),"")</f>
        <v/>
      </c>
      <c r="M928" s="261">
        <f>IFERROR(__xludf.DUMMYFUNCTION("""COMPUTED_VALUE"""),173.0)</f>
        <v>173</v>
      </c>
      <c r="N928" s="262" t="str">
        <f>IFERROR(__xludf.DUMMYFUNCTION("""COMPUTED_VALUE"""),"")</f>
        <v/>
      </c>
      <c r="O928" s="259" t="str">
        <f>IFERROR(__xludf.DUMMYFUNCTION("""COMPUTED_VALUE"""),"")</f>
        <v/>
      </c>
      <c r="P928" s="259">
        <f>IFERROR(__xludf.DUMMYFUNCTION("""COMPUTED_VALUE"""),42079.0)</f>
        <v>42079</v>
      </c>
      <c r="Q928" s="258">
        <f>IFERROR(__xludf.DUMMYFUNCTION("""COMPUTED_VALUE"""),33240.0)</f>
        <v>33240</v>
      </c>
      <c r="R928" s="261">
        <f>IFERROR(__xludf.DUMMYFUNCTION("""COMPUTED_VALUE"""),383.0)</f>
        <v>383</v>
      </c>
      <c r="S928" s="258">
        <v>395.0</v>
      </c>
      <c r="T928" s="263">
        <v>0.9696202531645569</v>
      </c>
      <c r="U928" s="264">
        <v>20654.0</v>
      </c>
      <c r="V928" s="265">
        <v>33240.0</v>
      </c>
      <c r="W928" s="264">
        <v>20654.0</v>
      </c>
      <c r="X928" s="266"/>
      <c r="Y928" s="267">
        <v>-0.01</v>
      </c>
      <c r="Z928" s="267">
        <v>0.9662998854500484</v>
      </c>
      <c r="AA928" s="269"/>
      <c r="AB928" s="270"/>
      <c r="AC928" s="270"/>
      <c r="AD928" s="270"/>
      <c r="AE928" s="270"/>
    </row>
    <row r="929">
      <c r="A929" s="256">
        <f>IFERROR(__xludf.DUMMYFUNCTION("""COMPUTED_VALUE"""),42114.10277777778)</f>
        <v>42114.10278</v>
      </c>
      <c r="B929" s="257" t="str">
        <f>IFERROR(__xludf.DUMMYFUNCTION("""COMPUTED_VALUE"""),"KrisB")</f>
        <v>KrisB</v>
      </c>
      <c r="C929" s="258" t="str">
        <f>IFERROR(__xludf.DUMMYFUNCTION("""COMPUTED_VALUE"""),"Europe (excluding UK) &amp; Asia Pacific")</f>
        <v>Europe (excluding UK) &amp; Asia Pacific</v>
      </c>
      <c r="D929" s="258" t="str">
        <f>IFERROR(__xludf.DUMMYFUNCTION("""COMPUTED_VALUE"""),"km. My car displays range in kilometres and I will enter all range numbers in kilometres.")</f>
        <v>km. My car displays range in kilometres and I will enter all range numbers in kilometres.</v>
      </c>
      <c r="E929" s="259">
        <f>IFERROR(__xludf.DUMMYFUNCTION("""COMPUTED_VALUE"""),41724.0)</f>
        <v>41724</v>
      </c>
      <c r="F929" s="258" t="str">
        <f>IFERROR(__xludf.DUMMYFUNCTION("""COMPUTED_VALUE"""),"Model S P85")</f>
        <v>Model S P85</v>
      </c>
      <c r="G929" s="258" t="str">
        <f>IFERROR(__xludf.DUMMYFUNCTION("""COMPUTED_VALUE"""),"Twice a month")</f>
        <v>Twice a month</v>
      </c>
      <c r="H929" s="258" t="str">
        <f>IFERROR(__xludf.DUMMYFUNCTION("""COMPUTED_VALUE"""),"A few times a year")</f>
        <v>A few times a year</v>
      </c>
      <c r="I929" s="258" t="str">
        <f>IFERROR(__xludf.DUMMYFUNCTION("""COMPUTED_VALUE"""),"Never")</f>
        <v>Never</v>
      </c>
      <c r="J929" s="260" t="str">
        <f>IFERROR(__xludf.DUMMYFUNCTION("""COMPUTED_VALUE"""),"")</f>
        <v/>
      </c>
      <c r="K929" s="258" t="str">
        <f>IFERROR(__xludf.DUMMYFUNCTION("""COMPUTED_VALUE"""),"")</f>
        <v/>
      </c>
      <c r="L929" s="258" t="str">
        <f>IFERROR(__xludf.DUMMYFUNCTION("""COMPUTED_VALUE"""),"")</f>
        <v/>
      </c>
      <c r="M929" s="261">
        <f>IFERROR(__xludf.DUMMYFUNCTION("""COMPUTED_VALUE"""),173.0)</f>
        <v>173</v>
      </c>
      <c r="N929" s="262" t="str">
        <f>IFERROR(__xludf.DUMMYFUNCTION("""COMPUTED_VALUE"""),"")</f>
        <v/>
      </c>
      <c r="O929" s="259" t="str">
        <f>IFERROR(__xludf.DUMMYFUNCTION("""COMPUTED_VALUE"""),"")</f>
        <v/>
      </c>
      <c r="P929" s="259">
        <f>IFERROR(__xludf.DUMMYFUNCTION("""COMPUTED_VALUE"""),42114.0)</f>
        <v>42114</v>
      </c>
      <c r="Q929" s="258">
        <f>IFERROR(__xludf.DUMMYFUNCTION("""COMPUTED_VALUE"""),35350.0)</f>
        <v>35350</v>
      </c>
      <c r="R929" s="261">
        <f>IFERROR(__xludf.DUMMYFUNCTION("""COMPUTED_VALUE"""),383.0)</f>
        <v>383</v>
      </c>
      <c r="S929" s="258">
        <v>395.0</v>
      </c>
      <c r="T929" s="263">
        <v>0.9696202531645569</v>
      </c>
      <c r="U929" s="264">
        <v>21965.0</v>
      </c>
      <c r="V929" s="265">
        <v>35350.0</v>
      </c>
      <c r="W929" s="264">
        <v>21965.0</v>
      </c>
      <c r="X929" s="266"/>
      <c r="Y929" s="267">
        <v>-0.01</v>
      </c>
      <c r="Z929" s="267">
        <v>0.9653044281271119</v>
      </c>
      <c r="AA929" s="269"/>
      <c r="AB929" s="270"/>
      <c r="AC929" s="270"/>
      <c r="AD929" s="270"/>
      <c r="AE929" s="270"/>
    </row>
    <row r="930">
      <c r="A930" s="256">
        <f>IFERROR(__xludf.DUMMYFUNCTION("""COMPUTED_VALUE"""),42168.14027777778)</f>
        <v>42168.14028</v>
      </c>
      <c r="B930" s="257" t="str">
        <f>IFERROR(__xludf.DUMMYFUNCTION("""COMPUTED_VALUE"""),"KrisB")</f>
        <v>KrisB</v>
      </c>
      <c r="C930" s="258" t="str">
        <f>IFERROR(__xludf.DUMMYFUNCTION("""COMPUTED_VALUE"""),"Europe (excluding UK) &amp; Asia Pacific")</f>
        <v>Europe (excluding UK) &amp; Asia Pacific</v>
      </c>
      <c r="D930" s="258" t="str">
        <f>IFERROR(__xludf.DUMMYFUNCTION("""COMPUTED_VALUE"""),"km. My car displays range in kilometres and I will enter all range numbers in kilometres.")</f>
        <v>km. My car displays range in kilometres and I will enter all range numbers in kilometres.</v>
      </c>
      <c r="E930" s="259">
        <f>IFERROR(__xludf.DUMMYFUNCTION("""COMPUTED_VALUE"""),41724.0)</f>
        <v>41724</v>
      </c>
      <c r="F930" s="258" t="str">
        <f>IFERROR(__xludf.DUMMYFUNCTION("""COMPUTED_VALUE"""),"Model S P85")</f>
        <v>Model S P85</v>
      </c>
      <c r="G930" s="258" t="str">
        <f>IFERROR(__xludf.DUMMYFUNCTION("""COMPUTED_VALUE"""),"Twice a month")</f>
        <v>Twice a month</v>
      </c>
      <c r="H930" s="258" t="str">
        <f>IFERROR(__xludf.DUMMYFUNCTION("""COMPUTED_VALUE"""),"A few times a year")</f>
        <v>A few times a year</v>
      </c>
      <c r="I930" s="258" t="str">
        <f>IFERROR(__xludf.DUMMYFUNCTION("""COMPUTED_VALUE"""),"Never")</f>
        <v>Never</v>
      </c>
      <c r="J930" s="260">
        <f>IFERROR(__xludf.DUMMYFUNCTION("""COMPUTED_VALUE"""),0.8)</f>
        <v>0.8</v>
      </c>
      <c r="K930" s="258" t="str">
        <f>IFERROR(__xludf.DUMMYFUNCTION("""COMPUTED_VALUE"""),"")</f>
        <v/>
      </c>
      <c r="L930" s="258" t="str">
        <f>IFERROR(__xludf.DUMMYFUNCTION("""COMPUTED_VALUE"""),"")</f>
        <v/>
      </c>
      <c r="M930" s="261">
        <f>IFERROR(__xludf.DUMMYFUNCTION("""COMPUTED_VALUE"""),173.0)</f>
        <v>173</v>
      </c>
      <c r="N930" s="262" t="str">
        <f>IFERROR(__xludf.DUMMYFUNCTION("""COMPUTED_VALUE"""),"")</f>
        <v/>
      </c>
      <c r="O930" s="259" t="str">
        <f>IFERROR(__xludf.DUMMYFUNCTION("""COMPUTED_VALUE"""),"")</f>
        <v/>
      </c>
      <c r="P930" s="259">
        <f>IFERROR(__xludf.DUMMYFUNCTION("""COMPUTED_VALUE"""),42168.0)</f>
        <v>42168</v>
      </c>
      <c r="Q930" s="258">
        <f>IFERROR(__xludf.DUMMYFUNCTION("""COMPUTED_VALUE"""),38128.0)</f>
        <v>38128</v>
      </c>
      <c r="R930" s="261">
        <f>IFERROR(__xludf.DUMMYFUNCTION("""COMPUTED_VALUE"""),384.0)</f>
        <v>384</v>
      </c>
      <c r="S930" s="258">
        <v>395.0</v>
      </c>
      <c r="T930" s="263">
        <v>0.9721518987341772</v>
      </c>
      <c r="U930" s="264">
        <v>23692.0</v>
      </c>
      <c r="V930" s="265">
        <v>38128.0</v>
      </c>
      <c r="W930" s="264">
        <v>23692.0</v>
      </c>
      <c r="X930" s="266"/>
      <c r="Y930" s="267">
        <v>-0.01</v>
      </c>
      <c r="Z930" s="267">
        <v>0.9640822845985698</v>
      </c>
      <c r="AA930" s="269"/>
      <c r="AB930" s="270"/>
      <c r="AC930" s="270"/>
      <c r="AD930" s="270"/>
      <c r="AE930" s="270"/>
    </row>
    <row r="931">
      <c r="A931" s="256">
        <f>IFERROR(__xludf.DUMMYFUNCTION("""COMPUTED_VALUE"""),42217.149305555555)</f>
        <v>42217.14931</v>
      </c>
      <c r="B931" s="257" t="str">
        <f>IFERROR(__xludf.DUMMYFUNCTION("""COMPUTED_VALUE"""),"KrisB")</f>
        <v>KrisB</v>
      </c>
      <c r="C931" s="258" t="str">
        <f>IFERROR(__xludf.DUMMYFUNCTION("""COMPUTED_VALUE"""),"Europe (excluding UK) &amp; Asia Pacific")</f>
        <v>Europe (excluding UK) &amp; Asia Pacific</v>
      </c>
      <c r="D931" s="258" t="str">
        <f>IFERROR(__xludf.DUMMYFUNCTION("""COMPUTED_VALUE"""),"km. My car displays range in kilometres and I will enter all range numbers in kilometres.")</f>
        <v>km. My car displays range in kilometres and I will enter all range numbers in kilometres.</v>
      </c>
      <c r="E931" s="259">
        <f>IFERROR(__xludf.DUMMYFUNCTION("""COMPUTED_VALUE"""),41724.0)</f>
        <v>41724</v>
      </c>
      <c r="F931" s="258" t="str">
        <f>IFERROR(__xludf.DUMMYFUNCTION("""COMPUTED_VALUE"""),"Model S P85")</f>
        <v>Model S P85</v>
      </c>
      <c r="G931" s="258" t="str">
        <f>IFERROR(__xludf.DUMMYFUNCTION("""COMPUTED_VALUE"""),"Twice a month")</f>
        <v>Twice a month</v>
      </c>
      <c r="H931" s="258" t="str">
        <f>IFERROR(__xludf.DUMMYFUNCTION("""COMPUTED_VALUE"""),"A few times a year")</f>
        <v>A few times a year</v>
      </c>
      <c r="I931" s="258" t="str">
        <f>IFERROR(__xludf.DUMMYFUNCTION("""COMPUTED_VALUE"""),"Never")</f>
        <v>Never</v>
      </c>
      <c r="J931" s="260">
        <f>IFERROR(__xludf.DUMMYFUNCTION("""COMPUTED_VALUE"""),0.8)</f>
        <v>0.8</v>
      </c>
      <c r="K931" s="258" t="str">
        <f>IFERROR(__xludf.DUMMYFUNCTION("""COMPUTED_VALUE"""),"")</f>
        <v/>
      </c>
      <c r="L931" s="258" t="str">
        <f>IFERROR(__xludf.DUMMYFUNCTION("""COMPUTED_VALUE"""),"")</f>
        <v/>
      </c>
      <c r="M931" s="261">
        <f>IFERROR(__xludf.DUMMYFUNCTION("""COMPUTED_VALUE"""),171.0)</f>
        <v>171</v>
      </c>
      <c r="N931" s="262" t="str">
        <f>IFERROR(__xludf.DUMMYFUNCTION("""COMPUTED_VALUE"""),"")</f>
        <v/>
      </c>
      <c r="O931" s="259" t="str">
        <f>IFERROR(__xludf.DUMMYFUNCTION("""COMPUTED_VALUE"""),"")</f>
        <v/>
      </c>
      <c r="P931" s="259">
        <f>IFERROR(__xludf.DUMMYFUNCTION("""COMPUTED_VALUE"""),42217.0)</f>
        <v>42217</v>
      </c>
      <c r="Q931" s="258">
        <f>IFERROR(__xludf.DUMMYFUNCTION("""COMPUTED_VALUE"""),41924.0)</f>
        <v>41924</v>
      </c>
      <c r="R931" s="261">
        <f>IFERROR(__xludf.DUMMYFUNCTION("""COMPUTED_VALUE"""),384.0)</f>
        <v>384</v>
      </c>
      <c r="S931" s="258">
        <v>395.0</v>
      </c>
      <c r="T931" s="263">
        <v>0.9721518987341772</v>
      </c>
      <c r="U931" s="264">
        <v>26050.0</v>
      </c>
      <c r="V931" s="265">
        <v>41924.0</v>
      </c>
      <c r="W931" s="264">
        <v>26050.0</v>
      </c>
      <c r="X931" s="266"/>
      <c r="Y931" s="267">
        <v>-0.01</v>
      </c>
      <c r="Z931" s="267">
        <v>0.9625498671379773</v>
      </c>
      <c r="AA931" s="269"/>
      <c r="AB931" s="270"/>
      <c r="AC931" s="270"/>
      <c r="AD931" s="270"/>
      <c r="AE931" s="270"/>
    </row>
    <row r="932">
      <c r="A932" s="256">
        <f>IFERROR(__xludf.DUMMYFUNCTION("""COMPUTED_VALUE"""),42461.319444444445)</f>
        <v>42461.31944</v>
      </c>
      <c r="B932" s="257" t="str">
        <f>IFERROR(__xludf.DUMMYFUNCTION("""COMPUTED_VALUE"""),"KrisB")</f>
        <v>KrisB</v>
      </c>
      <c r="C932" s="258" t="str">
        <f>IFERROR(__xludf.DUMMYFUNCTION("""COMPUTED_VALUE"""),"Europe (excluding UK) &amp; Asia Pacific")</f>
        <v>Europe (excluding UK) &amp; Asia Pacific</v>
      </c>
      <c r="D932" s="258" t="str">
        <f>IFERROR(__xludf.DUMMYFUNCTION("""COMPUTED_VALUE"""),"km. My car displays range in kilometres and I will enter all range numbers in kilometres.")</f>
        <v>km. My car displays range in kilometres and I will enter all range numbers in kilometres.</v>
      </c>
      <c r="E932" s="259">
        <f>IFERROR(__xludf.DUMMYFUNCTION("""COMPUTED_VALUE"""),41724.0)</f>
        <v>41724</v>
      </c>
      <c r="F932" s="258" t="str">
        <f>IFERROR(__xludf.DUMMYFUNCTION("""COMPUTED_VALUE"""),"Model S P85")</f>
        <v>Model S P85</v>
      </c>
      <c r="G932" s="258" t="str">
        <f>IFERROR(__xludf.DUMMYFUNCTION("""COMPUTED_VALUE"""),"Monthly")</f>
        <v>Monthly</v>
      </c>
      <c r="H932" s="258" t="str">
        <f>IFERROR(__xludf.DUMMYFUNCTION("""COMPUTED_VALUE"""),"A few times a year")</f>
        <v>A few times a year</v>
      </c>
      <c r="I932" s="258" t="str">
        <f>IFERROR(__xludf.DUMMYFUNCTION("""COMPUTED_VALUE"""),"Once or twice a year")</f>
        <v>Once or twice a year</v>
      </c>
      <c r="J932" s="260">
        <f>IFERROR(__xludf.DUMMYFUNCTION("""COMPUTED_VALUE"""),0.8)</f>
        <v>0.8</v>
      </c>
      <c r="K932" s="258" t="str">
        <f>IFERROR(__xludf.DUMMYFUNCTION("""COMPUTED_VALUE"""),"")</f>
        <v/>
      </c>
      <c r="L932" s="258" t="str">
        <f>IFERROR(__xludf.DUMMYFUNCTION("""COMPUTED_VALUE"""),"")</f>
        <v/>
      </c>
      <c r="M932" s="261">
        <f>IFERROR(__xludf.DUMMYFUNCTION("""COMPUTED_VALUE"""),171.0)</f>
        <v>171</v>
      </c>
      <c r="N932" s="262" t="str">
        <f>IFERROR(__xludf.DUMMYFUNCTION("""COMPUTED_VALUE"""),"")</f>
        <v/>
      </c>
      <c r="O932" s="259" t="str">
        <f>IFERROR(__xludf.DUMMYFUNCTION("""COMPUTED_VALUE"""),"")</f>
        <v/>
      </c>
      <c r="P932" s="259">
        <f>IFERROR(__xludf.DUMMYFUNCTION("""COMPUTED_VALUE"""),42461.0)</f>
        <v>42461</v>
      </c>
      <c r="Q932" s="258">
        <f>IFERROR(__xludf.DUMMYFUNCTION("""COMPUTED_VALUE"""),54700.0)</f>
        <v>54700</v>
      </c>
      <c r="R932" s="261">
        <f>IFERROR(__xludf.DUMMYFUNCTION("""COMPUTED_VALUE"""),384.0)</f>
        <v>384</v>
      </c>
      <c r="S932" s="258">
        <v>395.0</v>
      </c>
      <c r="T932" s="263">
        <v>0.9721518987341772</v>
      </c>
      <c r="U932" s="264">
        <v>33989.0</v>
      </c>
      <c r="V932" s="265">
        <v>54700.0</v>
      </c>
      <c r="W932" s="264">
        <v>33989.0</v>
      </c>
      <c r="X932" s="266"/>
      <c r="Y932" s="267">
        <v>-0.01</v>
      </c>
      <c r="Z932" s="267">
        <v>0.9582086986220509</v>
      </c>
      <c r="AA932" s="269"/>
      <c r="AB932" s="270"/>
      <c r="AC932" s="270"/>
      <c r="AD932" s="270"/>
      <c r="AE932" s="270"/>
    </row>
    <row r="933">
      <c r="A933" s="256">
        <f>IFERROR(__xludf.DUMMYFUNCTION("""COMPUTED_VALUE"""),42969.584027777775)</f>
        <v>42969.58403</v>
      </c>
      <c r="B933" s="257" t="str">
        <f>IFERROR(__xludf.DUMMYFUNCTION("""COMPUTED_VALUE"""),"KRM")</f>
        <v>KRM</v>
      </c>
      <c r="C933" s="258" t="str">
        <f>IFERROR(__xludf.DUMMYFUNCTION("""COMPUTED_VALUE"""),"Europe (excluding UK) &amp; Asia Pacific")</f>
        <v>Europe (excluding UK) &amp; Asia Pacific</v>
      </c>
      <c r="D933" s="258" t="str">
        <f>IFERROR(__xludf.DUMMYFUNCTION("""COMPUTED_VALUE"""),"km. My car displays range in kilometres and I will enter all range numbers in kilometres.")</f>
        <v>km. My car displays range in kilometres and I will enter all range numbers in kilometres.</v>
      </c>
      <c r="E933" s="259">
        <f>IFERROR(__xludf.DUMMYFUNCTION("""COMPUTED_VALUE"""),41820.0)</f>
        <v>41820</v>
      </c>
      <c r="F933" s="258" t="str">
        <f>IFERROR(__xludf.DUMMYFUNCTION("""COMPUTED_VALUE"""),"Model S P85")</f>
        <v>Model S P85</v>
      </c>
      <c r="G933" s="258" t="str">
        <f>IFERROR(__xludf.DUMMYFUNCTION("""COMPUTED_VALUE"""),"A few times a year")</f>
        <v>A few times a year</v>
      </c>
      <c r="H933" s="258" t="str">
        <f>IFERROR(__xludf.DUMMYFUNCTION("""COMPUTED_VALUE"""),"A few times a year")</f>
        <v>A few times a year</v>
      </c>
      <c r="I933" s="258" t="str">
        <f>IFERROR(__xludf.DUMMYFUNCTION("""COMPUTED_VALUE"""),"Once or twice a year")</f>
        <v>Once or twice a year</v>
      </c>
      <c r="J933" s="260">
        <f>IFERROR(__xludf.DUMMYFUNCTION("""COMPUTED_VALUE"""),0.8)</f>
        <v>0.8</v>
      </c>
      <c r="K933" s="258" t="str">
        <f>IFERROR(__xludf.DUMMYFUNCTION("""COMPUTED_VALUE"""),"")</f>
        <v/>
      </c>
      <c r="L933" s="258" t="str">
        <f>IFERROR(__xludf.DUMMYFUNCTION("""COMPUTED_VALUE"""),"")</f>
        <v/>
      </c>
      <c r="M933" s="261">
        <f>IFERROR(__xludf.DUMMYFUNCTION("""COMPUTED_VALUE"""),205.0)</f>
        <v>205</v>
      </c>
      <c r="N933" s="262" t="str">
        <f>IFERROR(__xludf.DUMMYFUNCTION("""COMPUTED_VALUE"""),"")</f>
        <v/>
      </c>
      <c r="O933" s="259" t="str">
        <f>IFERROR(__xludf.DUMMYFUNCTION("""COMPUTED_VALUE"""),"")</f>
        <v/>
      </c>
      <c r="P933" s="259">
        <f>IFERROR(__xludf.DUMMYFUNCTION("""COMPUTED_VALUE"""),42969.0)</f>
        <v>42969</v>
      </c>
      <c r="Q933" s="258">
        <f>IFERROR(__xludf.DUMMYFUNCTION("""COMPUTED_VALUE"""),73397.0)</f>
        <v>73397</v>
      </c>
      <c r="R933" s="261">
        <f>IFERROR(__xludf.DUMMYFUNCTION("""COMPUTED_VALUE"""),379.0)</f>
        <v>379</v>
      </c>
      <c r="S933" s="258">
        <v>395.0</v>
      </c>
      <c r="T933" s="263">
        <v>0.959493670886076</v>
      </c>
      <c r="U933" s="264">
        <v>45607.0</v>
      </c>
      <c r="V933" s="265">
        <v>73397.0</v>
      </c>
      <c r="W933" s="264">
        <v>45607.0</v>
      </c>
      <c r="X933" s="266"/>
      <c r="Y933" s="267">
        <v>-0.01</v>
      </c>
      <c r="Z933" s="267">
        <v>0.9530574746293646</v>
      </c>
      <c r="AA933" s="269"/>
      <c r="AB933" s="270"/>
      <c r="AC933" s="270"/>
      <c r="AD933" s="270"/>
      <c r="AE933" s="270"/>
    </row>
    <row r="934">
      <c r="A934" s="256">
        <f>IFERROR(__xludf.DUMMYFUNCTION("""COMPUTED_VALUE"""),43669.93807462963)</f>
        <v>43669.93807</v>
      </c>
      <c r="B934" s="257" t="str">
        <f>IFERROR(__xludf.DUMMYFUNCTION("""COMPUTED_VALUE"""),"Krm")</f>
        <v>Krm</v>
      </c>
      <c r="C934" s="258" t="str">
        <f>IFERROR(__xludf.DUMMYFUNCTION("""COMPUTED_VALUE"""),"Europe (excluding UK) &amp; Asia Pacific")</f>
        <v>Europe (excluding UK) &amp; Asia Pacific</v>
      </c>
      <c r="D934" s="258" t="str">
        <f>IFERROR(__xludf.DUMMYFUNCTION("""COMPUTED_VALUE"""),"km. My car displays range in kilometres and I will enter all range numbers in kilometres.")</f>
        <v>km. My car displays range in kilometres and I will enter all range numbers in kilometres.</v>
      </c>
      <c r="E934" s="259">
        <f>IFERROR(__xludf.DUMMYFUNCTION("""COMPUTED_VALUE"""),41760.0)</f>
        <v>41760</v>
      </c>
      <c r="F934" s="258" t="str">
        <f>IFERROR(__xludf.DUMMYFUNCTION("""COMPUTED_VALUE"""),"Model S P85")</f>
        <v>Model S P85</v>
      </c>
      <c r="G934" s="258" t="str">
        <f>IFERROR(__xludf.DUMMYFUNCTION("""COMPUTED_VALUE"""),"A few times a year")</f>
        <v>A few times a year</v>
      </c>
      <c r="H934" s="258" t="str">
        <f>IFERROR(__xludf.DUMMYFUNCTION("""COMPUTED_VALUE"""),"A few times a year")</f>
        <v>A few times a year</v>
      </c>
      <c r="I934" s="258" t="str">
        <f>IFERROR(__xludf.DUMMYFUNCTION("""COMPUTED_VALUE"""),"Daily")</f>
        <v>Daily</v>
      </c>
      <c r="J934" s="260">
        <f>IFERROR(__xludf.DUMMYFUNCTION("""COMPUTED_VALUE"""),0.7)</f>
        <v>0.7</v>
      </c>
      <c r="K934" s="258" t="str">
        <f>IFERROR(__xludf.DUMMYFUNCTION("""COMPUTED_VALUE"""),"")</f>
        <v/>
      </c>
      <c r="L934" s="258" t="str">
        <f>IFERROR(__xludf.DUMMYFUNCTION("""COMPUTED_VALUE"""),"")</f>
        <v/>
      </c>
      <c r="M934" s="261">
        <f>IFERROR(__xludf.DUMMYFUNCTION("""COMPUTED_VALUE"""),217.0)</f>
        <v>217</v>
      </c>
      <c r="N934" s="262" t="str">
        <f>IFERROR(__xludf.DUMMYFUNCTION("""COMPUTED_VALUE"""),"")</f>
        <v/>
      </c>
      <c r="O934" s="259" t="str">
        <f>IFERROR(__xludf.DUMMYFUNCTION("""COMPUTED_VALUE"""),"")</f>
        <v/>
      </c>
      <c r="P934" s="259">
        <f>IFERROR(__xludf.DUMMYFUNCTION("""COMPUTED_VALUE"""),43667.0)</f>
        <v>43667</v>
      </c>
      <c r="Q934" s="258">
        <f>IFERROR(__xludf.DUMMYFUNCTION("""COMPUTED_VALUE"""),116000.0)</f>
        <v>116000</v>
      </c>
      <c r="R934" s="261">
        <f>IFERROR(__xludf.DUMMYFUNCTION("""COMPUTED_VALUE"""),372.0)</f>
        <v>372</v>
      </c>
      <c r="S934" s="258">
        <v>395.0</v>
      </c>
      <c r="T934" s="263">
        <v>0.9417721518987342</v>
      </c>
      <c r="U934" s="264">
        <v>72079.0</v>
      </c>
      <c r="V934" s="265">
        <v>116000.0</v>
      </c>
      <c r="W934" s="264">
        <v>72079.0</v>
      </c>
      <c r="X934" s="266"/>
      <c r="Y934" s="267">
        <v>-0.01</v>
      </c>
      <c r="Z934" s="267">
        <v>0.9428402928419778</v>
      </c>
      <c r="AA934" s="269"/>
      <c r="AB934" s="270"/>
      <c r="AC934" s="270"/>
      <c r="AD934" s="270"/>
      <c r="AE934" s="270"/>
    </row>
    <row r="935">
      <c r="A935" s="256">
        <f>IFERROR(__xludf.DUMMYFUNCTION("""COMPUTED_VALUE"""),43817.49871987268)</f>
        <v>43817.49872</v>
      </c>
      <c r="B935" s="257" t="str">
        <f>IFERROR(__xludf.DUMMYFUNCTION("""COMPUTED_VALUE"""),"ku7")</f>
        <v>ku7</v>
      </c>
      <c r="C935" s="258" t="str">
        <f>IFERROR(__xludf.DUMMYFUNCTION("""COMPUTED_VALUE"""),"Europe (excluding UK) &amp; Asia Pacific")</f>
        <v>Europe (excluding UK) &amp; Asia Pacific</v>
      </c>
      <c r="D935" s="258" t="str">
        <f>IFERROR(__xludf.DUMMYFUNCTION("""COMPUTED_VALUE"""),"km. My car displays range in kilometres and I will enter all range numbers in kilometres.")</f>
        <v>km. My car displays range in kilometres and I will enter all range numbers in kilometres.</v>
      </c>
      <c r="E935" s="259">
        <f>IFERROR(__xludf.DUMMYFUNCTION("""COMPUTED_VALUE"""),43817.0)</f>
        <v>43817</v>
      </c>
      <c r="F935" s="258" t="str">
        <f>IFERROR(__xludf.DUMMYFUNCTION("""COMPUTED_VALUE"""),"Model 3 P")</f>
        <v>Model 3 P</v>
      </c>
      <c r="G935" s="258" t="str">
        <f>IFERROR(__xludf.DUMMYFUNCTION("""COMPUTED_VALUE"""),"Twice a month")</f>
        <v>Twice a month</v>
      </c>
      <c r="H935" s="258" t="str">
        <f>IFERROR(__xludf.DUMMYFUNCTION("""COMPUTED_VALUE"""),"Never")</f>
        <v>Never</v>
      </c>
      <c r="I935" s="258" t="str">
        <f>IFERROR(__xludf.DUMMYFUNCTION("""COMPUTED_VALUE"""),"Never")</f>
        <v>Never</v>
      </c>
      <c r="J935" s="260">
        <f>IFERROR(__xludf.DUMMYFUNCTION("""COMPUTED_VALUE"""),0.8)</f>
        <v>0.8</v>
      </c>
      <c r="K935" s="258">
        <f>IFERROR(__xludf.DUMMYFUNCTION("""COMPUTED_VALUE"""),497.0)</f>
        <v>497</v>
      </c>
      <c r="L935" s="258">
        <f>IFERROR(__xludf.DUMMYFUNCTION("""COMPUTED_VALUE"""),149.0)</f>
        <v>149</v>
      </c>
      <c r="M935" s="261">
        <f>IFERROR(__xludf.DUMMYFUNCTION("""COMPUTED_VALUE"""),169.0)</f>
        <v>169</v>
      </c>
      <c r="N935" s="262" t="str">
        <f>IFERROR(__xludf.DUMMYFUNCTION("""COMPUTED_VALUE"""),"")</f>
        <v/>
      </c>
      <c r="O935" s="259" t="str">
        <f>IFERROR(__xludf.DUMMYFUNCTION("""COMPUTED_VALUE"""),"")</f>
        <v/>
      </c>
      <c r="P935" s="259">
        <f>IFERROR(__xludf.DUMMYFUNCTION("""COMPUTED_VALUE"""),43815.0)</f>
        <v>43815</v>
      </c>
      <c r="Q935" s="258">
        <f>IFERROR(__xludf.DUMMYFUNCTION("""COMPUTED_VALUE"""),9800.0)</f>
        <v>9800</v>
      </c>
      <c r="R935" s="261">
        <f>IFERROR(__xludf.DUMMYFUNCTION("""COMPUTED_VALUE"""),488.0)</f>
        <v>488</v>
      </c>
      <c r="S935" s="258">
        <v>530.0</v>
      </c>
      <c r="T935" s="263">
        <v>0.9207547169811321</v>
      </c>
      <c r="U935" s="264">
        <v>6089.0</v>
      </c>
      <c r="V935" s="265">
        <v>9800.0</v>
      </c>
      <c r="W935" s="264">
        <v>6089.0</v>
      </c>
      <c r="X935" s="266"/>
      <c r="Y935" s="267">
        <v>-0.01</v>
      </c>
      <c r="Z935" s="267">
        <v>0.9845180386947259</v>
      </c>
      <c r="AA935" s="269"/>
      <c r="AB935" s="270"/>
      <c r="AC935" s="270"/>
      <c r="AD935" s="270"/>
      <c r="AE935" s="270"/>
    </row>
    <row r="936">
      <c r="A936" s="256">
        <f>IFERROR(__xludf.DUMMYFUNCTION("""COMPUTED_VALUE"""),43816.05202226852)</f>
        <v>43816.05202</v>
      </c>
      <c r="B936" s="257" t="str">
        <f>IFERROR(__xludf.DUMMYFUNCTION("""COMPUTED_VALUE"""),"kwdavids")</f>
        <v>kwdavids</v>
      </c>
      <c r="C936" s="258" t="str">
        <f>IFERROR(__xludf.DUMMYFUNCTION("""COMPUTED_VALUE"""),"USA")</f>
        <v>USA</v>
      </c>
      <c r="D936" s="258" t="str">
        <f>IFERROR(__xludf.DUMMYFUNCTION("""COMPUTED_VALUE"""),"mi. My car displays range in miles and I will enter all range numbers in miles.")</f>
        <v>mi. My car displays range in miles and I will enter all range numbers in miles.</v>
      </c>
      <c r="E936" s="259">
        <f>IFERROR(__xludf.DUMMYFUNCTION("""COMPUTED_VALUE"""),43296.0)</f>
        <v>43296</v>
      </c>
      <c r="F936" s="258" t="str">
        <f>IFERROR(__xludf.DUMMYFUNCTION("""COMPUTED_VALUE"""),"Model 3 LR")</f>
        <v>Model 3 LR</v>
      </c>
      <c r="G936" s="258" t="str">
        <f>IFERROR(__xludf.DUMMYFUNCTION("""COMPUTED_VALUE"""),"Monthly")</f>
        <v>Monthly</v>
      </c>
      <c r="H936" s="258" t="str">
        <f>IFERROR(__xludf.DUMMYFUNCTION("""COMPUTED_VALUE"""),"A few times a year")</f>
        <v>A few times a year</v>
      </c>
      <c r="I936" s="258" t="str">
        <f>IFERROR(__xludf.DUMMYFUNCTION("""COMPUTED_VALUE"""),"Never")</f>
        <v>Never</v>
      </c>
      <c r="J936" s="260">
        <f>IFERROR(__xludf.DUMMYFUNCTION("""COMPUTED_VALUE"""),0.8)</f>
        <v>0.8</v>
      </c>
      <c r="K936" s="258">
        <f>IFERROR(__xludf.DUMMYFUNCTION("""COMPUTED_VALUE"""),310.0)</f>
        <v>310</v>
      </c>
      <c r="L936" s="258" t="str">
        <f>IFERROR(__xludf.DUMMYFUNCTION("""COMPUTED_VALUE"""),"")</f>
        <v/>
      </c>
      <c r="M936" s="261">
        <f>IFERROR(__xludf.DUMMYFUNCTION("""COMPUTED_VALUE"""),240.0)</f>
        <v>240</v>
      </c>
      <c r="N936" s="262" t="str">
        <f>IFERROR(__xludf.DUMMYFUNCTION("""COMPUTED_VALUE"""),"")</f>
        <v/>
      </c>
      <c r="O936" s="259" t="str">
        <f>IFERROR(__xludf.DUMMYFUNCTION("""COMPUTED_VALUE"""),"")</f>
        <v/>
      </c>
      <c r="P936" s="259">
        <f>IFERROR(__xludf.DUMMYFUNCTION("""COMPUTED_VALUE"""),43815.0)</f>
        <v>43815</v>
      </c>
      <c r="Q936" s="258">
        <f>IFERROR(__xludf.DUMMYFUNCTION("""COMPUTED_VALUE"""),17243.0)</f>
        <v>17243</v>
      </c>
      <c r="R936" s="261">
        <f>IFERROR(__xludf.DUMMYFUNCTION("""COMPUTED_VALUE"""),296.0)</f>
        <v>296</v>
      </c>
      <c r="S936" s="258">
        <v>325.0</v>
      </c>
      <c r="T936" s="263">
        <v>0.9107692307692308</v>
      </c>
      <c r="U936" s="264">
        <v>17243.0</v>
      </c>
      <c r="V936" s="265">
        <v>27750.0</v>
      </c>
      <c r="W936" s="264">
        <v>17243.0</v>
      </c>
      <c r="X936" s="266"/>
      <c r="Y936" s="267">
        <v>-0.01</v>
      </c>
      <c r="Z936" s="267">
        <v>0.9692232377803327</v>
      </c>
      <c r="AA936" s="269"/>
      <c r="AB936" s="270"/>
      <c r="AC936" s="270"/>
      <c r="AD936" s="270"/>
      <c r="AE936" s="270"/>
    </row>
    <row r="937">
      <c r="A937" s="256">
        <f>IFERROR(__xludf.DUMMYFUNCTION("""COMPUTED_VALUE"""),41920.03055555555)</f>
        <v>41920.03056</v>
      </c>
      <c r="B937" s="257" t="str">
        <f>IFERROR(__xludf.DUMMYFUNCTION("""COMPUTED_VALUE"""),"kwenix")</f>
        <v>kwenix</v>
      </c>
      <c r="C937" s="258" t="str">
        <f>IFERROR(__xludf.DUMMYFUNCTION("""COMPUTED_VALUE"""),"Europe (excluding UK) &amp; Asia Pacific")</f>
        <v>Europe (excluding UK) &amp; Asia Pacific</v>
      </c>
      <c r="D937" s="258" t="str">
        <f>IFERROR(__xludf.DUMMYFUNCTION("""COMPUTED_VALUE"""),"km. My car displays range in kilometres and I will enter all range numbers in kilometres.")</f>
        <v>km. My car displays range in kilometres and I will enter all range numbers in kilometres.</v>
      </c>
      <c r="E937" s="259">
        <f>IFERROR(__xludf.DUMMYFUNCTION("""COMPUTED_VALUE"""),41639.0)</f>
        <v>41639</v>
      </c>
      <c r="F937" s="258" t="str">
        <f>IFERROR(__xludf.DUMMYFUNCTION("""COMPUTED_VALUE"""),"Unspecified 85 kWh")</f>
        <v>Unspecified 85 kWh</v>
      </c>
      <c r="G937" s="258" t="str">
        <f>IFERROR(__xludf.DUMMYFUNCTION("""COMPUTED_VALUE"""),"A few times a year")</f>
        <v>A few times a year</v>
      </c>
      <c r="H937" s="258" t="str">
        <f>IFERROR(__xludf.DUMMYFUNCTION("""COMPUTED_VALUE"""),"Twice a month")</f>
        <v>Twice a month</v>
      </c>
      <c r="I937" s="258" t="str">
        <f>IFERROR(__xludf.DUMMYFUNCTION("""COMPUTED_VALUE"""),"Never")</f>
        <v>Never</v>
      </c>
      <c r="J937" s="260" t="str">
        <f>IFERROR(__xludf.DUMMYFUNCTION("""COMPUTED_VALUE"""),"")</f>
        <v/>
      </c>
      <c r="K937" s="258" t="str">
        <f>IFERROR(__xludf.DUMMYFUNCTION("""COMPUTED_VALUE"""),"")</f>
        <v/>
      </c>
      <c r="L937" s="258" t="str">
        <f>IFERROR(__xludf.DUMMYFUNCTION("""COMPUTED_VALUE"""),"")</f>
        <v/>
      </c>
      <c r="M937" s="261">
        <f>IFERROR(__xludf.DUMMYFUNCTION("""COMPUTED_VALUE"""),214.0)</f>
        <v>214</v>
      </c>
      <c r="N937" s="262" t="str">
        <f>IFERROR(__xludf.DUMMYFUNCTION("""COMPUTED_VALUE"""),"")</f>
        <v/>
      </c>
      <c r="O937" s="259" t="str">
        <f>IFERROR(__xludf.DUMMYFUNCTION("""COMPUTED_VALUE"""),"")</f>
        <v/>
      </c>
      <c r="P937" s="259">
        <f>IFERROR(__xludf.DUMMYFUNCTION("""COMPUTED_VALUE"""),41920.0)</f>
        <v>41920</v>
      </c>
      <c r="Q937" s="258">
        <f>IFERROR(__xludf.DUMMYFUNCTION("""COMPUTED_VALUE"""),21845.0)</f>
        <v>21845</v>
      </c>
      <c r="R937" s="261">
        <f>IFERROR(__xludf.DUMMYFUNCTION("""COMPUTED_VALUE"""),394.0)</f>
        <v>394</v>
      </c>
      <c r="S937" s="258">
        <v>395.0</v>
      </c>
      <c r="T937" s="263">
        <v>0.9974683544303797</v>
      </c>
      <c r="U937" s="264">
        <v>13574.0</v>
      </c>
      <c r="V937" s="265">
        <v>21845.0</v>
      </c>
      <c r="W937" s="264">
        <v>13574.0</v>
      </c>
      <c r="X937" s="266"/>
      <c r="Y937" s="267">
        <v>-0.01</v>
      </c>
      <c r="Z937" s="267">
        <v>0.9730691713063946</v>
      </c>
      <c r="AA937" s="269"/>
      <c r="AB937" s="270"/>
      <c r="AC937" s="270"/>
      <c r="AD937" s="270"/>
      <c r="AE937" s="270"/>
    </row>
    <row r="938">
      <c r="A938" s="256">
        <f>IFERROR(__xludf.DUMMYFUNCTION("""COMPUTED_VALUE"""),42024.06111111111)</f>
        <v>42024.06111</v>
      </c>
      <c r="B938" s="257" t="str">
        <f>IFERROR(__xludf.DUMMYFUNCTION("""COMPUTED_VALUE"""),"kwenix")</f>
        <v>kwenix</v>
      </c>
      <c r="C938" s="258" t="str">
        <f>IFERROR(__xludf.DUMMYFUNCTION("""COMPUTED_VALUE"""),"Europe (excluding UK) &amp; Asia Pacific")</f>
        <v>Europe (excluding UK) &amp; Asia Pacific</v>
      </c>
      <c r="D938" s="258" t="str">
        <f>IFERROR(__xludf.DUMMYFUNCTION("""COMPUTED_VALUE"""),"km. My car displays range in kilometres and I will enter all range numbers in kilometres.")</f>
        <v>km. My car displays range in kilometres and I will enter all range numbers in kilometres.</v>
      </c>
      <c r="E938" s="259">
        <f>IFERROR(__xludf.DUMMYFUNCTION("""COMPUTED_VALUE"""),41639.0)</f>
        <v>41639</v>
      </c>
      <c r="F938" s="258" t="str">
        <f>IFERROR(__xludf.DUMMYFUNCTION("""COMPUTED_VALUE"""),"Unspecified 85 kWh")</f>
        <v>Unspecified 85 kWh</v>
      </c>
      <c r="G938" s="258" t="str">
        <f>IFERROR(__xludf.DUMMYFUNCTION("""COMPUTED_VALUE"""),"Once or twice a year")</f>
        <v>Once or twice a year</v>
      </c>
      <c r="H938" s="258" t="str">
        <f>IFERROR(__xludf.DUMMYFUNCTION("""COMPUTED_VALUE"""),"Twice a month")</f>
        <v>Twice a month</v>
      </c>
      <c r="I938" s="258" t="str">
        <f>IFERROR(__xludf.DUMMYFUNCTION("""COMPUTED_VALUE"""),"Never")</f>
        <v>Never</v>
      </c>
      <c r="J938" s="260" t="str">
        <f>IFERROR(__xludf.DUMMYFUNCTION("""COMPUTED_VALUE"""),"")</f>
        <v/>
      </c>
      <c r="K938" s="258" t="str">
        <f>IFERROR(__xludf.DUMMYFUNCTION("""COMPUTED_VALUE"""),"")</f>
        <v/>
      </c>
      <c r="L938" s="258" t="str">
        <f>IFERROR(__xludf.DUMMYFUNCTION("""COMPUTED_VALUE"""),"")</f>
        <v/>
      </c>
      <c r="M938" s="261">
        <f>IFERROR(__xludf.DUMMYFUNCTION("""COMPUTED_VALUE"""),221.0)</f>
        <v>221</v>
      </c>
      <c r="N938" s="262" t="str">
        <f>IFERROR(__xludf.DUMMYFUNCTION("""COMPUTED_VALUE"""),"")</f>
        <v/>
      </c>
      <c r="O938" s="259" t="str">
        <f>IFERROR(__xludf.DUMMYFUNCTION("""COMPUTED_VALUE"""),"")</f>
        <v/>
      </c>
      <c r="P938" s="259">
        <f>IFERROR(__xludf.DUMMYFUNCTION("""COMPUTED_VALUE"""),42024.0)</f>
        <v>42024</v>
      </c>
      <c r="Q938" s="258">
        <f>IFERROR(__xludf.DUMMYFUNCTION("""COMPUTED_VALUE"""),30000.0)</f>
        <v>30000</v>
      </c>
      <c r="R938" s="261">
        <f>IFERROR(__xludf.DUMMYFUNCTION("""COMPUTED_VALUE"""),384.0)</f>
        <v>384</v>
      </c>
      <c r="S938" s="258">
        <v>395.0</v>
      </c>
      <c r="T938" s="263">
        <v>0.9721518987341772</v>
      </c>
      <c r="U938" s="264">
        <v>18641.0</v>
      </c>
      <c r="V938" s="265">
        <v>30000.0</v>
      </c>
      <c r="W938" s="264">
        <v>18641.0</v>
      </c>
      <c r="X938" s="266"/>
      <c r="Y938" s="267">
        <v>-0.01</v>
      </c>
      <c r="Z938" s="267">
        <v>0.9679606962965182</v>
      </c>
      <c r="AA938" s="269"/>
      <c r="AB938" s="270"/>
      <c r="AC938" s="270"/>
      <c r="AD938" s="270"/>
      <c r="AE938" s="270"/>
    </row>
    <row r="939">
      <c r="A939" s="256">
        <f>IFERROR(__xludf.DUMMYFUNCTION("""COMPUTED_VALUE"""),42266.76111111111)</f>
        <v>42266.76111</v>
      </c>
      <c r="B939" s="257" t="str">
        <f>IFERROR(__xludf.DUMMYFUNCTION("""COMPUTED_VALUE"""),"KyP85D")</f>
        <v>KyP85D</v>
      </c>
      <c r="C939" s="258" t="str">
        <f>IFERROR(__xludf.DUMMYFUNCTION("""COMPUTED_VALUE"""),"USA")</f>
        <v>USA</v>
      </c>
      <c r="D939" s="258" t="str">
        <f>IFERROR(__xludf.DUMMYFUNCTION("""COMPUTED_VALUE"""),"mi. My car displays range in miles and I will enter all range numbers in miles.")</f>
        <v>mi. My car displays range in miles and I will enter all range numbers in miles.</v>
      </c>
      <c r="E939" s="259">
        <f>IFERROR(__xludf.DUMMYFUNCTION("""COMPUTED_VALUE"""),41995.0)</f>
        <v>41995</v>
      </c>
      <c r="F939" s="258" t="str">
        <f>IFERROR(__xludf.DUMMYFUNCTION("""COMPUTED_VALUE"""),"Model S P85D")</f>
        <v>Model S P85D</v>
      </c>
      <c r="G939" s="258" t="str">
        <f>IFERROR(__xludf.DUMMYFUNCTION("""COMPUTED_VALUE"""),"Twice a month")</f>
        <v>Twice a month</v>
      </c>
      <c r="H939" s="258" t="str">
        <f>IFERROR(__xludf.DUMMYFUNCTION("""COMPUTED_VALUE"""),"Twice a month")</f>
        <v>Twice a month</v>
      </c>
      <c r="I939" s="258" t="str">
        <f>IFERROR(__xludf.DUMMYFUNCTION("""COMPUTED_VALUE"""),"Monthly")</f>
        <v>Monthly</v>
      </c>
      <c r="J939" s="260">
        <f>IFERROR(__xludf.DUMMYFUNCTION("""COMPUTED_VALUE"""),0.9)</f>
        <v>0.9</v>
      </c>
      <c r="K939" s="258">
        <f>IFERROR(__xludf.DUMMYFUNCTION("""COMPUTED_VALUE"""),253.0)</f>
        <v>253</v>
      </c>
      <c r="L939" s="258" t="str">
        <f>IFERROR(__xludf.DUMMYFUNCTION("""COMPUTED_VALUE"""),"")</f>
        <v/>
      </c>
      <c r="M939" s="261">
        <f>IFERROR(__xludf.DUMMYFUNCTION("""COMPUTED_VALUE"""),381.0)</f>
        <v>381</v>
      </c>
      <c r="N939" s="262" t="str">
        <f>IFERROR(__xludf.DUMMYFUNCTION("""COMPUTED_VALUE"""),"")</f>
        <v/>
      </c>
      <c r="O939" s="259" t="str">
        <f>IFERROR(__xludf.DUMMYFUNCTION("""COMPUTED_VALUE"""),"")</f>
        <v/>
      </c>
      <c r="P939" s="259">
        <f>IFERROR(__xludf.DUMMYFUNCTION("""COMPUTED_VALUE"""),42266.0)</f>
        <v>42266</v>
      </c>
      <c r="Q939" s="258">
        <f>IFERROR(__xludf.DUMMYFUNCTION("""COMPUTED_VALUE"""),19918.0)</f>
        <v>19918</v>
      </c>
      <c r="R939" s="261">
        <f>IFERROR(__xludf.DUMMYFUNCTION("""COMPUTED_VALUE"""),244.0)</f>
        <v>244</v>
      </c>
      <c r="S939" s="258">
        <v>253.0</v>
      </c>
      <c r="T939" s="263">
        <v>0.9644268774703557</v>
      </c>
      <c r="U939" s="264">
        <v>19918.0</v>
      </c>
      <c r="V939" s="265">
        <v>32055.0</v>
      </c>
      <c r="W939" s="264">
        <v>19918.0</v>
      </c>
      <c r="X939" s="266"/>
      <c r="Y939" s="267">
        <v>-0.01</v>
      </c>
      <c r="Z939" s="267">
        <v>0.9668875342536877</v>
      </c>
      <c r="AA939" s="269"/>
      <c r="AB939" s="270"/>
      <c r="AC939" s="270"/>
      <c r="AD939" s="270"/>
      <c r="AE939" s="270"/>
    </row>
    <row r="940">
      <c r="A940" s="256">
        <f>IFERROR(__xludf.DUMMYFUNCTION("""COMPUTED_VALUE"""),42349.78263888889)</f>
        <v>42349.78264</v>
      </c>
      <c r="B940" s="257" t="str">
        <f>IFERROR(__xludf.DUMMYFUNCTION("""COMPUTED_VALUE"""),"KyP85D")</f>
        <v>KyP85D</v>
      </c>
      <c r="C940" s="258" t="str">
        <f>IFERROR(__xludf.DUMMYFUNCTION("""COMPUTED_VALUE"""),"USA")</f>
        <v>USA</v>
      </c>
      <c r="D940" s="258" t="str">
        <f>IFERROR(__xludf.DUMMYFUNCTION("""COMPUTED_VALUE"""),"mi. My car displays range in miles and I will enter all range numbers in miles.")</f>
        <v>mi. My car displays range in miles and I will enter all range numbers in miles.</v>
      </c>
      <c r="E940" s="259">
        <f>IFERROR(__xludf.DUMMYFUNCTION("""COMPUTED_VALUE"""),41995.0)</f>
        <v>41995</v>
      </c>
      <c r="F940" s="258" t="str">
        <f>IFERROR(__xludf.DUMMYFUNCTION("""COMPUTED_VALUE"""),"Model S P85D")</f>
        <v>Model S P85D</v>
      </c>
      <c r="G940" s="258" t="str">
        <f>IFERROR(__xludf.DUMMYFUNCTION("""COMPUTED_VALUE"""),"Twice a month")</f>
        <v>Twice a month</v>
      </c>
      <c r="H940" s="258" t="str">
        <f>IFERROR(__xludf.DUMMYFUNCTION("""COMPUTED_VALUE"""),"Twice a month")</f>
        <v>Twice a month</v>
      </c>
      <c r="I940" s="258" t="str">
        <f>IFERROR(__xludf.DUMMYFUNCTION("""COMPUTED_VALUE"""),"Monthly")</f>
        <v>Monthly</v>
      </c>
      <c r="J940" s="260">
        <f>IFERROR(__xludf.DUMMYFUNCTION("""COMPUTED_VALUE"""),0.9)</f>
        <v>0.9</v>
      </c>
      <c r="K940" s="258" t="str">
        <f>IFERROR(__xludf.DUMMYFUNCTION("""COMPUTED_VALUE"""),"")</f>
        <v/>
      </c>
      <c r="L940" s="258" t="str">
        <f>IFERROR(__xludf.DUMMYFUNCTION("""COMPUTED_VALUE"""),"")</f>
        <v/>
      </c>
      <c r="M940" s="261">
        <f>IFERROR(__xludf.DUMMYFUNCTION("""COMPUTED_VALUE"""),379.0)</f>
        <v>379</v>
      </c>
      <c r="N940" s="262" t="str">
        <f>IFERROR(__xludf.DUMMYFUNCTION("""COMPUTED_VALUE"""),"")</f>
        <v/>
      </c>
      <c r="O940" s="259" t="str">
        <f>IFERROR(__xludf.DUMMYFUNCTION("""COMPUTED_VALUE"""),"")</f>
        <v/>
      </c>
      <c r="P940" s="259">
        <f>IFERROR(__xludf.DUMMYFUNCTION("""COMPUTED_VALUE"""),42349.0)</f>
        <v>42349</v>
      </c>
      <c r="Q940" s="258">
        <f>IFERROR(__xludf.DUMMYFUNCTION("""COMPUTED_VALUE"""),28747.0)</f>
        <v>28747</v>
      </c>
      <c r="R940" s="261">
        <f>IFERROR(__xludf.DUMMYFUNCTION("""COMPUTED_VALUE"""),242.0)</f>
        <v>242</v>
      </c>
      <c r="S940" s="258">
        <v>253.0</v>
      </c>
      <c r="T940" s="263">
        <v>0.9565217391304348</v>
      </c>
      <c r="U940" s="264">
        <v>28747.0</v>
      </c>
      <c r="V940" s="265">
        <v>46264.0</v>
      </c>
      <c r="W940" s="264">
        <v>28747.0</v>
      </c>
      <c r="X940" s="266"/>
      <c r="Y940" s="267">
        <v>-0.01</v>
      </c>
      <c r="Z940" s="267">
        <v>0.960955653470712</v>
      </c>
      <c r="AA940" s="269"/>
      <c r="AB940" s="270"/>
      <c r="AC940" s="270"/>
      <c r="AD940" s="270"/>
      <c r="AE940" s="270"/>
    </row>
    <row r="941">
      <c r="A941" s="256">
        <f>IFERROR(__xludf.DUMMYFUNCTION("""COMPUTED_VALUE"""),43835.62689886574)</f>
        <v>43835.6269</v>
      </c>
      <c r="B941" s="257" t="str">
        <f>IFERROR(__xludf.DUMMYFUNCTION("""COMPUTED_VALUE"""),"Kyyyyyy")</f>
        <v>Kyyyyyy</v>
      </c>
      <c r="C941" s="258" t="str">
        <f>IFERROR(__xludf.DUMMYFUNCTION("""COMPUTED_VALUE"""),"USA")</f>
        <v>USA</v>
      </c>
      <c r="D941" s="258" t="str">
        <f>IFERROR(__xludf.DUMMYFUNCTION("""COMPUTED_VALUE"""),"mi. My car displays range in miles and I will enter all range numbers in miles.")</f>
        <v>mi. My car displays range in miles and I will enter all range numbers in miles.</v>
      </c>
      <c r="E941" s="259">
        <f>IFERROR(__xludf.DUMMYFUNCTION("""COMPUTED_VALUE"""),43313.0)</f>
        <v>43313</v>
      </c>
      <c r="F941" s="258" t="str">
        <f>IFERROR(__xludf.DUMMYFUNCTION("""COMPUTED_VALUE"""),"Model 3 LR AWD")</f>
        <v>Model 3 LR AWD</v>
      </c>
      <c r="G941" s="258" t="str">
        <f>IFERROR(__xludf.DUMMYFUNCTION("""COMPUTED_VALUE"""),"A few times a year")</f>
        <v>A few times a year</v>
      </c>
      <c r="H941" s="258" t="str">
        <f>IFERROR(__xludf.DUMMYFUNCTION("""COMPUTED_VALUE"""),"A few times a year")</f>
        <v>A few times a year</v>
      </c>
      <c r="I941" s="258" t="str">
        <f>IFERROR(__xludf.DUMMYFUNCTION("""COMPUTED_VALUE"""),"A few times a year")</f>
        <v>A few times a year</v>
      </c>
      <c r="J941" s="260">
        <f>IFERROR(__xludf.DUMMYFUNCTION("""COMPUTED_VALUE"""),0.8)</f>
        <v>0.8</v>
      </c>
      <c r="K941" s="258">
        <f>IFERROR(__xludf.DUMMYFUNCTION("""COMPUTED_VALUE"""),310.0)</f>
        <v>310</v>
      </c>
      <c r="L941" s="258" t="str">
        <f>IFERROR(__xludf.DUMMYFUNCTION("""COMPUTED_VALUE"""),"")</f>
        <v/>
      </c>
      <c r="M941" s="261" t="str">
        <f>IFERROR(__xludf.DUMMYFUNCTION("""COMPUTED_VALUE"""),"")</f>
        <v/>
      </c>
      <c r="N941" s="262" t="str">
        <f>IFERROR(__xludf.DUMMYFUNCTION("""COMPUTED_VALUE"""),"")</f>
        <v/>
      </c>
      <c r="O941" s="259" t="str">
        <f>IFERROR(__xludf.DUMMYFUNCTION("""COMPUTED_VALUE"""),"")</f>
        <v/>
      </c>
      <c r="P941" s="259">
        <f>IFERROR(__xludf.DUMMYFUNCTION("""COMPUTED_VALUE"""),43835.0)</f>
        <v>43835</v>
      </c>
      <c r="Q941" s="258">
        <f>IFERROR(__xludf.DUMMYFUNCTION("""COMPUTED_VALUE"""),16811.0)</f>
        <v>16811</v>
      </c>
      <c r="R941" s="261">
        <f>IFERROR(__xludf.DUMMYFUNCTION("""COMPUTED_VALUE"""),285.0)</f>
        <v>285</v>
      </c>
      <c r="S941" s="258">
        <v>310.0</v>
      </c>
      <c r="T941" s="263">
        <v>0.9193548387096774</v>
      </c>
      <c r="U941" s="264">
        <v>16811.0</v>
      </c>
      <c r="V941" s="265">
        <v>27055.0</v>
      </c>
      <c r="W941" s="264">
        <v>16811.0</v>
      </c>
      <c r="X941" s="266"/>
      <c r="Y941" s="267">
        <v>-0.01</v>
      </c>
      <c r="Z941" s="267">
        <v>0.9696335912220653</v>
      </c>
      <c r="AA941" s="269"/>
      <c r="AB941" s="270"/>
      <c r="AC941" s="270"/>
      <c r="AD941" s="270"/>
      <c r="AE941" s="270"/>
    </row>
    <row r="942">
      <c r="A942" s="256">
        <f>IFERROR(__xludf.DUMMYFUNCTION("""COMPUTED_VALUE"""),42552.79861111111)</f>
        <v>42552.79861</v>
      </c>
      <c r="B942" s="257" t="str">
        <f>IFERROR(__xludf.DUMMYFUNCTION("""COMPUTED_VALUE"""),"L-P-G")</f>
        <v>L-P-G</v>
      </c>
      <c r="C942" s="258" t="str">
        <f>IFERROR(__xludf.DUMMYFUNCTION("""COMPUTED_VALUE"""),"USA")</f>
        <v>USA</v>
      </c>
      <c r="D942" s="258" t="str">
        <f>IFERROR(__xludf.DUMMYFUNCTION("""COMPUTED_VALUE"""),"mi. My car displays range in miles and I will enter all range numbers in miles.")</f>
        <v>mi. My car displays range in miles and I will enter all range numbers in miles.</v>
      </c>
      <c r="E942" s="259">
        <f>IFERROR(__xludf.DUMMYFUNCTION("""COMPUTED_VALUE"""),42432.0)</f>
        <v>42432</v>
      </c>
      <c r="F942" s="258" t="str">
        <f>IFERROR(__xludf.DUMMYFUNCTION("""COMPUTED_VALUE"""),"Model S 90D")</f>
        <v>Model S 90D</v>
      </c>
      <c r="G942" s="258" t="str">
        <f>IFERROR(__xludf.DUMMYFUNCTION("""COMPUTED_VALUE"""),"Twice a month")</f>
        <v>Twice a month</v>
      </c>
      <c r="H942" s="258" t="str">
        <f>IFERROR(__xludf.DUMMYFUNCTION("""COMPUTED_VALUE"""),"Once or twice a year")</f>
        <v>Once or twice a year</v>
      </c>
      <c r="I942" s="258" t="str">
        <f>IFERROR(__xludf.DUMMYFUNCTION("""COMPUTED_VALUE"""),"Never")</f>
        <v>Never</v>
      </c>
      <c r="J942" s="260">
        <f>IFERROR(__xludf.DUMMYFUNCTION("""COMPUTED_VALUE"""),0.8)</f>
        <v>0.8</v>
      </c>
      <c r="K942" s="258">
        <f>IFERROR(__xludf.DUMMYFUNCTION("""COMPUTED_VALUE"""),293.0)</f>
        <v>293</v>
      </c>
      <c r="L942" s="258" t="str">
        <f>IFERROR(__xludf.DUMMYFUNCTION("""COMPUTED_VALUE"""),"")</f>
        <v/>
      </c>
      <c r="M942" s="261">
        <f>IFERROR(__xludf.DUMMYFUNCTION("""COMPUTED_VALUE"""),322.0)</f>
        <v>322</v>
      </c>
      <c r="N942" s="262" t="str">
        <f>IFERROR(__xludf.DUMMYFUNCTION("""COMPUTED_VALUE"""),"")</f>
        <v/>
      </c>
      <c r="O942" s="259" t="str">
        <f>IFERROR(__xludf.DUMMYFUNCTION("""COMPUTED_VALUE"""),"")</f>
        <v/>
      </c>
      <c r="P942" s="259">
        <f>IFERROR(__xludf.DUMMYFUNCTION("""COMPUTED_VALUE"""),42552.0)</f>
        <v>42552</v>
      </c>
      <c r="Q942" s="258">
        <f>IFERROR(__xludf.DUMMYFUNCTION("""COMPUTED_VALUE"""),6861.0)</f>
        <v>6861</v>
      </c>
      <c r="R942" s="261">
        <f>IFERROR(__xludf.DUMMYFUNCTION("""COMPUTED_VALUE"""),291.71)</f>
        <v>291.71</v>
      </c>
      <c r="S942" s="258">
        <v>292.0</v>
      </c>
      <c r="T942" s="263">
        <v>0.9990068493150684</v>
      </c>
      <c r="U942" s="264">
        <v>6861.0</v>
      </c>
      <c r="V942" s="265">
        <v>11042.0</v>
      </c>
      <c r="W942" s="264">
        <v>6861.0</v>
      </c>
      <c r="X942" s="266"/>
      <c r="Y942" s="267">
        <v>-0.01</v>
      </c>
      <c r="Z942" s="267">
        <v>0.98303204147921</v>
      </c>
      <c r="AA942" s="269"/>
      <c r="AB942" s="270"/>
      <c r="AC942" s="270"/>
      <c r="AD942" s="270"/>
      <c r="AE942" s="270"/>
    </row>
    <row r="943">
      <c r="A943" s="256">
        <f>IFERROR(__xludf.DUMMYFUNCTION("""COMPUTED_VALUE"""),42974.59722222222)</f>
        <v>42974.59722</v>
      </c>
      <c r="B943" s="257" t="str">
        <f>IFERROR(__xludf.DUMMYFUNCTION("""COMPUTED_VALUE"""),"l.10.i")</f>
        <v>l.10.i</v>
      </c>
      <c r="C943" s="258" t="str">
        <f>IFERROR(__xludf.DUMMYFUNCTION("""COMPUTED_VALUE"""),"Europe (excluding UK) &amp; Asia Pacific")</f>
        <v>Europe (excluding UK) &amp; Asia Pacific</v>
      </c>
      <c r="D943" s="258" t="str">
        <f>IFERROR(__xludf.DUMMYFUNCTION("""COMPUTED_VALUE"""),"km. My car displays range in kilometres and I will enter all range numbers in kilometres.")</f>
        <v>km. My car displays range in kilometres and I will enter all range numbers in kilometres.</v>
      </c>
      <c r="E943" s="259">
        <f>IFERROR(__xludf.DUMMYFUNCTION("""COMPUTED_VALUE"""),42756.0)</f>
        <v>42756</v>
      </c>
      <c r="F943" s="258" t="str">
        <f>IFERROR(__xludf.DUMMYFUNCTION("""COMPUTED_VALUE"""),"Model S 90D")</f>
        <v>Model S 90D</v>
      </c>
      <c r="G943" s="258" t="str">
        <f>IFERROR(__xludf.DUMMYFUNCTION("""COMPUTED_VALUE"""),"Twice a month")</f>
        <v>Twice a month</v>
      </c>
      <c r="H943" s="258" t="str">
        <f>IFERROR(__xludf.DUMMYFUNCTION("""COMPUTED_VALUE"""),"A few times a year")</f>
        <v>A few times a year</v>
      </c>
      <c r="I943" s="258" t="str">
        <f>IFERROR(__xludf.DUMMYFUNCTION("""COMPUTED_VALUE"""),"Never")</f>
        <v>Never</v>
      </c>
      <c r="J943" s="260">
        <f>IFERROR(__xludf.DUMMYFUNCTION("""COMPUTED_VALUE"""),0.8)</f>
        <v>0.8</v>
      </c>
      <c r="K943" s="258" t="str">
        <f>IFERROR(__xludf.DUMMYFUNCTION("""COMPUTED_VALUE"""),"")</f>
        <v/>
      </c>
      <c r="L943" s="258" t="str">
        <f>IFERROR(__xludf.DUMMYFUNCTION("""COMPUTED_VALUE"""),"")</f>
        <v/>
      </c>
      <c r="M943" s="261">
        <f>IFERROR(__xludf.DUMMYFUNCTION("""COMPUTED_VALUE"""),184.0)</f>
        <v>184</v>
      </c>
      <c r="N943" s="262" t="str">
        <f>IFERROR(__xludf.DUMMYFUNCTION("""COMPUTED_VALUE"""),"")</f>
        <v/>
      </c>
      <c r="O943" s="259" t="str">
        <f>IFERROR(__xludf.DUMMYFUNCTION("""COMPUTED_VALUE"""),"")</f>
        <v/>
      </c>
      <c r="P943" s="259">
        <f>IFERROR(__xludf.DUMMYFUNCTION("""COMPUTED_VALUE"""),42974.0)</f>
        <v>42974</v>
      </c>
      <c r="Q943" s="258">
        <f>IFERROR(__xludf.DUMMYFUNCTION("""COMPUTED_VALUE"""),17966.0)</f>
        <v>17966</v>
      </c>
      <c r="R943" s="261">
        <f>IFERROR(__xludf.DUMMYFUNCTION("""COMPUTED_VALUE"""),448.0)</f>
        <v>448</v>
      </c>
      <c r="S943" s="258">
        <v>447.0</v>
      </c>
      <c r="T943" s="263">
        <v>1.0022371364653244</v>
      </c>
      <c r="U943" s="264">
        <v>11164.0</v>
      </c>
      <c r="V943" s="265">
        <v>17966.0</v>
      </c>
      <c r="W943" s="264">
        <v>11164.0</v>
      </c>
      <c r="X943" s="266"/>
      <c r="Y943" s="267">
        <v>-0.01</v>
      </c>
      <c r="Z943" s="267">
        <v>0.9761263487198436</v>
      </c>
      <c r="AA943" s="269"/>
      <c r="AB943" s="270"/>
      <c r="AC943" s="270"/>
      <c r="AD943" s="270"/>
      <c r="AE943" s="270"/>
    </row>
    <row r="944">
      <c r="A944" s="256">
        <f>IFERROR(__xludf.DUMMYFUNCTION("""COMPUTED_VALUE"""),43123.674305555556)</f>
        <v>43123.67431</v>
      </c>
      <c r="B944" s="257" t="str">
        <f>IFERROR(__xludf.DUMMYFUNCTION("""COMPUTED_VALUE"""),"l.10.i")</f>
        <v>l.10.i</v>
      </c>
      <c r="C944" s="258" t="str">
        <f>IFERROR(__xludf.DUMMYFUNCTION("""COMPUTED_VALUE"""),"Europe (excluding UK) &amp; Asia Pacific")</f>
        <v>Europe (excluding UK) &amp; Asia Pacific</v>
      </c>
      <c r="D944" s="258" t="str">
        <f>IFERROR(__xludf.DUMMYFUNCTION("""COMPUTED_VALUE"""),"km. My car displays range in kilometres and I will enter all range numbers in kilometres.")</f>
        <v>km. My car displays range in kilometres and I will enter all range numbers in kilometres.</v>
      </c>
      <c r="E944" s="259">
        <f>IFERROR(__xludf.DUMMYFUNCTION("""COMPUTED_VALUE"""),42756.0)</f>
        <v>42756</v>
      </c>
      <c r="F944" s="258" t="str">
        <f>IFERROR(__xludf.DUMMYFUNCTION("""COMPUTED_VALUE"""),"Model S 90D")</f>
        <v>Model S 90D</v>
      </c>
      <c r="G944" s="258" t="str">
        <f>IFERROR(__xludf.DUMMYFUNCTION("""COMPUTED_VALUE"""),"Twice a month")</f>
        <v>Twice a month</v>
      </c>
      <c r="H944" s="258" t="str">
        <f>IFERROR(__xludf.DUMMYFUNCTION("""COMPUTED_VALUE"""),"A few times a year")</f>
        <v>A few times a year</v>
      </c>
      <c r="I944" s="258" t="str">
        <f>IFERROR(__xludf.DUMMYFUNCTION("""COMPUTED_VALUE"""),"A few times a year")</f>
        <v>A few times a year</v>
      </c>
      <c r="J944" s="260">
        <f>IFERROR(__xludf.DUMMYFUNCTION("""COMPUTED_VALUE"""),0.8)</f>
        <v>0.8</v>
      </c>
      <c r="K944" s="258">
        <f>IFERROR(__xludf.DUMMYFUNCTION("""COMPUTED_VALUE"""),450.0)</f>
        <v>450</v>
      </c>
      <c r="L944" s="258" t="str">
        <f>IFERROR(__xludf.DUMMYFUNCTION("""COMPUTED_VALUE"""),"")</f>
        <v/>
      </c>
      <c r="M944" s="261">
        <f>IFERROR(__xludf.DUMMYFUNCTION("""COMPUTED_VALUE"""),194.0)</f>
        <v>194</v>
      </c>
      <c r="N944" s="262" t="str">
        <f>IFERROR(__xludf.DUMMYFUNCTION("""COMPUTED_VALUE"""),"")</f>
        <v/>
      </c>
      <c r="O944" s="259" t="str">
        <f>IFERROR(__xludf.DUMMYFUNCTION("""COMPUTED_VALUE"""),"")</f>
        <v/>
      </c>
      <c r="P944" s="259">
        <f>IFERROR(__xludf.DUMMYFUNCTION("""COMPUTED_VALUE"""),43123.0)</f>
        <v>43123</v>
      </c>
      <c r="Q944" s="258">
        <f>IFERROR(__xludf.DUMMYFUNCTION("""COMPUTED_VALUE"""),33608.0)</f>
        <v>33608</v>
      </c>
      <c r="R944" s="261">
        <f>IFERROR(__xludf.DUMMYFUNCTION("""COMPUTED_VALUE"""),442.0)</f>
        <v>442</v>
      </c>
      <c r="S944" s="258">
        <v>447.0</v>
      </c>
      <c r="T944" s="263">
        <v>0.9888143176733781</v>
      </c>
      <c r="U944" s="264">
        <v>20883.0</v>
      </c>
      <c r="V944" s="265">
        <v>33608.0</v>
      </c>
      <c r="W944" s="264">
        <v>20883.0</v>
      </c>
      <c r="X944" s="266"/>
      <c r="Y944" s="267">
        <v>-0.01</v>
      </c>
      <c r="Z944" s="267">
        <v>0.9661217175385665</v>
      </c>
      <c r="AA944" s="269"/>
      <c r="AB944" s="270"/>
      <c r="AC944" s="270"/>
      <c r="AD944" s="270"/>
      <c r="AE944" s="270"/>
    </row>
    <row r="945">
      <c r="A945" s="256">
        <f>IFERROR(__xludf.DUMMYFUNCTION("""COMPUTED_VALUE"""),43163.70277777778)</f>
        <v>43163.70278</v>
      </c>
      <c r="B945" s="257" t="str">
        <f>IFERROR(__xludf.DUMMYFUNCTION("""COMPUTED_VALUE"""),"l.10.i")</f>
        <v>l.10.i</v>
      </c>
      <c r="C945" s="258" t="str">
        <f>IFERROR(__xludf.DUMMYFUNCTION("""COMPUTED_VALUE"""),"Europe (excluding UK) &amp; Asia Pacific")</f>
        <v>Europe (excluding UK) &amp; Asia Pacific</v>
      </c>
      <c r="D945" s="258" t="str">
        <f>IFERROR(__xludf.DUMMYFUNCTION("""COMPUTED_VALUE"""),"km. My car displays range in kilometres and I will enter all range numbers in kilometres.")</f>
        <v>km. My car displays range in kilometres and I will enter all range numbers in kilometres.</v>
      </c>
      <c r="E945" s="259">
        <f>IFERROR(__xludf.DUMMYFUNCTION("""COMPUTED_VALUE"""),42756.0)</f>
        <v>42756</v>
      </c>
      <c r="F945" s="258" t="str">
        <f>IFERROR(__xludf.DUMMYFUNCTION("""COMPUTED_VALUE"""),"Model S 90D")</f>
        <v>Model S 90D</v>
      </c>
      <c r="G945" s="258" t="str">
        <f>IFERROR(__xludf.DUMMYFUNCTION("""COMPUTED_VALUE"""),"Twice a month")</f>
        <v>Twice a month</v>
      </c>
      <c r="H945" s="258" t="str">
        <f>IFERROR(__xludf.DUMMYFUNCTION("""COMPUTED_VALUE"""),"A few times a year")</f>
        <v>A few times a year</v>
      </c>
      <c r="I945" s="258" t="str">
        <f>IFERROR(__xludf.DUMMYFUNCTION("""COMPUTED_VALUE"""),"A few times a year")</f>
        <v>A few times a year</v>
      </c>
      <c r="J945" s="260">
        <f>IFERROR(__xludf.DUMMYFUNCTION("""COMPUTED_VALUE"""),0.8)</f>
        <v>0.8</v>
      </c>
      <c r="K945" s="258">
        <f>IFERROR(__xludf.DUMMYFUNCTION("""COMPUTED_VALUE"""),450.0)</f>
        <v>450</v>
      </c>
      <c r="L945" s="258" t="str">
        <f>IFERROR(__xludf.DUMMYFUNCTION("""COMPUTED_VALUE"""),"")</f>
        <v/>
      </c>
      <c r="M945" s="261">
        <f>IFERROR(__xludf.DUMMYFUNCTION("""COMPUTED_VALUE"""),198.0)</f>
        <v>198</v>
      </c>
      <c r="N945" s="262" t="str">
        <f>IFERROR(__xludf.DUMMYFUNCTION("""COMPUTED_VALUE"""),"")</f>
        <v/>
      </c>
      <c r="O945" s="259" t="str">
        <f>IFERROR(__xludf.DUMMYFUNCTION("""COMPUTED_VALUE"""),"")</f>
        <v/>
      </c>
      <c r="P945" s="259">
        <f>IFERROR(__xludf.DUMMYFUNCTION("""COMPUTED_VALUE"""),43163.0)</f>
        <v>43163</v>
      </c>
      <c r="Q945" s="258">
        <f>IFERROR(__xludf.DUMMYFUNCTION("""COMPUTED_VALUE"""),38003.0)</f>
        <v>38003</v>
      </c>
      <c r="R945" s="261">
        <f>IFERROR(__xludf.DUMMYFUNCTION("""COMPUTED_VALUE"""),440.0)</f>
        <v>440</v>
      </c>
      <c r="S945" s="258">
        <v>447.0</v>
      </c>
      <c r="T945" s="263">
        <v>0.9843400447427293</v>
      </c>
      <c r="U945" s="264">
        <v>23614.0</v>
      </c>
      <c r="V945" s="265">
        <v>38003.0</v>
      </c>
      <c r="W945" s="264">
        <v>23614.0</v>
      </c>
      <c r="X945" s="266"/>
      <c r="Y945" s="267">
        <v>-0.01</v>
      </c>
      <c r="Z945" s="267">
        <v>0.9641353086404537</v>
      </c>
      <c r="AA945" s="269"/>
      <c r="AB945" s="270"/>
      <c r="AC945" s="270"/>
      <c r="AD945" s="270"/>
      <c r="AE945" s="270"/>
    </row>
    <row r="946">
      <c r="A946" s="256">
        <f>IFERROR(__xludf.DUMMYFUNCTION("""COMPUTED_VALUE"""),42125.74097222222)</f>
        <v>42125.74097</v>
      </c>
      <c r="B946" s="257" t="str">
        <f>IFERROR(__xludf.DUMMYFUNCTION("""COMPUTED_VALUE"""),"l_younis")</f>
        <v>l_younis</v>
      </c>
      <c r="C946" s="258" t="str">
        <f>IFERROR(__xludf.DUMMYFUNCTION("""COMPUTED_VALUE"""),"USA")</f>
        <v>USA</v>
      </c>
      <c r="D946" s="258" t="str">
        <f>IFERROR(__xludf.DUMMYFUNCTION("""COMPUTED_VALUE"""),"mi. My car displays range in miles and I will enter all range numbers in miles.")</f>
        <v>mi. My car displays range in miles and I will enter all range numbers in miles.</v>
      </c>
      <c r="E946" s="259">
        <f>IFERROR(__xludf.DUMMYFUNCTION("""COMPUTED_VALUE"""),41760.0)</f>
        <v>41760</v>
      </c>
      <c r="F946" s="258" t="str">
        <f>IFERROR(__xludf.DUMMYFUNCTION("""COMPUTED_VALUE"""),"Model S 60")</f>
        <v>Model S 60</v>
      </c>
      <c r="G946" s="258" t="str">
        <f>IFERROR(__xludf.DUMMYFUNCTION("""COMPUTED_VALUE"""),"Twice a month")</f>
        <v>Twice a month</v>
      </c>
      <c r="H946" s="258" t="str">
        <f>IFERROR(__xludf.DUMMYFUNCTION("""COMPUTED_VALUE"""),"Twice a month")</f>
        <v>Twice a month</v>
      </c>
      <c r="I946" s="258" t="str">
        <f>IFERROR(__xludf.DUMMYFUNCTION("""COMPUTED_VALUE"""),"Once or twice a year")</f>
        <v>Once or twice a year</v>
      </c>
      <c r="J946" s="260">
        <f>IFERROR(__xludf.DUMMYFUNCTION("""COMPUTED_VALUE"""),0.9)</f>
        <v>0.9</v>
      </c>
      <c r="K946" s="258" t="str">
        <f>IFERROR(__xludf.DUMMYFUNCTION("""COMPUTED_VALUE"""),"")</f>
        <v/>
      </c>
      <c r="L946" s="258" t="str">
        <f>IFERROR(__xludf.DUMMYFUNCTION("""COMPUTED_VALUE"""),"")</f>
        <v/>
      </c>
      <c r="M946" s="261">
        <f>IFERROR(__xludf.DUMMYFUNCTION("""COMPUTED_VALUE"""),316.0)</f>
        <v>316</v>
      </c>
      <c r="N946" s="262" t="str">
        <f>IFERROR(__xludf.DUMMYFUNCTION("""COMPUTED_VALUE"""),"")</f>
        <v/>
      </c>
      <c r="O946" s="259" t="str">
        <f>IFERROR(__xludf.DUMMYFUNCTION("""COMPUTED_VALUE"""),"")</f>
        <v/>
      </c>
      <c r="P946" s="259">
        <f>IFERROR(__xludf.DUMMYFUNCTION("""COMPUTED_VALUE"""),42125.0)</f>
        <v>42125</v>
      </c>
      <c r="Q946" s="258">
        <f>IFERROR(__xludf.DUMMYFUNCTION("""COMPUTED_VALUE"""),24903.0)</f>
        <v>24903</v>
      </c>
      <c r="R946" s="261">
        <f>IFERROR(__xludf.DUMMYFUNCTION("""COMPUTED_VALUE"""),190.0)</f>
        <v>190</v>
      </c>
      <c r="S946" s="258">
        <v>207.0</v>
      </c>
      <c r="T946" s="263">
        <v>0.9178743961352657</v>
      </c>
      <c r="U946" s="264">
        <v>24903.0</v>
      </c>
      <c r="V946" s="265">
        <v>40077.0</v>
      </c>
      <c r="W946" s="264">
        <v>24903.0</v>
      </c>
      <c r="X946" s="266"/>
      <c r="Y946" s="267">
        <v>-0.01</v>
      </c>
      <c r="Z946" s="267">
        <v>0.9632774153125107</v>
      </c>
      <c r="AA946" s="269"/>
      <c r="AB946" s="270"/>
      <c r="AC946" s="270"/>
      <c r="AD946" s="270"/>
      <c r="AE946" s="270"/>
    </row>
    <row r="947">
      <c r="A947" s="256">
        <f>IFERROR(__xludf.DUMMYFUNCTION("""COMPUTED_VALUE"""),43148.87291666667)</f>
        <v>43148.87292</v>
      </c>
      <c r="B947" s="257" t="str">
        <f>IFERROR(__xludf.DUMMYFUNCTION("""COMPUTED_VALUE"""),"LastGas")</f>
        <v>LastGas</v>
      </c>
      <c r="C947" s="258" t="str">
        <f>IFERROR(__xludf.DUMMYFUNCTION("""COMPUTED_VALUE"""),"USA")</f>
        <v>USA</v>
      </c>
      <c r="D947" s="258" t="str">
        <f>IFERROR(__xludf.DUMMYFUNCTION("""COMPUTED_VALUE"""),"mi. My car displays range in miles and I will enter all range numbers in miles.")</f>
        <v>mi. My car displays range in miles and I will enter all range numbers in miles.</v>
      </c>
      <c r="E947" s="259">
        <f>IFERROR(__xludf.DUMMYFUNCTION("""COMPUTED_VALUE"""),42627.0)</f>
        <v>42627</v>
      </c>
      <c r="F947" s="258" t="str">
        <f>IFERROR(__xludf.DUMMYFUNCTION("""COMPUTED_VALUE"""),"Model S 75")</f>
        <v>Model S 75</v>
      </c>
      <c r="G947" s="258" t="str">
        <f>IFERROR(__xludf.DUMMYFUNCTION("""COMPUTED_VALUE"""),"Monthly")</f>
        <v>Monthly</v>
      </c>
      <c r="H947" s="258" t="str">
        <f>IFERROR(__xludf.DUMMYFUNCTION("""COMPUTED_VALUE"""),"A few times a year")</f>
        <v>A few times a year</v>
      </c>
      <c r="I947" s="258" t="str">
        <f>IFERROR(__xludf.DUMMYFUNCTION("""COMPUTED_VALUE"""),"Never")</f>
        <v>Never</v>
      </c>
      <c r="J947" s="260">
        <f>IFERROR(__xludf.DUMMYFUNCTION("""COMPUTED_VALUE"""),0.8)</f>
        <v>0.8</v>
      </c>
      <c r="K947" s="258" t="str">
        <f>IFERROR(__xludf.DUMMYFUNCTION("""COMPUTED_VALUE"""),"")</f>
        <v/>
      </c>
      <c r="L947" s="258" t="str">
        <f>IFERROR(__xludf.DUMMYFUNCTION("""COMPUTED_VALUE"""),"")</f>
        <v/>
      </c>
      <c r="M947" s="261">
        <f>IFERROR(__xludf.DUMMYFUNCTION("""COMPUTED_VALUE"""),282.0)</f>
        <v>282</v>
      </c>
      <c r="N947" s="262" t="str">
        <f>IFERROR(__xludf.DUMMYFUNCTION("""COMPUTED_VALUE"""),"")</f>
        <v/>
      </c>
      <c r="O947" s="259" t="str">
        <f>IFERROR(__xludf.DUMMYFUNCTION("""COMPUTED_VALUE"""),"")</f>
        <v/>
      </c>
      <c r="P947" s="259">
        <f>IFERROR(__xludf.DUMMYFUNCTION("""COMPUTED_VALUE"""),43148.0)</f>
        <v>43148</v>
      </c>
      <c r="Q947" s="258">
        <f>IFERROR(__xludf.DUMMYFUNCTION("""COMPUTED_VALUE"""),28993.0)</f>
        <v>28993</v>
      </c>
      <c r="R947" s="261">
        <f>IFERROR(__xludf.DUMMYFUNCTION("""COMPUTED_VALUE"""),240.0)</f>
        <v>240</v>
      </c>
      <c r="S947" s="258">
        <v>246.0</v>
      </c>
      <c r="T947" s="263">
        <v>0.975609756097561</v>
      </c>
      <c r="U947" s="264">
        <v>28993.0</v>
      </c>
      <c r="V947" s="265">
        <v>46660.0</v>
      </c>
      <c r="W947" s="264">
        <v>28993.0</v>
      </c>
      <c r="X947" s="266"/>
      <c r="Y947" s="267">
        <v>-0.01</v>
      </c>
      <c r="Z947" s="267">
        <v>0.960817276142744</v>
      </c>
      <c r="AA947" s="269"/>
      <c r="AB947" s="270"/>
      <c r="AC947" s="270"/>
      <c r="AD947" s="270"/>
      <c r="AE947" s="270"/>
    </row>
    <row r="948">
      <c r="A948" s="256">
        <f>IFERROR(__xludf.DUMMYFUNCTION("""COMPUTED_VALUE"""),43058.634722222225)</f>
        <v>43058.63472</v>
      </c>
      <c r="B948" s="257" t="str">
        <f>IFERROR(__xludf.DUMMYFUNCTION("""COMPUTED_VALUE"""),"lcs.toulouse")</f>
        <v>lcs.toulouse</v>
      </c>
      <c r="C948" s="258" t="str">
        <f>IFERROR(__xludf.DUMMYFUNCTION("""COMPUTED_VALUE"""),"Europe (excluding UK) &amp; Asia Pacific")</f>
        <v>Europe (excluding UK) &amp; Asia Pacific</v>
      </c>
      <c r="D948" s="258" t="str">
        <f>IFERROR(__xludf.DUMMYFUNCTION("""COMPUTED_VALUE"""),"km. My car displays range in kilometres and I will enter all range numbers in kilometres.")</f>
        <v>km. My car displays range in kilometres and I will enter all range numbers in kilometres.</v>
      </c>
      <c r="E948" s="259">
        <f>IFERROR(__xludf.DUMMYFUNCTION("""COMPUTED_VALUE"""),42461.0)</f>
        <v>42461</v>
      </c>
      <c r="F948" s="258" t="str">
        <f>IFERROR(__xludf.DUMMYFUNCTION("""COMPUTED_VALUE"""),"Model S 90D")</f>
        <v>Model S 90D</v>
      </c>
      <c r="G948" s="258" t="str">
        <f>IFERROR(__xludf.DUMMYFUNCTION("""COMPUTED_VALUE"""),"A few times a year")</f>
        <v>A few times a year</v>
      </c>
      <c r="H948" s="258" t="str">
        <f>IFERROR(__xludf.DUMMYFUNCTION("""COMPUTED_VALUE"""),"Twice a month")</f>
        <v>Twice a month</v>
      </c>
      <c r="I948" s="258" t="str">
        <f>IFERROR(__xludf.DUMMYFUNCTION("""COMPUTED_VALUE"""),"Once or twice a year")</f>
        <v>Once or twice a year</v>
      </c>
      <c r="J948" s="260">
        <f>IFERROR(__xludf.DUMMYFUNCTION("""COMPUTED_VALUE"""),0.8)</f>
        <v>0.8</v>
      </c>
      <c r="K948" s="258">
        <f>IFERROR(__xludf.DUMMYFUNCTION("""COMPUTED_VALUE"""),458.0)</f>
        <v>458</v>
      </c>
      <c r="L948" s="258" t="str">
        <f>IFERROR(__xludf.DUMMYFUNCTION("""COMPUTED_VALUE"""),"")</f>
        <v/>
      </c>
      <c r="M948" s="261" t="str">
        <f>IFERROR(__xludf.DUMMYFUNCTION("""COMPUTED_VALUE"""),"")</f>
        <v/>
      </c>
      <c r="N948" s="262" t="str">
        <f>IFERROR(__xludf.DUMMYFUNCTION("""COMPUTED_VALUE"""),"")</f>
        <v/>
      </c>
      <c r="O948" s="259" t="str">
        <f>IFERROR(__xludf.DUMMYFUNCTION("""COMPUTED_VALUE"""),"")</f>
        <v/>
      </c>
      <c r="P948" s="259">
        <f>IFERROR(__xludf.DUMMYFUNCTION("""COMPUTED_VALUE"""),43058.0)</f>
        <v>43058</v>
      </c>
      <c r="Q948" s="258">
        <f>IFERROR(__xludf.DUMMYFUNCTION("""COMPUTED_VALUE"""),37425.0)</f>
        <v>37425</v>
      </c>
      <c r="R948" s="261">
        <f>IFERROR(__xludf.DUMMYFUNCTION("""COMPUTED_VALUE"""),436.0)</f>
        <v>436</v>
      </c>
      <c r="S948" s="258">
        <v>447.0</v>
      </c>
      <c r="T948" s="263">
        <v>0.9753914988814317</v>
      </c>
      <c r="U948" s="264">
        <v>23255.0</v>
      </c>
      <c r="V948" s="265">
        <v>37425.0</v>
      </c>
      <c r="W948" s="264">
        <v>23255.0</v>
      </c>
      <c r="X948" s="266"/>
      <c r="Y948" s="267">
        <v>-0.01</v>
      </c>
      <c r="Z948" s="267">
        <v>0.9643828066155135</v>
      </c>
      <c r="AA948" s="269"/>
      <c r="AB948" s="270"/>
      <c r="AC948" s="270"/>
      <c r="AD948" s="270"/>
      <c r="AE948" s="270"/>
    </row>
    <row r="949">
      <c r="A949" s="256">
        <f>IFERROR(__xludf.DUMMYFUNCTION("""COMPUTED_VALUE"""),43217.731944444444)</f>
        <v>43217.73194</v>
      </c>
      <c r="B949" s="257" t="str">
        <f>IFERROR(__xludf.DUMMYFUNCTION("""COMPUTED_VALUE"""),"Leen")</f>
        <v>Leen</v>
      </c>
      <c r="C949" s="258" t="str">
        <f>IFERROR(__xludf.DUMMYFUNCTION("""COMPUTED_VALUE"""),"Europe (excluding UK) &amp; Asia Pacific")</f>
        <v>Europe (excluding UK) &amp; Asia Pacific</v>
      </c>
      <c r="D949" s="258" t="str">
        <f>IFERROR(__xludf.DUMMYFUNCTION("""COMPUTED_VALUE"""),"km. My car displays range in kilometres and I will enter all range numbers in kilometres.")</f>
        <v>km. My car displays range in kilometres and I will enter all range numbers in kilometres.</v>
      </c>
      <c r="E949" s="259">
        <f>IFERROR(__xludf.DUMMYFUNCTION("""COMPUTED_VALUE"""),42980.0)</f>
        <v>42980</v>
      </c>
      <c r="F949" s="258" t="str">
        <f>IFERROR(__xludf.DUMMYFUNCTION("""COMPUTED_VALUE"""),"Model S 75")</f>
        <v>Model S 75</v>
      </c>
      <c r="G949" s="258" t="str">
        <f>IFERROR(__xludf.DUMMYFUNCTION("""COMPUTED_VALUE"""),"Twice a month")</f>
        <v>Twice a month</v>
      </c>
      <c r="H949" s="258" t="str">
        <f>IFERROR(__xludf.DUMMYFUNCTION("""COMPUTED_VALUE"""),"")</f>
        <v/>
      </c>
      <c r="I949" s="258" t="str">
        <f>IFERROR(__xludf.DUMMYFUNCTION("""COMPUTED_VALUE"""),"Never")</f>
        <v>Never</v>
      </c>
      <c r="J949" s="260" t="str">
        <f>IFERROR(__xludf.DUMMYFUNCTION("""COMPUTED_VALUE"""),"")</f>
        <v/>
      </c>
      <c r="K949" s="258" t="str">
        <f>IFERROR(__xludf.DUMMYFUNCTION("""COMPUTED_VALUE"""),"")</f>
        <v/>
      </c>
      <c r="L949" s="258" t="str">
        <f>IFERROR(__xludf.DUMMYFUNCTION("""COMPUTED_VALUE"""),"")</f>
        <v/>
      </c>
      <c r="M949" s="261">
        <f>IFERROR(__xludf.DUMMYFUNCTION("""COMPUTED_VALUE"""),180.0)</f>
        <v>180</v>
      </c>
      <c r="N949" s="262" t="str">
        <f>IFERROR(__xludf.DUMMYFUNCTION("""COMPUTED_VALUE"""),"")</f>
        <v/>
      </c>
      <c r="O949" s="259" t="str">
        <f>IFERROR(__xludf.DUMMYFUNCTION("""COMPUTED_VALUE"""),"")</f>
        <v/>
      </c>
      <c r="P949" s="259">
        <f>IFERROR(__xludf.DUMMYFUNCTION("""COMPUTED_VALUE"""),43217.0)</f>
        <v>43217</v>
      </c>
      <c r="Q949" s="258">
        <f>IFERROR(__xludf.DUMMYFUNCTION("""COMPUTED_VALUE"""),12474.0)</f>
        <v>12474</v>
      </c>
      <c r="R949" s="261">
        <f>IFERROR(__xludf.DUMMYFUNCTION("""COMPUTED_VALUE"""),350.0)</f>
        <v>350</v>
      </c>
      <c r="S949" s="258">
        <v>375.0</v>
      </c>
      <c r="T949" s="263">
        <v>0.9333333333333333</v>
      </c>
      <c r="U949" s="264">
        <v>7751.0</v>
      </c>
      <c r="V949" s="265">
        <v>12474.0</v>
      </c>
      <c r="W949" s="264">
        <v>7751.0</v>
      </c>
      <c r="X949" s="266"/>
      <c r="Y949" s="267">
        <v>-0.01</v>
      </c>
      <c r="Z949" s="267">
        <v>0.9814220610531137</v>
      </c>
      <c r="AA949" s="269"/>
      <c r="AB949" s="270"/>
      <c r="AC949" s="270"/>
      <c r="AD949" s="270"/>
      <c r="AE949" s="270"/>
    </row>
    <row r="950">
      <c r="A950" s="256">
        <f>IFERROR(__xludf.DUMMYFUNCTION("""COMPUTED_VALUE"""),42356.254166666666)</f>
        <v>42356.25417</v>
      </c>
      <c r="B950" s="257" t="str">
        <f>IFERROR(__xludf.DUMMYFUNCTION("""COMPUTED_VALUE"""),"Leiha")</f>
        <v>Leiha</v>
      </c>
      <c r="C950" s="258" t="str">
        <f>IFERROR(__xludf.DUMMYFUNCTION("""COMPUTED_VALUE"""),"Europe (excluding UK) &amp; Asia Pacific")</f>
        <v>Europe (excluding UK) &amp; Asia Pacific</v>
      </c>
      <c r="D950" s="258" t="str">
        <f>IFERROR(__xludf.DUMMYFUNCTION("""COMPUTED_VALUE"""),"km. My car displays range in kilometres and I will enter all range numbers in kilometres.")</f>
        <v>km. My car displays range in kilometres and I will enter all range numbers in kilometres.</v>
      </c>
      <c r="E950" s="259">
        <f>IFERROR(__xludf.DUMMYFUNCTION("""COMPUTED_VALUE"""),42158.0)</f>
        <v>42158</v>
      </c>
      <c r="F950" s="258" t="str">
        <f>IFERROR(__xludf.DUMMYFUNCTION("""COMPUTED_VALUE"""),"Model S 85D")</f>
        <v>Model S 85D</v>
      </c>
      <c r="G950" s="258" t="str">
        <f>IFERROR(__xludf.DUMMYFUNCTION("""COMPUTED_VALUE"""),"Weekly")</f>
        <v>Weekly</v>
      </c>
      <c r="H950" s="258" t="str">
        <f>IFERROR(__xludf.DUMMYFUNCTION("""COMPUTED_VALUE"""),"A few times a year")</f>
        <v>A few times a year</v>
      </c>
      <c r="I950" s="258" t="str">
        <f>IFERROR(__xludf.DUMMYFUNCTION("""COMPUTED_VALUE"""),"Never")</f>
        <v>Never</v>
      </c>
      <c r="J950" s="260">
        <f>IFERROR(__xludf.DUMMYFUNCTION("""COMPUTED_VALUE"""),0.9)</f>
        <v>0.9</v>
      </c>
      <c r="K950" s="258">
        <f>IFERROR(__xludf.DUMMYFUNCTION("""COMPUTED_VALUE"""),405.0)</f>
        <v>405</v>
      </c>
      <c r="L950" s="258" t="str">
        <f>IFERROR(__xludf.DUMMYFUNCTION("""COMPUTED_VALUE"""),"")</f>
        <v/>
      </c>
      <c r="M950" s="261">
        <f>IFERROR(__xludf.DUMMYFUNCTION("""COMPUTED_VALUE"""),209.0)</f>
        <v>209</v>
      </c>
      <c r="N950" s="262" t="str">
        <f>IFERROR(__xludf.DUMMYFUNCTION("""COMPUTED_VALUE"""),"")</f>
        <v/>
      </c>
      <c r="O950" s="259" t="str">
        <f>IFERROR(__xludf.DUMMYFUNCTION("""COMPUTED_VALUE"""),"")</f>
        <v/>
      </c>
      <c r="P950" s="259">
        <f>IFERROR(__xludf.DUMMYFUNCTION("""COMPUTED_VALUE"""),42356.0)</f>
        <v>42356</v>
      </c>
      <c r="Q950" s="258">
        <f>IFERROR(__xludf.DUMMYFUNCTION("""COMPUTED_VALUE"""),24300.0)</f>
        <v>24300</v>
      </c>
      <c r="R950" s="261">
        <f>IFERROR(__xludf.DUMMYFUNCTION("""COMPUTED_VALUE"""),399.0)</f>
        <v>399</v>
      </c>
      <c r="S950" s="258">
        <v>425.0</v>
      </c>
      <c r="T950" s="263">
        <v>0.9388235294117647</v>
      </c>
      <c r="U950" s="264">
        <v>15099.0</v>
      </c>
      <c r="V950" s="265">
        <v>24300.0</v>
      </c>
      <c r="W950" s="264">
        <v>15099.0</v>
      </c>
      <c r="X950" s="266"/>
      <c r="Y950" s="267">
        <v>-0.01</v>
      </c>
      <c r="Z950" s="267">
        <v>0.971365907264154</v>
      </c>
      <c r="AA950" s="269"/>
      <c r="AB950" s="270"/>
      <c r="AC950" s="270"/>
      <c r="AD950" s="270"/>
      <c r="AE950" s="270"/>
    </row>
    <row r="951">
      <c r="A951" s="256">
        <f>IFERROR(__xludf.DUMMYFUNCTION("""COMPUTED_VALUE"""),43712.95972569445)</f>
        <v>43712.95973</v>
      </c>
      <c r="B951" s="257" t="str">
        <f>IFERROR(__xludf.DUMMYFUNCTION("""COMPUTED_VALUE"""),"lemonterror")</f>
        <v>lemonterror</v>
      </c>
      <c r="C951" s="258" t="str">
        <f>IFERROR(__xludf.DUMMYFUNCTION("""COMPUTED_VALUE"""),"USA")</f>
        <v>USA</v>
      </c>
      <c r="D951" s="258" t="str">
        <f>IFERROR(__xludf.DUMMYFUNCTION("""COMPUTED_VALUE"""),"mi. My car displays range in miles and I will enter all range numbers in miles.")</f>
        <v>mi. My car displays range in miles and I will enter all range numbers in miles.</v>
      </c>
      <c r="E951" s="259">
        <f>IFERROR(__xludf.DUMMYFUNCTION("""COMPUTED_VALUE"""),43344.0)</f>
        <v>43344</v>
      </c>
      <c r="F951" s="258" t="str">
        <f>IFERROR(__xludf.DUMMYFUNCTION("""COMPUTED_VALUE"""),"Model 3 LR AWD")</f>
        <v>Model 3 LR AWD</v>
      </c>
      <c r="G951" s="258" t="str">
        <f>IFERROR(__xludf.DUMMYFUNCTION("""COMPUTED_VALUE"""),"Twice a month")</f>
        <v>Twice a month</v>
      </c>
      <c r="H951" s="258" t="str">
        <f>IFERROR(__xludf.DUMMYFUNCTION("""COMPUTED_VALUE"""),"A few times a year")</f>
        <v>A few times a year</v>
      </c>
      <c r="I951" s="258" t="str">
        <f>IFERROR(__xludf.DUMMYFUNCTION("""COMPUTED_VALUE"""),"")</f>
        <v/>
      </c>
      <c r="J951" s="260">
        <f>IFERROR(__xludf.DUMMYFUNCTION("""COMPUTED_VALUE"""),0.8)</f>
        <v>0.8</v>
      </c>
      <c r="K951" s="258">
        <f>IFERROR(__xludf.DUMMYFUNCTION("""COMPUTED_VALUE"""),310.0)</f>
        <v>310</v>
      </c>
      <c r="L951" s="258" t="str">
        <f>IFERROR(__xludf.DUMMYFUNCTION("""COMPUTED_VALUE"""),"")</f>
        <v/>
      </c>
      <c r="M951" s="261" t="str">
        <f>IFERROR(__xludf.DUMMYFUNCTION("""COMPUTED_VALUE"""),"")</f>
        <v/>
      </c>
      <c r="N951" s="262" t="str">
        <f>IFERROR(__xludf.DUMMYFUNCTION("""COMPUTED_VALUE"""),"")</f>
        <v/>
      </c>
      <c r="O951" s="259" t="str">
        <f>IFERROR(__xludf.DUMMYFUNCTION("""COMPUTED_VALUE"""),"")</f>
        <v/>
      </c>
      <c r="P951" s="259">
        <f>IFERROR(__xludf.DUMMYFUNCTION("""COMPUTED_VALUE"""),43706.0)</f>
        <v>43706</v>
      </c>
      <c r="Q951" s="258">
        <f>IFERROR(__xludf.DUMMYFUNCTION("""COMPUTED_VALUE"""),17371.0)</f>
        <v>17371</v>
      </c>
      <c r="R951" s="261">
        <f>IFERROR(__xludf.DUMMYFUNCTION("""COMPUTED_VALUE"""),300.41)</f>
        <v>300.41</v>
      </c>
      <c r="S951" s="258">
        <v>310.0</v>
      </c>
      <c r="T951" s="263">
        <v>0.9690645161290323</v>
      </c>
      <c r="U951" s="264">
        <v>17371.0</v>
      </c>
      <c r="V951" s="265">
        <v>27956.0</v>
      </c>
      <c r="W951" s="264">
        <v>17371.0</v>
      </c>
      <c r="X951" s="266"/>
      <c r="Y951" s="267">
        <v>-0.01</v>
      </c>
      <c r="Z951" s="267">
        <v>0.9691035283705357</v>
      </c>
      <c r="AA951" s="269"/>
      <c r="AB951" s="270"/>
      <c r="AC951" s="270"/>
      <c r="AD951" s="270"/>
      <c r="AE951" s="270"/>
    </row>
    <row r="952">
      <c r="A952" s="256">
        <f>IFERROR(__xludf.DUMMYFUNCTION("""COMPUTED_VALUE"""),43838.87385153935)</f>
        <v>43838.87385</v>
      </c>
      <c r="B952" s="257" t="str">
        <f>IFERROR(__xludf.DUMMYFUNCTION("""COMPUTED_VALUE"""),"lewurm")</f>
        <v>lewurm</v>
      </c>
      <c r="C952" s="258" t="str">
        <f>IFERROR(__xludf.DUMMYFUNCTION("""COMPUTED_VALUE"""),"Europe (excluding UK) &amp; Asia Pacific")</f>
        <v>Europe (excluding UK) &amp; Asia Pacific</v>
      </c>
      <c r="D952" s="258" t="str">
        <f>IFERROR(__xludf.DUMMYFUNCTION("""COMPUTED_VALUE"""),"km. My car displays range in kilometres and I will enter all range numbers in kilometres.")</f>
        <v>km. My car displays range in kilometres and I will enter all range numbers in kilometres.</v>
      </c>
      <c r="E952" s="259">
        <f>IFERROR(__xludf.DUMMYFUNCTION("""COMPUTED_VALUE"""),43449.0)</f>
        <v>43449</v>
      </c>
      <c r="F952" s="258" t="str">
        <f>IFERROR(__xludf.DUMMYFUNCTION("""COMPUTED_VALUE"""),"Model 3 P")</f>
        <v>Model 3 P</v>
      </c>
      <c r="G952" s="258" t="str">
        <f>IFERROR(__xludf.DUMMYFUNCTION("""COMPUTED_VALUE"""),"Weekly")</f>
        <v>Weekly</v>
      </c>
      <c r="H952" s="258" t="str">
        <f>IFERROR(__xludf.DUMMYFUNCTION("""COMPUTED_VALUE"""),"Once or twice a year")</f>
        <v>Once or twice a year</v>
      </c>
      <c r="I952" s="258" t="str">
        <f>IFERROR(__xludf.DUMMYFUNCTION("""COMPUTED_VALUE"""),"A few times a year")</f>
        <v>A few times a year</v>
      </c>
      <c r="J952" s="260">
        <f>IFERROR(__xludf.DUMMYFUNCTION("""COMPUTED_VALUE"""),0.7)</f>
        <v>0.7</v>
      </c>
      <c r="K952" s="258">
        <f>IFERROR(__xludf.DUMMYFUNCTION("""COMPUTED_VALUE"""),496.0)</f>
        <v>496</v>
      </c>
      <c r="L952" s="258" t="str">
        <f>IFERROR(__xludf.DUMMYFUNCTION("""COMPUTED_VALUE"""),"")</f>
        <v/>
      </c>
      <c r="M952" s="261">
        <f>IFERROR(__xludf.DUMMYFUNCTION("""COMPUTED_VALUE"""),195.0)</f>
        <v>195</v>
      </c>
      <c r="N952" s="262" t="str">
        <f>IFERROR(__xludf.DUMMYFUNCTION("""COMPUTED_VALUE"""),"")</f>
        <v/>
      </c>
      <c r="O952" s="259" t="str">
        <f>IFERROR(__xludf.DUMMYFUNCTION("""COMPUTED_VALUE"""),"")</f>
        <v/>
      </c>
      <c r="P952" s="259">
        <f>IFERROR(__xludf.DUMMYFUNCTION("""COMPUTED_VALUE"""),43741.0)</f>
        <v>43741</v>
      </c>
      <c r="Q952" s="258">
        <f>IFERROR(__xludf.DUMMYFUNCTION("""COMPUTED_VALUE"""),302.0)</f>
        <v>302</v>
      </c>
      <c r="R952" s="261">
        <f>IFERROR(__xludf.DUMMYFUNCTION("""COMPUTED_VALUE"""),496.0)</f>
        <v>496</v>
      </c>
      <c r="S952" s="258">
        <v>530.0</v>
      </c>
      <c r="T952" s="263">
        <v>0.9358490566037736</v>
      </c>
      <c r="U952" s="264">
        <v>188.0</v>
      </c>
      <c r="V952" s="265">
        <v>302.0</v>
      </c>
      <c r="W952" s="264">
        <v>188.0</v>
      </c>
      <c r="X952" s="266"/>
      <c r="Y952" s="267">
        <v>-0.01</v>
      </c>
      <c r="Z952" s="267">
        <v>0.9994005308728914</v>
      </c>
      <c r="AA952" s="269"/>
      <c r="AB952" s="270"/>
      <c r="AC952" s="270"/>
      <c r="AD952" s="270"/>
      <c r="AE952" s="270"/>
    </row>
    <row r="953">
      <c r="A953" s="256">
        <f>IFERROR(__xludf.DUMMYFUNCTION("""COMPUTED_VALUE"""),43838.87385153935)</f>
        <v>43838.87385</v>
      </c>
      <c r="B953" s="257" t="str">
        <f>IFERROR(__xludf.DUMMYFUNCTION("""COMPUTED_VALUE"""),"lewurm")</f>
        <v>lewurm</v>
      </c>
      <c r="C953" s="258" t="str">
        <f>IFERROR(__xludf.DUMMYFUNCTION("""COMPUTED_VALUE"""),"Europe (excluding UK) &amp; Asia Pacific")</f>
        <v>Europe (excluding UK) &amp; Asia Pacific</v>
      </c>
      <c r="D953" s="258" t="str">
        <f>IFERROR(__xludf.DUMMYFUNCTION("""COMPUTED_VALUE"""),"km. My car displays range in kilometres and I will enter all range numbers in kilometres.")</f>
        <v>km. My car displays range in kilometres and I will enter all range numbers in kilometres.</v>
      </c>
      <c r="E953" s="259">
        <f>IFERROR(__xludf.DUMMYFUNCTION("""COMPUTED_VALUE"""),43449.0)</f>
        <v>43449</v>
      </c>
      <c r="F953" s="258" t="str">
        <f>IFERROR(__xludf.DUMMYFUNCTION("""COMPUTED_VALUE"""),"Model 3 P")</f>
        <v>Model 3 P</v>
      </c>
      <c r="G953" s="258" t="str">
        <f>IFERROR(__xludf.DUMMYFUNCTION("""COMPUTED_VALUE"""),"Weekly")</f>
        <v>Weekly</v>
      </c>
      <c r="H953" s="258" t="str">
        <f>IFERROR(__xludf.DUMMYFUNCTION("""COMPUTED_VALUE"""),"Once or twice a year")</f>
        <v>Once or twice a year</v>
      </c>
      <c r="I953" s="258" t="str">
        <f>IFERROR(__xludf.DUMMYFUNCTION("""COMPUTED_VALUE"""),"A few times a year")</f>
        <v>A few times a year</v>
      </c>
      <c r="J953" s="260">
        <f>IFERROR(__xludf.DUMMYFUNCTION("""COMPUTED_VALUE"""),0.7)</f>
        <v>0.7</v>
      </c>
      <c r="K953" s="258">
        <f>IFERROR(__xludf.DUMMYFUNCTION("""COMPUTED_VALUE"""),496.0)</f>
        <v>496</v>
      </c>
      <c r="L953" s="258" t="str">
        <f>IFERROR(__xludf.DUMMYFUNCTION("""COMPUTED_VALUE"""),"")</f>
        <v/>
      </c>
      <c r="M953" s="261">
        <f>IFERROR(__xludf.DUMMYFUNCTION("""COMPUTED_VALUE"""),195.0)</f>
        <v>195</v>
      </c>
      <c r="N953" s="262" t="str">
        <f>IFERROR(__xludf.DUMMYFUNCTION("""COMPUTED_VALUE"""),"")</f>
        <v/>
      </c>
      <c r="O953" s="259" t="str">
        <f>IFERROR(__xludf.DUMMYFUNCTION("""COMPUTED_VALUE"""),"")</f>
        <v/>
      </c>
      <c r="P953" s="259">
        <f>IFERROR(__xludf.DUMMYFUNCTION("""COMPUTED_VALUE"""),43820.0)</f>
        <v>43820</v>
      </c>
      <c r="Q953" s="258">
        <f>IFERROR(__xludf.DUMMYFUNCTION("""COMPUTED_VALUE"""),26965.0)</f>
        <v>26965</v>
      </c>
      <c r="R953" s="261">
        <f>IFERROR(__xludf.DUMMYFUNCTION("""COMPUTED_VALUE"""),487.0)</f>
        <v>487</v>
      </c>
      <c r="S953" s="258">
        <v>530.0</v>
      </c>
      <c r="T953" s="263">
        <v>0.9188679245283019</v>
      </c>
      <c r="U953" s="264">
        <v>16755.0</v>
      </c>
      <c r="V953" s="265">
        <v>26965.0</v>
      </c>
      <c r="W953" s="264">
        <v>16755.0</v>
      </c>
      <c r="X953" s="266"/>
      <c r="Y953" s="267">
        <v>-0.01</v>
      </c>
      <c r="Z953" s="267">
        <v>0.9696874757247652</v>
      </c>
      <c r="AA953" s="269"/>
      <c r="AB953" s="270"/>
      <c r="AC953" s="270"/>
      <c r="AD953" s="270"/>
      <c r="AE953" s="270"/>
    </row>
    <row r="954">
      <c r="A954" s="256">
        <f>IFERROR(__xludf.DUMMYFUNCTION("""COMPUTED_VALUE"""),42319.23055555555)</f>
        <v>42319.23056</v>
      </c>
      <c r="B954" s="257" t="str">
        <f>IFERROR(__xludf.DUMMYFUNCTION("""COMPUTED_VALUE"""),"Liddus")</f>
        <v>Liddus</v>
      </c>
      <c r="C954" s="258" t="str">
        <f>IFERROR(__xludf.DUMMYFUNCTION("""COMPUTED_VALUE"""),"Europe (excluding UK) &amp; Asia Pacific")</f>
        <v>Europe (excluding UK) &amp; Asia Pacific</v>
      </c>
      <c r="D954" s="258" t="str">
        <f>IFERROR(__xludf.DUMMYFUNCTION("""COMPUTED_VALUE"""),"km. My car displays range in kilometres and I will enter all range numbers in kilometres.")</f>
        <v>km. My car displays range in kilometres and I will enter all range numbers in kilometres.</v>
      </c>
      <c r="E954" s="259">
        <f>IFERROR(__xludf.DUMMYFUNCTION("""COMPUTED_VALUE"""),41715.0)</f>
        <v>41715</v>
      </c>
      <c r="F954" s="258" t="str">
        <f>IFERROR(__xludf.DUMMYFUNCTION("""COMPUTED_VALUE"""),"Model S P85")</f>
        <v>Model S P85</v>
      </c>
      <c r="G954" s="258" t="str">
        <f>IFERROR(__xludf.DUMMYFUNCTION("""COMPUTED_VALUE"""),"A few times a year")</f>
        <v>A few times a year</v>
      </c>
      <c r="H954" s="258" t="str">
        <f>IFERROR(__xludf.DUMMYFUNCTION("""COMPUTED_VALUE"""),"Monthly")</f>
        <v>Monthly</v>
      </c>
      <c r="I954" s="258" t="str">
        <f>IFERROR(__xludf.DUMMYFUNCTION("""COMPUTED_VALUE"""),"Never")</f>
        <v>Never</v>
      </c>
      <c r="J954" s="260">
        <f>IFERROR(__xludf.DUMMYFUNCTION("""COMPUTED_VALUE"""),0.9)</f>
        <v>0.9</v>
      </c>
      <c r="K954" s="258">
        <f>IFERROR(__xludf.DUMMYFUNCTION("""COMPUTED_VALUE"""),392.0)</f>
        <v>392</v>
      </c>
      <c r="L954" s="258" t="str">
        <f>IFERROR(__xludf.DUMMYFUNCTION("""COMPUTED_VALUE"""),"")</f>
        <v/>
      </c>
      <c r="M954" s="261">
        <f>IFERROR(__xludf.DUMMYFUNCTION("""COMPUTED_VALUE"""),198.0)</f>
        <v>198</v>
      </c>
      <c r="N954" s="262" t="str">
        <f>IFERROR(__xludf.DUMMYFUNCTION("""COMPUTED_VALUE"""),"")</f>
        <v/>
      </c>
      <c r="O954" s="259" t="str">
        <f>IFERROR(__xludf.DUMMYFUNCTION("""COMPUTED_VALUE"""),"")</f>
        <v/>
      </c>
      <c r="P954" s="259">
        <f>IFERROR(__xludf.DUMMYFUNCTION("""COMPUTED_VALUE"""),42319.0)</f>
        <v>42319</v>
      </c>
      <c r="Q954" s="258">
        <f>IFERROR(__xludf.DUMMYFUNCTION("""COMPUTED_VALUE"""),57000.0)</f>
        <v>57000</v>
      </c>
      <c r="R954" s="261">
        <f>IFERROR(__xludf.DUMMYFUNCTION("""COMPUTED_VALUE"""),382.0)</f>
        <v>382</v>
      </c>
      <c r="S954" s="258">
        <v>395.0</v>
      </c>
      <c r="T954" s="263">
        <v>0.9670886075949368</v>
      </c>
      <c r="U954" s="264">
        <v>35418.0</v>
      </c>
      <c r="V954" s="265">
        <v>57000.0</v>
      </c>
      <c r="W954" s="264">
        <v>35418.0</v>
      </c>
      <c r="X954" s="266"/>
      <c r="Y954" s="267">
        <v>-0.01</v>
      </c>
      <c r="Z954" s="267">
        <v>0.957519801379745</v>
      </c>
      <c r="AA954" s="269"/>
      <c r="AB954" s="270"/>
      <c r="AC954" s="270"/>
      <c r="AD954" s="270"/>
      <c r="AE954" s="270"/>
    </row>
    <row r="955">
      <c r="A955" s="256">
        <f>IFERROR(__xludf.DUMMYFUNCTION("""COMPUTED_VALUE"""),42345.23888888889)</f>
        <v>42345.23889</v>
      </c>
      <c r="B955" s="257" t="str">
        <f>IFERROR(__xludf.DUMMYFUNCTION("""COMPUTED_VALUE"""),"Liddus")</f>
        <v>Liddus</v>
      </c>
      <c r="C955" s="258" t="str">
        <f>IFERROR(__xludf.DUMMYFUNCTION("""COMPUTED_VALUE"""),"Europe (excluding UK) &amp; Asia Pacific")</f>
        <v>Europe (excluding UK) &amp; Asia Pacific</v>
      </c>
      <c r="D955" s="258" t="str">
        <f>IFERROR(__xludf.DUMMYFUNCTION("""COMPUTED_VALUE"""),"km. My car displays range in kilometres and I will enter all range numbers in kilometres.")</f>
        <v>km. My car displays range in kilometres and I will enter all range numbers in kilometres.</v>
      </c>
      <c r="E955" s="259">
        <f>IFERROR(__xludf.DUMMYFUNCTION("""COMPUTED_VALUE"""),41715.0)</f>
        <v>41715</v>
      </c>
      <c r="F955" s="258" t="str">
        <f>IFERROR(__xludf.DUMMYFUNCTION("""COMPUTED_VALUE"""),"Model S P85")</f>
        <v>Model S P85</v>
      </c>
      <c r="G955" s="258" t="str">
        <f>IFERROR(__xludf.DUMMYFUNCTION("""COMPUTED_VALUE"""),"A few times a year")</f>
        <v>A few times a year</v>
      </c>
      <c r="H955" s="258" t="str">
        <f>IFERROR(__xludf.DUMMYFUNCTION("""COMPUTED_VALUE"""),"Monthly")</f>
        <v>Monthly</v>
      </c>
      <c r="I955" s="258" t="str">
        <f>IFERROR(__xludf.DUMMYFUNCTION("""COMPUTED_VALUE"""),"Never")</f>
        <v>Never</v>
      </c>
      <c r="J955" s="260">
        <f>IFERROR(__xludf.DUMMYFUNCTION("""COMPUTED_VALUE"""),0.9)</f>
        <v>0.9</v>
      </c>
      <c r="K955" s="258">
        <f>IFERROR(__xludf.DUMMYFUNCTION("""COMPUTED_VALUE"""),392.0)</f>
        <v>392</v>
      </c>
      <c r="L955" s="258" t="str">
        <f>IFERROR(__xludf.DUMMYFUNCTION("""COMPUTED_VALUE"""),"")</f>
        <v/>
      </c>
      <c r="M955" s="261">
        <f>IFERROR(__xludf.DUMMYFUNCTION("""COMPUTED_VALUE"""),199.0)</f>
        <v>199</v>
      </c>
      <c r="N955" s="262" t="str">
        <f>IFERROR(__xludf.DUMMYFUNCTION("""COMPUTED_VALUE"""),"")</f>
        <v/>
      </c>
      <c r="O955" s="259" t="str">
        <f>IFERROR(__xludf.DUMMYFUNCTION("""COMPUTED_VALUE"""),"")</f>
        <v/>
      </c>
      <c r="P955" s="259">
        <f>IFERROR(__xludf.DUMMYFUNCTION("""COMPUTED_VALUE"""),42345.0)</f>
        <v>42345</v>
      </c>
      <c r="Q955" s="258">
        <f>IFERROR(__xludf.DUMMYFUNCTION("""COMPUTED_VALUE"""),60000.0)</f>
        <v>60000</v>
      </c>
      <c r="R955" s="261">
        <f>IFERROR(__xludf.DUMMYFUNCTION("""COMPUTED_VALUE"""),379.0)</f>
        <v>379</v>
      </c>
      <c r="S955" s="258">
        <v>395.0</v>
      </c>
      <c r="T955" s="263">
        <v>0.959493670886076</v>
      </c>
      <c r="U955" s="264">
        <v>37282.0</v>
      </c>
      <c r="V955" s="265">
        <v>60000.0</v>
      </c>
      <c r="W955" s="264">
        <v>37282.0</v>
      </c>
      <c r="X955" s="266"/>
      <c r="Y955" s="267">
        <v>-0.01</v>
      </c>
      <c r="Z955" s="267">
        <v>0.9566506501201559</v>
      </c>
      <c r="AA955" s="269"/>
      <c r="AB955" s="270"/>
      <c r="AC955" s="270"/>
      <c r="AD955" s="270"/>
      <c r="AE955" s="270"/>
    </row>
    <row r="956">
      <c r="A956" s="256">
        <f>IFERROR(__xludf.DUMMYFUNCTION("""COMPUTED_VALUE"""),42461.31875)</f>
        <v>42461.31875</v>
      </c>
      <c r="B956" s="257" t="str">
        <f>IFERROR(__xludf.DUMMYFUNCTION("""COMPUTED_VALUE"""),"Liddus")</f>
        <v>Liddus</v>
      </c>
      <c r="C956" s="258" t="str">
        <f>IFERROR(__xludf.DUMMYFUNCTION("""COMPUTED_VALUE"""),"Europe (excluding UK) &amp; Asia Pacific")</f>
        <v>Europe (excluding UK) &amp; Asia Pacific</v>
      </c>
      <c r="D956" s="258" t="str">
        <f>IFERROR(__xludf.DUMMYFUNCTION("""COMPUTED_VALUE"""),"km. My car displays range in kilometres and I will enter all range numbers in kilometres.")</f>
        <v>km. My car displays range in kilometres and I will enter all range numbers in kilometres.</v>
      </c>
      <c r="E956" s="259">
        <f>IFERROR(__xludf.DUMMYFUNCTION("""COMPUTED_VALUE"""),41715.0)</f>
        <v>41715</v>
      </c>
      <c r="F956" s="258" t="str">
        <f>IFERROR(__xludf.DUMMYFUNCTION("""COMPUTED_VALUE"""),"Model S P85")</f>
        <v>Model S P85</v>
      </c>
      <c r="G956" s="258" t="str">
        <f>IFERROR(__xludf.DUMMYFUNCTION("""COMPUTED_VALUE"""),"A few times a year")</f>
        <v>A few times a year</v>
      </c>
      <c r="H956" s="258" t="str">
        <f>IFERROR(__xludf.DUMMYFUNCTION("""COMPUTED_VALUE"""),"A few times a year")</f>
        <v>A few times a year</v>
      </c>
      <c r="I956" s="258" t="str">
        <f>IFERROR(__xludf.DUMMYFUNCTION("""COMPUTED_VALUE"""),"Never")</f>
        <v>Never</v>
      </c>
      <c r="J956" s="260">
        <f>IFERROR(__xludf.DUMMYFUNCTION("""COMPUTED_VALUE"""),0.9)</f>
        <v>0.9</v>
      </c>
      <c r="K956" s="258">
        <f>IFERROR(__xludf.DUMMYFUNCTION("""COMPUTED_VALUE"""),392.0)</f>
        <v>392</v>
      </c>
      <c r="L956" s="258" t="str">
        <f>IFERROR(__xludf.DUMMYFUNCTION("""COMPUTED_VALUE"""),"")</f>
        <v/>
      </c>
      <c r="M956" s="261">
        <f>IFERROR(__xludf.DUMMYFUNCTION("""COMPUTED_VALUE"""),203.0)</f>
        <v>203</v>
      </c>
      <c r="N956" s="262" t="str">
        <f>IFERROR(__xludf.DUMMYFUNCTION("""COMPUTED_VALUE"""),"")</f>
        <v/>
      </c>
      <c r="O956" s="259" t="str">
        <f>IFERROR(__xludf.DUMMYFUNCTION("""COMPUTED_VALUE"""),"")</f>
        <v/>
      </c>
      <c r="P956" s="259">
        <f>IFERROR(__xludf.DUMMYFUNCTION("""COMPUTED_VALUE"""),42461.0)</f>
        <v>42461</v>
      </c>
      <c r="Q956" s="258">
        <f>IFERROR(__xludf.DUMMYFUNCTION("""COMPUTED_VALUE"""),70000.0)</f>
        <v>70000</v>
      </c>
      <c r="R956" s="261">
        <f>IFERROR(__xludf.DUMMYFUNCTION("""COMPUTED_VALUE"""),384.0)</f>
        <v>384</v>
      </c>
      <c r="S956" s="258">
        <v>395.0</v>
      </c>
      <c r="T956" s="263">
        <v>0.9721518987341772</v>
      </c>
      <c r="U956" s="264">
        <v>43496.0</v>
      </c>
      <c r="V956" s="265">
        <v>70000.0</v>
      </c>
      <c r="W956" s="264">
        <v>43496.0</v>
      </c>
      <c r="X956" s="266"/>
      <c r="Y956" s="267">
        <v>-0.01</v>
      </c>
      <c r="Z956" s="267">
        <v>0.9539341706223706</v>
      </c>
      <c r="AA956" s="269"/>
      <c r="AB956" s="270"/>
      <c r="AC956" s="270"/>
      <c r="AD956" s="270"/>
      <c r="AE956" s="270"/>
    </row>
    <row r="957">
      <c r="A957" s="256">
        <f>IFERROR(__xludf.DUMMYFUNCTION("""COMPUTED_VALUE"""),42583.370833333334)</f>
        <v>42583.37083</v>
      </c>
      <c r="B957" s="257" t="str">
        <f>IFERROR(__xludf.DUMMYFUNCTION("""COMPUTED_VALUE"""),"Liddus")</f>
        <v>Liddus</v>
      </c>
      <c r="C957" s="258" t="str">
        <f>IFERROR(__xludf.DUMMYFUNCTION("""COMPUTED_VALUE"""),"Europe (excluding UK) &amp; Asia Pacific")</f>
        <v>Europe (excluding UK) &amp; Asia Pacific</v>
      </c>
      <c r="D957" s="258" t="str">
        <f>IFERROR(__xludf.DUMMYFUNCTION("""COMPUTED_VALUE"""),"km. My car displays range in kilometres and I will enter all range numbers in kilometres.")</f>
        <v>km. My car displays range in kilometres and I will enter all range numbers in kilometres.</v>
      </c>
      <c r="E957" s="259">
        <f>IFERROR(__xludf.DUMMYFUNCTION("""COMPUTED_VALUE"""),41715.0)</f>
        <v>41715</v>
      </c>
      <c r="F957" s="258" t="str">
        <f>IFERROR(__xludf.DUMMYFUNCTION("""COMPUTED_VALUE"""),"Model S P85")</f>
        <v>Model S P85</v>
      </c>
      <c r="G957" s="258" t="str">
        <f>IFERROR(__xludf.DUMMYFUNCTION("""COMPUTED_VALUE"""),"A few times a year")</f>
        <v>A few times a year</v>
      </c>
      <c r="H957" s="258" t="str">
        <f>IFERROR(__xludf.DUMMYFUNCTION("""COMPUTED_VALUE"""),"A few times a year")</f>
        <v>A few times a year</v>
      </c>
      <c r="I957" s="258" t="str">
        <f>IFERROR(__xludf.DUMMYFUNCTION("""COMPUTED_VALUE"""),"Never")</f>
        <v>Never</v>
      </c>
      <c r="J957" s="260">
        <f>IFERROR(__xludf.DUMMYFUNCTION("""COMPUTED_VALUE"""),0.9)</f>
        <v>0.9</v>
      </c>
      <c r="K957" s="258">
        <f>IFERROR(__xludf.DUMMYFUNCTION("""COMPUTED_VALUE"""),392.0)</f>
        <v>392</v>
      </c>
      <c r="L957" s="258" t="str">
        <f>IFERROR(__xludf.DUMMYFUNCTION("""COMPUTED_VALUE"""),"")</f>
        <v/>
      </c>
      <c r="M957" s="261">
        <f>IFERROR(__xludf.DUMMYFUNCTION("""COMPUTED_VALUE"""),201.0)</f>
        <v>201</v>
      </c>
      <c r="N957" s="262" t="str">
        <f>IFERROR(__xludf.DUMMYFUNCTION("""COMPUTED_VALUE"""),"")</f>
        <v/>
      </c>
      <c r="O957" s="259" t="str">
        <f>IFERROR(__xludf.DUMMYFUNCTION("""COMPUTED_VALUE"""),"")</f>
        <v/>
      </c>
      <c r="P957" s="259">
        <f>IFERROR(__xludf.DUMMYFUNCTION("""COMPUTED_VALUE"""),42583.0)</f>
        <v>42583</v>
      </c>
      <c r="Q957" s="258">
        <f>IFERROR(__xludf.DUMMYFUNCTION("""COMPUTED_VALUE"""),80000.0)</f>
        <v>80000</v>
      </c>
      <c r="R957" s="261">
        <f>IFERROR(__xludf.DUMMYFUNCTION("""COMPUTED_VALUE"""),377.0)</f>
        <v>377</v>
      </c>
      <c r="S957" s="258">
        <v>395.0</v>
      </c>
      <c r="T957" s="263">
        <v>0.9544303797468354</v>
      </c>
      <c r="U957" s="264">
        <v>49710.0</v>
      </c>
      <c r="V957" s="265">
        <v>80000.0</v>
      </c>
      <c r="W957" s="264">
        <v>49710.0</v>
      </c>
      <c r="X957" s="266"/>
      <c r="Y957" s="267">
        <v>-0.01</v>
      </c>
      <c r="Z957" s="267">
        <v>0.9513984570191487</v>
      </c>
      <c r="AA957" s="269"/>
      <c r="AB957" s="270"/>
      <c r="AC957" s="270"/>
      <c r="AD957" s="270"/>
      <c r="AE957" s="270"/>
    </row>
    <row r="958">
      <c r="A958" s="256">
        <f>IFERROR(__xludf.DUMMYFUNCTION("""COMPUTED_VALUE"""),42686.43611111111)</f>
        <v>42686.43611</v>
      </c>
      <c r="B958" s="257" t="str">
        <f>IFERROR(__xludf.DUMMYFUNCTION("""COMPUTED_VALUE"""),"Liddus")</f>
        <v>Liddus</v>
      </c>
      <c r="C958" s="258" t="str">
        <f>IFERROR(__xludf.DUMMYFUNCTION("""COMPUTED_VALUE"""),"Europe (excluding UK) &amp; Asia Pacific")</f>
        <v>Europe (excluding UK) &amp; Asia Pacific</v>
      </c>
      <c r="D958" s="258" t="str">
        <f>IFERROR(__xludf.DUMMYFUNCTION("""COMPUTED_VALUE"""),"km. My car displays range in kilometres and I will enter all range numbers in kilometres.")</f>
        <v>km. My car displays range in kilometres and I will enter all range numbers in kilometres.</v>
      </c>
      <c r="E958" s="259">
        <f>IFERROR(__xludf.DUMMYFUNCTION("""COMPUTED_VALUE"""),41715.0)</f>
        <v>41715</v>
      </c>
      <c r="F958" s="258" t="str">
        <f>IFERROR(__xludf.DUMMYFUNCTION("""COMPUTED_VALUE"""),"Model S P85")</f>
        <v>Model S P85</v>
      </c>
      <c r="G958" s="258" t="str">
        <f>IFERROR(__xludf.DUMMYFUNCTION("""COMPUTED_VALUE"""),"A few times a year")</f>
        <v>A few times a year</v>
      </c>
      <c r="H958" s="258" t="str">
        <f>IFERROR(__xludf.DUMMYFUNCTION("""COMPUTED_VALUE"""),"A few times a year")</f>
        <v>A few times a year</v>
      </c>
      <c r="I958" s="258" t="str">
        <f>IFERROR(__xludf.DUMMYFUNCTION("""COMPUTED_VALUE"""),"Never")</f>
        <v>Never</v>
      </c>
      <c r="J958" s="260">
        <f>IFERROR(__xludf.DUMMYFUNCTION("""COMPUTED_VALUE"""),0.9)</f>
        <v>0.9</v>
      </c>
      <c r="K958" s="258">
        <f>IFERROR(__xludf.DUMMYFUNCTION("""COMPUTED_VALUE"""),392.0)</f>
        <v>392</v>
      </c>
      <c r="L958" s="258" t="str">
        <f>IFERROR(__xludf.DUMMYFUNCTION("""COMPUTED_VALUE"""),"")</f>
        <v/>
      </c>
      <c r="M958" s="261">
        <f>IFERROR(__xludf.DUMMYFUNCTION("""COMPUTED_VALUE"""),200.0)</f>
        <v>200</v>
      </c>
      <c r="N958" s="262" t="str">
        <f>IFERROR(__xludf.DUMMYFUNCTION("""COMPUTED_VALUE"""),"")</f>
        <v/>
      </c>
      <c r="O958" s="259" t="str">
        <f>IFERROR(__xludf.DUMMYFUNCTION("""COMPUTED_VALUE"""),"")</f>
        <v/>
      </c>
      <c r="P958" s="259">
        <f>IFERROR(__xludf.DUMMYFUNCTION("""COMPUTED_VALUE"""),42686.0)</f>
        <v>42686</v>
      </c>
      <c r="Q958" s="258">
        <f>IFERROR(__xludf.DUMMYFUNCTION("""COMPUTED_VALUE"""),90000.0)</f>
        <v>90000</v>
      </c>
      <c r="R958" s="261">
        <f>IFERROR(__xludf.DUMMYFUNCTION("""COMPUTED_VALUE"""),374.0)</f>
        <v>374</v>
      </c>
      <c r="S958" s="258">
        <v>395.0</v>
      </c>
      <c r="T958" s="263">
        <v>0.9468354430379747</v>
      </c>
      <c r="U958" s="264">
        <v>55923.0</v>
      </c>
      <c r="V958" s="265">
        <v>90000.0</v>
      </c>
      <c r="W958" s="264">
        <v>55923.0</v>
      </c>
      <c r="X958" s="266"/>
      <c r="Y958" s="267">
        <v>-0.01</v>
      </c>
      <c r="Z958" s="267">
        <v>0.948963812819512</v>
      </c>
      <c r="AA958" s="269"/>
      <c r="AB958" s="270"/>
      <c r="AC958" s="270"/>
      <c r="AD958" s="270"/>
      <c r="AE958" s="270"/>
    </row>
    <row r="959">
      <c r="A959" s="256">
        <f>IFERROR(__xludf.DUMMYFUNCTION("""COMPUTED_VALUE"""),42794.50486111111)</f>
        <v>42794.50486</v>
      </c>
      <c r="B959" s="257" t="str">
        <f>IFERROR(__xludf.DUMMYFUNCTION("""COMPUTED_VALUE"""),"Liddus")</f>
        <v>Liddus</v>
      </c>
      <c r="C959" s="258" t="str">
        <f>IFERROR(__xludf.DUMMYFUNCTION("""COMPUTED_VALUE"""),"Europe (excluding UK) &amp; Asia Pacific")</f>
        <v>Europe (excluding UK) &amp; Asia Pacific</v>
      </c>
      <c r="D959" s="258" t="str">
        <f>IFERROR(__xludf.DUMMYFUNCTION("""COMPUTED_VALUE"""),"km. My car displays range in kilometres and I will enter all range numbers in kilometres.")</f>
        <v>km. My car displays range in kilometres and I will enter all range numbers in kilometres.</v>
      </c>
      <c r="E959" s="259">
        <f>IFERROR(__xludf.DUMMYFUNCTION("""COMPUTED_VALUE"""),41715.0)</f>
        <v>41715</v>
      </c>
      <c r="F959" s="258" t="str">
        <f>IFERROR(__xludf.DUMMYFUNCTION("""COMPUTED_VALUE"""),"Model S P85")</f>
        <v>Model S P85</v>
      </c>
      <c r="G959" s="258" t="str">
        <f>IFERROR(__xludf.DUMMYFUNCTION("""COMPUTED_VALUE"""),"A few times a year")</f>
        <v>A few times a year</v>
      </c>
      <c r="H959" s="258" t="str">
        <f>IFERROR(__xludf.DUMMYFUNCTION("""COMPUTED_VALUE"""),"A few times a year")</f>
        <v>A few times a year</v>
      </c>
      <c r="I959" s="258" t="str">
        <f>IFERROR(__xludf.DUMMYFUNCTION("""COMPUTED_VALUE"""),"Never")</f>
        <v>Never</v>
      </c>
      <c r="J959" s="260">
        <f>IFERROR(__xludf.DUMMYFUNCTION("""COMPUTED_VALUE"""),0.9)</f>
        <v>0.9</v>
      </c>
      <c r="K959" s="258">
        <f>IFERROR(__xludf.DUMMYFUNCTION("""COMPUTED_VALUE"""),392.0)</f>
        <v>392</v>
      </c>
      <c r="L959" s="258" t="str">
        <f>IFERROR(__xludf.DUMMYFUNCTION("""COMPUTED_VALUE"""),"")</f>
        <v/>
      </c>
      <c r="M959" s="261">
        <f>IFERROR(__xludf.DUMMYFUNCTION("""COMPUTED_VALUE"""),202.0)</f>
        <v>202</v>
      </c>
      <c r="N959" s="262" t="str">
        <f>IFERROR(__xludf.DUMMYFUNCTION("""COMPUTED_VALUE"""),"")</f>
        <v/>
      </c>
      <c r="O959" s="259" t="str">
        <f>IFERROR(__xludf.DUMMYFUNCTION("""COMPUTED_VALUE"""),"")</f>
        <v/>
      </c>
      <c r="P959" s="259">
        <f>IFERROR(__xludf.DUMMYFUNCTION("""COMPUTED_VALUE"""),42794.0)</f>
        <v>42794</v>
      </c>
      <c r="Q959" s="258">
        <f>IFERROR(__xludf.DUMMYFUNCTION("""COMPUTED_VALUE"""),100000.0)</f>
        <v>100000</v>
      </c>
      <c r="R959" s="261">
        <f>IFERROR(__xludf.DUMMYFUNCTION("""COMPUTED_VALUE"""),376.0)</f>
        <v>376</v>
      </c>
      <c r="S959" s="258">
        <v>395.0</v>
      </c>
      <c r="T959" s="263">
        <v>0.9518987341772152</v>
      </c>
      <c r="U959" s="264">
        <v>62137.0</v>
      </c>
      <c r="V959" s="265">
        <v>100000.0</v>
      </c>
      <c r="W959" s="264">
        <v>62137.0</v>
      </c>
      <c r="X959" s="266"/>
      <c r="Y959" s="267">
        <v>-0.01</v>
      </c>
      <c r="Z959" s="267">
        <v>0.9465856783080869</v>
      </c>
      <c r="AA959" s="269"/>
      <c r="AB959" s="270"/>
      <c r="AC959" s="270"/>
      <c r="AD959" s="270"/>
      <c r="AE959" s="270"/>
    </row>
    <row r="960">
      <c r="A960" s="256">
        <f>IFERROR(__xludf.DUMMYFUNCTION("""COMPUTED_VALUE"""),42908.549305555556)</f>
        <v>42908.54931</v>
      </c>
      <c r="B960" s="257" t="str">
        <f>IFERROR(__xludf.DUMMYFUNCTION("""COMPUTED_VALUE"""),"Liddus")</f>
        <v>Liddus</v>
      </c>
      <c r="C960" s="258" t="str">
        <f>IFERROR(__xludf.DUMMYFUNCTION("""COMPUTED_VALUE"""),"Europe (excluding UK) &amp; Asia Pacific")</f>
        <v>Europe (excluding UK) &amp; Asia Pacific</v>
      </c>
      <c r="D960" s="258" t="str">
        <f>IFERROR(__xludf.DUMMYFUNCTION("""COMPUTED_VALUE"""),"km. My car displays range in kilometres and I will enter all range numbers in kilometres.")</f>
        <v>km. My car displays range in kilometres and I will enter all range numbers in kilometres.</v>
      </c>
      <c r="E960" s="259">
        <f>IFERROR(__xludf.DUMMYFUNCTION("""COMPUTED_VALUE"""),41715.0)</f>
        <v>41715</v>
      </c>
      <c r="F960" s="258" t="str">
        <f>IFERROR(__xludf.DUMMYFUNCTION("""COMPUTED_VALUE"""),"Model S P85")</f>
        <v>Model S P85</v>
      </c>
      <c r="G960" s="258" t="str">
        <f>IFERROR(__xludf.DUMMYFUNCTION("""COMPUTED_VALUE"""),"A few times a year")</f>
        <v>A few times a year</v>
      </c>
      <c r="H960" s="258" t="str">
        <f>IFERROR(__xludf.DUMMYFUNCTION("""COMPUTED_VALUE"""),"A few times a year")</f>
        <v>A few times a year</v>
      </c>
      <c r="I960" s="258" t="str">
        <f>IFERROR(__xludf.DUMMYFUNCTION("""COMPUTED_VALUE"""),"Never")</f>
        <v>Never</v>
      </c>
      <c r="J960" s="260">
        <f>IFERROR(__xludf.DUMMYFUNCTION("""COMPUTED_VALUE"""),0.9)</f>
        <v>0.9</v>
      </c>
      <c r="K960" s="258">
        <f>IFERROR(__xludf.DUMMYFUNCTION("""COMPUTED_VALUE"""),392.0)</f>
        <v>392</v>
      </c>
      <c r="L960" s="258" t="str">
        <f>IFERROR(__xludf.DUMMYFUNCTION("""COMPUTED_VALUE"""),"")</f>
        <v/>
      </c>
      <c r="M960" s="261">
        <f>IFERROR(__xludf.DUMMYFUNCTION("""COMPUTED_VALUE"""),201.0)</f>
        <v>201</v>
      </c>
      <c r="N960" s="262" t="str">
        <f>IFERROR(__xludf.DUMMYFUNCTION("""COMPUTED_VALUE"""),"")</f>
        <v/>
      </c>
      <c r="O960" s="259" t="str">
        <f>IFERROR(__xludf.DUMMYFUNCTION("""COMPUTED_VALUE"""),"")</f>
        <v/>
      </c>
      <c r="P960" s="259">
        <f>IFERROR(__xludf.DUMMYFUNCTION("""COMPUTED_VALUE"""),42908.0)</f>
        <v>42908</v>
      </c>
      <c r="Q960" s="258">
        <f>IFERROR(__xludf.DUMMYFUNCTION("""COMPUTED_VALUE"""),110000.0)</f>
        <v>110000</v>
      </c>
      <c r="R960" s="261">
        <f>IFERROR(__xludf.DUMMYFUNCTION("""COMPUTED_VALUE"""),382.0)</f>
        <v>382</v>
      </c>
      <c r="S960" s="258">
        <v>395.0</v>
      </c>
      <c r="T960" s="263">
        <v>0.9670886075949368</v>
      </c>
      <c r="U960" s="264">
        <v>68351.0</v>
      </c>
      <c r="V960" s="265">
        <v>110000.0</v>
      </c>
      <c r="W960" s="264">
        <v>68351.0</v>
      </c>
      <c r="X960" s="266"/>
      <c r="Y960" s="267">
        <v>-0.01</v>
      </c>
      <c r="Z960" s="267">
        <v>0.94423913936118</v>
      </c>
      <c r="AA960" s="269"/>
      <c r="AB960" s="270"/>
      <c r="AC960" s="270"/>
      <c r="AD960" s="270"/>
      <c r="AE960" s="270"/>
    </row>
    <row r="961">
      <c r="A961" s="256">
        <f>IFERROR(__xludf.DUMMYFUNCTION("""COMPUTED_VALUE"""),43085.64722222222)</f>
        <v>43085.64722</v>
      </c>
      <c r="B961" s="257" t="str">
        <f>IFERROR(__xludf.DUMMYFUNCTION("""COMPUTED_VALUE"""),"Liddus")</f>
        <v>Liddus</v>
      </c>
      <c r="C961" s="258" t="str">
        <f>IFERROR(__xludf.DUMMYFUNCTION("""COMPUTED_VALUE"""),"Europe (excluding UK) &amp; Asia Pacific")</f>
        <v>Europe (excluding UK) &amp; Asia Pacific</v>
      </c>
      <c r="D961" s="258" t="str">
        <f>IFERROR(__xludf.DUMMYFUNCTION("""COMPUTED_VALUE"""),"km. My car displays range in kilometres and I will enter all range numbers in kilometres.")</f>
        <v>km. My car displays range in kilometres and I will enter all range numbers in kilometres.</v>
      </c>
      <c r="E961" s="259">
        <f>IFERROR(__xludf.DUMMYFUNCTION("""COMPUTED_VALUE"""),41715.0)</f>
        <v>41715</v>
      </c>
      <c r="F961" s="258" t="str">
        <f>IFERROR(__xludf.DUMMYFUNCTION("""COMPUTED_VALUE"""),"Model S P85")</f>
        <v>Model S P85</v>
      </c>
      <c r="G961" s="258" t="str">
        <f>IFERROR(__xludf.DUMMYFUNCTION("""COMPUTED_VALUE"""),"A few times a year")</f>
        <v>A few times a year</v>
      </c>
      <c r="H961" s="258" t="str">
        <f>IFERROR(__xludf.DUMMYFUNCTION("""COMPUTED_VALUE"""),"A few times a year")</f>
        <v>A few times a year</v>
      </c>
      <c r="I961" s="258" t="str">
        <f>IFERROR(__xludf.DUMMYFUNCTION("""COMPUTED_VALUE"""),"Never")</f>
        <v>Never</v>
      </c>
      <c r="J961" s="260">
        <f>IFERROR(__xludf.DUMMYFUNCTION("""COMPUTED_VALUE"""),0.9)</f>
        <v>0.9</v>
      </c>
      <c r="K961" s="258">
        <f>IFERROR(__xludf.DUMMYFUNCTION("""COMPUTED_VALUE"""),392.0)</f>
        <v>392</v>
      </c>
      <c r="L961" s="258" t="str">
        <f>IFERROR(__xludf.DUMMYFUNCTION("""COMPUTED_VALUE"""),"")</f>
        <v/>
      </c>
      <c r="M961" s="261">
        <f>IFERROR(__xludf.DUMMYFUNCTION("""COMPUTED_VALUE"""),200.0)</f>
        <v>200</v>
      </c>
      <c r="N961" s="262" t="str">
        <f>IFERROR(__xludf.DUMMYFUNCTION("""COMPUTED_VALUE"""),"")</f>
        <v/>
      </c>
      <c r="O961" s="259" t="str">
        <f>IFERROR(__xludf.DUMMYFUNCTION("""COMPUTED_VALUE"""),"")</f>
        <v/>
      </c>
      <c r="P961" s="259">
        <f>IFERROR(__xludf.DUMMYFUNCTION("""COMPUTED_VALUE"""),43085.0)</f>
        <v>43085</v>
      </c>
      <c r="Q961" s="258">
        <f>IFERROR(__xludf.DUMMYFUNCTION("""COMPUTED_VALUE"""),120000.0)</f>
        <v>120000</v>
      </c>
      <c r="R961" s="261">
        <f>IFERROR(__xludf.DUMMYFUNCTION("""COMPUTED_VALUE"""),373.0)</f>
        <v>373</v>
      </c>
      <c r="S961" s="258">
        <v>395.0</v>
      </c>
      <c r="T961" s="263">
        <v>0.9443037974683545</v>
      </c>
      <c r="U961" s="264">
        <v>74565.0</v>
      </c>
      <c r="V961" s="265">
        <v>120000.0</v>
      </c>
      <c r="W961" s="264">
        <v>74565.0</v>
      </c>
      <c r="X961" s="266"/>
      <c r="Y961" s="267">
        <v>-0.01</v>
      </c>
      <c r="Z961" s="267">
        <v>0.9419102660523042</v>
      </c>
      <c r="AA961" s="269"/>
      <c r="AB961" s="270"/>
      <c r="AC961" s="270"/>
      <c r="AD961" s="270"/>
      <c r="AE961" s="270"/>
    </row>
    <row r="962">
      <c r="A962" s="256">
        <f>IFERROR(__xludf.DUMMYFUNCTION("""COMPUTED_VALUE"""),43182.70972222222)</f>
        <v>43182.70972</v>
      </c>
      <c r="B962" s="257" t="str">
        <f>IFERROR(__xludf.DUMMYFUNCTION("""COMPUTED_VALUE"""),"Liddus")</f>
        <v>Liddus</v>
      </c>
      <c r="C962" s="258" t="str">
        <f>IFERROR(__xludf.DUMMYFUNCTION("""COMPUTED_VALUE"""),"Europe (excluding UK) &amp; Asia Pacific")</f>
        <v>Europe (excluding UK) &amp; Asia Pacific</v>
      </c>
      <c r="D962" s="258" t="str">
        <f>IFERROR(__xludf.DUMMYFUNCTION("""COMPUTED_VALUE"""),"km. My car displays range in kilometres and I will enter all range numbers in kilometres.")</f>
        <v>km. My car displays range in kilometres and I will enter all range numbers in kilometres.</v>
      </c>
      <c r="E962" s="259">
        <f>IFERROR(__xludf.DUMMYFUNCTION("""COMPUTED_VALUE"""),41715.0)</f>
        <v>41715</v>
      </c>
      <c r="F962" s="258" t="str">
        <f>IFERROR(__xludf.DUMMYFUNCTION("""COMPUTED_VALUE"""),"Model S P85")</f>
        <v>Model S P85</v>
      </c>
      <c r="G962" s="258" t="str">
        <f>IFERROR(__xludf.DUMMYFUNCTION("""COMPUTED_VALUE"""),"A few times a year")</f>
        <v>A few times a year</v>
      </c>
      <c r="H962" s="258" t="str">
        <f>IFERROR(__xludf.DUMMYFUNCTION("""COMPUTED_VALUE"""),"Monthly")</f>
        <v>Monthly</v>
      </c>
      <c r="I962" s="258" t="str">
        <f>IFERROR(__xludf.DUMMYFUNCTION("""COMPUTED_VALUE"""),"Never")</f>
        <v>Never</v>
      </c>
      <c r="J962" s="260">
        <f>IFERROR(__xludf.DUMMYFUNCTION("""COMPUTED_VALUE"""),0.9)</f>
        <v>0.9</v>
      </c>
      <c r="K962" s="258">
        <f>IFERROR(__xludf.DUMMYFUNCTION("""COMPUTED_VALUE"""),392.0)</f>
        <v>392</v>
      </c>
      <c r="L962" s="258" t="str">
        <f>IFERROR(__xludf.DUMMYFUNCTION("""COMPUTED_VALUE"""),"")</f>
        <v/>
      </c>
      <c r="M962" s="261">
        <f>IFERROR(__xludf.DUMMYFUNCTION("""COMPUTED_VALUE"""),203.0)</f>
        <v>203</v>
      </c>
      <c r="N962" s="262" t="str">
        <f>IFERROR(__xludf.DUMMYFUNCTION("""COMPUTED_VALUE"""),"")</f>
        <v/>
      </c>
      <c r="O962" s="259" t="str">
        <f>IFERROR(__xludf.DUMMYFUNCTION("""COMPUTED_VALUE"""),"")</f>
        <v/>
      </c>
      <c r="P962" s="259">
        <f>IFERROR(__xludf.DUMMYFUNCTION("""COMPUTED_VALUE"""),43182.0)</f>
        <v>43182</v>
      </c>
      <c r="Q962" s="258">
        <f>IFERROR(__xludf.DUMMYFUNCTION("""COMPUTED_VALUE"""),130075.0)</f>
        <v>130075</v>
      </c>
      <c r="R962" s="261">
        <f>IFERROR(__xludf.DUMMYFUNCTION("""COMPUTED_VALUE"""),376.0)</f>
        <v>376</v>
      </c>
      <c r="S962" s="258">
        <v>395.0</v>
      </c>
      <c r="T962" s="263">
        <v>0.9518987341772152</v>
      </c>
      <c r="U962" s="264">
        <v>80825.0</v>
      </c>
      <c r="V962" s="265">
        <v>130075.0</v>
      </c>
      <c r="W962" s="264">
        <v>80825.0</v>
      </c>
      <c r="X962" s="266"/>
      <c r="Y962" s="267">
        <v>-0.01</v>
      </c>
      <c r="Z962" s="267">
        <v>0.9395739022714872</v>
      </c>
      <c r="AA962" s="269"/>
      <c r="AB962" s="270"/>
      <c r="AC962" s="270"/>
      <c r="AD962" s="270"/>
      <c r="AE962" s="270"/>
    </row>
    <row r="963">
      <c r="A963" s="256">
        <f>IFERROR(__xludf.DUMMYFUNCTION("""COMPUTED_VALUE"""),42328.773611111115)</f>
        <v>42328.77361</v>
      </c>
      <c r="B963" s="257" t="str">
        <f>IFERROR(__xludf.DUMMYFUNCTION("""COMPUTED_VALUE"""),"Liuping")</f>
        <v>Liuping</v>
      </c>
      <c r="C963" s="258" t="str">
        <f>IFERROR(__xludf.DUMMYFUNCTION("""COMPUTED_VALUE"""),"USA")</f>
        <v>USA</v>
      </c>
      <c r="D963" s="258" t="str">
        <f>IFERROR(__xludf.DUMMYFUNCTION("""COMPUTED_VALUE"""),"mi. My car displays range in miles and I will enter all range numbers in miles.")</f>
        <v>mi. My car displays range in miles and I will enter all range numbers in miles.</v>
      </c>
      <c r="E963" s="259">
        <f>IFERROR(__xludf.DUMMYFUNCTION("""COMPUTED_VALUE"""),42248.0)</f>
        <v>42248</v>
      </c>
      <c r="F963" s="258" t="str">
        <f>IFERROR(__xludf.DUMMYFUNCTION("""COMPUTED_VALUE"""),"Model S 90D 2015")</f>
        <v>Model S 90D 2015</v>
      </c>
      <c r="G963" s="258" t="str">
        <f>IFERROR(__xludf.DUMMYFUNCTION("""COMPUTED_VALUE"""),"A few times a year")</f>
        <v>A few times a year</v>
      </c>
      <c r="H963" s="258" t="str">
        <f>IFERROR(__xludf.DUMMYFUNCTION("""COMPUTED_VALUE"""),"Once or twice a year")</f>
        <v>Once or twice a year</v>
      </c>
      <c r="I963" s="258" t="str">
        <f>IFERROR(__xludf.DUMMYFUNCTION("""COMPUTED_VALUE"""),"Never")</f>
        <v>Never</v>
      </c>
      <c r="J963" s="260">
        <f>IFERROR(__xludf.DUMMYFUNCTION("""COMPUTED_VALUE"""),0.9)</f>
        <v>0.9</v>
      </c>
      <c r="K963" s="258">
        <f>IFERROR(__xludf.DUMMYFUNCTION("""COMPUTED_VALUE"""),283.0)</f>
        <v>283</v>
      </c>
      <c r="L963" s="258" t="str">
        <f>IFERROR(__xludf.DUMMYFUNCTION("""COMPUTED_VALUE"""),"")</f>
        <v/>
      </c>
      <c r="M963" s="261">
        <f>IFERROR(__xludf.DUMMYFUNCTION("""COMPUTED_VALUE"""),334.0)</f>
        <v>334</v>
      </c>
      <c r="N963" s="262" t="str">
        <f>IFERROR(__xludf.DUMMYFUNCTION("""COMPUTED_VALUE"""),"")</f>
        <v/>
      </c>
      <c r="O963" s="259" t="str">
        <f>IFERROR(__xludf.DUMMYFUNCTION("""COMPUTED_VALUE"""),"")</f>
        <v/>
      </c>
      <c r="P963" s="259">
        <f>IFERROR(__xludf.DUMMYFUNCTION("""COMPUTED_VALUE"""),42328.0)</f>
        <v>42328</v>
      </c>
      <c r="Q963" s="258">
        <f>IFERROR(__xludf.DUMMYFUNCTION("""COMPUTED_VALUE"""),2135.0)</f>
        <v>2135</v>
      </c>
      <c r="R963" s="261">
        <f>IFERROR(__xludf.DUMMYFUNCTION("""COMPUTED_VALUE"""),278.0)</f>
        <v>278</v>
      </c>
      <c r="S963" s="258">
        <v>277.0</v>
      </c>
      <c r="T963" s="263">
        <v>1.0036101083032491</v>
      </c>
      <c r="U963" s="264">
        <v>2135.0</v>
      </c>
      <c r="V963" s="265">
        <v>3436.0</v>
      </c>
      <c r="W963" s="264">
        <v>2135.0</v>
      </c>
      <c r="X963" s="266"/>
      <c r="Y963" s="267">
        <v>-0.01</v>
      </c>
      <c r="Z963" s="267">
        <v>0.9936953662977438</v>
      </c>
      <c r="AA963" s="269"/>
      <c r="AB963" s="270"/>
      <c r="AC963" s="270"/>
      <c r="AD963" s="270"/>
      <c r="AE963" s="270"/>
    </row>
    <row r="964">
      <c r="A964" s="256">
        <f>IFERROR(__xludf.DUMMYFUNCTION("""COMPUTED_VALUE"""),42348.77986111111)</f>
        <v>42348.77986</v>
      </c>
      <c r="B964" s="257" t="str">
        <f>IFERROR(__xludf.DUMMYFUNCTION("""COMPUTED_VALUE"""),"LM")</f>
        <v>LM</v>
      </c>
      <c r="C964" s="258" t="str">
        <f>IFERROR(__xludf.DUMMYFUNCTION("""COMPUTED_VALUE"""),"USA")</f>
        <v>USA</v>
      </c>
      <c r="D964" s="258" t="str">
        <f>IFERROR(__xludf.DUMMYFUNCTION("""COMPUTED_VALUE"""),"mi. My car displays range in miles and I will enter all range numbers in miles.")</f>
        <v>mi. My car displays range in miles and I will enter all range numbers in miles.</v>
      </c>
      <c r="E964" s="259">
        <f>IFERROR(__xludf.DUMMYFUNCTION("""COMPUTED_VALUE"""),41281.0)</f>
        <v>41281</v>
      </c>
      <c r="F964" s="258" t="str">
        <f>IFERROR(__xludf.DUMMYFUNCTION("""COMPUTED_VALUE"""),"Model S P85+")</f>
        <v>Model S P85+</v>
      </c>
      <c r="G964" s="258" t="str">
        <f>IFERROR(__xludf.DUMMYFUNCTION("""COMPUTED_VALUE"""),"Monthly")</f>
        <v>Monthly</v>
      </c>
      <c r="H964" s="258" t="str">
        <f>IFERROR(__xludf.DUMMYFUNCTION("""COMPUTED_VALUE"""),"Once or twice a year")</f>
        <v>Once or twice a year</v>
      </c>
      <c r="I964" s="258" t="str">
        <f>IFERROR(__xludf.DUMMYFUNCTION("""COMPUTED_VALUE"""),"Monthly")</f>
        <v>Monthly</v>
      </c>
      <c r="J964" s="260">
        <f>IFERROR(__xludf.DUMMYFUNCTION("""COMPUTED_VALUE"""),0.8)</f>
        <v>0.8</v>
      </c>
      <c r="K964" s="258">
        <f>IFERROR(__xludf.DUMMYFUNCTION("""COMPUTED_VALUE"""),268.0)</f>
        <v>268</v>
      </c>
      <c r="L964" s="258" t="str">
        <f>IFERROR(__xludf.DUMMYFUNCTION("""COMPUTED_VALUE"""),"")</f>
        <v/>
      </c>
      <c r="M964" s="261">
        <f>IFERROR(__xludf.DUMMYFUNCTION("""COMPUTED_VALUE"""),332.0)</f>
        <v>332</v>
      </c>
      <c r="N964" s="262" t="str">
        <f>IFERROR(__xludf.DUMMYFUNCTION("""COMPUTED_VALUE"""),"")</f>
        <v/>
      </c>
      <c r="O964" s="259" t="str">
        <f>IFERROR(__xludf.DUMMYFUNCTION("""COMPUTED_VALUE"""),"")</f>
        <v/>
      </c>
      <c r="P964" s="259">
        <f>IFERROR(__xludf.DUMMYFUNCTION("""COMPUTED_VALUE"""),42348.0)</f>
        <v>42348</v>
      </c>
      <c r="Q964" s="258">
        <f>IFERROR(__xludf.DUMMYFUNCTION("""COMPUTED_VALUE"""),38000.0)</f>
        <v>38000</v>
      </c>
      <c r="R964" s="261">
        <f>IFERROR(__xludf.DUMMYFUNCTION("""COMPUTED_VALUE"""),258.0)</f>
        <v>258</v>
      </c>
      <c r="S964" s="258">
        <v>266.0</v>
      </c>
      <c r="T964" s="263">
        <v>0.9699248120300752</v>
      </c>
      <c r="U964" s="264">
        <v>38000.0</v>
      </c>
      <c r="V964" s="265">
        <v>61155.0</v>
      </c>
      <c r="W964" s="264">
        <v>38000.0</v>
      </c>
      <c r="X964" s="266"/>
      <c r="Y964" s="267">
        <v>-0.01</v>
      </c>
      <c r="Z964" s="267">
        <v>0.9563238545473742</v>
      </c>
      <c r="AA964" s="269"/>
      <c r="AB964" s="270"/>
      <c r="AC964" s="270"/>
      <c r="AD964" s="270"/>
      <c r="AE964" s="270"/>
    </row>
    <row r="965">
      <c r="A965" s="256">
        <f>IFERROR(__xludf.DUMMYFUNCTION("""COMPUTED_VALUE"""),42047.072222222225)</f>
        <v>42047.07222</v>
      </c>
      <c r="B965" s="257" t="str">
        <f>IFERROR(__xludf.DUMMYFUNCTION("""COMPUTED_VALUE"""),"Louis")</f>
        <v>Louis</v>
      </c>
      <c r="C965" s="258" t="str">
        <f>IFERROR(__xludf.DUMMYFUNCTION("""COMPUTED_VALUE"""),"Europe (excluding UK) &amp; Asia Pacific")</f>
        <v>Europe (excluding UK) &amp; Asia Pacific</v>
      </c>
      <c r="D965" s="258" t="str">
        <f>IFERROR(__xludf.DUMMYFUNCTION("""COMPUTED_VALUE"""),"km. My car displays range in kilometres and I will enter all range numbers in kilometres.")</f>
        <v>km. My car displays range in kilometres and I will enter all range numbers in kilometres.</v>
      </c>
      <c r="E965" s="259">
        <f>IFERROR(__xludf.DUMMYFUNCTION("""COMPUTED_VALUE"""),41600.0)</f>
        <v>41600</v>
      </c>
      <c r="F965" s="258" t="str">
        <f>IFERROR(__xludf.DUMMYFUNCTION("""COMPUTED_VALUE"""),"Model S 60")</f>
        <v>Model S 60</v>
      </c>
      <c r="G965" s="258" t="str">
        <f>IFERROR(__xludf.DUMMYFUNCTION("""COMPUTED_VALUE"""),"Never")</f>
        <v>Never</v>
      </c>
      <c r="H965" s="258" t="str">
        <f>IFERROR(__xludf.DUMMYFUNCTION("""COMPUTED_VALUE"""),"Never")</f>
        <v>Never</v>
      </c>
      <c r="I965" s="258" t="str">
        <f>IFERROR(__xludf.DUMMYFUNCTION("""COMPUTED_VALUE"""),"Never")</f>
        <v>Never</v>
      </c>
      <c r="J965" s="260" t="str">
        <f>IFERROR(__xludf.DUMMYFUNCTION("""COMPUTED_VALUE"""),"")</f>
        <v/>
      </c>
      <c r="K965" s="258" t="str">
        <f>IFERROR(__xludf.DUMMYFUNCTION("""COMPUTED_VALUE"""),"")</f>
        <v/>
      </c>
      <c r="L965" s="258" t="str">
        <f>IFERROR(__xludf.DUMMYFUNCTION("""COMPUTED_VALUE"""),"")</f>
        <v/>
      </c>
      <c r="M965" s="261">
        <f>IFERROR(__xludf.DUMMYFUNCTION("""COMPUTED_VALUE"""),193.0)</f>
        <v>193</v>
      </c>
      <c r="N965" s="262" t="str">
        <f>IFERROR(__xludf.DUMMYFUNCTION("""COMPUTED_VALUE"""),"")</f>
        <v/>
      </c>
      <c r="O965" s="259" t="str">
        <f>IFERROR(__xludf.DUMMYFUNCTION("""COMPUTED_VALUE"""),"")</f>
        <v/>
      </c>
      <c r="P965" s="259">
        <f>IFERROR(__xludf.DUMMYFUNCTION("""COMPUTED_VALUE"""),42047.0)</f>
        <v>42047</v>
      </c>
      <c r="Q965" s="258">
        <f>IFERROR(__xludf.DUMMYFUNCTION("""COMPUTED_VALUE"""),33000.0)</f>
        <v>33000</v>
      </c>
      <c r="R965" s="261">
        <f>IFERROR(__xludf.DUMMYFUNCTION("""COMPUTED_VALUE"""),277.0)</f>
        <v>277</v>
      </c>
      <c r="S965" s="258">
        <v>284.0</v>
      </c>
      <c r="T965" s="263">
        <v>0.9753521126760564</v>
      </c>
      <c r="U965" s="264">
        <v>20505.0</v>
      </c>
      <c r="V965" s="265">
        <v>33000.0</v>
      </c>
      <c r="W965" s="264">
        <v>20505.0</v>
      </c>
      <c r="X965" s="266"/>
      <c r="Y965" s="267">
        <v>-0.01</v>
      </c>
      <c r="Z965" s="267">
        <v>0.966417166126978</v>
      </c>
      <c r="AA965" s="269"/>
      <c r="AB965" s="270"/>
      <c r="AC965" s="270"/>
      <c r="AD965" s="270"/>
      <c r="AE965" s="270"/>
    </row>
    <row r="966">
      <c r="A966" s="256">
        <f>IFERROR(__xludf.DUMMYFUNCTION("""COMPUTED_VALUE"""),42842.52291666667)</f>
        <v>42842.52292</v>
      </c>
      <c r="B966" s="257" t="str">
        <f>IFERROR(__xludf.DUMMYFUNCTION("""COMPUTED_VALUE"""),"Lucas")</f>
        <v>Lucas</v>
      </c>
      <c r="C966" s="258" t="str">
        <f>IFERROR(__xludf.DUMMYFUNCTION("""COMPUTED_VALUE"""),"Europe (excluding UK) &amp; Asia Pacific")</f>
        <v>Europe (excluding UK) &amp; Asia Pacific</v>
      </c>
      <c r="D966" s="258" t="str">
        <f>IFERROR(__xludf.DUMMYFUNCTION("""COMPUTED_VALUE"""),"km. My car displays range in kilometres and I will enter all range numbers in kilometres.")</f>
        <v>km. My car displays range in kilometres and I will enter all range numbers in kilometres.</v>
      </c>
      <c r="E966" s="259">
        <f>IFERROR(__xludf.DUMMYFUNCTION("""COMPUTED_VALUE"""),42641.0)</f>
        <v>42641</v>
      </c>
      <c r="F966" s="258" t="str">
        <f>IFERROR(__xludf.DUMMYFUNCTION("""COMPUTED_VALUE"""),"Model X 90D")</f>
        <v>Model X 90D</v>
      </c>
      <c r="G966" s="258" t="str">
        <f>IFERROR(__xludf.DUMMYFUNCTION("""COMPUTED_VALUE"""),"Twice a month")</f>
        <v>Twice a month</v>
      </c>
      <c r="H966" s="258" t="str">
        <f>IFERROR(__xludf.DUMMYFUNCTION("""COMPUTED_VALUE"""),"A few times a year")</f>
        <v>A few times a year</v>
      </c>
      <c r="I966" s="258" t="str">
        <f>IFERROR(__xludf.DUMMYFUNCTION("""COMPUTED_VALUE"""),"A few times a year")</f>
        <v>A few times a year</v>
      </c>
      <c r="J966" s="260">
        <f>IFERROR(__xludf.DUMMYFUNCTION("""COMPUTED_VALUE"""),0.9)</f>
        <v>0.9</v>
      </c>
      <c r="K966" s="258">
        <f>IFERROR(__xludf.DUMMYFUNCTION("""COMPUTED_VALUE"""),402.0)</f>
        <v>402</v>
      </c>
      <c r="L966" s="258" t="str">
        <f>IFERROR(__xludf.DUMMYFUNCTION("""COMPUTED_VALUE"""),"")</f>
        <v/>
      </c>
      <c r="M966" s="261">
        <f>IFERROR(__xludf.DUMMYFUNCTION("""COMPUTED_VALUE"""),302.0)</f>
        <v>302</v>
      </c>
      <c r="N966" s="262" t="str">
        <f>IFERROR(__xludf.DUMMYFUNCTION("""COMPUTED_VALUE"""),"")</f>
        <v/>
      </c>
      <c r="O966" s="259" t="str">
        <f>IFERROR(__xludf.DUMMYFUNCTION("""COMPUTED_VALUE"""),"")</f>
        <v/>
      </c>
      <c r="P966" s="259">
        <f>IFERROR(__xludf.DUMMYFUNCTION("""COMPUTED_VALUE"""),42842.0)</f>
        <v>42842</v>
      </c>
      <c r="Q966" s="258">
        <f>IFERROR(__xludf.DUMMYFUNCTION("""COMPUTED_VALUE"""),24980.0)</f>
        <v>24980</v>
      </c>
      <c r="R966" s="261">
        <f>IFERROR(__xludf.DUMMYFUNCTION("""COMPUTED_VALUE"""),398.0)</f>
        <v>398</v>
      </c>
      <c r="S966" s="258">
        <v>400.0</v>
      </c>
      <c r="T966" s="263">
        <v>0.995</v>
      </c>
      <c r="U966" s="264">
        <v>15522.0</v>
      </c>
      <c r="V966" s="265">
        <v>24980.0</v>
      </c>
      <c r="W966" s="264">
        <v>15522.0</v>
      </c>
      <c r="X966" s="266"/>
      <c r="Y966" s="267">
        <v>-0.01</v>
      </c>
      <c r="Z966" s="267">
        <v>0.9709217852473058</v>
      </c>
      <c r="AA966" s="269"/>
      <c r="AB966" s="270"/>
      <c r="AC966" s="270"/>
      <c r="AD966" s="270"/>
      <c r="AE966" s="270"/>
    </row>
    <row r="967">
      <c r="A967" s="256">
        <f>IFERROR(__xludf.DUMMYFUNCTION("""COMPUTED_VALUE"""),43040.63125)</f>
        <v>43040.63125</v>
      </c>
      <c r="B967" s="257" t="str">
        <f>IFERROR(__xludf.DUMMYFUNCTION("""COMPUTED_VALUE"""),"Lucas")</f>
        <v>Lucas</v>
      </c>
      <c r="C967" s="258" t="str">
        <f>IFERROR(__xludf.DUMMYFUNCTION("""COMPUTED_VALUE"""),"Europe (excluding UK) &amp; Asia Pacific")</f>
        <v>Europe (excluding UK) &amp; Asia Pacific</v>
      </c>
      <c r="D967" s="258" t="str">
        <f>IFERROR(__xludf.DUMMYFUNCTION("""COMPUTED_VALUE"""),"km. My car displays range in kilometres and I will enter all range numbers in kilometres.")</f>
        <v>km. My car displays range in kilometres and I will enter all range numbers in kilometres.</v>
      </c>
      <c r="E967" s="259">
        <f>IFERROR(__xludf.DUMMYFUNCTION("""COMPUTED_VALUE"""),42641.0)</f>
        <v>42641</v>
      </c>
      <c r="F967" s="258" t="str">
        <f>IFERROR(__xludf.DUMMYFUNCTION("""COMPUTED_VALUE"""),"Model X 90D")</f>
        <v>Model X 90D</v>
      </c>
      <c r="G967" s="258" t="str">
        <f>IFERROR(__xludf.DUMMYFUNCTION("""COMPUTED_VALUE"""),"Monthly")</f>
        <v>Monthly</v>
      </c>
      <c r="H967" s="258" t="str">
        <f>IFERROR(__xludf.DUMMYFUNCTION("""COMPUTED_VALUE"""),"Twice a month")</f>
        <v>Twice a month</v>
      </c>
      <c r="I967" s="258" t="str">
        <f>IFERROR(__xludf.DUMMYFUNCTION("""COMPUTED_VALUE"""),"Twice a month")</f>
        <v>Twice a month</v>
      </c>
      <c r="J967" s="260">
        <f>IFERROR(__xludf.DUMMYFUNCTION("""COMPUTED_VALUE"""),0.8)</f>
        <v>0.8</v>
      </c>
      <c r="K967" s="258" t="str">
        <f>IFERROR(__xludf.DUMMYFUNCTION("""COMPUTED_VALUE"""),"")</f>
        <v/>
      </c>
      <c r="L967" s="258" t="str">
        <f>IFERROR(__xludf.DUMMYFUNCTION("""COMPUTED_VALUE"""),"")</f>
        <v/>
      </c>
      <c r="M967" s="261">
        <f>IFERROR(__xludf.DUMMYFUNCTION("""COMPUTED_VALUE"""),289.0)</f>
        <v>289</v>
      </c>
      <c r="N967" s="262" t="str">
        <f>IFERROR(__xludf.DUMMYFUNCTION("""COMPUTED_VALUE"""),"")</f>
        <v/>
      </c>
      <c r="O967" s="259" t="str">
        <f>IFERROR(__xludf.DUMMYFUNCTION("""COMPUTED_VALUE"""),"")</f>
        <v/>
      </c>
      <c r="P967" s="259">
        <f>IFERROR(__xludf.DUMMYFUNCTION("""COMPUTED_VALUE"""),43040.0)</f>
        <v>43040</v>
      </c>
      <c r="Q967" s="258">
        <f>IFERROR(__xludf.DUMMYFUNCTION("""COMPUTED_VALUE"""),52783.0)</f>
        <v>52783</v>
      </c>
      <c r="R967" s="261">
        <f>IFERROR(__xludf.DUMMYFUNCTION("""COMPUTED_VALUE"""),372.0)</f>
        <v>372</v>
      </c>
      <c r="S967" s="258">
        <v>400.0</v>
      </c>
      <c r="T967" s="263">
        <v>0.93</v>
      </c>
      <c r="U967" s="264">
        <v>32798.0</v>
      </c>
      <c r="V967" s="265">
        <v>52783.0</v>
      </c>
      <c r="W967" s="264">
        <v>32798.0</v>
      </c>
      <c r="X967" s="266"/>
      <c r="Y967" s="267">
        <v>-0.01</v>
      </c>
      <c r="Z967" s="267">
        <v>0.9588000646802276</v>
      </c>
      <c r="AA967" s="269"/>
      <c r="AB967" s="270"/>
      <c r="AC967" s="270"/>
      <c r="AD967" s="270"/>
      <c r="AE967" s="270"/>
    </row>
    <row r="968">
      <c r="A968" s="256">
        <f>IFERROR(__xludf.DUMMYFUNCTION("""COMPUTED_VALUE"""),43070.63888888889)</f>
        <v>43070.63889</v>
      </c>
      <c r="B968" s="257" t="str">
        <f>IFERROR(__xludf.DUMMYFUNCTION("""COMPUTED_VALUE"""),"Lucas")</f>
        <v>Lucas</v>
      </c>
      <c r="C968" s="258" t="str">
        <f>IFERROR(__xludf.DUMMYFUNCTION("""COMPUTED_VALUE"""),"Europe (excluding UK) &amp; Asia Pacific")</f>
        <v>Europe (excluding UK) &amp; Asia Pacific</v>
      </c>
      <c r="D968" s="258" t="str">
        <f>IFERROR(__xludf.DUMMYFUNCTION("""COMPUTED_VALUE"""),"km. My car displays range in kilometres and I will enter all range numbers in kilometres.")</f>
        <v>km. My car displays range in kilometres and I will enter all range numbers in kilometres.</v>
      </c>
      <c r="E968" s="259">
        <f>IFERROR(__xludf.DUMMYFUNCTION("""COMPUTED_VALUE"""),42641.0)</f>
        <v>42641</v>
      </c>
      <c r="F968" s="258" t="str">
        <f>IFERROR(__xludf.DUMMYFUNCTION("""COMPUTED_VALUE"""),"Model X 90D")</f>
        <v>Model X 90D</v>
      </c>
      <c r="G968" s="258" t="str">
        <f>IFERROR(__xludf.DUMMYFUNCTION("""COMPUTED_VALUE"""),"")</f>
        <v/>
      </c>
      <c r="H968" s="258" t="str">
        <f>IFERROR(__xludf.DUMMYFUNCTION("""COMPUTED_VALUE"""),"")</f>
        <v/>
      </c>
      <c r="I968" s="258" t="str">
        <f>IFERROR(__xludf.DUMMYFUNCTION("""COMPUTED_VALUE"""),"")</f>
        <v/>
      </c>
      <c r="J968" s="260" t="str">
        <f>IFERROR(__xludf.DUMMYFUNCTION("""COMPUTED_VALUE"""),"")</f>
        <v/>
      </c>
      <c r="K968" s="258" t="str">
        <f>IFERROR(__xludf.DUMMYFUNCTION("""COMPUTED_VALUE"""),"")</f>
        <v/>
      </c>
      <c r="L968" s="258" t="str">
        <f>IFERROR(__xludf.DUMMYFUNCTION("""COMPUTED_VALUE"""),"")</f>
        <v/>
      </c>
      <c r="M968" s="261" t="str">
        <f>IFERROR(__xludf.DUMMYFUNCTION("""COMPUTED_VALUE"""),"")</f>
        <v/>
      </c>
      <c r="N968" s="262" t="str">
        <f>IFERROR(__xludf.DUMMYFUNCTION("""COMPUTED_VALUE"""),"")</f>
        <v/>
      </c>
      <c r="O968" s="259" t="str">
        <f>IFERROR(__xludf.DUMMYFUNCTION("""COMPUTED_VALUE"""),"")</f>
        <v/>
      </c>
      <c r="P968" s="259">
        <f>IFERROR(__xludf.DUMMYFUNCTION("""COMPUTED_VALUE"""),43070.0)</f>
        <v>43070</v>
      </c>
      <c r="Q968" s="258">
        <f>IFERROR(__xludf.DUMMYFUNCTION("""COMPUTED_VALUE"""),56417.0)</f>
        <v>56417</v>
      </c>
      <c r="R968" s="261">
        <f>IFERROR(__xludf.DUMMYFUNCTION("""COMPUTED_VALUE"""),370.0)</f>
        <v>370</v>
      </c>
      <c r="S968" s="258">
        <v>400.0</v>
      </c>
      <c r="T968" s="263">
        <v>0.925</v>
      </c>
      <c r="U968" s="264">
        <v>35056.0</v>
      </c>
      <c r="V968" s="265">
        <v>56417.0</v>
      </c>
      <c r="W968" s="264">
        <v>35056.0</v>
      </c>
      <c r="X968" s="266"/>
      <c r="Y968" s="267">
        <v>-0.01</v>
      </c>
      <c r="Z968" s="267">
        <v>0.957692440270105</v>
      </c>
      <c r="AA968" s="269"/>
      <c r="AB968" s="270"/>
      <c r="AC968" s="270"/>
      <c r="AD968" s="270"/>
      <c r="AE968" s="270"/>
    </row>
    <row r="969">
      <c r="A969" s="256">
        <f>IFERROR(__xludf.DUMMYFUNCTION("""COMPUTED_VALUE"""),43171.70625)</f>
        <v>43171.70625</v>
      </c>
      <c r="B969" s="257" t="str">
        <f>IFERROR(__xludf.DUMMYFUNCTION("""COMPUTED_VALUE"""),"Lucas")</f>
        <v>Lucas</v>
      </c>
      <c r="C969" s="258" t="str">
        <f>IFERROR(__xludf.DUMMYFUNCTION("""COMPUTED_VALUE"""),"Europe (excluding UK) &amp; Asia Pacific")</f>
        <v>Europe (excluding UK) &amp; Asia Pacific</v>
      </c>
      <c r="D969" s="258" t="str">
        <f>IFERROR(__xludf.DUMMYFUNCTION("""COMPUTED_VALUE"""),"km. My car displays range in kilometres and I will enter all range numbers in kilometres.")</f>
        <v>km. My car displays range in kilometres and I will enter all range numbers in kilometres.</v>
      </c>
      <c r="E969" s="259">
        <f>IFERROR(__xludf.DUMMYFUNCTION("""COMPUTED_VALUE"""),42641.0)</f>
        <v>42641</v>
      </c>
      <c r="F969" s="258" t="str">
        <f>IFERROR(__xludf.DUMMYFUNCTION("""COMPUTED_VALUE"""),"Model X 90D")</f>
        <v>Model X 90D</v>
      </c>
      <c r="G969" s="258" t="str">
        <f>IFERROR(__xludf.DUMMYFUNCTION("""COMPUTED_VALUE"""),"Weekly")</f>
        <v>Weekly</v>
      </c>
      <c r="H969" s="258" t="str">
        <f>IFERROR(__xludf.DUMMYFUNCTION("""COMPUTED_VALUE"""),"")</f>
        <v/>
      </c>
      <c r="I969" s="258" t="str">
        <f>IFERROR(__xludf.DUMMYFUNCTION("""COMPUTED_VALUE"""),"A few times a year")</f>
        <v>A few times a year</v>
      </c>
      <c r="J969" s="260" t="str">
        <f>IFERROR(__xludf.DUMMYFUNCTION("""COMPUTED_VALUE"""),"")</f>
        <v/>
      </c>
      <c r="K969" s="258" t="str">
        <f>IFERROR(__xludf.DUMMYFUNCTION("""COMPUTED_VALUE"""),"")</f>
        <v/>
      </c>
      <c r="L969" s="258" t="str">
        <f>IFERROR(__xludf.DUMMYFUNCTION("""COMPUTED_VALUE"""),"")</f>
        <v/>
      </c>
      <c r="M969" s="261">
        <f>IFERROR(__xludf.DUMMYFUNCTION("""COMPUTED_VALUE"""),298.0)</f>
        <v>298</v>
      </c>
      <c r="N969" s="262" t="str">
        <f>IFERROR(__xludf.DUMMYFUNCTION("""COMPUTED_VALUE"""),"")</f>
        <v/>
      </c>
      <c r="O969" s="259" t="str">
        <f>IFERROR(__xludf.DUMMYFUNCTION("""COMPUTED_VALUE"""),"")</f>
        <v/>
      </c>
      <c r="P969" s="259">
        <f>IFERROR(__xludf.DUMMYFUNCTION("""COMPUTED_VALUE"""),43171.0)</f>
        <v>43171</v>
      </c>
      <c r="Q969" s="258">
        <f>IFERROR(__xludf.DUMMYFUNCTION("""COMPUTED_VALUE"""),67374.0)</f>
        <v>67374</v>
      </c>
      <c r="R969" s="261">
        <f>IFERROR(__xludf.DUMMYFUNCTION("""COMPUTED_VALUE"""),371.0)</f>
        <v>371</v>
      </c>
      <c r="S969" s="258">
        <v>400.0</v>
      </c>
      <c r="T969" s="263">
        <v>0.9275</v>
      </c>
      <c r="U969" s="264">
        <v>41864.0</v>
      </c>
      <c r="V969" s="265">
        <v>67374.0</v>
      </c>
      <c r="W969" s="264">
        <v>41864.0</v>
      </c>
      <c r="X969" s="266"/>
      <c r="Y969" s="267">
        <v>-0.01</v>
      </c>
      <c r="Z969" s="267">
        <v>0.9546256156676475</v>
      </c>
      <c r="AA969" s="269"/>
      <c r="AB969" s="270"/>
      <c r="AC969" s="270"/>
      <c r="AD969" s="270"/>
      <c r="AE969" s="270"/>
    </row>
    <row r="970">
      <c r="A970" s="256">
        <f>IFERROR(__xludf.DUMMYFUNCTION("""COMPUTED_VALUE"""),43205.725)</f>
        <v>43205.725</v>
      </c>
      <c r="B970" s="257" t="str">
        <f>IFERROR(__xludf.DUMMYFUNCTION("""COMPUTED_VALUE"""),"Lucas")</f>
        <v>Lucas</v>
      </c>
      <c r="C970" s="258" t="str">
        <f>IFERROR(__xludf.DUMMYFUNCTION("""COMPUTED_VALUE"""),"Europe (excluding UK) &amp; Asia Pacific")</f>
        <v>Europe (excluding UK) &amp; Asia Pacific</v>
      </c>
      <c r="D970" s="258" t="str">
        <f>IFERROR(__xludf.DUMMYFUNCTION("""COMPUTED_VALUE"""),"km. My car displays range in kilometres and I will enter all range numbers in kilometres.")</f>
        <v>km. My car displays range in kilometres and I will enter all range numbers in kilometres.</v>
      </c>
      <c r="E970" s="259">
        <f>IFERROR(__xludf.DUMMYFUNCTION("""COMPUTED_VALUE"""),42641.0)</f>
        <v>42641</v>
      </c>
      <c r="F970" s="258" t="str">
        <f>IFERROR(__xludf.DUMMYFUNCTION("""COMPUTED_VALUE"""),"Model X 90D")</f>
        <v>Model X 90D</v>
      </c>
      <c r="G970" s="258" t="str">
        <f>IFERROR(__xludf.DUMMYFUNCTION("""COMPUTED_VALUE"""),"Monthly")</f>
        <v>Monthly</v>
      </c>
      <c r="H970" s="258" t="str">
        <f>IFERROR(__xludf.DUMMYFUNCTION("""COMPUTED_VALUE"""),"Monthly")</f>
        <v>Monthly</v>
      </c>
      <c r="I970" s="258" t="str">
        <f>IFERROR(__xludf.DUMMYFUNCTION("""COMPUTED_VALUE"""),"A few times a year")</f>
        <v>A few times a year</v>
      </c>
      <c r="J970" s="260">
        <f>IFERROR(__xludf.DUMMYFUNCTION("""COMPUTED_VALUE"""),0.9)</f>
        <v>0.9</v>
      </c>
      <c r="K970" s="258" t="str">
        <f>IFERROR(__xludf.DUMMYFUNCTION("""COMPUTED_VALUE"""),"")</f>
        <v/>
      </c>
      <c r="L970" s="258" t="str">
        <f>IFERROR(__xludf.DUMMYFUNCTION("""COMPUTED_VALUE"""),"")</f>
        <v/>
      </c>
      <c r="M970" s="261">
        <f>IFERROR(__xludf.DUMMYFUNCTION("""COMPUTED_VALUE"""),294.0)</f>
        <v>294</v>
      </c>
      <c r="N970" s="262" t="str">
        <f>IFERROR(__xludf.DUMMYFUNCTION("""COMPUTED_VALUE"""),"")</f>
        <v/>
      </c>
      <c r="O970" s="259" t="str">
        <f>IFERROR(__xludf.DUMMYFUNCTION("""COMPUTED_VALUE"""),"")</f>
        <v/>
      </c>
      <c r="P970" s="259">
        <f>IFERROR(__xludf.DUMMYFUNCTION("""COMPUTED_VALUE"""),43205.0)</f>
        <v>43205</v>
      </c>
      <c r="Q970" s="258">
        <f>IFERROR(__xludf.DUMMYFUNCTION("""COMPUTED_VALUE"""),72019.0)</f>
        <v>72019</v>
      </c>
      <c r="R970" s="261">
        <f>IFERROR(__xludf.DUMMYFUNCTION("""COMPUTED_VALUE"""),372.0)</f>
        <v>372</v>
      </c>
      <c r="S970" s="258">
        <v>400.0</v>
      </c>
      <c r="T970" s="263">
        <v>0.93</v>
      </c>
      <c r="U970" s="264">
        <v>44751.0</v>
      </c>
      <c r="V970" s="265">
        <v>72019.0</v>
      </c>
      <c r="W970" s="264">
        <v>44751.0</v>
      </c>
      <c r="X970" s="266"/>
      <c r="Y970" s="267">
        <v>-0.01</v>
      </c>
      <c r="Z970" s="267">
        <v>0.9534109049886876</v>
      </c>
      <c r="AA970" s="269"/>
      <c r="AB970" s="270"/>
      <c r="AC970" s="270"/>
      <c r="AD970" s="270"/>
      <c r="AE970" s="270"/>
    </row>
    <row r="971">
      <c r="A971" s="256">
        <f>IFERROR(__xludf.DUMMYFUNCTION("""COMPUTED_VALUE"""),43854.5230515162)</f>
        <v>43854.52305</v>
      </c>
      <c r="B971" s="257" t="str">
        <f>IFERROR(__xludf.DUMMYFUNCTION("""COMPUTED_VALUE"""),"Lucas")</f>
        <v>Lucas</v>
      </c>
      <c r="C971" s="258" t="str">
        <f>IFERROR(__xludf.DUMMYFUNCTION("""COMPUTED_VALUE"""),"Europe (excluding UK) &amp; Asia Pacific")</f>
        <v>Europe (excluding UK) &amp; Asia Pacific</v>
      </c>
      <c r="D971" s="258" t="str">
        <f>IFERROR(__xludf.DUMMYFUNCTION("""COMPUTED_VALUE"""),"km. My car displays range in kilometres and I will enter all range numbers in kilometres.")</f>
        <v>km. My car displays range in kilometres and I will enter all range numbers in kilometres.</v>
      </c>
      <c r="E971" s="259">
        <f>IFERROR(__xludf.DUMMYFUNCTION("""COMPUTED_VALUE"""),42641.0)</f>
        <v>42641</v>
      </c>
      <c r="F971" s="258" t="str">
        <f>IFERROR(__xludf.DUMMYFUNCTION("""COMPUTED_VALUE"""),"Model X 90D")</f>
        <v>Model X 90D</v>
      </c>
      <c r="G971" s="258" t="str">
        <f>IFERROR(__xludf.DUMMYFUNCTION("""COMPUTED_VALUE"""),"Monthly")</f>
        <v>Monthly</v>
      </c>
      <c r="H971" s="258" t="str">
        <f>IFERROR(__xludf.DUMMYFUNCTION("""COMPUTED_VALUE"""),"Monthly")</f>
        <v>Monthly</v>
      </c>
      <c r="I971" s="258" t="str">
        <f>IFERROR(__xludf.DUMMYFUNCTION("""COMPUTED_VALUE"""),"Monthly")</f>
        <v>Monthly</v>
      </c>
      <c r="J971" s="260">
        <f>IFERROR(__xludf.DUMMYFUNCTION("""COMPUTED_VALUE"""),0.9)</f>
        <v>0.9</v>
      </c>
      <c r="K971" s="258">
        <f>IFERROR(__xludf.DUMMYFUNCTION("""COMPUTED_VALUE"""),400.0)</f>
        <v>400</v>
      </c>
      <c r="L971" s="258" t="str">
        <f>IFERROR(__xludf.DUMMYFUNCTION("""COMPUTED_VALUE"""),"")</f>
        <v/>
      </c>
      <c r="M971" s="261" t="str">
        <f>IFERROR(__xludf.DUMMYFUNCTION("""COMPUTED_VALUE"""),"")</f>
        <v/>
      </c>
      <c r="N971" s="262" t="str">
        <f>IFERROR(__xludf.DUMMYFUNCTION("""COMPUTED_VALUE"""),"")</f>
        <v/>
      </c>
      <c r="O971" s="259" t="str">
        <f>IFERROR(__xludf.DUMMYFUNCTION("""COMPUTED_VALUE"""),"")</f>
        <v/>
      </c>
      <c r="P971" s="259">
        <f>IFERROR(__xludf.DUMMYFUNCTION("""COMPUTED_VALUE"""),43819.0)</f>
        <v>43819</v>
      </c>
      <c r="Q971" s="258">
        <f>IFERROR(__xludf.DUMMYFUNCTION("""COMPUTED_VALUE"""),157280.0)</f>
        <v>157280</v>
      </c>
      <c r="R971" s="261">
        <f>IFERROR(__xludf.DUMMYFUNCTION("""COMPUTED_VALUE"""),348.0)</f>
        <v>348</v>
      </c>
      <c r="S971" s="258">
        <v>400.0</v>
      </c>
      <c r="T971" s="263">
        <v>0.87</v>
      </c>
      <c r="U971" s="264">
        <v>97729.0</v>
      </c>
      <c r="V971" s="265">
        <v>157280.0</v>
      </c>
      <c r="W971" s="264">
        <v>97729.0</v>
      </c>
      <c r="X971" s="266"/>
      <c r="Y971" s="267">
        <v>-0.01</v>
      </c>
      <c r="Z971" s="267">
        <v>0.9332865864313931</v>
      </c>
      <c r="AA971" s="269"/>
      <c r="AB971" s="270"/>
      <c r="AC971" s="270"/>
      <c r="AD971" s="270"/>
      <c r="AE971" s="270"/>
    </row>
    <row r="972">
      <c r="A972" s="256">
        <f>IFERROR(__xludf.DUMMYFUNCTION("""COMPUTED_VALUE"""),41913.02569444444)</f>
        <v>41913.02569</v>
      </c>
      <c r="B972" s="257" t="str">
        <f>IFERROR(__xludf.DUMMYFUNCTION("""COMPUTED_VALUE"""),"luckyluke")</f>
        <v>luckyluke</v>
      </c>
      <c r="C972" s="258" t="str">
        <f>IFERROR(__xludf.DUMMYFUNCTION("""COMPUTED_VALUE"""),"Europe (excluding UK) &amp; Asia Pacific")</f>
        <v>Europe (excluding UK) &amp; Asia Pacific</v>
      </c>
      <c r="D972" s="258" t="str">
        <f>IFERROR(__xludf.DUMMYFUNCTION("""COMPUTED_VALUE"""),"km. My car displays range in kilometres and I will enter all range numbers in kilometres.")</f>
        <v>km. My car displays range in kilometres and I will enter all range numbers in kilometres.</v>
      </c>
      <c r="E972" s="259">
        <f>IFERROR(__xludf.DUMMYFUNCTION("""COMPUTED_VALUE"""),41592.0)</f>
        <v>41592</v>
      </c>
      <c r="F972" s="258" t="str">
        <f>IFERROR(__xludf.DUMMYFUNCTION("""COMPUTED_VALUE"""),"Unspecified 85 kWh")</f>
        <v>Unspecified 85 kWh</v>
      </c>
      <c r="G972" s="258" t="str">
        <f>IFERROR(__xludf.DUMMYFUNCTION("""COMPUTED_VALUE"""),"Monthly")</f>
        <v>Monthly</v>
      </c>
      <c r="H972" s="258" t="str">
        <f>IFERROR(__xludf.DUMMYFUNCTION("""COMPUTED_VALUE"""),"Twice a month")</f>
        <v>Twice a month</v>
      </c>
      <c r="I972" s="258" t="str">
        <f>IFERROR(__xludf.DUMMYFUNCTION("""COMPUTED_VALUE"""),"Once or twice a year")</f>
        <v>Once or twice a year</v>
      </c>
      <c r="J972" s="260" t="str">
        <f>IFERROR(__xludf.DUMMYFUNCTION("""COMPUTED_VALUE"""),"")</f>
        <v/>
      </c>
      <c r="K972" s="258" t="str">
        <f>IFERROR(__xludf.DUMMYFUNCTION("""COMPUTED_VALUE"""),"")</f>
        <v/>
      </c>
      <c r="L972" s="258" t="str">
        <f>IFERROR(__xludf.DUMMYFUNCTION("""COMPUTED_VALUE"""),"")</f>
        <v/>
      </c>
      <c r="M972" s="261">
        <f>IFERROR(__xludf.DUMMYFUNCTION("""COMPUTED_VALUE"""),255.0)</f>
        <v>255</v>
      </c>
      <c r="N972" s="262" t="str">
        <f>IFERROR(__xludf.DUMMYFUNCTION("""COMPUTED_VALUE"""),"")</f>
        <v/>
      </c>
      <c r="O972" s="259" t="str">
        <f>IFERROR(__xludf.DUMMYFUNCTION("""COMPUTED_VALUE"""),"")</f>
        <v/>
      </c>
      <c r="P972" s="259">
        <f>IFERROR(__xludf.DUMMYFUNCTION("""COMPUTED_VALUE"""),41913.0)</f>
        <v>41913</v>
      </c>
      <c r="Q972" s="258">
        <f>IFERROR(__xludf.DUMMYFUNCTION("""COMPUTED_VALUE"""),36369.0)</f>
        <v>36369</v>
      </c>
      <c r="R972" s="261">
        <f>IFERROR(__xludf.DUMMYFUNCTION("""COMPUTED_VALUE"""),377.0)</f>
        <v>377</v>
      </c>
      <c r="S972" s="258">
        <v>395.0</v>
      </c>
      <c r="T972" s="263">
        <v>0.9544303797468354</v>
      </c>
      <c r="U972" s="264">
        <v>22599.0</v>
      </c>
      <c r="V972" s="265">
        <v>36369.0</v>
      </c>
      <c r="W972" s="264">
        <v>22599.0</v>
      </c>
      <c r="X972" s="266"/>
      <c r="Y972" s="267">
        <v>-0.01</v>
      </c>
      <c r="Z972" s="267">
        <v>0.9648451551411984</v>
      </c>
      <c r="AA972" s="269"/>
      <c r="AB972" s="270"/>
      <c r="AC972" s="270"/>
      <c r="AD972" s="270"/>
      <c r="AE972" s="270"/>
    </row>
    <row r="973">
      <c r="A973" s="256">
        <f>IFERROR(__xludf.DUMMYFUNCTION("""COMPUTED_VALUE"""),42089.08819444444)</f>
        <v>42089.08819</v>
      </c>
      <c r="B973" s="257" t="str">
        <f>IFERROR(__xludf.DUMMYFUNCTION("""COMPUTED_VALUE"""),"luckyluke")</f>
        <v>luckyluke</v>
      </c>
      <c r="C973" s="258" t="str">
        <f>IFERROR(__xludf.DUMMYFUNCTION("""COMPUTED_VALUE"""),"Europe (excluding UK) &amp; Asia Pacific")</f>
        <v>Europe (excluding UK) &amp; Asia Pacific</v>
      </c>
      <c r="D973" s="258" t="str">
        <f>IFERROR(__xludf.DUMMYFUNCTION("""COMPUTED_VALUE"""),"km. My car displays range in kilometres and I will enter all range numbers in kilometres.")</f>
        <v>km. My car displays range in kilometres and I will enter all range numbers in kilometres.</v>
      </c>
      <c r="E973" s="259">
        <f>IFERROR(__xludf.DUMMYFUNCTION("""COMPUTED_VALUE"""),41592.0)</f>
        <v>41592</v>
      </c>
      <c r="F973" s="258" t="str">
        <f>IFERROR(__xludf.DUMMYFUNCTION("""COMPUTED_VALUE"""),"Unspecified 85 kWh")</f>
        <v>Unspecified 85 kWh</v>
      </c>
      <c r="G973" s="258" t="str">
        <f>IFERROR(__xludf.DUMMYFUNCTION("""COMPUTED_VALUE"""),"Monthly")</f>
        <v>Monthly</v>
      </c>
      <c r="H973" s="258" t="str">
        <f>IFERROR(__xludf.DUMMYFUNCTION("""COMPUTED_VALUE"""),"Twice a month")</f>
        <v>Twice a month</v>
      </c>
      <c r="I973" s="258" t="str">
        <f>IFERROR(__xludf.DUMMYFUNCTION("""COMPUTED_VALUE"""),"A few times a year")</f>
        <v>A few times a year</v>
      </c>
      <c r="J973" s="260" t="str">
        <f>IFERROR(__xludf.DUMMYFUNCTION("""COMPUTED_VALUE"""),"")</f>
        <v/>
      </c>
      <c r="K973" s="258" t="str">
        <f>IFERROR(__xludf.DUMMYFUNCTION("""COMPUTED_VALUE"""),"")</f>
        <v/>
      </c>
      <c r="L973" s="258" t="str">
        <f>IFERROR(__xludf.DUMMYFUNCTION("""COMPUTED_VALUE"""),"")</f>
        <v/>
      </c>
      <c r="M973" s="261">
        <f>IFERROR(__xludf.DUMMYFUNCTION("""COMPUTED_VALUE"""),255.0)</f>
        <v>255</v>
      </c>
      <c r="N973" s="262" t="str">
        <f>IFERROR(__xludf.DUMMYFUNCTION("""COMPUTED_VALUE"""),"")</f>
        <v/>
      </c>
      <c r="O973" s="259" t="str">
        <f>IFERROR(__xludf.DUMMYFUNCTION("""COMPUTED_VALUE"""),"")</f>
        <v/>
      </c>
      <c r="P973" s="259">
        <f>IFERROR(__xludf.DUMMYFUNCTION("""COMPUTED_VALUE"""),42089.0)</f>
        <v>42089</v>
      </c>
      <c r="Q973" s="258">
        <f>IFERROR(__xludf.DUMMYFUNCTION("""COMPUTED_VALUE"""),51255.0)</f>
        <v>51255</v>
      </c>
      <c r="R973" s="261">
        <f>IFERROR(__xludf.DUMMYFUNCTION("""COMPUTED_VALUE"""),375.0)</f>
        <v>375</v>
      </c>
      <c r="S973" s="258">
        <v>395.0</v>
      </c>
      <c r="T973" s="263">
        <v>0.9493670886075949</v>
      </c>
      <c r="U973" s="264">
        <v>31848.0</v>
      </c>
      <c r="V973" s="265">
        <v>51255.0</v>
      </c>
      <c r="W973" s="264">
        <v>31848.0</v>
      </c>
      <c r="X973" s="266"/>
      <c r="Y973" s="267">
        <v>-0.01</v>
      </c>
      <c r="Z973" s="267">
        <v>0.9592839329916518</v>
      </c>
      <c r="AA973" s="269"/>
      <c r="AB973" s="270"/>
      <c r="AC973" s="270"/>
      <c r="AD973" s="270"/>
      <c r="AE973" s="270"/>
    </row>
    <row r="974">
      <c r="A974" s="256">
        <f>IFERROR(__xludf.DUMMYFUNCTION("""COMPUTED_VALUE"""),42288.768055555556)</f>
        <v>42288.76806</v>
      </c>
      <c r="B974" s="257" t="str">
        <f>IFERROR(__xludf.DUMMYFUNCTION("""COMPUTED_VALUE"""),"Luiping")</f>
        <v>Luiping</v>
      </c>
      <c r="C974" s="258" t="str">
        <f>IFERROR(__xludf.DUMMYFUNCTION("""COMPUTED_VALUE"""),"USA")</f>
        <v>USA</v>
      </c>
      <c r="D974" s="258" t="str">
        <f>IFERROR(__xludf.DUMMYFUNCTION("""COMPUTED_VALUE"""),"mi. My car displays range in miles and I will enter all range numbers in miles.")</f>
        <v>mi. My car displays range in miles and I will enter all range numbers in miles.</v>
      </c>
      <c r="E974" s="259">
        <f>IFERROR(__xludf.DUMMYFUNCTION("""COMPUTED_VALUE"""),42248.0)</f>
        <v>42248</v>
      </c>
      <c r="F974" s="258" t="str">
        <f>IFERROR(__xludf.DUMMYFUNCTION("""COMPUTED_VALUE"""),"Model S 90D 2015")</f>
        <v>Model S 90D 2015</v>
      </c>
      <c r="G974" s="258" t="str">
        <f>IFERROR(__xludf.DUMMYFUNCTION("""COMPUTED_VALUE"""),"A few times a year")</f>
        <v>A few times a year</v>
      </c>
      <c r="H974" s="258" t="str">
        <f>IFERROR(__xludf.DUMMYFUNCTION("""COMPUTED_VALUE"""),"A few times a year")</f>
        <v>A few times a year</v>
      </c>
      <c r="I974" s="258" t="str">
        <f>IFERROR(__xludf.DUMMYFUNCTION("""COMPUTED_VALUE"""),"Never")</f>
        <v>Never</v>
      </c>
      <c r="J974" s="260">
        <f>IFERROR(__xludf.DUMMYFUNCTION("""COMPUTED_VALUE"""),0.9)</f>
        <v>0.9</v>
      </c>
      <c r="K974" s="258">
        <f>IFERROR(__xludf.DUMMYFUNCTION("""COMPUTED_VALUE"""),283.0)</f>
        <v>283</v>
      </c>
      <c r="L974" s="258" t="str">
        <f>IFERROR(__xludf.DUMMYFUNCTION("""COMPUTED_VALUE"""),"")</f>
        <v/>
      </c>
      <c r="M974" s="261">
        <f>IFERROR(__xludf.DUMMYFUNCTION("""COMPUTED_VALUE"""),318.0)</f>
        <v>318</v>
      </c>
      <c r="N974" s="262" t="str">
        <f>IFERROR(__xludf.DUMMYFUNCTION("""COMPUTED_VALUE"""),"")</f>
        <v/>
      </c>
      <c r="O974" s="259" t="str">
        <f>IFERROR(__xludf.DUMMYFUNCTION("""COMPUTED_VALUE"""),"")</f>
        <v/>
      </c>
      <c r="P974" s="259">
        <f>IFERROR(__xludf.DUMMYFUNCTION("""COMPUTED_VALUE"""),42288.0)</f>
        <v>42288</v>
      </c>
      <c r="Q974" s="258">
        <f>IFERROR(__xludf.DUMMYFUNCTION("""COMPUTED_VALUE"""),975.0)</f>
        <v>975</v>
      </c>
      <c r="R974" s="261">
        <f>IFERROR(__xludf.DUMMYFUNCTION("""COMPUTED_VALUE"""),283.0)</f>
        <v>283</v>
      </c>
      <c r="S974" s="258">
        <v>277.0</v>
      </c>
      <c r="T974" s="263">
        <v>1.0216606498194947</v>
      </c>
      <c r="U974" s="264">
        <v>975.0</v>
      </c>
      <c r="V974" s="265">
        <v>1569.0</v>
      </c>
      <c r="W974" s="264">
        <v>975.0</v>
      </c>
      <c r="X974" s="266"/>
      <c r="Y974" s="267">
        <v>-0.01</v>
      </c>
      <c r="Z974" s="267">
        <v>0.996984190566793</v>
      </c>
      <c r="AA974" s="269"/>
      <c r="AB974" s="270"/>
      <c r="AC974" s="270"/>
      <c r="AD974" s="270"/>
      <c r="AE974" s="270"/>
    </row>
    <row r="975">
      <c r="A975" s="256">
        <f>IFERROR(__xludf.DUMMYFUNCTION("""COMPUTED_VALUE"""),43186.711111111115)</f>
        <v>43186.71111</v>
      </c>
      <c r="B975" s="257" t="str">
        <f>IFERROR(__xludf.DUMMYFUNCTION("""COMPUTED_VALUE"""),"Lukas")</f>
        <v>Lukas</v>
      </c>
      <c r="C975" s="258" t="str">
        <f>IFERROR(__xludf.DUMMYFUNCTION("""COMPUTED_VALUE"""),"Europe (excluding UK) &amp; Asia Pacific")</f>
        <v>Europe (excluding UK) &amp; Asia Pacific</v>
      </c>
      <c r="D975" s="258" t="str">
        <f>IFERROR(__xludf.DUMMYFUNCTION("""COMPUTED_VALUE"""),"km. My car displays range in kilometres and I will enter all range numbers in kilometres.")</f>
        <v>km. My car displays range in kilometres and I will enter all range numbers in kilometres.</v>
      </c>
      <c r="E975" s="259">
        <f>IFERROR(__xludf.DUMMYFUNCTION("""COMPUTED_VALUE"""),42597.0)</f>
        <v>42597</v>
      </c>
      <c r="F975" s="258" t="str">
        <f>IFERROR(__xludf.DUMMYFUNCTION("""COMPUTED_VALUE"""),"Model S 90D")</f>
        <v>Model S 90D</v>
      </c>
      <c r="G975" s="258" t="str">
        <f>IFERROR(__xludf.DUMMYFUNCTION("""COMPUTED_VALUE"""),"Monthly")</f>
        <v>Monthly</v>
      </c>
      <c r="H975" s="258" t="str">
        <f>IFERROR(__xludf.DUMMYFUNCTION("""COMPUTED_VALUE"""),"A few times a year")</f>
        <v>A few times a year</v>
      </c>
      <c r="I975" s="258" t="str">
        <f>IFERROR(__xludf.DUMMYFUNCTION("""COMPUTED_VALUE"""),"Never")</f>
        <v>Never</v>
      </c>
      <c r="J975" s="260">
        <f>IFERROR(__xludf.DUMMYFUNCTION("""COMPUTED_VALUE"""),0.8)</f>
        <v>0.8</v>
      </c>
      <c r="K975" s="258">
        <f>IFERROR(__xludf.DUMMYFUNCTION("""COMPUTED_VALUE"""),440.0)</f>
        <v>440</v>
      </c>
      <c r="L975" s="258" t="str">
        <f>IFERROR(__xludf.DUMMYFUNCTION("""COMPUTED_VALUE"""),"")</f>
        <v/>
      </c>
      <c r="M975" s="261">
        <f>IFERROR(__xludf.DUMMYFUNCTION("""COMPUTED_VALUE"""),216.0)</f>
        <v>216</v>
      </c>
      <c r="N975" s="262" t="str">
        <f>IFERROR(__xludf.DUMMYFUNCTION("""COMPUTED_VALUE"""),"")</f>
        <v/>
      </c>
      <c r="O975" s="259" t="str">
        <f>IFERROR(__xludf.DUMMYFUNCTION("""COMPUTED_VALUE"""),"")</f>
        <v/>
      </c>
      <c r="P975" s="259">
        <f>IFERROR(__xludf.DUMMYFUNCTION("""COMPUTED_VALUE"""),43186.0)</f>
        <v>43186</v>
      </c>
      <c r="Q975" s="258">
        <f>IFERROR(__xludf.DUMMYFUNCTION("""COMPUTED_VALUE"""),47414.0)</f>
        <v>47414</v>
      </c>
      <c r="R975" s="261">
        <f>IFERROR(__xludf.DUMMYFUNCTION("""COMPUTED_VALUE"""),426.0)</f>
        <v>426</v>
      </c>
      <c r="S975" s="258">
        <v>447.0</v>
      </c>
      <c r="T975" s="263">
        <v>0.9530201342281879</v>
      </c>
      <c r="U975" s="264">
        <v>29462.0</v>
      </c>
      <c r="V975" s="265">
        <v>47414.0</v>
      </c>
      <c r="W975" s="264">
        <v>29462.0</v>
      </c>
      <c r="X975" s="266"/>
      <c r="Y975" s="267">
        <v>-0.01</v>
      </c>
      <c r="Z975" s="267">
        <v>0.9605567398846635</v>
      </c>
      <c r="AA975" s="269"/>
      <c r="AB975" s="270"/>
      <c r="AC975" s="270"/>
      <c r="AD975" s="270"/>
      <c r="AE975" s="270"/>
    </row>
    <row r="976">
      <c r="A976" s="256">
        <f>IFERROR(__xludf.DUMMYFUNCTION("""COMPUTED_VALUE"""),43698.66777543981)</f>
        <v>43698.66778</v>
      </c>
      <c r="B976" s="257" t="str">
        <f>IFERROR(__xludf.DUMMYFUNCTION("""COMPUTED_VALUE"""),"Lupus Mercator")</f>
        <v>Lupus Mercator</v>
      </c>
      <c r="C976" s="258" t="str">
        <f>IFERROR(__xludf.DUMMYFUNCTION("""COMPUTED_VALUE"""),"Europe (excluding UK) &amp; Asia Pacific")</f>
        <v>Europe (excluding UK) &amp; Asia Pacific</v>
      </c>
      <c r="D976" s="258" t="str">
        <f>IFERROR(__xludf.DUMMYFUNCTION("""COMPUTED_VALUE"""),"km. My car displays range in kilometres and I will enter all range numbers in kilometres.")</f>
        <v>km. My car displays range in kilometres and I will enter all range numbers in kilometres.</v>
      </c>
      <c r="E976" s="259">
        <f>IFERROR(__xludf.DUMMYFUNCTION("""COMPUTED_VALUE"""),42401.0)</f>
        <v>42401</v>
      </c>
      <c r="F976" s="258" t="str">
        <f>IFERROR(__xludf.DUMMYFUNCTION("""COMPUTED_VALUE"""),"Model S P90D")</f>
        <v>Model S P90D</v>
      </c>
      <c r="G976" s="258" t="str">
        <f>IFERROR(__xludf.DUMMYFUNCTION("""COMPUTED_VALUE"""),"Twice a month")</f>
        <v>Twice a month</v>
      </c>
      <c r="H976" s="258" t="str">
        <f>IFERROR(__xludf.DUMMYFUNCTION("""COMPUTED_VALUE"""),"A few times a year")</f>
        <v>A few times a year</v>
      </c>
      <c r="I976" s="258" t="str">
        <f>IFERROR(__xludf.DUMMYFUNCTION("""COMPUTED_VALUE"""),"Twice a month")</f>
        <v>Twice a month</v>
      </c>
      <c r="J976" s="260">
        <f>IFERROR(__xludf.DUMMYFUNCTION("""COMPUTED_VALUE"""),0.9)</f>
        <v>0.9</v>
      </c>
      <c r="K976" s="258">
        <f>IFERROR(__xludf.DUMMYFUNCTION("""COMPUTED_VALUE"""),412.0)</f>
        <v>412</v>
      </c>
      <c r="L976" s="258" t="str">
        <f>IFERROR(__xludf.DUMMYFUNCTION("""COMPUTED_VALUE"""),"")</f>
        <v/>
      </c>
      <c r="M976" s="261">
        <f>IFERROR(__xludf.DUMMYFUNCTION("""COMPUTED_VALUE"""),232.0)</f>
        <v>232</v>
      </c>
      <c r="N976" s="262" t="str">
        <f>IFERROR(__xludf.DUMMYFUNCTION("""COMPUTED_VALUE"""),"")</f>
        <v/>
      </c>
      <c r="O976" s="259" t="str">
        <f>IFERROR(__xludf.DUMMYFUNCTION("""COMPUTED_VALUE"""),"")</f>
        <v/>
      </c>
      <c r="P976" s="259">
        <f>IFERROR(__xludf.DUMMYFUNCTION("""COMPUTED_VALUE"""),43692.0)</f>
        <v>43692</v>
      </c>
      <c r="Q976" s="258">
        <f>IFERROR(__xludf.DUMMYFUNCTION("""COMPUTED_VALUE"""),154312.0)</f>
        <v>154312</v>
      </c>
      <c r="R976" s="261">
        <f>IFERROR(__xludf.DUMMYFUNCTION("""COMPUTED_VALUE"""),372.0)</f>
        <v>372</v>
      </c>
      <c r="S976" s="258">
        <v>412.0</v>
      </c>
      <c r="T976" s="263">
        <v>0.9029126213592233</v>
      </c>
      <c r="U976" s="264">
        <v>95885.0</v>
      </c>
      <c r="V976" s="265">
        <v>154312.0</v>
      </c>
      <c r="W976" s="264">
        <v>95885.0</v>
      </c>
      <c r="X976" s="266"/>
      <c r="Y976" s="267">
        <v>-0.01</v>
      </c>
      <c r="Z976" s="267">
        <v>0.9339717592925808</v>
      </c>
      <c r="AA976" s="269"/>
      <c r="AB976" s="270"/>
      <c r="AC976" s="270"/>
      <c r="AD976" s="270"/>
      <c r="AE976" s="270"/>
    </row>
    <row r="977">
      <c r="A977" s="256">
        <f>IFERROR(__xludf.DUMMYFUNCTION("""COMPUTED_VALUE"""),42672.41875)</f>
        <v>42672.41875</v>
      </c>
      <c r="B977" s="257" t="str">
        <f>IFERROR(__xludf.DUMMYFUNCTION("""COMPUTED_VALUE"""),"Luske")</f>
        <v>Luske</v>
      </c>
      <c r="C977" s="258" t="str">
        <f>IFERROR(__xludf.DUMMYFUNCTION("""COMPUTED_VALUE"""),"Europe (excluding UK) &amp; Asia Pacific")</f>
        <v>Europe (excluding UK) &amp; Asia Pacific</v>
      </c>
      <c r="D977" s="258" t="str">
        <f>IFERROR(__xludf.DUMMYFUNCTION("""COMPUTED_VALUE"""),"km. My car displays range in kilometres and I will enter all range numbers in kilometres.")</f>
        <v>km. My car displays range in kilometres and I will enter all range numbers in kilometres.</v>
      </c>
      <c r="E977" s="259">
        <f>IFERROR(__xludf.DUMMYFUNCTION("""COMPUTED_VALUE"""),42200.0)</f>
        <v>42200</v>
      </c>
      <c r="F977" s="258" t="str">
        <f>IFERROR(__xludf.DUMMYFUNCTION("""COMPUTED_VALUE"""),"Model S 85")</f>
        <v>Model S 85</v>
      </c>
      <c r="G977" s="258" t="str">
        <f>IFERROR(__xludf.DUMMYFUNCTION("""COMPUTED_VALUE"""),"")</f>
        <v/>
      </c>
      <c r="H977" s="258" t="str">
        <f>IFERROR(__xludf.DUMMYFUNCTION("""COMPUTED_VALUE"""),"")</f>
        <v/>
      </c>
      <c r="I977" s="258" t="str">
        <f>IFERROR(__xludf.DUMMYFUNCTION("""COMPUTED_VALUE"""),"")</f>
        <v/>
      </c>
      <c r="J977" s="260" t="str">
        <f>IFERROR(__xludf.DUMMYFUNCTION("""COMPUTED_VALUE"""),"")</f>
        <v/>
      </c>
      <c r="K977" s="258" t="str">
        <f>IFERROR(__xludf.DUMMYFUNCTION("""COMPUTED_VALUE"""),"")</f>
        <v/>
      </c>
      <c r="L977" s="258" t="str">
        <f>IFERROR(__xludf.DUMMYFUNCTION("""COMPUTED_VALUE"""),"")</f>
        <v/>
      </c>
      <c r="M977" s="261">
        <f>IFERROR(__xludf.DUMMYFUNCTION("""COMPUTED_VALUE"""),218.0)</f>
        <v>218</v>
      </c>
      <c r="N977" s="262" t="str">
        <f>IFERROR(__xludf.DUMMYFUNCTION("""COMPUTED_VALUE"""),"")</f>
        <v/>
      </c>
      <c r="O977" s="259" t="str">
        <f>IFERROR(__xludf.DUMMYFUNCTION("""COMPUTED_VALUE"""),"")</f>
        <v/>
      </c>
      <c r="P977" s="259">
        <f>IFERROR(__xludf.DUMMYFUNCTION("""COMPUTED_VALUE"""),42672.0)</f>
        <v>42672</v>
      </c>
      <c r="Q977" s="258">
        <f>IFERROR(__xludf.DUMMYFUNCTION("""COMPUTED_VALUE"""),66849.0)</f>
        <v>66849</v>
      </c>
      <c r="R977" s="261">
        <f>IFERROR(__xludf.DUMMYFUNCTION("""COMPUTED_VALUE"""),391.0)</f>
        <v>391</v>
      </c>
      <c r="S977" s="258">
        <v>395.0</v>
      </c>
      <c r="T977" s="263">
        <v>0.9898734177215189</v>
      </c>
      <c r="U977" s="264">
        <v>41538.0</v>
      </c>
      <c r="V977" s="265">
        <v>66849.0</v>
      </c>
      <c r="W977" s="264">
        <v>41538.0</v>
      </c>
      <c r="X977" s="266"/>
      <c r="Y977" s="267">
        <v>-0.01</v>
      </c>
      <c r="Z977" s="267">
        <v>0.9547654793011116</v>
      </c>
      <c r="AA977" s="269"/>
      <c r="AB977" s="270"/>
      <c r="AC977" s="270"/>
      <c r="AD977" s="270"/>
      <c r="AE977" s="270"/>
    </row>
    <row r="978">
      <c r="A978" s="256">
        <f>IFERROR(__xludf.DUMMYFUNCTION("""COMPUTED_VALUE"""),42925.55902777778)</f>
        <v>42925.55903</v>
      </c>
      <c r="B978" s="257" t="str">
        <f>IFERROR(__xludf.DUMMYFUNCTION("""COMPUTED_VALUE"""),"Luske")</f>
        <v>Luske</v>
      </c>
      <c r="C978" s="258" t="str">
        <f>IFERROR(__xludf.DUMMYFUNCTION("""COMPUTED_VALUE"""),"Europe (excluding UK) &amp; Asia Pacific")</f>
        <v>Europe (excluding UK) &amp; Asia Pacific</v>
      </c>
      <c r="D978" s="258" t="str">
        <f>IFERROR(__xludf.DUMMYFUNCTION("""COMPUTED_VALUE"""),"km. My car displays range in kilometres and I will enter all range numbers in kilometres.")</f>
        <v>km. My car displays range in kilometres and I will enter all range numbers in kilometres.</v>
      </c>
      <c r="E978" s="259">
        <f>IFERROR(__xludf.DUMMYFUNCTION("""COMPUTED_VALUE"""),42200.0)</f>
        <v>42200</v>
      </c>
      <c r="F978" s="258" t="str">
        <f>IFERROR(__xludf.DUMMYFUNCTION("""COMPUTED_VALUE"""),"Model S 85")</f>
        <v>Model S 85</v>
      </c>
      <c r="G978" s="258" t="str">
        <f>IFERROR(__xludf.DUMMYFUNCTION("""COMPUTED_VALUE"""),"Weekly")</f>
        <v>Weekly</v>
      </c>
      <c r="H978" s="258" t="str">
        <f>IFERROR(__xludf.DUMMYFUNCTION("""COMPUTED_VALUE"""),"A few times a year")</f>
        <v>A few times a year</v>
      </c>
      <c r="I978" s="258" t="str">
        <f>IFERROR(__xludf.DUMMYFUNCTION("""COMPUTED_VALUE"""),"Monthly")</f>
        <v>Monthly</v>
      </c>
      <c r="J978" s="260">
        <f>IFERROR(__xludf.DUMMYFUNCTION("""COMPUTED_VALUE"""),0.9)</f>
        <v>0.9</v>
      </c>
      <c r="K978" s="258" t="str">
        <f>IFERROR(__xludf.DUMMYFUNCTION("""COMPUTED_VALUE"""),"")</f>
        <v/>
      </c>
      <c r="L978" s="258" t="str">
        <f>IFERROR(__xludf.DUMMYFUNCTION("""COMPUTED_VALUE"""),"")</f>
        <v/>
      </c>
      <c r="M978" s="261">
        <f>IFERROR(__xludf.DUMMYFUNCTION("""COMPUTED_VALUE"""),212.0)</f>
        <v>212</v>
      </c>
      <c r="N978" s="262" t="str">
        <f>IFERROR(__xludf.DUMMYFUNCTION("""COMPUTED_VALUE"""),"")</f>
        <v/>
      </c>
      <c r="O978" s="259" t="str">
        <f>IFERROR(__xludf.DUMMYFUNCTION("""COMPUTED_VALUE"""),"")</f>
        <v/>
      </c>
      <c r="P978" s="259">
        <f>IFERROR(__xludf.DUMMYFUNCTION("""COMPUTED_VALUE"""),42925.0)</f>
        <v>42925</v>
      </c>
      <c r="Q978" s="258">
        <f>IFERROR(__xludf.DUMMYFUNCTION("""COMPUTED_VALUE"""),113000.0)</f>
        <v>113000</v>
      </c>
      <c r="R978" s="261">
        <f>IFERROR(__xludf.DUMMYFUNCTION("""COMPUTED_VALUE"""),381.0)</f>
        <v>381</v>
      </c>
      <c r="S978" s="258">
        <v>395.0</v>
      </c>
      <c r="T978" s="263">
        <v>0.9645569620253165</v>
      </c>
      <c r="U978" s="264">
        <v>70215.0</v>
      </c>
      <c r="V978" s="265">
        <v>113000.0</v>
      </c>
      <c r="W978" s="264">
        <v>70215.0</v>
      </c>
      <c r="X978" s="266"/>
      <c r="Y978" s="267">
        <v>-0.01</v>
      </c>
      <c r="Z978" s="267">
        <v>0.9435390652313125</v>
      </c>
      <c r="AA978" s="269"/>
      <c r="AB978" s="270"/>
      <c r="AC978" s="270"/>
      <c r="AD978" s="270"/>
      <c r="AE978" s="270"/>
    </row>
    <row r="979">
      <c r="A979" s="256">
        <f>IFERROR(__xludf.DUMMYFUNCTION("""COMPUTED_VALUE"""),42714.55972222222)</f>
        <v>42714.55972</v>
      </c>
      <c r="B979" s="257" t="str">
        <f>IFERROR(__xludf.DUMMYFUNCTION("""COMPUTED_VALUE"""),"Luske")</f>
        <v>Luske</v>
      </c>
      <c r="C979" s="258" t="str">
        <f>IFERROR(__xludf.DUMMYFUNCTION("""COMPUTED_VALUE"""),"Europe (excluding UK) &amp; Asia Pacific")</f>
        <v>Europe (excluding UK) &amp; Asia Pacific</v>
      </c>
      <c r="D979" s="258" t="str">
        <f>IFERROR(__xludf.DUMMYFUNCTION("""COMPUTED_VALUE"""),"km. My car displays range in kilometres and I will enter all range numbers in kilometres.")</f>
        <v>km. My car displays range in kilometres and I will enter all range numbers in kilometres.</v>
      </c>
      <c r="E979" s="259">
        <f>IFERROR(__xludf.DUMMYFUNCTION("""COMPUTED_VALUE"""),42200.0)</f>
        <v>42200</v>
      </c>
      <c r="F979" s="258" t="str">
        <f>IFERROR(__xludf.DUMMYFUNCTION("""COMPUTED_VALUE"""),"Model S 85")</f>
        <v>Model S 85</v>
      </c>
      <c r="G979" s="258" t="str">
        <f>IFERROR(__xludf.DUMMYFUNCTION("""COMPUTED_VALUE"""),"")</f>
        <v/>
      </c>
      <c r="H979" s="258" t="str">
        <f>IFERROR(__xludf.DUMMYFUNCTION("""COMPUTED_VALUE"""),"")</f>
        <v/>
      </c>
      <c r="I979" s="258" t="str">
        <f>IFERROR(__xludf.DUMMYFUNCTION("""COMPUTED_VALUE"""),"")</f>
        <v/>
      </c>
      <c r="J979" s="260" t="str">
        <f>IFERROR(__xludf.DUMMYFUNCTION("""COMPUTED_VALUE"""),"")</f>
        <v/>
      </c>
      <c r="K979" s="258" t="str">
        <f>IFERROR(__xludf.DUMMYFUNCTION("""COMPUTED_VALUE"""),"")</f>
        <v/>
      </c>
      <c r="L979" s="258" t="str">
        <f>IFERROR(__xludf.DUMMYFUNCTION("""COMPUTED_VALUE"""),"")</f>
        <v/>
      </c>
      <c r="M979" s="261">
        <f>IFERROR(__xludf.DUMMYFUNCTION("""COMPUTED_VALUE"""),214.0)</f>
        <v>214</v>
      </c>
      <c r="N979" s="262" t="str">
        <f>IFERROR(__xludf.DUMMYFUNCTION("""COMPUTED_VALUE"""),"")</f>
        <v/>
      </c>
      <c r="O979" s="259" t="str">
        <f>IFERROR(__xludf.DUMMYFUNCTION("""COMPUTED_VALUE"""),"")</f>
        <v/>
      </c>
      <c r="P979" s="259">
        <f>IFERROR(__xludf.DUMMYFUNCTION("""COMPUTED_VALUE"""),42714.0)</f>
        <v>42714</v>
      </c>
      <c r="Q979" s="258">
        <f>IFERROR(__xludf.DUMMYFUNCTION("""COMPUTED_VALUE"""),70518.0)</f>
        <v>70518</v>
      </c>
      <c r="R979" s="261">
        <f>IFERROR(__xludf.DUMMYFUNCTION("""COMPUTED_VALUE"""),388.0)</f>
        <v>388</v>
      </c>
      <c r="S979" s="258">
        <v>395.0</v>
      </c>
      <c r="T979" s="263">
        <v>0.9822784810126582</v>
      </c>
      <c r="U979" s="264">
        <v>43818.0</v>
      </c>
      <c r="V979" s="265">
        <v>70518.0</v>
      </c>
      <c r="W979" s="264">
        <v>43818.0</v>
      </c>
      <c r="X979" s="266"/>
      <c r="Y979" s="267">
        <v>-0.01</v>
      </c>
      <c r="Z979" s="267">
        <v>0.9537992695048007</v>
      </c>
      <c r="AA979" s="269"/>
      <c r="AB979" s="270"/>
      <c r="AC979" s="270"/>
      <c r="AD979" s="270"/>
      <c r="AE979" s="270"/>
    </row>
    <row r="980">
      <c r="A980" s="256">
        <f>IFERROR(__xludf.DUMMYFUNCTION("""COMPUTED_VALUE"""),42987.62152777778)</f>
        <v>42987.62153</v>
      </c>
      <c r="B980" s="257" t="str">
        <f>IFERROR(__xludf.DUMMYFUNCTION("""COMPUTED_VALUE"""),"Luske")</f>
        <v>Luske</v>
      </c>
      <c r="C980" s="258" t="str">
        <f>IFERROR(__xludf.DUMMYFUNCTION("""COMPUTED_VALUE"""),"Europe (excluding UK) &amp; Asia Pacific")</f>
        <v>Europe (excluding UK) &amp; Asia Pacific</v>
      </c>
      <c r="D980" s="258" t="str">
        <f>IFERROR(__xludf.DUMMYFUNCTION("""COMPUTED_VALUE"""),"km. My car displays range in kilometres and I will enter all range numbers in kilometres.")</f>
        <v>km. My car displays range in kilometres and I will enter all range numbers in kilometres.</v>
      </c>
      <c r="E980" s="259">
        <f>IFERROR(__xludf.DUMMYFUNCTION("""COMPUTED_VALUE"""),42200.0)</f>
        <v>42200</v>
      </c>
      <c r="F980" s="258" t="str">
        <f>IFERROR(__xludf.DUMMYFUNCTION("""COMPUTED_VALUE"""),"Model S 85")</f>
        <v>Model S 85</v>
      </c>
      <c r="G980" s="258" t="str">
        <f>IFERROR(__xludf.DUMMYFUNCTION("""COMPUTED_VALUE"""),"Weekly")</f>
        <v>Weekly</v>
      </c>
      <c r="H980" s="258" t="str">
        <f>IFERROR(__xludf.DUMMYFUNCTION("""COMPUTED_VALUE"""),"Monthly")</f>
        <v>Monthly</v>
      </c>
      <c r="I980" s="258" t="str">
        <f>IFERROR(__xludf.DUMMYFUNCTION("""COMPUTED_VALUE"""),"A few times a year")</f>
        <v>A few times a year</v>
      </c>
      <c r="J980" s="260">
        <f>IFERROR(__xludf.DUMMYFUNCTION("""COMPUTED_VALUE"""),0.9)</f>
        <v>0.9</v>
      </c>
      <c r="K980" s="258" t="str">
        <f>IFERROR(__xludf.DUMMYFUNCTION("""COMPUTED_VALUE"""),"")</f>
        <v/>
      </c>
      <c r="L980" s="258" t="str">
        <f>IFERROR(__xludf.DUMMYFUNCTION("""COMPUTED_VALUE"""),"")</f>
        <v/>
      </c>
      <c r="M980" s="261">
        <f>IFERROR(__xludf.DUMMYFUNCTION("""COMPUTED_VALUE"""),214.0)</f>
        <v>214</v>
      </c>
      <c r="N980" s="262" t="str">
        <f>IFERROR(__xludf.DUMMYFUNCTION("""COMPUTED_VALUE"""),"")</f>
        <v/>
      </c>
      <c r="O980" s="259" t="str">
        <f>IFERROR(__xludf.DUMMYFUNCTION("""COMPUTED_VALUE"""),"")</f>
        <v/>
      </c>
      <c r="P980" s="259">
        <f>IFERROR(__xludf.DUMMYFUNCTION("""COMPUTED_VALUE"""),42987.0)</f>
        <v>42987</v>
      </c>
      <c r="Q980" s="258">
        <f>IFERROR(__xludf.DUMMYFUNCTION("""COMPUTED_VALUE"""),128867.2)</f>
        <v>128867.2</v>
      </c>
      <c r="R980" s="261">
        <f>IFERROR(__xludf.DUMMYFUNCTION("""COMPUTED_VALUE"""),379.0)</f>
        <v>379</v>
      </c>
      <c r="S980" s="258">
        <v>395.0</v>
      </c>
      <c r="T980" s="263">
        <v>0.959493670886076</v>
      </c>
      <c r="U980" s="264">
        <v>80074.0</v>
      </c>
      <c r="V980" s="265">
        <v>128867.2</v>
      </c>
      <c r="W980" s="264">
        <v>80074.0</v>
      </c>
      <c r="X980" s="266"/>
      <c r="Y980" s="267">
        <v>-0.01</v>
      </c>
      <c r="Z980" s="267">
        <v>0.9398536282784138</v>
      </c>
      <c r="AA980" s="269"/>
      <c r="AB980" s="270"/>
      <c r="AC980" s="270"/>
      <c r="AD980" s="270"/>
      <c r="AE980" s="270"/>
    </row>
    <row r="981">
      <c r="A981" s="256">
        <f>IFERROR(__xludf.DUMMYFUNCTION("""COMPUTED_VALUE"""),43137.691666666666)</f>
        <v>43137.69167</v>
      </c>
      <c r="B981" s="257" t="str">
        <f>IFERROR(__xludf.DUMMYFUNCTION("""COMPUTED_VALUE"""),"Luske")</f>
        <v>Luske</v>
      </c>
      <c r="C981" s="258" t="str">
        <f>IFERROR(__xludf.DUMMYFUNCTION("""COMPUTED_VALUE"""),"Europe (excluding UK) &amp; Asia Pacific")</f>
        <v>Europe (excluding UK) &amp; Asia Pacific</v>
      </c>
      <c r="D981" s="258" t="str">
        <f>IFERROR(__xludf.DUMMYFUNCTION("""COMPUTED_VALUE"""),"km. My car displays range in kilometres and I will enter all range numbers in kilometres.")</f>
        <v>km. My car displays range in kilometres and I will enter all range numbers in kilometres.</v>
      </c>
      <c r="E981" s="259">
        <f>IFERROR(__xludf.DUMMYFUNCTION("""COMPUTED_VALUE"""),42200.0)</f>
        <v>42200</v>
      </c>
      <c r="F981" s="258" t="str">
        <f>IFERROR(__xludf.DUMMYFUNCTION("""COMPUTED_VALUE"""),"Model S 85")</f>
        <v>Model S 85</v>
      </c>
      <c r="G981" s="258" t="str">
        <f>IFERROR(__xludf.DUMMYFUNCTION("""COMPUTED_VALUE"""),"Twice a month")</f>
        <v>Twice a month</v>
      </c>
      <c r="H981" s="258" t="str">
        <f>IFERROR(__xludf.DUMMYFUNCTION("""COMPUTED_VALUE"""),"Twice a month")</f>
        <v>Twice a month</v>
      </c>
      <c r="I981" s="258" t="str">
        <f>IFERROR(__xludf.DUMMYFUNCTION("""COMPUTED_VALUE"""),"Twice a month")</f>
        <v>Twice a month</v>
      </c>
      <c r="J981" s="260">
        <f>IFERROR(__xludf.DUMMYFUNCTION("""COMPUTED_VALUE"""),0.9)</f>
        <v>0.9</v>
      </c>
      <c r="K981" s="258" t="str">
        <f>IFERROR(__xludf.DUMMYFUNCTION("""COMPUTED_VALUE"""),"")</f>
        <v/>
      </c>
      <c r="L981" s="258" t="str">
        <f>IFERROR(__xludf.DUMMYFUNCTION("""COMPUTED_VALUE"""),"")</f>
        <v/>
      </c>
      <c r="M981" s="261">
        <f>IFERROR(__xludf.DUMMYFUNCTION("""COMPUTED_VALUE"""),216.0)</f>
        <v>216</v>
      </c>
      <c r="N981" s="262" t="str">
        <f>IFERROR(__xludf.DUMMYFUNCTION("""COMPUTED_VALUE"""),"")</f>
        <v/>
      </c>
      <c r="O981" s="259" t="str">
        <f>IFERROR(__xludf.DUMMYFUNCTION("""COMPUTED_VALUE"""),"")</f>
        <v/>
      </c>
      <c r="P981" s="259">
        <f>IFERROR(__xludf.DUMMYFUNCTION("""COMPUTED_VALUE"""),43137.0)</f>
        <v>43137</v>
      </c>
      <c r="Q981" s="258">
        <f>IFERROR(__xludf.DUMMYFUNCTION("""COMPUTED_VALUE"""),157267.0)</f>
        <v>157267</v>
      </c>
      <c r="R981" s="261">
        <f>IFERROR(__xludf.DUMMYFUNCTION("""COMPUTED_VALUE"""),368.0)</f>
        <v>368</v>
      </c>
      <c r="S981" s="258">
        <v>395.0</v>
      </c>
      <c r="T981" s="263">
        <v>0.9316455696202531</v>
      </c>
      <c r="U981" s="264">
        <v>97721.0</v>
      </c>
      <c r="V981" s="265">
        <v>157267.0</v>
      </c>
      <c r="W981" s="264">
        <v>97721.0</v>
      </c>
      <c r="X981" s="266"/>
      <c r="Y981" s="267">
        <v>-0.01</v>
      </c>
      <c r="Z981" s="267">
        <v>0.9332895873015656</v>
      </c>
      <c r="AA981" s="269"/>
      <c r="AB981" s="270"/>
      <c r="AC981" s="270"/>
      <c r="AD981" s="270"/>
      <c r="AE981" s="270"/>
    </row>
    <row r="982">
      <c r="A982" s="256">
        <f>IFERROR(__xludf.DUMMYFUNCTION("""COMPUTED_VALUE"""),43160.7)</f>
        <v>43160.7</v>
      </c>
      <c r="B982" s="257" t="str">
        <f>IFERROR(__xludf.DUMMYFUNCTION("""COMPUTED_VALUE"""),"Luske")</f>
        <v>Luske</v>
      </c>
      <c r="C982" s="258" t="str">
        <f>IFERROR(__xludf.DUMMYFUNCTION("""COMPUTED_VALUE"""),"Europe (excluding UK) &amp; Asia Pacific")</f>
        <v>Europe (excluding UK) &amp; Asia Pacific</v>
      </c>
      <c r="D982" s="258" t="str">
        <f>IFERROR(__xludf.DUMMYFUNCTION("""COMPUTED_VALUE"""),"km. My car displays range in kilometres and I will enter all range numbers in kilometres.")</f>
        <v>km. My car displays range in kilometres and I will enter all range numbers in kilometres.</v>
      </c>
      <c r="E982" s="259">
        <f>IFERROR(__xludf.DUMMYFUNCTION("""COMPUTED_VALUE"""),42200.0)</f>
        <v>42200</v>
      </c>
      <c r="F982" s="258" t="str">
        <f>IFERROR(__xludf.DUMMYFUNCTION("""COMPUTED_VALUE"""),"Model S 85")</f>
        <v>Model S 85</v>
      </c>
      <c r="G982" s="258" t="str">
        <f>IFERROR(__xludf.DUMMYFUNCTION("""COMPUTED_VALUE"""),"")</f>
        <v/>
      </c>
      <c r="H982" s="258" t="str">
        <f>IFERROR(__xludf.DUMMYFUNCTION("""COMPUTED_VALUE"""),"")</f>
        <v/>
      </c>
      <c r="I982" s="258" t="str">
        <f>IFERROR(__xludf.DUMMYFUNCTION("""COMPUTED_VALUE"""),"")</f>
        <v/>
      </c>
      <c r="J982" s="260" t="str">
        <f>IFERROR(__xludf.DUMMYFUNCTION("""COMPUTED_VALUE"""),"")</f>
        <v/>
      </c>
      <c r="K982" s="258" t="str">
        <f>IFERROR(__xludf.DUMMYFUNCTION("""COMPUTED_VALUE"""),"")</f>
        <v/>
      </c>
      <c r="L982" s="258" t="str">
        <f>IFERROR(__xludf.DUMMYFUNCTION("""COMPUTED_VALUE"""),"")</f>
        <v/>
      </c>
      <c r="M982" s="261">
        <f>IFERROR(__xludf.DUMMYFUNCTION("""COMPUTED_VALUE"""),217.0)</f>
        <v>217</v>
      </c>
      <c r="N982" s="262" t="str">
        <f>IFERROR(__xludf.DUMMYFUNCTION("""COMPUTED_VALUE"""),"")</f>
        <v/>
      </c>
      <c r="O982" s="259" t="str">
        <f>IFERROR(__xludf.DUMMYFUNCTION("""COMPUTED_VALUE"""),"")</f>
        <v/>
      </c>
      <c r="P982" s="259">
        <f>IFERROR(__xludf.DUMMYFUNCTION("""COMPUTED_VALUE"""),43160.0)</f>
        <v>43160</v>
      </c>
      <c r="Q982" s="258">
        <f>IFERROR(__xludf.DUMMYFUNCTION("""COMPUTED_VALUE"""),162000.0)</f>
        <v>162000</v>
      </c>
      <c r="R982" s="261">
        <f>IFERROR(__xludf.DUMMYFUNCTION("""COMPUTED_VALUE"""),369.0)</f>
        <v>369</v>
      </c>
      <c r="S982" s="258">
        <v>395.0</v>
      </c>
      <c r="T982" s="263">
        <v>0.9341772151898734</v>
      </c>
      <c r="U982" s="264">
        <v>100662.0</v>
      </c>
      <c r="V982" s="265">
        <v>162000.0</v>
      </c>
      <c r="W982" s="264">
        <v>100662.0</v>
      </c>
      <c r="X982" s="266"/>
      <c r="Y982" s="267">
        <v>-0.01</v>
      </c>
      <c r="Z982" s="267">
        <v>0.9321971520425282</v>
      </c>
      <c r="AA982" s="269"/>
      <c r="AB982" s="270"/>
      <c r="AC982" s="270"/>
      <c r="AD982" s="270"/>
      <c r="AE982" s="270"/>
    </row>
    <row r="983">
      <c r="A983" s="256">
        <f>IFERROR(__xludf.DUMMYFUNCTION("""COMPUTED_VALUE"""),43788.49354894676)</f>
        <v>43788.49355</v>
      </c>
      <c r="B983" s="257" t="str">
        <f>IFERROR(__xludf.DUMMYFUNCTION("""COMPUTED_VALUE"""),"Luske")</f>
        <v>Luske</v>
      </c>
      <c r="C983" s="258" t="str">
        <f>IFERROR(__xludf.DUMMYFUNCTION("""COMPUTED_VALUE"""),"Europe (excluding UK) &amp; Asia Pacific")</f>
        <v>Europe (excluding UK) &amp; Asia Pacific</v>
      </c>
      <c r="D983" s="258" t="str">
        <f>IFERROR(__xludf.DUMMYFUNCTION("""COMPUTED_VALUE"""),"km. My car displays range in kilometres and I will enter all range numbers in kilometres.")</f>
        <v>km. My car displays range in kilometres and I will enter all range numbers in kilometres.</v>
      </c>
      <c r="E983" s="259">
        <f>IFERROR(__xludf.DUMMYFUNCTION("""COMPUTED_VALUE"""),42038.0)</f>
        <v>42038</v>
      </c>
      <c r="F983" s="258" t="str">
        <f>IFERROR(__xludf.DUMMYFUNCTION("""COMPUTED_VALUE"""),"Model S 85")</f>
        <v>Model S 85</v>
      </c>
      <c r="G983" s="258" t="str">
        <f>IFERROR(__xludf.DUMMYFUNCTION("""COMPUTED_VALUE"""),"Twice a month")</f>
        <v>Twice a month</v>
      </c>
      <c r="H983" s="258" t="str">
        <f>IFERROR(__xludf.DUMMYFUNCTION("""COMPUTED_VALUE"""),"Twice a month")</f>
        <v>Twice a month</v>
      </c>
      <c r="I983" s="258" t="str">
        <f>IFERROR(__xludf.DUMMYFUNCTION("""COMPUTED_VALUE"""),"Twice a week")</f>
        <v>Twice a week</v>
      </c>
      <c r="J983" s="260">
        <f>IFERROR(__xludf.DUMMYFUNCTION("""COMPUTED_VALUE"""),0.9)</f>
        <v>0.9</v>
      </c>
      <c r="K983" s="258">
        <f>IFERROR(__xludf.DUMMYFUNCTION("""COMPUTED_VALUE"""),413.0)</f>
        <v>413</v>
      </c>
      <c r="L983" s="258">
        <f>IFERROR(__xludf.DUMMYFUNCTION("""COMPUTED_VALUE"""),200.0)</f>
        <v>200</v>
      </c>
      <c r="M983" s="261">
        <f>IFERROR(__xludf.DUMMYFUNCTION("""COMPUTED_VALUE"""),216.0)</f>
        <v>216</v>
      </c>
      <c r="N983" s="262">
        <f>IFERROR(__xludf.DUMMYFUNCTION("""COMPUTED_VALUE"""),205000.0)</f>
        <v>205000</v>
      </c>
      <c r="O983" s="259" t="str">
        <f>IFERROR(__xludf.DUMMYFUNCTION("""COMPUTED_VALUE"""),"Increased by 10 km or mi")</f>
        <v>Increased by 10 km or mi</v>
      </c>
      <c r="P983" s="259">
        <f>IFERROR(__xludf.DUMMYFUNCTION("""COMPUTED_VALUE"""),43784.0)</f>
        <v>43784</v>
      </c>
      <c r="Q983" s="258">
        <f>IFERROR(__xludf.DUMMYFUNCTION("""COMPUTED_VALUE"""),280000.0)</f>
        <v>280000</v>
      </c>
      <c r="R983" s="261">
        <f>IFERROR(__xludf.DUMMYFUNCTION("""COMPUTED_VALUE"""),366.0)</f>
        <v>366</v>
      </c>
      <c r="S983" s="258">
        <v>395.0</v>
      </c>
      <c r="T983" s="263">
        <v>0.9265822784810127</v>
      </c>
      <c r="U983" s="264">
        <v>173984.0</v>
      </c>
      <c r="V983" s="265">
        <v>280000.0</v>
      </c>
      <c r="W983" s="264">
        <v>173984.0</v>
      </c>
      <c r="X983" s="266"/>
      <c r="Y983" s="267">
        <v>-0.01</v>
      </c>
      <c r="Z983" s="267">
        <v>0.9049783354661831</v>
      </c>
      <c r="AA983" s="269"/>
      <c r="AB983" s="270"/>
      <c r="AC983" s="270"/>
      <c r="AD983" s="270"/>
      <c r="AE983" s="270"/>
    </row>
    <row r="984">
      <c r="A984" s="256">
        <f>IFERROR(__xludf.DUMMYFUNCTION("""COMPUTED_VALUE"""),43788.49354894676)</f>
        <v>43788.49355</v>
      </c>
      <c r="B984" s="257" t="str">
        <f>IFERROR(__xludf.DUMMYFUNCTION("""COMPUTED_VALUE"""),"Luske")</f>
        <v>Luske</v>
      </c>
      <c r="C984" s="258" t="str">
        <f>IFERROR(__xludf.DUMMYFUNCTION("""COMPUTED_VALUE"""),"Europe (excluding UK) &amp; Asia Pacific")</f>
        <v>Europe (excluding UK) &amp; Asia Pacific</v>
      </c>
      <c r="D984" s="258" t="str">
        <f>IFERROR(__xludf.DUMMYFUNCTION("""COMPUTED_VALUE"""),"km. My car displays range in kilometres and I will enter all range numbers in kilometres.")</f>
        <v>km. My car displays range in kilometres and I will enter all range numbers in kilometres.</v>
      </c>
      <c r="E984" s="259">
        <f>IFERROR(__xludf.DUMMYFUNCTION("""COMPUTED_VALUE"""),42038.0)</f>
        <v>42038</v>
      </c>
      <c r="F984" s="258" t="str">
        <f>IFERROR(__xludf.DUMMYFUNCTION("""COMPUTED_VALUE"""),"Model S 85")</f>
        <v>Model S 85</v>
      </c>
      <c r="G984" s="258" t="str">
        <f>IFERROR(__xludf.DUMMYFUNCTION("""COMPUTED_VALUE"""),"Twice a month")</f>
        <v>Twice a month</v>
      </c>
      <c r="H984" s="258" t="str">
        <f>IFERROR(__xludf.DUMMYFUNCTION("""COMPUTED_VALUE"""),"Twice a month")</f>
        <v>Twice a month</v>
      </c>
      <c r="I984" s="258" t="str">
        <f>IFERROR(__xludf.DUMMYFUNCTION("""COMPUTED_VALUE"""),"Twice a week")</f>
        <v>Twice a week</v>
      </c>
      <c r="J984" s="260">
        <f>IFERROR(__xludf.DUMMYFUNCTION("""COMPUTED_VALUE"""),0.9)</f>
        <v>0.9</v>
      </c>
      <c r="K984" s="258">
        <f>IFERROR(__xludf.DUMMYFUNCTION("""COMPUTED_VALUE"""),413.0)</f>
        <v>413</v>
      </c>
      <c r="L984" s="258">
        <f>IFERROR(__xludf.DUMMYFUNCTION("""COMPUTED_VALUE"""),200.0)</f>
        <v>200</v>
      </c>
      <c r="M984" s="261">
        <f>IFERROR(__xludf.DUMMYFUNCTION("""COMPUTED_VALUE"""),216.0)</f>
        <v>216</v>
      </c>
      <c r="N984" s="262">
        <f>IFERROR(__xludf.DUMMYFUNCTION("""COMPUTED_VALUE"""),205000.0)</f>
        <v>205000</v>
      </c>
      <c r="O984" s="259" t="str">
        <f>IFERROR(__xludf.DUMMYFUNCTION("""COMPUTED_VALUE"""),"Increased by 10 km or mi")</f>
        <v>Increased by 10 km or mi</v>
      </c>
      <c r="P984" s="259">
        <f>IFERROR(__xludf.DUMMYFUNCTION("""COMPUTED_VALUE"""),43777.0)</f>
        <v>43777</v>
      </c>
      <c r="Q984" s="258">
        <f>IFERROR(__xludf.DUMMYFUNCTION("""COMPUTED_VALUE"""),282000.0)</f>
        <v>282000</v>
      </c>
      <c r="R984" s="261">
        <f>IFERROR(__xludf.DUMMYFUNCTION("""COMPUTED_VALUE"""),366.0)</f>
        <v>366</v>
      </c>
      <c r="S984" s="258">
        <v>395.0</v>
      </c>
      <c r="T984" s="263">
        <v>0.9265822784810127</v>
      </c>
      <c r="U984" s="264">
        <v>175227.0</v>
      </c>
      <c r="V984" s="265">
        <v>282000.0</v>
      </c>
      <c r="W984" s="264">
        <v>175227.0</v>
      </c>
      <c r="X984" s="266"/>
      <c r="Y984" s="267">
        <v>-0.01</v>
      </c>
      <c r="Z984" s="267">
        <v>0.9045170411576108</v>
      </c>
      <c r="AA984" s="269"/>
      <c r="AB984" s="270"/>
      <c r="AC984" s="270"/>
      <c r="AD984" s="270"/>
      <c r="AE984" s="270"/>
    </row>
    <row r="985">
      <c r="A985" s="256">
        <f>IFERROR(__xludf.DUMMYFUNCTION("""COMPUTED_VALUE"""),43161.700694444444)</f>
        <v>43161.70069</v>
      </c>
      <c r="B985" s="257" t="str">
        <f>IFERROR(__xludf.DUMMYFUNCTION("""COMPUTED_VALUE"""),"Luske2")</f>
        <v>Luske2</v>
      </c>
      <c r="C985" s="258" t="str">
        <f>IFERROR(__xludf.DUMMYFUNCTION("""COMPUTED_VALUE"""),"Europe (excluding UK) &amp; Asia Pacific")</f>
        <v>Europe (excluding UK) &amp; Asia Pacific</v>
      </c>
      <c r="D985" s="258" t="str">
        <f>IFERROR(__xludf.DUMMYFUNCTION("""COMPUTED_VALUE"""),"km. My car displays range in kilometres and I will enter all range numbers in kilometres.")</f>
        <v>km. My car displays range in kilometres and I will enter all range numbers in kilometres.</v>
      </c>
      <c r="E985" s="259">
        <f>IFERROR(__xludf.DUMMYFUNCTION("""COMPUTED_VALUE"""),42201.0)</f>
        <v>42201</v>
      </c>
      <c r="F985" s="258" t="str">
        <f>IFERROR(__xludf.DUMMYFUNCTION("""COMPUTED_VALUE"""),"Model S 70")</f>
        <v>Model S 70</v>
      </c>
      <c r="G985" s="258" t="str">
        <f>IFERROR(__xludf.DUMMYFUNCTION("""COMPUTED_VALUE"""),"")</f>
        <v/>
      </c>
      <c r="H985" s="258" t="str">
        <f>IFERROR(__xludf.DUMMYFUNCTION("""COMPUTED_VALUE"""),"")</f>
        <v/>
      </c>
      <c r="I985" s="258" t="str">
        <f>IFERROR(__xludf.DUMMYFUNCTION("""COMPUTED_VALUE"""),"")</f>
        <v/>
      </c>
      <c r="J985" s="260" t="str">
        <f>IFERROR(__xludf.DUMMYFUNCTION("""COMPUTED_VALUE"""),"")</f>
        <v/>
      </c>
      <c r="K985" s="258" t="str">
        <f>IFERROR(__xludf.DUMMYFUNCTION("""COMPUTED_VALUE"""),"")</f>
        <v/>
      </c>
      <c r="L985" s="258" t="str">
        <f>IFERROR(__xludf.DUMMYFUNCTION("""COMPUTED_VALUE"""),"")</f>
        <v/>
      </c>
      <c r="M985" s="261">
        <f>IFERROR(__xludf.DUMMYFUNCTION("""COMPUTED_VALUE"""),216.0)</f>
        <v>216</v>
      </c>
      <c r="N985" s="262" t="str">
        <f>IFERROR(__xludf.DUMMYFUNCTION("""COMPUTED_VALUE"""),"")</f>
        <v/>
      </c>
      <c r="O985" s="259" t="str">
        <f>IFERROR(__xludf.DUMMYFUNCTION("""COMPUTED_VALUE"""),"")</f>
        <v/>
      </c>
      <c r="P985" s="259">
        <f>IFERROR(__xludf.DUMMYFUNCTION("""COMPUTED_VALUE"""),43161.0)</f>
        <v>43161</v>
      </c>
      <c r="Q985" s="258">
        <f>IFERROR(__xludf.DUMMYFUNCTION("""COMPUTED_VALUE"""),50000.0)</f>
        <v>50000</v>
      </c>
      <c r="R985" s="261">
        <f>IFERROR(__xludf.DUMMYFUNCTION("""COMPUTED_VALUE"""),360.0)</f>
        <v>360</v>
      </c>
      <c r="S985" s="258">
        <v>355.0</v>
      </c>
      <c r="T985" s="263">
        <v>1.0140845070422535</v>
      </c>
      <c r="U985" s="264">
        <v>31069.0</v>
      </c>
      <c r="V985" s="265">
        <v>50000.0</v>
      </c>
      <c r="W985" s="264">
        <v>31069.0</v>
      </c>
      <c r="X985" s="266"/>
      <c r="Y985" s="267">
        <v>-0.01</v>
      </c>
      <c r="Z985" s="267">
        <v>0.9596904352621635</v>
      </c>
      <c r="AA985" s="269"/>
      <c r="AB985" s="270"/>
      <c r="AC985" s="270"/>
      <c r="AD985" s="270"/>
      <c r="AE985" s="270"/>
    </row>
    <row r="986">
      <c r="A986" s="256">
        <f>IFERROR(__xludf.DUMMYFUNCTION("""COMPUTED_VALUE"""),42968.58263888889)</f>
        <v>42968.58264</v>
      </c>
      <c r="B986" s="257" t="str">
        <f>IFERROR(__xludf.DUMMYFUNCTION("""COMPUTED_VALUE"""),"m0rph")</f>
        <v>m0rph</v>
      </c>
      <c r="C986" s="258" t="str">
        <f>IFERROR(__xludf.DUMMYFUNCTION("""COMPUTED_VALUE"""),"Europe (excluding UK) &amp; Asia Pacific")</f>
        <v>Europe (excluding UK) &amp; Asia Pacific</v>
      </c>
      <c r="D986" s="258" t="str">
        <f>IFERROR(__xludf.DUMMYFUNCTION("""COMPUTED_VALUE"""),"km. My car displays range in kilometres and I will enter all range numbers in kilometres.")</f>
        <v>km. My car displays range in kilometres and I will enter all range numbers in kilometres.</v>
      </c>
      <c r="E986" s="259">
        <f>IFERROR(__xludf.DUMMYFUNCTION("""COMPUTED_VALUE"""),42353.0)</f>
        <v>42353</v>
      </c>
      <c r="F986" s="258" t="str">
        <f>IFERROR(__xludf.DUMMYFUNCTION("""COMPUTED_VALUE"""),"Model S 70")</f>
        <v>Model S 70</v>
      </c>
      <c r="G986" s="258" t="str">
        <f>IFERROR(__xludf.DUMMYFUNCTION("""COMPUTED_VALUE"""),"Twice a month")</f>
        <v>Twice a month</v>
      </c>
      <c r="H986" s="258" t="str">
        <f>IFERROR(__xludf.DUMMYFUNCTION("""COMPUTED_VALUE"""),"A few times a year")</f>
        <v>A few times a year</v>
      </c>
      <c r="I986" s="258" t="str">
        <f>IFERROR(__xludf.DUMMYFUNCTION("""COMPUTED_VALUE"""),"A few times a year")</f>
        <v>A few times a year</v>
      </c>
      <c r="J986" s="260">
        <f>IFERROR(__xludf.DUMMYFUNCTION("""COMPUTED_VALUE"""),0.9)</f>
        <v>0.9</v>
      </c>
      <c r="K986" s="258" t="str">
        <f>IFERROR(__xludf.DUMMYFUNCTION("""COMPUTED_VALUE"""),"")</f>
        <v/>
      </c>
      <c r="L986" s="258" t="str">
        <f>IFERROR(__xludf.DUMMYFUNCTION("""COMPUTED_VALUE"""),"")</f>
        <v/>
      </c>
      <c r="M986" s="261">
        <f>IFERROR(__xludf.DUMMYFUNCTION("""COMPUTED_VALUE"""),227.0)</f>
        <v>227</v>
      </c>
      <c r="N986" s="262" t="str">
        <f>IFERROR(__xludf.DUMMYFUNCTION("""COMPUTED_VALUE"""),"")</f>
        <v/>
      </c>
      <c r="O986" s="259" t="str">
        <f>IFERROR(__xludf.DUMMYFUNCTION("""COMPUTED_VALUE"""),"")</f>
        <v/>
      </c>
      <c r="P986" s="259">
        <f>IFERROR(__xludf.DUMMYFUNCTION("""COMPUTED_VALUE"""),42968.0)</f>
        <v>42968</v>
      </c>
      <c r="Q986" s="258">
        <f>IFERROR(__xludf.DUMMYFUNCTION("""COMPUTED_VALUE"""),67565.0)</f>
        <v>67565</v>
      </c>
      <c r="R986" s="261">
        <f>IFERROR(__xludf.DUMMYFUNCTION("""COMPUTED_VALUE"""),356.0)</f>
        <v>356</v>
      </c>
      <c r="S986" s="258">
        <v>355.0</v>
      </c>
      <c r="T986" s="263">
        <v>1.0028169014084507</v>
      </c>
      <c r="U986" s="264">
        <v>41983.0</v>
      </c>
      <c r="V986" s="265">
        <v>67565.0</v>
      </c>
      <c r="W986" s="264">
        <v>41983.0</v>
      </c>
      <c r="X986" s="266"/>
      <c r="Y986" s="267">
        <v>-0.01</v>
      </c>
      <c r="Z986" s="267">
        <v>0.9545748728640656</v>
      </c>
      <c r="AA986" s="269"/>
      <c r="AB986" s="270"/>
      <c r="AC986" s="270"/>
      <c r="AD986" s="270"/>
      <c r="AE986" s="270"/>
    </row>
    <row r="987">
      <c r="A987" s="256">
        <f>IFERROR(__xludf.DUMMYFUNCTION("""COMPUTED_VALUE"""),42962.847916666666)</f>
        <v>42962.84792</v>
      </c>
      <c r="B987" s="257" t="str">
        <f>IFERROR(__xludf.DUMMYFUNCTION("""COMPUTED_VALUE"""),"ma47")</f>
        <v>ma47</v>
      </c>
      <c r="C987" s="258" t="str">
        <f>IFERROR(__xludf.DUMMYFUNCTION("""COMPUTED_VALUE"""),"USA")</f>
        <v>USA</v>
      </c>
      <c r="D987" s="258" t="str">
        <f>IFERROR(__xludf.DUMMYFUNCTION("""COMPUTED_VALUE"""),"mi. My car displays range in miles and I will enter all range numbers in miles.")</f>
        <v>mi. My car displays range in miles and I will enter all range numbers in miles.</v>
      </c>
      <c r="E987" s="259">
        <f>IFERROR(__xludf.DUMMYFUNCTION("""COMPUTED_VALUE"""),42718.0)</f>
        <v>42718</v>
      </c>
      <c r="F987" s="258" t="str">
        <f>IFERROR(__xludf.DUMMYFUNCTION("""COMPUTED_VALUE"""),"Model S 75")</f>
        <v>Model S 75</v>
      </c>
      <c r="G987" s="258" t="str">
        <f>IFERROR(__xludf.DUMMYFUNCTION("""COMPUTED_VALUE"""),"Monthly")</f>
        <v>Monthly</v>
      </c>
      <c r="H987" s="258" t="str">
        <f>IFERROR(__xludf.DUMMYFUNCTION("""COMPUTED_VALUE"""),"Never")</f>
        <v>Never</v>
      </c>
      <c r="I987" s="258" t="str">
        <f>IFERROR(__xludf.DUMMYFUNCTION("""COMPUTED_VALUE"""),"Never")</f>
        <v>Never</v>
      </c>
      <c r="J987" s="260">
        <f>IFERROR(__xludf.DUMMYFUNCTION("""COMPUTED_VALUE"""),0.9)</f>
        <v>0.9</v>
      </c>
      <c r="K987" s="258">
        <f>IFERROR(__xludf.DUMMYFUNCTION("""COMPUTED_VALUE"""),245.0)</f>
        <v>245</v>
      </c>
      <c r="L987" s="258" t="str">
        <f>IFERROR(__xludf.DUMMYFUNCTION("""COMPUTED_VALUE"""),"")</f>
        <v/>
      </c>
      <c r="M987" s="261">
        <f>IFERROR(__xludf.DUMMYFUNCTION("""COMPUTED_VALUE"""),316.0)</f>
        <v>316</v>
      </c>
      <c r="N987" s="262" t="str">
        <f>IFERROR(__xludf.DUMMYFUNCTION("""COMPUTED_VALUE"""),"")</f>
        <v/>
      </c>
      <c r="O987" s="259" t="str">
        <f>IFERROR(__xludf.DUMMYFUNCTION("""COMPUTED_VALUE"""),"")</f>
        <v/>
      </c>
      <c r="P987" s="259">
        <f>IFERROR(__xludf.DUMMYFUNCTION("""COMPUTED_VALUE"""),42962.0)</f>
        <v>42962</v>
      </c>
      <c r="Q987" s="258">
        <f>IFERROR(__xludf.DUMMYFUNCTION("""COMPUTED_VALUE"""),7287.0)</f>
        <v>7287</v>
      </c>
      <c r="R987" s="261">
        <f>IFERROR(__xludf.DUMMYFUNCTION("""COMPUTED_VALUE"""),241.0)</f>
        <v>241</v>
      </c>
      <c r="S987" s="258">
        <v>246.0</v>
      </c>
      <c r="T987" s="263">
        <v>0.9796747967479674</v>
      </c>
      <c r="U987" s="264">
        <v>7287.0</v>
      </c>
      <c r="V987" s="265">
        <v>11727.0</v>
      </c>
      <c r="W987" s="264">
        <v>7287.0</v>
      </c>
      <c r="X987" s="266"/>
      <c r="Y987" s="267">
        <v>-0.01</v>
      </c>
      <c r="Z987" s="267">
        <v>0.9822486053457489</v>
      </c>
      <c r="AA987" s="269"/>
      <c r="AB987" s="270"/>
      <c r="AC987" s="270"/>
      <c r="AD987" s="270"/>
      <c r="AE987" s="270"/>
    </row>
    <row r="988">
      <c r="A988" s="256">
        <f>IFERROR(__xludf.DUMMYFUNCTION("""COMPUTED_VALUE"""),42138.11944444444)</f>
        <v>42138.11944</v>
      </c>
      <c r="B988" s="257" t="str">
        <f>IFERROR(__xludf.DUMMYFUNCTION("""COMPUTED_VALUE"""),"Maarten")</f>
        <v>Maarten</v>
      </c>
      <c r="C988" s="258" t="str">
        <f>IFERROR(__xludf.DUMMYFUNCTION("""COMPUTED_VALUE"""),"Europe (excluding UK) &amp; Asia Pacific")</f>
        <v>Europe (excluding UK) &amp; Asia Pacific</v>
      </c>
      <c r="D988" s="258" t="str">
        <f>IFERROR(__xludf.DUMMYFUNCTION("""COMPUTED_VALUE"""),"km. My car displays range in kilometres and I will enter all range numbers in kilometres.")</f>
        <v>km. My car displays range in kilometres and I will enter all range numbers in kilometres.</v>
      </c>
      <c r="E988" s="259">
        <f>IFERROR(__xludf.DUMMYFUNCTION("""COMPUTED_VALUE"""),41613.0)</f>
        <v>41613</v>
      </c>
      <c r="F988" s="258" t="str">
        <f>IFERROR(__xludf.DUMMYFUNCTION("""COMPUTED_VALUE"""),"Model S P85")</f>
        <v>Model S P85</v>
      </c>
      <c r="G988" s="258" t="str">
        <f>IFERROR(__xludf.DUMMYFUNCTION("""COMPUTED_VALUE"""),"Twice a month")</f>
        <v>Twice a month</v>
      </c>
      <c r="H988" s="258" t="str">
        <f>IFERROR(__xludf.DUMMYFUNCTION("""COMPUTED_VALUE"""),"A few times a year")</f>
        <v>A few times a year</v>
      </c>
      <c r="I988" s="258" t="str">
        <f>IFERROR(__xludf.DUMMYFUNCTION("""COMPUTED_VALUE"""),"Never")</f>
        <v>Never</v>
      </c>
      <c r="J988" s="260">
        <f>IFERROR(__xludf.DUMMYFUNCTION("""COMPUTED_VALUE"""),0.7)</f>
        <v>0.7</v>
      </c>
      <c r="K988" s="258" t="str">
        <f>IFERROR(__xludf.DUMMYFUNCTION("""COMPUTED_VALUE"""),"")</f>
        <v/>
      </c>
      <c r="L988" s="258" t="str">
        <f>IFERROR(__xludf.DUMMYFUNCTION("""COMPUTED_VALUE"""),"")</f>
        <v/>
      </c>
      <c r="M988" s="261">
        <f>IFERROR(__xludf.DUMMYFUNCTION("""COMPUTED_VALUE"""),218.0)</f>
        <v>218</v>
      </c>
      <c r="N988" s="262" t="str">
        <f>IFERROR(__xludf.DUMMYFUNCTION("""COMPUTED_VALUE"""),"")</f>
        <v/>
      </c>
      <c r="O988" s="259" t="str">
        <f>IFERROR(__xludf.DUMMYFUNCTION("""COMPUTED_VALUE"""),"")</f>
        <v/>
      </c>
      <c r="P988" s="259">
        <f>IFERROR(__xludf.DUMMYFUNCTION("""COMPUTED_VALUE"""),42138.0)</f>
        <v>42138</v>
      </c>
      <c r="Q988" s="258">
        <f>IFERROR(__xludf.DUMMYFUNCTION("""COMPUTED_VALUE"""),78527.0)</f>
        <v>78527</v>
      </c>
      <c r="R988" s="261">
        <f>IFERROR(__xludf.DUMMYFUNCTION("""COMPUTED_VALUE"""),372.0)</f>
        <v>372</v>
      </c>
      <c r="S988" s="258">
        <v>395.0</v>
      </c>
      <c r="T988" s="263">
        <v>0.9417721518987342</v>
      </c>
      <c r="U988" s="264">
        <v>48794.0</v>
      </c>
      <c r="V988" s="265">
        <v>78527.0</v>
      </c>
      <c r="W988" s="264">
        <v>48794.0</v>
      </c>
      <c r="X988" s="266"/>
      <c r="Y988" s="267">
        <v>-0.01</v>
      </c>
      <c r="Z988" s="267">
        <v>0.9517641945336937</v>
      </c>
      <c r="AA988" s="269"/>
      <c r="AB988" s="270"/>
      <c r="AC988" s="270"/>
      <c r="AD988" s="270"/>
      <c r="AE988" s="270"/>
    </row>
    <row r="989">
      <c r="A989" s="256">
        <f>IFERROR(__xludf.DUMMYFUNCTION("""COMPUTED_VALUE"""),42248.17708333333)</f>
        <v>42248.17708</v>
      </c>
      <c r="B989" s="257" t="str">
        <f>IFERROR(__xludf.DUMMYFUNCTION("""COMPUTED_VALUE"""),"Maarten")</f>
        <v>Maarten</v>
      </c>
      <c r="C989" s="258" t="str">
        <f>IFERROR(__xludf.DUMMYFUNCTION("""COMPUTED_VALUE"""),"Europe (excluding UK) &amp; Asia Pacific")</f>
        <v>Europe (excluding UK) &amp; Asia Pacific</v>
      </c>
      <c r="D989" s="258" t="str">
        <f>IFERROR(__xludf.DUMMYFUNCTION("""COMPUTED_VALUE"""),"km. My car displays range in kilometres and I will enter all range numbers in kilometres.")</f>
        <v>km. My car displays range in kilometres and I will enter all range numbers in kilometres.</v>
      </c>
      <c r="E989" s="259">
        <f>IFERROR(__xludf.DUMMYFUNCTION("""COMPUTED_VALUE"""),41613.0)</f>
        <v>41613</v>
      </c>
      <c r="F989" s="258" t="str">
        <f>IFERROR(__xludf.DUMMYFUNCTION("""COMPUTED_VALUE"""),"Model S P85")</f>
        <v>Model S P85</v>
      </c>
      <c r="G989" s="258" t="str">
        <f>IFERROR(__xludf.DUMMYFUNCTION("""COMPUTED_VALUE"""),"Monthly")</f>
        <v>Monthly</v>
      </c>
      <c r="H989" s="258" t="str">
        <f>IFERROR(__xludf.DUMMYFUNCTION("""COMPUTED_VALUE"""),"A few times a year")</f>
        <v>A few times a year</v>
      </c>
      <c r="I989" s="258" t="str">
        <f>IFERROR(__xludf.DUMMYFUNCTION("""COMPUTED_VALUE"""),"Never")</f>
        <v>Never</v>
      </c>
      <c r="J989" s="260">
        <f>IFERROR(__xludf.DUMMYFUNCTION("""COMPUTED_VALUE"""),0.6)</f>
        <v>0.6</v>
      </c>
      <c r="K989" s="258" t="str">
        <f>IFERROR(__xludf.DUMMYFUNCTION("""COMPUTED_VALUE"""),"")</f>
        <v/>
      </c>
      <c r="L989" s="258" t="str">
        <f>IFERROR(__xludf.DUMMYFUNCTION("""COMPUTED_VALUE"""),"")</f>
        <v/>
      </c>
      <c r="M989" s="261">
        <f>IFERROR(__xludf.DUMMYFUNCTION("""COMPUTED_VALUE"""),216.0)</f>
        <v>216</v>
      </c>
      <c r="N989" s="262" t="str">
        <f>IFERROR(__xludf.DUMMYFUNCTION("""COMPUTED_VALUE"""),"")</f>
        <v/>
      </c>
      <c r="O989" s="259" t="str">
        <f>IFERROR(__xludf.DUMMYFUNCTION("""COMPUTED_VALUE"""),"")</f>
        <v/>
      </c>
      <c r="P989" s="259">
        <f>IFERROR(__xludf.DUMMYFUNCTION("""COMPUTED_VALUE"""),42248.0)</f>
        <v>42248</v>
      </c>
      <c r="Q989" s="258">
        <f>IFERROR(__xludf.DUMMYFUNCTION("""COMPUTED_VALUE"""),96560.0)</f>
        <v>96560</v>
      </c>
      <c r="R989" s="261">
        <f>IFERROR(__xludf.DUMMYFUNCTION("""COMPUTED_VALUE"""),370.0)</f>
        <v>370</v>
      </c>
      <c r="S989" s="258">
        <v>395.0</v>
      </c>
      <c r="T989" s="263">
        <v>0.9367088607594937</v>
      </c>
      <c r="U989" s="264">
        <v>60000.0</v>
      </c>
      <c r="V989" s="265">
        <v>96560.0</v>
      </c>
      <c r="W989" s="264">
        <v>60000.0</v>
      </c>
      <c r="X989" s="266"/>
      <c r="Y989" s="267">
        <v>-0.01</v>
      </c>
      <c r="Z989" s="267">
        <v>0.9473992258349141</v>
      </c>
      <c r="AA989" s="269"/>
      <c r="AB989" s="270"/>
      <c r="AC989" s="270"/>
      <c r="AD989" s="270"/>
      <c r="AE989" s="270"/>
    </row>
    <row r="990">
      <c r="A990" s="256">
        <f>IFERROR(__xludf.DUMMYFUNCTION("""COMPUTED_VALUE"""),41909.02291666667)</f>
        <v>41909.02292</v>
      </c>
      <c r="B990" s="257" t="str">
        <f>IFERROR(__xludf.DUMMYFUNCTION("""COMPUTED_VALUE"""),"Maarten ST")</f>
        <v>Maarten ST</v>
      </c>
      <c r="C990" s="258" t="str">
        <f>IFERROR(__xludf.DUMMYFUNCTION("""COMPUTED_VALUE"""),"Europe (excluding UK) &amp; Asia Pacific")</f>
        <v>Europe (excluding UK) &amp; Asia Pacific</v>
      </c>
      <c r="D990" s="258" t="str">
        <f>IFERROR(__xludf.DUMMYFUNCTION("""COMPUTED_VALUE"""),"km. My car displays range in kilometres and I will enter all range numbers in kilometres.")</f>
        <v>km. My car displays range in kilometres and I will enter all range numbers in kilometres.</v>
      </c>
      <c r="E990" s="259">
        <f>IFERROR(__xludf.DUMMYFUNCTION("""COMPUTED_VALUE"""),41530.0)</f>
        <v>41530</v>
      </c>
      <c r="F990" s="258" t="str">
        <f>IFERROR(__xludf.DUMMYFUNCTION("""COMPUTED_VALUE"""),"Model S P85+")</f>
        <v>Model S P85+</v>
      </c>
      <c r="G990" s="258" t="str">
        <f>IFERROR(__xludf.DUMMYFUNCTION("""COMPUTED_VALUE"""),"Monthly")</f>
        <v>Monthly</v>
      </c>
      <c r="H990" s="258" t="str">
        <f>IFERROR(__xludf.DUMMYFUNCTION("""COMPUTED_VALUE"""),"A few times a year")</f>
        <v>A few times a year</v>
      </c>
      <c r="I990" s="258" t="str">
        <f>IFERROR(__xludf.DUMMYFUNCTION("""COMPUTED_VALUE"""),"Once or twice a year")</f>
        <v>Once or twice a year</v>
      </c>
      <c r="J990" s="260" t="str">
        <f>IFERROR(__xludf.DUMMYFUNCTION("""COMPUTED_VALUE"""),"")</f>
        <v/>
      </c>
      <c r="K990" s="258" t="str">
        <f>IFERROR(__xludf.DUMMYFUNCTION("""COMPUTED_VALUE"""),"")</f>
        <v/>
      </c>
      <c r="L990" s="258" t="str">
        <f>IFERROR(__xludf.DUMMYFUNCTION("""COMPUTED_VALUE"""),"")</f>
        <v/>
      </c>
      <c r="M990" s="261">
        <f>IFERROR(__xludf.DUMMYFUNCTION("""COMPUTED_VALUE"""),233.0)</f>
        <v>233</v>
      </c>
      <c r="N990" s="262">
        <f>IFERROR(__xludf.DUMMYFUNCTION("""COMPUTED_VALUE"""),22600.0)</f>
        <v>22600</v>
      </c>
      <c r="O990" s="259" t="str">
        <f>IFERROR(__xludf.DUMMYFUNCTION("""COMPUTED_VALUE"""),"I don't know")</f>
        <v>I don't know</v>
      </c>
      <c r="P990" s="259">
        <f>IFERROR(__xludf.DUMMYFUNCTION("""COMPUTED_VALUE"""),41909.0)</f>
        <v>41909</v>
      </c>
      <c r="Q990" s="258">
        <f>IFERROR(__xludf.DUMMYFUNCTION("""COMPUTED_VALUE"""),28600.0)</f>
        <v>28600</v>
      </c>
      <c r="R990" s="261">
        <f>IFERROR(__xludf.DUMMYFUNCTION("""COMPUTED_VALUE"""),394.0)</f>
        <v>394</v>
      </c>
      <c r="S990" s="258">
        <v>395.0</v>
      </c>
      <c r="T990" s="263">
        <v>0.9974683544303797</v>
      </c>
      <c r="U990" s="264">
        <v>17771.0</v>
      </c>
      <c r="V990" s="265">
        <v>28600.0</v>
      </c>
      <c r="W990" s="264">
        <v>17771.0</v>
      </c>
      <c r="X990" s="266"/>
      <c r="Y990" s="267">
        <v>-0.01</v>
      </c>
      <c r="Z990" s="267">
        <v>0.9687347882059167</v>
      </c>
      <c r="AA990" s="269"/>
      <c r="AB990" s="270"/>
      <c r="AC990" s="270"/>
      <c r="AD990" s="270"/>
      <c r="AE990" s="270"/>
    </row>
    <row r="991">
      <c r="A991" s="256">
        <f>IFERROR(__xludf.DUMMYFUNCTION("""COMPUTED_VALUE"""),42028.06458333333)</f>
        <v>42028.06458</v>
      </c>
      <c r="B991" s="257" t="str">
        <f>IFERROR(__xludf.DUMMYFUNCTION("""COMPUTED_VALUE"""),"Maarten ST")</f>
        <v>Maarten ST</v>
      </c>
      <c r="C991" s="258" t="str">
        <f>IFERROR(__xludf.DUMMYFUNCTION("""COMPUTED_VALUE"""),"Europe (excluding UK) &amp; Asia Pacific")</f>
        <v>Europe (excluding UK) &amp; Asia Pacific</v>
      </c>
      <c r="D991" s="258" t="str">
        <f>IFERROR(__xludf.DUMMYFUNCTION("""COMPUTED_VALUE"""),"km. My car displays range in kilometres and I will enter all range numbers in kilometres.")</f>
        <v>km. My car displays range in kilometres and I will enter all range numbers in kilometres.</v>
      </c>
      <c r="E991" s="259">
        <f>IFERROR(__xludf.DUMMYFUNCTION("""COMPUTED_VALUE"""),41530.0)</f>
        <v>41530</v>
      </c>
      <c r="F991" s="258" t="str">
        <f>IFERROR(__xludf.DUMMYFUNCTION("""COMPUTED_VALUE"""),"Model S P85+")</f>
        <v>Model S P85+</v>
      </c>
      <c r="G991" s="258" t="str">
        <f>IFERROR(__xludf.DUMMYFUNCTION("""COMPUTED_VALUE"""),"Monthly")</f>
        <v>Monthly</v>
      </c>
      <c r="H991" s="258" t="str">
        <f>IFERROR(__xludf.DUMMYFUNCTION("""COMPUTED_VALUE"""),"Monthly")</f>
        <v>Monthly</v>
      </c>
      <c r="I991" s="258" t="str">
        <f>IFERROR(__xludf.DUMMYFUNCTION("""COMPUTED_VALUE"""),"Once or twice a year")</f>
        <v>Once or twice a year</v>
      </c>
      <c r="J991" s="260" t="str">
        <f>IFERROR(__xludf.DUMMYFUNCTION("""COMPUTED_VALUE"""),"")</f>
        <v/>
      </c>
      <c r="K991" s="258" t="str">
        <f>IFERROR(__xludf.DUMMYFUNCTION("""COMPUTED_VALUE"""),"")</f>
        <v/>
      </c>
      <c r="L991" s="258" t="str">
        <f>IFERROR(__xludf.DUMMYFUNCTION("""COMPUTED_VALUE"""),"")</f>
        <v/>
      </c>
      <c r="M991" s="261">
        <f>IFERROR(__xludf.DUMMYFUNCTION("""COMPUTED_VALUE"""),233.0)</f>
        <v>233</v>
      </c>
      <c r="N991" s="262">
        <f>IFERROR(__xludf.DUMMYFUNCTION("""COMPUTED_VALUE"""),22600.0)</f>
        <v>22600</v>
      </c>
      <c r="O991" s="259" t="str">
        <f>IFERROR(__xludf.DUMMYFUNCTION("""COMPUTED_VALUE"""),"I don't know")</f>
        <v>I don't know</v>
      </c>
      <c r="P991" s="259">
        <f>IFERROR(__xludf.DUMMYFUNCTION("""COMPUTED_VALUE"""),42028.0)</f>
        <v>42028</v>
      </c>
      <c r="Q991" s="258">
        <f>IFERROR(__xludf.DUMMYFUNCTION("""COMPUTED_VALUE"""),39600.0)</f>
        <v>39600</v>
      </c>
      <c r="R991" s="261">
        <f>IFERROR(__xludf.DUMMYFUNCTION("""COMPUTED_VALUE"""),385.0)</f>
        <v>385</v>
      </c>
      <c r="S991" s="258">
        <v>395.0</v>
      </c>
      <c r="T991" s="263">
        <v>0.9746835443037974</v>
      </c>
      <c r="U991" s="264">
        <v>24606.0</v>
      </c>
      <c r="V991" s="265">
        <v>39600.0</v>
      </c>
      <c r="W991" s="264">
        <v>24606.0</v>
      </c>
      <c r="X991" s="266"/>
      <c r="Y991" s="267">
        <v>-0.01</v>
      </c>
      <c r="Z991" s="267">
        <v>0.9634707150157042</v>
      </c>
      <c r="AA991" s="269"/>
      <c r="AB991" s="270"/>
      <c r="AC991" s="270"/>
      <c r="AD991" s="270"/>
      <c r="AE991" s="270"/>
    </row>
    <row r="992">
      <c r="A992" s="256">
        <f>IFERROR(__xludf.DUMMYFUNCTION("""COMPUTED_VALUE"""),42081.08541666667)</f>
        <v>42081.08542</v>
      </c>
      <c r="B992" s="257" t="str">
        <f>IFERROR(__xludf.DUMMYFUNCTION("""COMPUTED_VALUE"""),"Maarten ST")</f>
        <v>Maarten ST</v>
      </c>
      <c r="C992" s="258" t="str">
        <f>IFERROR(__xludf.DUMMYFUNCTION("""COMPUTED_VALUE"""),"Europe (excluding UK) &amp; Asia Pacific")</f>
        <v>Europe (excluding UK) &amp; Asia Pacific</v>
      </c>
      <c r="D992" s="258" t="str">
        <f>IFERROR(__xludf.DUMMYFUNCTION("""COMPUTED_VALUE"""),"km. My car displays range in kilometres and I will enter all range numbers in kilometres.")</f>
        <v>km. My car displays range in kilometres and I will enter all range numbers in kilometres.</v>
      </c>
      <c r="E992" s="259">
        <f>IFERROR(__xludf.DUMMYFUNCTION("""COMPUTED_VALUE"""),41530.0)</f>
        <v>41530</v>
      </c>
      <c r="F992" s="258" t="str">
        <f>IFERROR(__xludf.DUMMYFUNCTION("""COMPUTED_VALUE"""),"Model S P85+")</f>
        <v>Model S P85+</v>
      </c>
      <c r="G992" s="258" t="str">
        <f>IFERROR(__xludf.DUMMYFUNCTION("""COMPUTED_VALUE"""),"A few times a year")</f>
        <v>A few times a year</v>
      </c>
      <c r="H992" s="258" t="str">
        <f>IFERROR(__xludf.DUMMYFUNCTION("""COMPUTED_VALUE"""),"A few times a year")</f>
        <v>A few times a year</v>
      </c>
      <c r="I992" s="258" t="str">
        <f>IFERROR(__xludf.DUMMYFUNCTION("""COMPUTED_VALUE"""),"Once or twice a year")</f>
        <v>Once or twice a year</v>
      </c>
      <c r="J992" s="260" t="str">
        <f>IFERROR(__xludf.DUMMYFUNCTION("""COMPUTED_VALUE"""),"")</f>
        <v/>
      </c>
      <c r="K992" s="258" t="str">
        <f>IFERROR(__xludf.DUMMYFUNCTION("""COMPUTED_VALUE"""),"")</f>
        <v/>
      </c>
      <c r="L992" s="258" t="str">
        <f>IFERROR(__xludf.DUMMYFUNCTION("""COMPUTED_VALUE"""),"")</f>
        <v/>
      </c>
      <c r="M992" s="261">
        <f>IFERROR(__xludf.DUMMYFUNCTION("""COMPUTED_VALUE"""),235.0)</f>
        <v>235</v>
      </c>
      <c r="N992" s="262">
        <f>IFERROR(__xludf.DUMMYFUNCTION("""COMPUTED_VALUE"""),22600.0)</f>
        <v>22600</v>
      </c>
      <c r="O992" s="259" t="str">
        <f>IFERROR(__xludf.DUMMYFUNCTION("""COMPUTED_VALUE"""),"I don't know")</f>
        <v>I don't know</v>
      </c>
      <c r="P992" s="259">
        <f>IFERROR(__xludf.DUMMYFUNCTION("""COMPUTED_VALUE"""),42081.0)</f>
        <v>42081</v>
      </c>
      <c r="Q992" s="258">
        <f>IFERROR(__xludf.DUMMYFUNCTION("""COMPUTED_VALUE"""),43500.0)</f>
        <v>43500</v>
      </c>
      <c r="R992" s="261">
        <f>IFERROR(__xludf.DUMMYFUNCTION("""COMPUTED_VALUE"""),392.0)</f>
        <v>392</v>
      </c>
      <c r="S992" s="258">
        <v>395.0</v>
      </c>
      <c r="T992" s="263">
        <v>0.9924050632911392</v>
      </c>
      <c r="U992" s="264">
        <v>27030.0</v>
      </c>
      <c r="V992" s="265">
        <v>43500.0</v>
      </c>
      <c r="W992" s="264">
        <v>27030.0</v>
      </c>
      <c r="X992" s="266"/>
      <c r="Y992" s="267">
        <v>-0.01</v>
      </c>
      <c r="Z992" s="267">
        <v>0.9619534686643864</v>
      </c>
      <c r="AA992" s="269"/>
      <c r="AB992" s="270"/>
      <c r="AC992" s="270"/>
      <c r="AD992" s="270"/>
      <c r="AE992" s="270"/>
    </row>
    <row r="993">
      <c r="A993" s="256">
        <f>IFERROR(__xludf.DUMMYFUNCTION("""COMPUTED_VALUE"""),42134.115277777775)</f>
        <v>42134.11528</v>
      </c>
      <c r="B993" s="257" t="str">
        <f>IFERROR(__xludf.DUMMYFUNCTION("""COMPUTED_VALUE"""),"Maarten ST")</f>
        <v>Maarten ST</v>
      </c>
      <c r="C993" s="258" t="str">
        <f>IFERROR(__xludf.DUMMYFUNCTION("""COMPUTED_VALUE"""),"Europe (excluding UK) &amp; Asia Pacific")</f>
        <v>Europe (excluding UK) &amp; Asia Pacific</v>
      </c>
      <c r="D993" s="258" t="str">
        <f>IFERROR(__xludf.DUMMYFUNCTION("""COMPUTED_VALUE"""),"km. My car displays range in kilometres and I will enter all range numbers in kilometres.")</f>
        <v>km. My car displays range in kilometres and I will enter all range numbers in kilometres.</v>
      </c>
      <c r="E993" s="259">
        <f>IFERROR(__xludf.DUMMYFUNCTION("""COMPUTED_VALUE"""),41530.0)</f>
        <v>41530</v>
      </c>
      <c r="F993" s="258" t="str">
        <f>IFERROR(__xludf.DUMMYFUNCTION("""COMPUTED_VALUE"""),"Model S P85+")</f>
        <v>Model S P85+</v>
      </c>
      <c r="G993" s="258" t="str">
        <f>IFERROR(__xludf.DUMMYFUNCTION("""COMPUTED_VALUE"""),"Monthly")</f>
        <v>Monthly</v>
      </c>
      <c r="H993" s="258" t="str">
        <f>IFERROR(__xludf.DUMMYFUNCTION("""COMPUTED_VALUE"""),"Twice a month")</f>
        <v>Twice a month</v>
      </c>
      <c r="I993" s="258" t="str">
        <f>IFERROR(__xludf.DUMMYFUNCTION("""COMPUTED_VALUE"""),"Once or twice a year")</f>
        <v>Once or twice a year</v>
      </c>
      <c r="J993" s="260">
        <f>IFERROR(__xludf.DUMMYFUNCTION("""COMPUTED_VALUE"""),0.9)</f>
        <v>0.9</v>
      </c>
      <c r="K993" s="258" t="str">
        <f>IFERROR(__xludf.DUMMYFUNCTION("""COMPUTED_VALUE"""),"")</f>
        <v/>
      </c>
      <c r="L993" s="258" t="str">
        <f>IFERROR(__xludf.DUMMYFUNCTION("""COMPUTED_VALUE"""),"")</f>
        <v/>
      </c>
      <c r="M993" s="261">
        <f>IFERROR(__xludf.DUMMYFUNCTION("""COMPUTED_VALUE"""),225.0)</f>
        <v>225</v>
      </c>
      <c r="N993" s="262">
        <f>IFERROR(__xludf.DUMMYFUNCTION("""COMPUTED_VALUE"""),22600.0)</f>
        <v>22600</v>
      </c>
      <c r="O993" s="259" t="str">
        <f>IFERROR(__xludf.DUMMYFUNCTION("""COMPUTED_VALUE"""),"I don't know")</f>
        <v>I don't know</v>
      </c>
      <c r="P993" s="259">
        <f>IFERROR(__xludf.DUMMYFUNCTION("""COMPUTED_VALUE"""),42134.0)</f>
        <v>42134</v>
      </c>
      <c r="Q993" s="258">
        <f>IFERROR(__xludf.DUMMYFUNCTION("""COMPUTED_VALUE"""),50000.0)</f>
        <v>50000</v>
      </c>
      <c r="R993" s="261">
        <f>IFERROR(__xludf.DUMMYFUNCTION("""COMPUTED_VALUE"""),390.0)</f>
        <v>390</v>
      </c>
      <c r="S993" s="258">
        <v>395.0</v>
      </c>
      <c r="T993" s="263">
        <v>0.9873417721518988</v>
      </c>
      <c r="U993" s="264">
        <v>31069.0</v>
      </c>
      <c r="V993" s="265">
        <v>50000.0</v>
      </c>
      <c r="W993" s="264">
        <v>31069.0</v>
      </c>
      <c r="X993" s="266"/>
      <c r="Y993" s="267">
        <v>-0.01</v>
      </c>
      <c r="Z993" s="267">
        <v>0.9596904352621635</v>
      </c>
      <c r="AA993" s="269"/>
      <c r="AB993" s="270"/>
      <c r="AC993" s="270"/>
      <c r="AD993" s="270"/>
      <c r="AE993" s="270"/>
    </row>
    <row r="994">
      <c r="A994" s="256">
        <f>IFERROR(__xludf.DUMMYFUNCTION("""COMPUTED_VALUE"""),42663.41527777778)</f>
        <v>42663.41528</v>
      </c>
      <c r="B994" s="257" t="str">
        <f>IFERROR(__xludf.DUMMYFUNCTION("""COMPUTED_VALUE"""),"maarteneekels")</f>
        <v>maarteneekels</v>
      </c>
      <c r="C994" s="258" t="str">
        <f>IFERROR(__xludf.DUMMYFUNCTION("""COMPUTED_VALUE"""),"Europe (excluding UK) &amp; Asia Pacific")</f>
        <v>Europe (excluding UK) &amp; Asia Pacific</v>
      </c>
      <c r="D994" s="258" t="str">
        <f>IFERROR(__xludf.DUMMYFUNCTION("""COMPUTED_VALUE"""),"km. My car displays range in kilometres and I will enter all range numbers in kilometres.")</f>
        <v>km. My car displays range in kilometres and I will enter all range numbers in kilometres.</v>
      </c>
      <c r="E994" s="259">
        <f>IFERROR(__xludf.DUMMYFUNCTION("""COMPUTED_VALUE"""),42646.0)</f>
        <v>42646</v>
      </c>
      <c r="F994" s="258" t="str">
        <f>IFERROR(__xludf.DUMMYFUNCTION("""COMPUTED_VALUE"""),"Model X P90D")</f>
        <v>Model X P90D</v>
      </c>
      <c r="G994" s="258" t="str">
        <f>IFERROR(__xludf.DUMMYFUNCTION("""COMPUTED_VALUE"""),"Twice a week")</f>
        <v>Twice a week</v>
      </c>
      <c r="H994" s="258" t="str">
        <f>IFERROR(__xludf.DUMMYFUNCTION("""COMPUTED_VALUE"""),"A few times a year")</f>
        <v>A few times a year</v>
      </c>
      <c r="I994" s="258" t="str">
        <f>IFERROR(__xludf.DUMMYFUNCTION("""COMPUTED_VALUE"""),"A few times a year")</f>
        <v>A few times a year</v>
      </c>
      <c r="J994" s="260">
        <f>IFERROR(__xludf.DUMMYFUNCTION("""COMPUTED_VALUE"""),0.9)</f>
        <v>0.9</v>
      </c>
      <c r="K994" s="258" t="str">
        <f>IFERROR(__xludf.DUMMYFUNCTION("""COMPUTED_VALUE"""),"")</f>
        <v/>
      </c>
      <c r="L994" s="258" t="str">
        <f>IFERROR(__xludf.DUMMYFUNCTION("""COMPUTED_VALUE"""),"")</f>
        <v/>
      </c>
      <c r="M994" s="261">
        <f>IFERROR(__xludf.DUMMYFUNCTION("""COMPUTED_VALUE"""),261.0)</f>
        <v>261</v>
      </c>
      <c r="N994" s="262" t="str">
        <f>IFERROR(__xludf.DUMMYFUNCTION("""COMPUTED_VALUE"""),"")</f>
        <v/>
      </c>
      <c r="O994" s="259" t="str">
        <f>IFERROR(__xludf.DUMMYFUNCTION("""COMPUTED_VALUE"""),"")</f>
        <v/>
      </c>
      <c r="P994" s="259">
        <f>IFERROR(__xludf.DUMMYFUNCTION("""COMPUTED_VALUE"""),42663.0)</f>
        <v>42663</v>
      </c>
      <c r="Q994" s="258">
        <f>IFERROR(__xludf.DUMMYFUNCTION("""COMPUTED_VALUE"""),2746.0)</f>
        <v>2746</v>
      </c>
      <c r="R994" s="261">
        <f>IFERROR(__xludf.DUMMYFUNCTION("""COMPUTED_VALUE"""),378.0)</f>
        <v>378</v>
      </c>
      <c r="S994" s="258">
        <v>379.0</v>
      </c>
      <c r="T994" s="263">
        <v>0.9973614775725593</v>
      </c>
      <c r="U994" s="264">
        <v>1706.0</v>
      </c>
      <c r="V994" s="265">
        <v>2746.0</v>
      </c>
      <c r="W994" s="264">
        <v>1706.0</v>
      </c>
      <c r="X994" s="266"/>
      <c r="Y994" s="267">
        <v>-0.01</v>
      </c>
      <c r="Z994" s="267">
        <v>0.9948748760645085</v>
      </c>
      <c r="AA994" s="269"/>
      <c r="AB994" s="270"/>
      <c r="AC994" s="270"/>
      <c r="AD994" s="270"/>
      <c r="AE994" s="270"/>
    </row>
    <row r="995">
      <c r="A995" s="256">
        <f>IFERROR(__xludf.DUMMYFUNCTION("""COMPUTED_VALUE"""),42972.62291666667)</f>
        <v>42972.62292</v>
      </c>
      <c r="B995" s="257" t="str">
        <f>IFERROR(__xludf.DUMMYFUNCTION("""COMPUTED_VALUE"""),"Manu37")</f>
        <v>Manu37</v>
      </c>
      <c r="C995" s="258" t="str">
        <f>IFERROR(__xludf.DUMMYFUNCTION("""COMPUTED_VALUE"""),"Europe (excluding UK) &amp; Asia Pacific")</f>
        <v>Europe (excluding UK) &amp; Asia Pacific</v>
      </c>
      <c r="D995" s="258" t="str">
        <f>IFERROR(__xludf.DUMMYFUNCTION("""COMPUTED_VALUE"""),"km. My car displays range in kilometres and I will enter all range numbers in kilometres.")</f>
        <v>km. My car displays range in kilometres and I will enter all range numbers in kilometres.</v>
      </c>
      <c r="E995" s="259">
        <f>IFERROR(__xludf.DUMMYFUNCTION("""COMPUTED_VALUE"""),42361.0)</f>
        <v>42361</v>
      </c>
      <c r="F995" s="258" t="str">
        <f>IFERROR(__xludf.DUMMYFUNCTION("""COMPUTED_VALUE"""),"Model S 85D")</f>
        <v>Model S 85D</v>
      </c>
      <c r="G995" s="258" t="str">
        <f>IFERROR(__xludf.DUMMYFUNCTION("""COMPUTED_VALUE"""),"A few times a year")</f>
        <v>A few times a year</v>
      </c>
      <c r="H995" s="258" t="str">
        <f>IFERROR(__xludf.DUMMYFUNCTION("""COMPUTED_VALUE"""),"Once or twice a year")</f>
        <v>Once or twice a year</v>
      </c>
      <c r="I995" s="258" t="str">
        <f>IFERROR(__xludf.DUMMYFUNCTION("""COMPUTED_VALUE"""),"Never")</f>
        <v>Never</v>
      </c>
      <c r="J995" s="260">
        <f>IFERROR(__xludf.DUMMYFUNCTION("""COMPUTED_VALUE"""),0.7)</f>
        <v>0.7</v>
      </c>
      <c r="K995" s="258" t="str">
        <f>IFERROR(__xludf.DUMMYFUNCTION("""COMPUTED_VALUE"""),"")</f>
        <v/>
      </c>
      <c r="L995" s="258" t="str">
        <f>IFERROR(__xludf.DUMMYFUNCTION("""COMPUTED_VALUE"""),"")</f>
        <v/>
      </c>
      <c r="M995" s="261">
        <f>IFERROR(__xludf.DUMMYFUNCTION("""COMPUTED_VALUE"""),205.0)</f>
        <v>205</v>
      </c>
      <c r="N995" s="262" t="str">
        <f>IFERROR(__xludf.DUMMYFUNCTION("""COMPUTED_VALUE"""),"")</f>
        <v/>
      </c>
      <c r="O995" s="259" t="str">
        <f>IFERROR(__xludf.DUMMYFUNCTION("""COMPUTED_VALUE"""),"")</f>
        <v/>
      </c>
      <c r="P995" s="259">
        <f>IFERROR(__xludf.DUMMYFUNCTION("""COMPUTED_VALUE"""),42972.0)</f>
        <v>42972</v>
      </c>
      <c r="Q995" s="258">
        <f>IFERROR(__xludf.DUMMYFUNCTION("""COMPUTED_VALUE"""),44000.0)</f>
        <v>44000</v>
      </c>
      <c r="R995" s="261">
        <f>IFERROR(__xludf.DUMMYFUNCTION("""COMPUTED_VALUE"""),424.0)</f>
        <v>424</v>
      </c>
      <c r="S995" s="258">
        <v>425.0</v>
      </c>
      <c r="T995" s="263">
        <v>0.9976470588235294</v>
      </c>
      <c r="U995" s="264">
        <v>27340.0</v>
      </c>
      <c r="V995" s="265">
        <v>44000.0</v>
      </c>
      <c r="W995" s="264">
        <v>27340.0</v>
      </c>
      <c r="X995" s="266"/>
      <c r="Y995" s="267">
        <v>-0.01</v>
      </c>
      <c r="Z995" s="267">
        <v>0.9617686050729014</v>
      </c>
      <c r="AA995" s="269"/>
      <c r="AB995" s="270"/>
      <c r="AC995" s="270"/>
      <c r="AD995" s="270"/>
      <c r="AE995" s="270"/>
    </row>
    <row r="996">
      <c r="A996" s="256">
        <f>IFERROR(__xludf.DUMMYFUNCTION("""COMPUTED_VALUE"""),42050.7625)</f>
        <v>42050.7625</v>
      </c>
      <c r="B996" s="257" t="str">
        <f>IFERROR(__xludf.DUMMYFUNCTION("""COMPUTED_VALUE"""),"MarcG")</f>
        <v>MarcG</v>
      </c>
      <c r="C996" s="258" t="str">
        <f>IFERROR(__xludf.DUMMYFUNCTION("""COMPUTED_VALUE"""),"USA")</f>
        <v>USA</v>
      </c>
      <c r="D996" s="258" t="str">
        <f>IFERROR(__xludf.DUMMYFUNCTION("""COMPUTED_VALUE"""),"mi. My car displays range in miles and I will enter all range numbers in miles.")</f>
        <v>mi. My car displays range in miles and I will enter all range numbers in miles.</v>
      </c>
      <c r="E996" s="259">
        <f>IFERROR(__xludf.DUMMYFUNCTION("""COMPUTED_VALUE"""),41985.0)</f>
        <v>41985</v>
      </c>
      <c r="F996" s="258" t="str">
        <f>IFERROR(__xludf.DUMMYFUNCTION("""COMPUTED_VALUE"""),"Model S P85D")</f>
        <v>Model S P85D</v>
      </c>
      <c r="G996" s="258" t="str">
        <f>IFERROR(__xludf.DUMMYFUNCTION("""COMPUTED_VALUE"""),"Weekly")</f>
        <v>Weekly</v>
      </c>
      <c r="H996" s="258" t="str">
        <f>IFERROR(__xludf.DUMMYFUNCTION("""COMPUTED_VALUE"""),"Weekly")</f>
        <v>Weekly</v>
      </c>
      <c r="I996" s="258" t="str">
        <f>IFERROR(__xludf.DUMMYFUNCTION("""COMPUTED_VALUE"""),"Never")</f>
        <v>Never</v>
      </c>
      <c r="J996" s="260">
        <f>IFERROR(__xludf.DUMMYFUNCTION("""COMPUTED_VALUE"""),0.9)</f>
        <v>0.9</v>
      </c>
      <c r="K996" s="258">
        <f>IFERROR(__xludf.DUMMYFUNCTION("""COMPUTED_VALUE"""),256.0)</f>
        <v>256</v>
      </c>
      <c r="L996" s="258" t="str">
        <f>IFERROR(__xludf.DUMMYFUNCTION("""COMPUTED_VALUE"""),"")</f>
        <v/>
      </c>
      <c r="M996" s="261">
        <f>IFERROR(__xludf.DUMMYFUNCTION("""COMPUTED_VALUE"""),411.0)</f>
        <v>411</v>
      </c>
      <c r="N996" s="262" t="str">
        <f>IFERROR(__xludf.DUMMYFUNCTION("""COMPUTED_VALUE"""),"")</f>
        <v/>
      </c>
      <c r="O996" s="259" t="str">
        <f>IFERROR(__xludf.DUMMYFUNCTION("""COMPUTED_VALUE"""),"")</f>
        <v/>
      </c>
      <c r="P996" s="259">
        <f>IFERROR(__xludf.DUMMYFUNCTION("""COMPUTED_VALUE"""),42050.0)</f>
        <v>42050</v>
      </c>
      <c r="Q996" s="258">
        <f>IFERROR(__xludf.DUMMYFUNCTION("""COMPUTED_VALUE"""),5311.0)</f>
        <v>5311</v>
      </c>
      <c r="R996" s="261">
        <f>IFERROR(__xludf.DUMMYFUNCTION("""COMPUTED_VALUE"""),256.0)</f>
        <v>256</v>
      </c>
      <c r="S996" s="258">
        <v>253.0</v>
      </c>
      <c r="T996" s="263">
        <v>1.0118577075098814</v>
      </c>
      <c r="U996" s="264">
        <v>5311.0</v>
      </c>
      <c r="V996" s="265">
        <v>8547.0</v>
      </c>
      <c r="W996" s="264">
        <v>5311.0</v>
      </c>
      <c r="X996" s="266"/>
      <c r="Y996" s="267">
        <v>-0.01</v>
      </c>
      <c r="Z996" s="267">
        <v>0.9861082349095196</v>
      </c>
      <c r="AA996" s="269"/>
      <c r="AB996" s="270"/>
      <c r="AC996" s="270"/>
      <c r="AD996" s="270"/>
      <c r="AE996" s="270"/>
    </row>
    <row r="997">
      <c r="A997" s="256">
        <f>IFERROR(__xludf.DUMMYFUNCTION("""COMPUTED_VALUE"""),42064.763194444444)</f>
        <v>42064.76319</v>
      </c>
      <c r="B997" s="257" t="str">
        <f>IFERROR(__xludf.DUMMYFUNCTION("""COMPUTED_VALUE"""),"MarcG")</f>
        <v>MarcG</v>
      </c>
      <c r="C997" s="258" t="str">
        <f>IFERROR(__xludf.DUMMYFUNCTION("""COMPUTED_VALUE"""),"USA")</f>
        <v>USA</v>
      </c>
      <c r="D997" s="258" t="str">
        <f>IFERROR(__xludf.DUMMYFUNCTION("""COMPUTED_VALUE"""),"mi. My car displays range in miles and I will enter all range numbers in miles.")</f>
        <v>mi. My car displays range in miles and I will enter all range numbers in miles.</v>
      </c>
      <c r="E997" s="259">
        <f>IFERROR(__xludf.DUMMYFUNCTION("""COMPUTED_VALUE"""),41985.0)</f>
        <v>41985</v>
      </c>
      <c r="F997" s="258" t="str">
        <f>IFERROR(__xludf.DUMMYFUNCTION("""COMPUTED_VALUE"""),"Model S P85D")</f>
        <v>Model S P85D</v>
      </c>
      <c r="G997" s="258" t="str">
        <f>IFERROR(__xludf.DUMMYFUNCTION("""COMPUTED_VALUE"""),"Weekly")</f>
        <v>Weekly</v>
      </c>
      <c r="H997" s="258" t="str">
        <f>IFERROR(__xludf.DUMMYFUNCTION("""COMPUTED_VALUE"""),"Weekly")</f>
        <v>Weekly</v>
      </c>
      <c r="I997" s="258" t="str">
        <f>IFERROR(__xludf.DUMMYFUNCTION("""COMPUTED_VALUE"""),"Never")</f>
        <v>Never</v>
      </c>
      <c r="J997" s="260">
        <f>IFERROR(__xludf.DUMMYFUNCTION("""COMPUTED_VALUE"""),0.9)</f>
        <v>0.9</v>
      </c>
      <c r="K997" s="258">
        <f>IFERROR(__xludf.DUMMYFUNCTION("""COMPUTED_VALUE"""),256.0)</f>
        <v>256</v>
      </c>
      <c r="L997" s="258" t="str">
        <f>IFERROR(__xludf.DUMMYFUNCTION("""COMPUTED_VALUE"""),"")</f>
        <v/>
      </c>
      <c r="M997" s="261">
        <f>IFERROR(__xludf.DUMMYFUNCTION("""COMPUTED_VALUE"""),405.0)</f>
        <v>405</v>
      </c>
      <c r="N997" s="262" t="str">
        <f>IFERROR(__xludf.DUMMYFUNCTION("""COMPUTED_VALUE"""),"")</f>
        <v/>
      </c>
      <c r="O997" s="259" t="str">
        <f>IFERROR(__xludf.DUMMYFUNCTION("""COMPUTED_VALUE"""),"")</f>
        <v/>
      </c>
      <c r="P997" s="259">
        <f>IFERROR(__xludf.DUMMYFUNCTION("""COMPUTED_VALUE"""),42064.0)</f>
        <v>42064</v>
      </c>
      <c r="Q997" s="258">
        <f>IFERROR(__xludf.DUMMYFUNCTION("""COMPUTED_VALUE"""),6063.0)</f>
        <v>6063</v>
      </c>
      <c r="R997" s="261">
        <f>IFERROR(__xludf.DUMMYFUNCTION("""COMPUTED_VALUE"""),255.0)</f>
        <v>255</v>
      </c>
      <c r="S997" s="258">
        <v>253.0</v>
      </c>
      <c r="T997" s="263">
        <v>1.007905138339921</v>
      </c>
      <c r="U997" s="264">
        <v>6063.0</v>
      </c>
      <c r="V997" s="265">
        <v>9757.0</v>
      </c>
      <c r="W997" s="264">
        <v>6063.0</v>
      </c>
      <c r="X997" s="266"/>
      <c r="Y997" s="267">
        <v>-0.01</v>
      </c>
      <c r="Z997" s="267">
        <v>0.9845710575780326</v>
      </c>
      <c r="AA997" s="269"/>
      <c r="AB997" s="270"/>
      <c r="AC997" s="270"/>
      <c r="AD997" s="270"/>
      <c r="AE997" s="270"/>
    </row>
    <row r="998">
      <c r="A998" s="256">
        <f>IFERROR(__xludf.DUMMYFUNCTION("""COMPUTED_VALUE"""),42080.76388888889)</f>
        <v>42080.76389</v>
      </c>
      <c r="B998" s="257" t="str">
        <f>IFERROR(__xludf.DUMMYFUNCTION("""COMPUTED_VALUE"""),"MarcG")</f>
        <v>MarcG</v>
      </c>
      <c r="C998" s="258" t="str">
        <f>IFERROR(__xludf.DUMMYFUNCTION("""COMPUTED_VALUE"""),"USA")</f>
        <v>USA</v>
      </c>
      <c r="D998" s="258" t="str">
        <f>IFERROR(__xludf.DUMMYFUNCTION("""COMPUTED_VALUE"""),"mi. My car displays range in miles and I will enter all range numbers in miles.")</f>
        <v>mi. My car displays range in miles and I will enter all range numbers in miles.</v>
      </c>
      <c r="E998" s="259">
        <f>IFERROR(__xludf.DUMMYFUNCTION("""COMPUTED_VALUE"""),41985.0)</f>
        <v>41985</v>
      </c>
      <c r="F998" s="258" t="str">
        <f>IFERROR(__xludf.DUMMYFUNCTION("""COMPUTED_VALUE"""),"Model S P85D")</f>
        <v>Model S P85D</v>
      </c>
      <c r="G998" s="258" t="str">
        <f>IFERROR(__xludf.DUMMYFUNCTION("""COMPUTED_VALUE"""),"Weekly")</f>
        <v>Weekly</v>
      </c>
      <c r="H998" s="258" t="str">
        <f>IFERROR(__xludf.DUMMYFUNCTION("""COMPUTED_VALUE"""),"Weekly")</f>
        <v>Weekly</v>
      </c>
      <c r="I998" s="258" t="str">
        <f>IFERROR(__xludf.DUMMYFUNCTION("""COMPUTED_VALUE"""),"Never")</f>
        <v>Never</v>
      </c>
      <c r="J998" s="260">
        <f>IFERROR(__xludf.DUMMYFUNCTION("""COMPUTED_VALUE"""),0.9)</f>
        <v>0.9</v>
      </c>
      <c r="K998" s="258">
        <f>IFERROR(__xludf.DUMMYFUNCTION("""COMPUTED_VALUE"""),256.0)</f>
        <v>256</v>
      </c>
      <c r="L998" s="258" t="str">
        <f>IFERROR(__xludf.DUMMYFUNCTION("""COMPUTED_VALUE"""),"")</f>
        <v/>
      </c>
      <c r="M998" s="261">
        <f>IFERROR(__xludf.DUMMYFUNCTION("""COMPUTED_VALUE"""),397.0)</f>
        <v>397</v>
      </c>
      <c r="N998" s="262" t="str">
        <f>IFERROR(__xludf.DUMMYFUNCTION("""COMPUTED_VALUE"""),"")</f>
        <v/>
      </c>
      <c r="O998" s="259" t="str">
        <f>IFERROR(__xludf.DUMMYFUNCTION("""COMPUTED_VALUE"""),"")</f>
        <v/>
      </c>
      <c r="P998" s="259">
        <f>IFERROR(__xludf.DUMMYFUNCTION("""COMPUTED_VALUE"""),42080.0)</f>
        <v>42080</v>
      </c>
      <c r="Q998" s="258">
        <f>IFERROR(__xludf.DUMMYFUNCTION("""COMPUTED_VALUE"""),7814.0)</f>
        <v>7814</v>
      </c>
      <c r="R998" s="261">
        <f>IFERROR(__xludf.DUMMYFUNCTION("""COMPUTED_VALUE"""),254.0)</f>
        <v>254</v>
      </c>
      <c r="S998" s="258">
        <v>253.0</v>
      </c>
      <c r="T998" s="263">
        <v>1.0039525691699605</v>
      </c>
      <c r="U998" s="264">
        <v>7814.0</v>
      </c>
      <c r="V998" s="265">
        <v>12575.0</v>
      </c>
      <c r="W998" s="264">
        <v>7814.0</v>
      </c>
      <c r="X998" s="266"/>
      <c r="Y998" s="267">
        <v>-0.01</v>
      </c>
      <c r="Z998" s="267">
        <v>0.9813124667017551</v>
      </c>
      <c r="AA998" s="269"/>
      <c r="AB998" s="270"/>
      <c r="AC998" s="270"/>
      <c r="AD998" s="270"/>
      <c r="AE998" s="270"/>
    </row>
    <row r="999">
      <c r="A999" s="256">
        <f>IFERROR(__xludf.DUMMYFUNCTION("""COMPUTED_VALUE"""),42102.76458333334)</f>
        <v>42102.76458</v>
      </c>
      <c r="B999" s="257" t="str">
        <f>IFERROR(__xludf.DUMMYFUNCTION("""COMPUTED_VALUE"""),"MarcG")</f>
        <v>MarcG</v>
      </c>
      <c r="C999" s="258" t="str">
        <f>IFERROR(__xludf.DUMMYFUNCTION("""COMPUTED_VALUE"""),"USA")</f>
        <v>USA</v>
      </c>
      <c r="D999" s="258" t="str">
        <f>IFERROR(__xludf.DUMMYFUNCTION("""COMPUTED_VALUE"""),"mi. My car displays range in miles and I will enter all range numbers in miles.")</f>
        <v>mi. My car displays range in miles and I will enter all range numbers in miles.</v>
      </c>
      <c r="E999" s="259">
        <f>IFERROR(__xludf.DUMMYFUNCTION("""COMPUTED_VALUE"""),41985.0)</f>
        <v>41985</v>
      </c>
      <c r="F999" s="258" t="str">
        <f>IFERROR(__xludf.DUMMYFUNCTION("""COMPUTED_VALUE"""),"Model S P85D")</f>
        <v>Model S P85D</v>
      </c>
      <c r="G999" s="258" t="str">
        <f>IFERROR(__xludf.DUMMYFUNCTION("""COMPUTED_VALUE"""),"Weekly")</f>
        <v>Weekly</v>
      </c>
      <c r="H999" s="258" t="str">
        <f>IFERROR(__xludf.DUMMYFUNCTION("""COMPUTED_VALUE"""),"Twice a month")</f>
        <v>Twice a month</v>
      </c>
      <c r="I999" s="258" t="str">
        <f>IFERROR(__xludf.DUMMYFUNCTION("""COMPUTED_VALUE"""),"Never")</f>
        <v>Never</v>
      </c>
      <c r="J999" s="260">
        <f>IFERROR(__xludf.DUMMYFUNCTION("""COMPUTED_VALUE"""),0.9)</f>
        <v>0.9</v>
      </c>
      <c r="K999" s="258">
        <f>IFERROR(__xludf.DUMMYFUNCTION("""COMPUTED_VALUE"""),256.0)</f>
        <v>256</v>
      </c>
      <c r="L999" s="258" t="str">
        <f>IFERROR(__xludf.DUMMYFUNCTION("""COMPUTED_VALUE"""),"")</f>
        <v/>
      </c>
      <c r="M999" s="261">
        <f>IFERROR(__xludf.DUMMYFUNCTION("""COMPUTED_VALUE"""),388.0)</f>
        <v>388</v>
      </c>
      <c r="N999" s="262" t="str">
        <f>IFERROR(__xludf.DUMMYFUNCTION("""COMPUTED_VALUE"""),"")</f>
        <v/>
      </c>
      <c r="O999" s="259" t="str">
        <f>IFERROR(__xludf.DUMMYFUNCTION("""COMPUTED_VALUE"""),"")</f>
        <v/>
      </c>
      <c r="P999" s="259">
        <f>IFERROR(__xludf.DUMMYFUNCTION("""COMPUTED_VALUE"""),42102.0)</f>
        <v>42102</v>
      </c>
      <c r="Q999" s="258">
        <f>IFERROR(__xludf.DUMMYFUNCTION("""COMPUTED_VALUE"""),9432.0)</f>
        <v>9432</v>
      </c>
      <c r="R999" s="261">
        <f>IFERROR(__xludf.DUMMYFUNCTION("""COMPUTED_VALUE"""),253.0)</f>
        <v>253</v>
      </c>
      <c r="S999" s="258">
        <v>253.0</v>
      </c>
      <c r="T999" s="263">
        <v>1.0</v>
      </c>
      <c r="U999" s="264">
        <v>9432.0</v>
      </c>
      <c r="V999" s="265">
        <v>15179.0</v>
      </c>
      <c r="W999" s="264">
        <v>9432.0</v>
      </c>
      <c r="X999" s="266"/>
      <c r="Y999" s="267">
        <v>-0.01</v>
      </c>
      <c r="Z999" s="267">
        <v>0.9786531799539938</v>
      </c>
      <c r="AA999" s="269"/>
      <c r="AB999" s="270"/>
      <c r="AC999" s="270"/>
      <c r="AD999" s="270"/>
      <c r="AE999" s="270"/>
    </row>
    <row r="1000">
      <c r="A1000" s="256">
        <f>IFERROR(__xludf.DUMMYFUNCTION("""COMPUTED_VALUE"""),42134.76527777778)</f>
        <v>42134.76528</v>
      </c>
      <c r="B1000" s="257" t="str">
        <f>IFERROR(__xludf.DUMMYFUNCTION("""COMPUTED_VALUE"""),"MarcG")</f>
        <v>MarcG</v>
      </c>
      <c r="C1000" s="258" t="str">
        <f>IFERROR(__xludf.DUMMYFUNCTION("""COMPUTED_VALUE"""),"USA")</f>
        <v>USA</v>
      </c>
      <c r="D1000" s="258" t="str">
        <f>IFERROR(__xludf.DUMMYFUNCTION("""COMPUTED_VALUE"""),"mi. My car displays range in miles and I will enter all range numbers in miles.")</f>
        <v>mi. My car displays range in miles and I will enter all range numbers in miles.</v>
      </c>
      <c r="E1000" s="259">
        <f>IFERROR(__xludf.DUMMYFUNCTION("""COMPUTED_VALUE"""),41985.0)</f>
        <v>41985</v>
      </c>
      <c r="F1000" s="258" t="str">
        <f>IFERROR(__xludf.DUMMYFUNCTION("""COMPUTED_VALUE"""),"Model S P85D")</f>
        <v>Model S P85D</v>
      </c>
      <c r="G1000" s="258" t="str">
        <f>IFERROR(__xludf.DUMMYFUNCTION("""COMPUTED_VALUE"""),"Weekly")</f>
        <v>Weekly</v>
      </c>
      <c r="H1000" s="258" t="str">
        <f>IFERROR(__xludf.DUMMYFUNCTION("""COMPUTED_VALUE"""),"Twice a month")</f>
        <v>Twice a month</v>
      </c>
      <c r="I1000" s="258" t="str">
        <f>IFERROR(__xludf.DUMMYFUNCTION("""COMPUTED_VALUE"""),"Never")</f>
        <v>Never</v>
      </c>
      <c r="J1000" s="260">
        <f>IFERROR(__xludf.DUMMYFUNCTION("""COMPUTED_VALUE"""),0.9)</f>
        <v>0.9</v>
      </c>
      <c r="K1000" s="258">
        <f>IFERROR(__xludf.DUMMYFUNCTION("""COMPUTED_VALUE"""),256.0)</f>
        <v>256</v>
      </c>
      <c r="L1000" s="258" t="str">
        <f>IFERROR(__xludf.DUMMYFUNCTION("""COMPUTED_VALUE"""),"")</f>
        <v/>
      </c>
      <c r="M1000" s="261">
        <f>IFERROR(__xludf.DUMMYFUNCTION("""COMPUTED_VALUE"""),373.0)</f>
        <v>373</v>
      </c>
      <c r="N1000" s="262" t="str">
        <f>IFERROR(__xludf.DUMMYFUNCTION("""COMPUTED_VALUE"""),"")</f>
        <v/>
      </c>
      <c r="O1000" s="259" t="str">
        <f>IFERROR(__xludf.DUMMYFUNCTION("""COMPUTED_VALUE"""),"")</f>
        <v/>
      </c>
      <c r="P1000" s="259">
        <f>IFERROR(__xludf.DUMMYFUNCTION("""COMPUTED_VALUE"""),42134.0)</f>
        <v>42134</v>
      </c>
      <c r="Q1000" s="258">
        <f>IFERROR(__xludf.DUMMYFUNCTION("""COMPUTED_VALUE"""),11329.0)</f>
        <v>11329</v>
      </c>
      <c r="R1000" s="261">
        <f>IFERROR(__xludf.DUMMYFUNCTION("""COMPUTED_VALUE"""),252.0)</f>
        <v>252</v>
      </c>
      <c r="S1000" s="258">
        <v>253.0</v>
      </c>
      <c r="T1000" s="263">
        <v>0.9960474308300395</v>
      </c>
      <c r="U1000" s="264">
        <v>11329.0</v>
      </c>
      <c r="V1000" s="265">
        <v>18232.0</v>
      </c>
      <c r="W1000" s="264">
        <v>11329.0</v>
      </c>
      <c r="X1000" s="266"/>
      <c r="Y1000" s="267">
        <v>-0.01</v>
      </c>
      <c r="Z1000" s="267">
        <v>0.975900629319141</v>
      </c>
      <c r="AA1000" s="269"/>
      <c r="AB1000" s="270"/>
      <c r="AC1000" s="270"/>
      <c r="AD1000" s="270"/>
      <c r="AE1000" s="270"/>
    </row>
    <row r="1001">
      <c r="A1001" s="256">
        <f>IFERROR(__xludf.DUMMYFUNCTION("""COMPUTED_VALUE"""),42176.76597222222)</f>
        <v>42176.76597</v>
      </c>
      <c r="B1001" s="257" t="str">
        <f>IFERROR(__xludf.DUMMYFUNCTION("""COMPUTED_VALUE"""),"MarcG")</f>
        <v>MarcG</v>
      </c>
      <c r="C1001" s="258" t="str">
        <f>IFERROR(__xludf.DUMMYFUNCTION("""COMPUTED_VALUE"""),"USA")</f>
        <v>USA</v>
      </c>
      <c r="D1001" s="258" t="str">
        <f>IFERROR(__xludf.DUMMYFUNCTION("""COMPUTED_VALUE"""),"mi. My car displays range in miles and I will enter all range numbers in miles.")</f>
        <v>mi. My car displays range in miles and I will enter all range numbers in miles.</v>
      </c>
      <c r="E1001" s="259">
        <f>IFERROR(__xludf.DUMMYFUNCTION("""COMPUTED_VALUE"""),41985.0)</f>
        <v>41985</v>
      </c>
      <c r="F1001" s="258" t="str">
        <f>IFERROR(__xludf.DUMMYFUNCTION("""COMPUTED_VALUE"""),"Model S P85D")</f>
        <v>Model S P85D</v>
      </c>
      <c r="G1001" s="258" t="str">
        <f>IFERROR(__xludf.DUMMYFUNCTION("""COMPUTED_VALUE"""),"Weekly")</f>
        <v>Weekly</v>
      </c>
      <c r="H1001" s="258" t="str">
        <f>IFERROR(__xludf.DUMMYFUNCTION("""COMPUTED_VALUE"""),"Monthly")</f>
        <v>Monthly</v>
      </c>
      <c r="I1001" s="258" t="str">
        <f>IFERROR(__xludf.DUMMYFUNCTION("""COMPUTED_VALUE"""),"Never")</f>
        <v>Never</v>
      </c>
      <c r="J1001" s="260">
        <f>IFERROR(__xludf.DUMMYFUNCTION("""COMPUTED_VALUE"""),0.9)</f>
        <v>0.9</v>
      </c>
      <c r="K1001" s="258">
        <f>IFERROR(__xludf.DUMMYFUNCTION("""COMPUTED_VALUE"""),256.0)</f>
        <v>256</v>
      </c>
      <c r="L1001" s="258" t="str">
        <f>IFERROR(__xludf.DUMMYFUNCTION("""COMPUTED_VALUE"""),"")</f>
        <v/>
      </c>
      <c r="M1001" s="261">
        <f>IFERROR(__xludf.DUMMYFUNCTION("""COMPUTED_VALUE"""),369.0)</f>
        <v>369</v>
      </c>
      <c r="N1001" s="262" t="str">
        <f>IFERROR(__xludf.DUMMYFUNCTION("""COMPUTED_VALUE"""),"")</f>
        <v/>
      </c>
      <c r="O1001" s="259" t="str">
        <f>IFERROR(__xludf.DUMMYFUNCTION("""COMPUTED_VALUE"""),"")</f>
        <v/>
      </c>
      <c r="P1001" s="259">
        <f>IFERROR(__xludf.DUMMYFUNCTION("""COMPUTED_VALUE"""),42176.0)</f>
        <v>42176</v>
      </c>
      <c r="Q1001" s="258">
        <f>IFERROR(__xludf.DUMMYFUNCTION("""COMPUTED_VALUE"""),13588.0)</f>
        <v>13588</v>
      </c>
      <c r="R1001" s="261">
        <f>IFERROR(__xludf.DUMMYFUNCTION("""COMPUTED_VALUE"""),251.0)</f>
        <v>251</v>
      </c>
      <c r="S1001" s="258">
        <v>253.0</v>
      </c>
      <c r="T1001" s="263">
        <v>0.9920948616600791</v>
      </c>
      <c r="U1001" s="264">
        <v>13588.0</v>
      </c>
      <c r="V1001" s="265">
        <v>21868.0</v>
      </c>
      <c r="W1001" s="264">
        <v>13588.0</v>
      </c>
      <c r="X1001" s="266"/>
      <c r="Y1001" s="267">
        <v>-0.01</v>
      </c>
      <c r="Z1001" s="267">
        <v>0.973052443386536</v>
      </c>
      <c r="AA1001" s="269"/>
      <c r="AB1001" s="270"/>
      <c r="AC1001" s="270"/>
      <c r="AD1001" s="270"/>
      <c r="AE1001" s="270"/>
    </row>
    <row r="1002">
      <c r="A1002" s="256">
        <f>IFERROR(__xludf.DUMMYFUNCTION("""COMPUTED_VALUE"""),42266.76666666666)</f>
        <v>42266.76667</v>
      </c>
      <c r="B1002" s="257" t="str">
        <f>IFERROR(__xludf.DUMMYFUNCTION("""COMPUTED_VALUE"""),"MarcG")</f>
        <v>MarcG</v>
      </c>
      <c r="C1002" s="258" t="str">
        <f>IFERROR(__xludf.DUMMYFUNCTION("""COMPUTED_VALUE"""),"USA")</f>
        <v>USA</v>
      </c>
      <c r="D1002" s="258" t="str">
        <f>IFERROR(__xludf.DUMMYFUNCTION("""COMPUTED_VALUE"""),"mi. My car displays range in miles and I will enter all range numbers in miles.")</f>
        <v>mi. My car displays range in miles and I will enter all range numbers in miles.</v>
      </c>
      <c r="E1002" s="259">
        <f>IFERROR(__xludf.DUMMYFUNCTION("""COMPUTED_VALUE"""),41985.0)</f>
        <v>41985</v>
      </c>
      <c r="F1002" s="258" t="str">
        <f>IFERROR(__xludf.DUMMYFUNCTION("""COMPUTED_VALUE"""),"Model S P85D")</f>
        <v>Model S P85D</v>
      </c>
      <c r="G1002" s="258" t="str">
        <f>IFERROR(__xludf.DUMMYFUNCTION("""COMPUTED_VALUE"""),"Weekly")</f>
        <v>Weekly</v>
      </c>
      <c r="H1002" s="258" t="str">
        <f>IFERROR(__xludf.DUMMYFUNCTION("""COMPUTED_VALUE"""),"Monthly")</f>
        <v>Monthly</v>
      </c>
      <c r="I1002" s="258" t="str">
        <f>IFERROR(__xludf.DUMMYFUNCTION("""COMPUTED_VALUE"""),"Never")</f>
        <v>Never</v>
      </c>
      <c r="J1002" s="260">
        <f>IFERROR(__xludf.DUMMYFUNCTION("""COMPUTED_VALUE"""),0.9)</f>
        <v>0.9</v>
      </c>
      <c r="K1002" s="258">
        <f>IFERROR(__xludf.DUMMYFUNCTION("""COMPUTED_VALUE"""),256.0)</f>
        <v>256</v>
      </c>
      <c r="L1002" s="258" t="str">
        <f>IFERROR(__xludf.DUMMYFUNCTION("""COMPUTED_VALUE"""),"")</f>
        <v/>
      </c>
      <c r="M1002" s="261">
        <f>IFERROR(__xludf.DUMMYFUNCTION("""COMPUTED_VALUE"""),365.0)</f>
        <v>365</v>
      </c>
      <c r="N1002" s="262" t="str">
        <f>IFERROR(__xludf.DUMMYFUNCTION("""COMPUTED_VALUE"""),"")</f>
        <v/>
      </c>
      <c r="O1002" s="259" t="str">
        <f>IFERROR(__xludf.DUMMYFUNCTION("""COMPUTED_VALUE"""),"")</f>
        <v/>
      </c>
      <c r="P1002" s="259">
        <f>IFERROR(__xludf.DUMMYFUNCTION("""COMPUTED_VALUE"""),42266.0)</f>
        <v>42266</v>
      </c>
      <c r="Q1002" s="258">
        <f>IFERROR(__xludf.DUMMYFUNCTION("""COMPUTED_VALUE"""),17805.0)</f>
        <v>17805</v>
      </c>
      <c r="R1002" s="261">
        <f>IFERROR(__xludf.DUMMYFUNCTION("""COMPUTED_VALUE"""),250.0)</f>
        <v>250</v>
      </c>
      <c r="S1002" s="258">
        <v>253.0</v>
      </c>
      <c r="T1002" s="263">
        <v>0.9881422924901185</v>
      </c>
      <c r="U1002" s="264">
        <v>17805.0</v>
      </c>
      <c r="V1002" s="265">
        <v>28654.0</v>
      </c>
      <c r="W1002" s="264">
        <v>17805.0</v>
      </c>
      <c r="X1002" s="266"/>
      <c r="Y1002" s="267">
        <v>-0.01</v>
      </c>
      <c r="Z1002" s="267">
        <v>0.9687042409264357</v>
      </c>
      <c r="AA1002" s="269"/>
      <c r="AB1002" s="270"/>
      <c r="AC1002" s="270"/>
      <c r="AD1002" s="270"/>
      <c r="AE1002" s="270"/>
    </row>
    <row r="1003">
      <c r="A1003" s="256">
        <f>IFERROR(__xludf.DUMMYFUNCTION("""COMPUTED_VALUE"""),42971.586805555555)</f>
        <v>42971.58681</v>
      </c>
      <c r="B1003" s="257" t="str">
        <f>IFERROR(__xludf.DUMMYFUNCTION("""COMPUTED_VALUE"""),"MarcK")</f>
        <v>MarcK</v>
      </c>
      <c r="C1003" s="258" t="str">
        <f>IFERROR(__xludf.DUMMYFUNCTION("""COMPUTED_VALUE"""),"Europe (excluding UK) &amp; Asia Pacific")</f>
        <v>Europe (excluding UK) &amp; Asia Pacific</v>
      </c>
      <c r="D1003" s="258" t="str">
        <f>IFERROR(__xludf.DUMMYFUNCTION("""COMPUTED_VALUE"""),"km. My car displays range in kilometres and I will enter all range numbers in kilometres.")</f>
        <v>km. My car displays range in kilometres and I will enter all range numbers in kilometres.</v>
      </c>
      <c r="E1003" s="259">
        <f>IFERROR(__xludf.DUMMYFUNCTION("""COMPUTED_VALUE"""),42464.0)</f>
        <v>42464</v>
      </c>
      <c r="F1003" s="258" t="str">
        <f>IFERROR(__xludf.DUMMYFUNCTION("""COMPUTED_VALUE"""),"Model S P85")</f>
        <v>Model S P85</v>
      </c>
      <c r="G1003" s="258" t="str">
        <f>IFERROR(__xludf.DUMMYFUNCTION("""COMPUTED_VALUE"""),"A few times a year")</f>
        <v>A few times a year</v>
      </c>
      <c r="H1003" s="258" t="str">
        <f>IFERROR(__xludf.DUMMYFUNCTION("""COMPUTED_VALUE"""),"A few times a year")</f>
        <v>A few times a year</v>
      </c>
      <c r="I1003" s="258" t="str">
        <f>IFERROR(__xludf.DUMMYFUNCTION("""COMPUTED_VALUE"""),"Never")</f>
        <v>Never</v>
      </c>
      <c r="J1003" s="260">
        <f>IFERROR(__xludf.DUMMYFUNCTION("""COMPUTED_VALUE"""),0.8)</f>
        <v>0.8</v>
      </c>
      <c r="K1003" s="258">
        <f>IFERROR(__xludf.DUMMYFUNCTION("""COMPUTED_VALUE"""),411.0)</f>
        <v>411</v>
      </c>
      <c r="L1003" s="258" t="str">
        <f>IFERROR(__xludf.DUMMYFUNCTION("""COMPUTED_VALUE"""),"")</f>
        <v/>
      </c>
      <c r="M1003" s="261">
        <f>IFERROR(__xludf.DUMMYFUNCTION("""COMPUTED_VALUE"""),207.0)</f>
        <v>207</v>
      </c>
      <c r="N1003" s="262" t="str">
        <f>IFERROR(__xludf.DUMMYFUNCTION("""COMPUTED_VALUE"""),"")</f>
        <v/>
      </c>
      <c r="O1003" s="259" t="str">
        <f>IFERROR(__xludf.DUMMYFUNCTION("""COMPUTED_VALUE"""),"")</f>
        <v/>
      </c>
      <c r="P1003" s="259">
        <f>IFERROR(__xludf.DUMMYFUNCTION("""COMPUTED_VALUE"""),42971.0)</f>
        <v>42971</v>
      </c>
      <c r="Q1003" s="258">
        <f>IFERROR(__xludf.DUMMYFUNCTION("""COMPUTED_VALUE"""),64103.0)</f>
        <v>64103</v>
      </c>
      <c r="R1003" s="261">
        <f>IFERROR(__xludf.DUMMYFUNCTION("""COMPUTED_VALUE"""),408.0)</f>
        <v>408</v>
      </c>
      <c r="S1003" s="258">
        <v>395.0</v>
      </c>
      <c r="T1003" s="263">
        <v>1.0329113924050632</v>
      </c>
      <c r="U1003" s="264">
        <v>39832.0</v>
      </c>
      <c r="V1003" s="265">
        <v>64103.0</v>
      </c>
      <c r="W1003" s="264">
        <v>39832.0</v>
      </c>
      <c r="X1003" s="266"/>
      <c r="Y1003" s="267">
        <v>-0.01</v>
      </c>
      <c r="Z1003" s="267">
        <v>0.9555069388250811</v>
      </c>
      <c r="AA1003" s="269"/>
      <c r="AB1003" s="270"/>
      <c r="AC1003" s="270"/>
      <c r="AD1003" s="270"/>
      <c r="AE1003" s="270"/>
    </row>
    <row r="1004">
      <c r="A1004" s="256">
        <f>IFERROR(__xludf.DUMMYFUNCTION("""COMPUTED_VALUE"""),42374.26736111111)</f>
        <v>42374.26736</v>
      </c>
      <c r="B1004" s="257" t="str">
        <f>IFERROR(__xludf.DUMMYFUNCTION("""COMPUTED_VALUE"""),"MarcusS")</f>
        <v>MarcusS</v>
      </c>
      <c r="C1004" s="258" t="str">
        <f>IFERROR(__xludf.DUMMYFUNCTION("""COMPUTED_VALUE"""),"Europe (excluding UK) &amp; Asia Pacific")</f>
        <v>Europe (excluding UK) &amp; Asia Pacific</v>
      </c>
      <c r="D1004" s="258" t="str">
        <f>IFERROR(__xludf.DUMMYFUNCTION("""COMPUTED_VALUE"""),"km. My car displays range in kilometres and I will enter all range numbers in kilometres.")</f>
        <v>km. My car displays range in kilometres and I will enter all range numbers in kilometres.</v>
      </c>
      <c r="E1004" s="259">
        <f>IFERROR(__xludf.DUMMYFUNCTION("""COMPUTED_VALUE"""),41944.0)</f>
        <v>41944</v>
      </c>
      <c r="F1004" s="258" t="str">
        <f>IFERROR(__xludf.DUMMYFUNCTION("""COMPUTED_VALUE"""),"Model S 85")</f>
        <v>Model S 85</v>
      </c>
      <c r="G1004" s="258" t="str">
        <f>IFERROR(__xludf.DUMMYFUNCTION("""COMPUTED_VALUE"""),"")</f>
        <v/>
      </c>
      <c r="H1004" s="258" t="str">
        <f>IFERROR(__xludf.DUMMYFUNCTION("""COMPUTED_VALUE"""),"")</f>
        <v/>
      </c>
      <c r="I1004" s="258" t="str">
        <f>IFERROR(__xludf.DUMMYFUNCTION("""COMPUTED_VALUE"""),"")</f>
        <v/>
      </c>
      <c r="J1004" s="260" t="str">
        <f>IFERROR(__xludf.DUMMYFUNCTION("""COMPUTED_VALUE"""),"")</f>
        <v/>
      </c>
      <c r="K1004" s="258" t="str">
        <f>IFERROR(__xludf.DUMMYFUNCTION("""COMPUTED_VALUE"""),"")</f>
        <v/>
      </c>
      <c r="L1004" s="258" t="str">
        <f>IFERROR(__xludf.DUMMYFUNCTION("""COMPUTED_VALUE"""),"")</f>
        <v/>
      </c>
      <c r="M1004" s="261">
        <f>IFERROR(__xludf.DUMMYFUNCTION("""COMPUTED_VALUE"""),218.0)</f>
        <v>218</v>
      </c>
      <c r="N1004" s="262" t="str">
        <f>IFERROR(__xludf.DUMMYFUNCTION("""COMPUTED_VALUE"""),"")</f>
        <v/>
      </c>
      <c r="O1004" s="259" t="str">
        <f>IFERROR(__xludf.DUMMYFUNCTION("""COMPUTED_VALUE"""),"")</f>
        <v/>
      </c>
      <c r="P1004" s="259">
        <f>IFERROR(__xludf.DUMMYFUNCTION("""COMPUTED_VALUE"""),42374.0)</f>
        <v>42374</v>
      </c>
      <c r="Q1004" s="258">
        <f>IFERROR(__xludf.DUMMYFUNCTION("""COMPUTED_VALUE"""),27594.0)</f>
        <v>27594</v>
      </c>
      <c r="R1004" s="261">
        <f>IFERROR(__xludf.DUMMYFUNCTION("""COMPUTED_VALUE"""),385.0)</f>
        <v>385</v>
      </c>
      <c r="S1004" s="258">
        <v>395.0</v>
      </c>
      <c r="T1004" s="263">
        <v>0.9746835443037974</v>
      </c>
      <c r="U1004" s="264">
        <v>17146.0</v>
      </c>
      <c r="V1004" s="265">
        <v>27594.0</v>
      </c>
      <c r="W1004" s="264">
        <v>17146.0</v>
      </c>
      <c r="X1004" s="266"/>
      <c r="Y1004" s="267">
        <v>-0.01</v>
      </c>
      <c r="Z1004" s="267">
        <v>0.9693144697409382</v>
      </c>
      <c r="AA1004" s="269"/>
      <c r="AB1004" s="270"/>
      <c r="AC1004" s="270"/>
      <c r="AD1004" s="270"/>
      <c r="AE1004" s="270"/>
    </row>
    <row r="1005">
      <c r="A1005" s="256">
        <f>IFERROR(__xludf.DUMMYFUNCTION("""COMPUTED_VALUE"""),42379.27013888889)</f>
        <v>42379.27014</v>
      </c>
      <c r="B1005" s="257" t="str">
        <f>IFERROR(__xludf.DUMMYFUNCTION("""COMPUTED_VALUE"""),"MarkVL")</f>
        <v>MarkVL</v>
      </c>
      <c r="C1005" s="258" t="str">
        <f>IFERROR(__xludf.DUMMYFUNCTION("""COMPUTED_VALUE"""),"Europe (excluding UK) &amp; Asia Pacific")</f>
        <v>Europe (excluding UK) &amp; Asia Pacific</v>
      </c>
      <c r="D1005" s="258" t="str">
        <f>IFERROR(__xludf.DUMMYFUNCTION("""COMPUTED_VALUE"""),"km. My car displays range in kilometres and I will enter all range numbers in kilometres.")</f>
        <v>km. My car displays range in kilometres and I will enter all range numbers in kilometres.</v>
      </c>
      <c r="E1005" s="259">
        <f>IFERROR(__xludf.DUMMYFUNCTION("""COMPUTED_VALUE"""),41605.0)</f>
        <v>41605</v>
      </c>
      <c r="F1005" s="258" t="str">
        <f>IFERROR(__xludf.DUMMYFUNCTION("""COMPUTED_VALUE"""),"Model S 85")</f>
        <v>Model S 85</v>
      </c>
      <c r="G1005" s="258" t="str">
        <f>IFERROR(__xludf.DUMMYFUNCTION("""COMPUTED_VALUE"""),"Monthly")</f>
        <v>Monthly</v>
      </c>
      <c r="H1005" s="258" t="str">
        <f>IFERROR(__xludf.DUMMYFUNCTION("""COMPUTED_VALUE"""),"Twice a month")</f>
        <v>Twice a month</v>
      </c>
      <c r="I1005" s="258" t="str">
        <f>IFERROR(__xludf.DUMMYFUNCTION("""COMPUTED_VALUE"""),"Monthly")</f>
        <v>Monthly</v>
      </c>
      <c r="J1005" s="260">
        <f>IFERROR(__xludf.DUMMYFUNCTION("""COMPUTED_VALUE"""),0.8)</f>
        <v>0.8</v>
      </c>
      <c r="K1005" s="258">
        <f>IFERROR(__xludf.DUMMYFUNCTION("""COMPUTED_VALUE"""),411.0)</f>
        <v>411</v>
      </c>
      <c r="L1005" s="258" t="str">
        <f>IFERROR(__xludf.DUMMYFUNCTION("""COMPUTED_VALUE"""),"")</f>
        <v/>
      </c>
      <c r="M1005" s="261">
        <f>IFERROR(__xludf.DUMMYFUNCTION("""COMPUTED_VALUE"""),240.0)</f>
        <v>240</v>
      </c>
      <c r="N1005" s="262" t="str">
        <f>IFERROR(__xludf.DUMMYFUNCTION("""COMPUTED_VALUE"""),"")</f>
        <v/>
      </c>
      <c r="O1005" s="259" t="str">
        <f>IFERROR(__xludf.DUMMYFUNCTION("""COMPUTED_VALUE"""),"")</f>
        <v/>
      </c>
      <c r="P1005" s="259">
        <f>IFERROR(__xludf.DUMMYFUNCTION("""COMPUTED_VALUE"""),42379.0)</f>
        <v>42379</v>
      </c>
      <c r="Q1005" s="258">
        <f>IFERROR(__xludf.DUMMYFUNCTION("""COMPUTED_VALUE"""),48623.0)</f>
        <v>48623</v>
      </c>
      <c r="R1005" s="261">
        <f>IFERROR(__xludf.DUMMYFUNCTION("""COMPUTED_VALUE"""),380.0)</f>
        <v>380</v>
      </c>
      <c r="S1005" s="258">
        <v>395.0</v>
      </c>
      <c r="T1005" s="263">
        <v>0.9620253164556962</v>
      </c>
      <c r="U1005" s="264">
        <v>30213.0</v>
      </c>
      <c r="V1005" s="265">
        <v>48623.0</v>
      </c>
      <c r="W1005" s="264">
        <v>30213.0</v>
      </c>
      <c r="X1005" s="266"/>
      <c r="Y1005" s="267">
        <v>-0.01</v>
      </c>
      <c r="Z1005" s="267">
        <v>0.9601466714725799</v>
      </c>
      <c r="AA1005" s="269"/>
      <c r="AB1005" s="270"/>
      <c r="AC1005" s="270"/>
      <c r="AD1005" s="270"/>
      <c r="AE1005" s="270"/>
    </row>
    <row r="1006">
      <c r="A1006" s="256">
        <f>IFERROR(__xludf.DUMMYFUNCTION("""COMPUTED_VALUE"""),43013.68472222222)</f>
        <v>43013.68472</v>
      </c>
      <c r="B1006" s="257" t="str">
        <f>IFERROR(__xludf.DUMMYFUNCTION("""COMPUTED_VALUE"""),"marlan99")</f>
        <v>marlan99</v>
      </c>
      <c r="C1006" s="258" t="str">
        <f>IFERROR(__xludf.DUMMYFUNCTION("""COMPUTED_VALUE"""),"Europe (excluding UK) &amp; Asia Pacific")</f>
        <v>Europe (excluding UK) &amp; Asia Pacific</v>
      </c>
      <c r="D1006" s="258" t="str">
        <f>IFERROR(__xludf.DUMMYFUNCTION("""COMPUTED_VALUE"""),"km. My car displays range in kilometres and I will enter all range numbers in kilometres.")</f>
        <v>km. My car displays range in kilometres and I will enter all range numbers in kilometres.</v>
      </c>
      <c r="E1006" s="259">
        <f>IFERROR(__xludf.DUMMYFUNCTION("""COMPUTED_VALUE"""),42912.0)</f>
        <v>42912</v>
      </c>
      <c r="F1006" s="258" t="str">
        <f>IFERROR(__xludf.DUMMYFUNCTION("""COMPUTED_VALUE"""),"Model S 90D")</f>
        <v>Model S 90D</v>
      </c>
      <c r="G1006" s="258" t="str">
        <f>IFERROR(__xludf.DUMMYFUNCTION("""COMPUTED_VALUE"""),"Twice a month")</f>
        <v>Twice a month</v>
      </c>
      <c r="H1006" s="258" t="str">
        <f>IFERROR(__xludf.DUMMYFUNCTION("""COMPUTED_VALUE"""),"Once or twice a year")</f>
        <v>Once or twice a year</v>
      </c>
      <c r="I1006" s="258" t="str">
        <f>IFERROR(__xludf.DUMMYFUNCTION("""COMPUTED_VALUE"""),"Once or twice a year")</f>
        <v>Once or twice a year</v>
      </c>
      <c r="J1006" s="260">
        <f>IFERROR(__xludf.DUMMYFUNCTION("""COMPUTED_VALUE"""),0.9)</f>
        <v>0.9</v>
      </c>
      <c r="K1006" s="258">
        <f>IFERROR(__xludf.DUMMYFUNCTION("""COMPUTED_VALUE"""),456.0)</f>
        <v>456</v>
      </c>
      <c r="L1006" s="258" t="str">
        <f>IFERROR(__xludf.DUMMYFUNCTION("""COMPUTED_VALUE"""),"")</f>
        <v/>
      </c>
      <c r="M1006" s="261">
        <f>IFERROR(__xludf.DUMMYFUNCTION("""COMPUTED_VALUE"""),217.0)</f>
        <v>217</v>
      </c>
      <c r="N1006" s="262" t="str">
        <f>IFERROR(__xludf.DUMMYFUNCTION("""COMPUTED_VALUE"""),"")</f>
        <v/>
      </c>
      <c r="O1006" s="259" t="str">
        <f>IFERROR(__xludf.DUMMYFUNCTION("""COMPUTED_VALUE"""),"")</f>
        <v/>
      </c>
      <c r="P1006" s="259">
        <f>IFERROR(__xludf.DUMMYFUNCTION("""COMPUTED_VALUE"""),43013.0)</f>
        <v>43013</v>
      </c>
      <c r="Q1006" s="258">
        <f>IFERROR(__xludf.DUMMYFUNCTION("""COMPUTED_VALUE"""),9500.0)</f>
        <v>9500</v>
      </c>
      <c r="R1006" s="261">
        <f>IFERROR(__xludf.DUMMYFUNCTION("""COMPUTED_VALUE"""),456.0)</f>
        <v>456</v>
      </c>
      <c r="S1006" s="258">
        <v>447.0</v>
      </c>
      <c r="T1006" s="263">
        <v>1.0201342281879195</v>
      </c>
      <c r="U1006" s="264">
        <v>5903.0</v>
      </c>
      <c r="V1006" s="265">
        <v>9500.0</v>
      </c>
      <c r="W1006" s="264">
        <v>5903.0</v>
      </c>
      <c r="X1006" s="266"/>
      <c r="Y1006" s="267">
        <v>-0.01</v>
      </c>
      <c r="Z1006" s="267">
        <v>0.9848901966014809</v>
      </c>
      <c r="AA1006" s="269"/>
      <c r="AB1006" s="270"/>
      <c r="AC1006" s="270"/>
      <c r="AD1006" s="270"/>
      <c r="AE1006" s="270"/>
    </row>
    <row r="1007">
      <c r="A1007" s="256">
        <f>IFERROR(__xludf.DUMMYFUNCTION("""COMPUTED_VALUE"""),42869.53402777778)</f>
        <v>42869.53403</v>
      </c>
      <c r="B1007" s="257" t="str">
        <f>IFERROR(__xludf.DUMMYFUNCTION("""COMPUTED_VALUE"""),"Martin")</f>
        <v>Martin</v>
      </c>
      <c r="C1007" s="258" t="str">
        <f>IFERROR(__xludf.DUMMYFUNCTION("""COMPUTED_VALUE"""),"Europe (excluding UK) &amp; Asia Pacific")</f>
        <v>Europe (excluding UK) &amp; Asia Pacific</v>
      </c>
      <c r="D1007" s="258" t="str">
        <f>IFERROR(__xludf.DUMMYFUNCTION("""COMPUTED_VALUE"""),"km. My car displays range in kilometres and I will enter all range numbers in kilometres.")</f>
        <v>km. My car displays range in kilometres and I will enter all range numbers in kilometres.</v>
      </c>
      <c r="E1007" s="259">
        <f>IFERROR(__xludf.DUMMYFUNCTION("""COMPUTED_VALUE"""),41699.0)</f>
        <v>41699</v>
      </c>
      <c r="F1007" s="258" t="str">
        <f>IFERROR(__xludf.DUMMYFUNCTION("""COMPUTED_VALUE"""),"Model S P85")</f>
        <v>Model S P85</v>
      </c>
      <c r="G1007" s="258" t="str">
        <f>IFERROR(__xludf.DUMMYFUNCTION("""COMPUTED_VALUE"""),"Weekly")</f>
        <v>Weekly</v>
      </c>
      <c r="H1007" s="258" t="str">
        <f>IFERROR(__xludf.DUMMYFUNCTION("""COMPUTED_VALUE"""),"Monthly")</f>
        <v>Monthly</v>
      </c>
      <c r="I1007" s="258" t="str">
        <f>IFERROR(__xludf.DUMMYFUNCTION("""COMPUTED_VALUE"""),"A few times a year")</f>
        <v>A few times a year</v>
      </c>
      <c r="J1007" s="260">
        <f>IFERROR(__xludf.DUMMYFUNCTION("""COMPUTED_VALUE"""),0.6)</f>
        <v>0.6</v>
      </c>
      <c r="K1007" s="258">
        <f>IFERROR(__xludf.DUMMYFUNCTION("""COMPUTED_VALUE"""),404.0)</f>
        <v>404</v>
      </c>
      <c r="L1007" s="258" t="str">
        <f>IFERROR(__xludf.DUMMYFUNCTION("""COMPUTED_VALUE"""),"")</f>
        <v/>
      </c>
      <c r="M1007" s="261">
        <f>IFERROR(__xludf.DUMMYFUNCTION("""COMPUTED_VALUE"""),220.0)</f>
        <v>220</v>
      </c>
      <c r="N1007" s="262" t="str">
        <f>IFERROR(__xludf.DUMMYFUNCTION("""COMPUTED_VALUE"""),"")</f>
        <v/>
      </c>
      <c r="O1007" s="259" t="str">
        <f>IFERROR(__xludf.DUMMYFUNCTION("""COMPUTED_VALUE"""),"")</f>
        <v/>
      </c>
      <c r="P1007" s="259">
        <f>IFERROR(__xludf.DUMMYFUNCTION("""COMPUTED_VALUE"""),42869.0)</f>
        <v>42869</v>
      </c>
      <c r="Q1007" s="258">
        <f>IFERROR(__xludf.DUMMYFUNCTION("""COMPUTED_VALUE"""),90375.0)</f>
        <v>90375</v>
      </c>
      <c r="R1007" s="261">
        <f>IFERROR(__xludf.DUMMYFUNCTION("""COMPUTED_VALUE"""),366.0)</f>
        <v>366</v>
      </c>
      <c r="S1007" s="258">
        <v>395.0</v>
      </c>
      <c r="T1007" s="263">
        <v>0.9265822784810127</v>
      </c>
      <c r="U1007" s="264">
        <v>56156.0</v>
      </c>
      <c r="V1007" s="265">
        <v>90375.0</v>
      </c>
      <c r="W1007" s="264">
        <v>56156.0</v>
      </c>
      <c r="X1007" s="266"/>
      <c r="Y1007" s="267">
        <v>-0.01</v>
      </c>
      <c r="Z1007" s="267">
        <v>0.9488738146266699</v>
      </c>
      <c r="AA1007" s="269"/>
      <c r="AB1007" s="270"/>
      <c r="AC1007" s="270"/>
      <c r="AD1007" s="270"/>
      <c r="AE1007" s="270"/>
    </row>
    <row r="1008">
      <c r="A1008" s="256">
        <f>IFERROR(__xludf.DUMMYFUNCTION("""COMPUTED_VALUE"""),43090.648611111115)</f>
        <v>43090.64861</v>
      </c>
      <c r="B1008" s="257" t="str">
        <f>IFERROR(__xludf.DUMMYFUNCTION("""COMPUTED_VALUE"""),"MartinPF")</f>
        <v>MartinPF</v>
      </c>
      <c r="C1008" s="258" t="str">
        <f>IFERROR(__xludf.DUMMYFUNCTION("""COMPUTED_VALUE"""),"Europe (excluding UK) &amp; Asia Pacific")</f>
        <v>Europe (excluding UK) &amp; Asia Pacific</v>
      </c>
      <c r="D1008" s="258" t="str">
        <f>IFERROR(__xludf.DUMMYFUNCTION("""COMPUTED_VALUE"""),"km. My car displays range in kilometres and I will enter all range numbers in kilometres.")</f>
        <v>km. My car displays range in kilometres and I will enter all range numbers in kilometres.</v>
      </c>
      <c r="E1008" s="259">
        <f>IFERROR(__xludf.DUMMYFUNCTION("""COMPUTED_VALUE"""),42871.0)</f>
        <v>42871</v>
      </c>
      <c r="F1008" s="258" t="str">
        <f>IFERROR(__xludf.DUMMYFUNCTION("""COMPUTED_VALUE"""),"Model S P100D")</f>
        <v>Model S P100D</v>
      </c>
      <c r="G1008" s="258" t="str">
        <f>IFERROR(__xludf.DUMMYFUNCTION("""COMPUTED_VALUE"""),"Twice a week")</f>
        <v>Twice a week</v>
      </c>
      <c r="H1008" s="258" t="str">
        <f>IFERROR(__xludf.DUMMYFUNCTION("""COMPUTED_VALUE"""),"Once or twice a year")</f>
        <v>Once or twice a year</v>
      </c>
      <c r="I1008" s="258" t="str">
        <f>IFERROR(__xludf.DUMMYFUNCTION("""COMPUTED_VALUE"""),"Once or twice a year")</f>
        <v>Once or twice a year</v>
      </c>
      <c r="J1008" s="260">
        <f>IFERROR(__xludf.DUMMYFUNCTION("""COMPUTED_VALUE"""),0.8)</f>
        <v>0.8</v>
      </c>
      <c r="K1008" s="258">
        <f>IFERROR(__xludf.DUMMYFUNCTION("""COMPUTED_VALUE"""),488.0)</f>
        <v>488</v>
      </c>
      <c r="L1008" s="258" t="str">
        <f>IFERROR(__xludf.DUMMYFUNCTION("""COMPUTED_VALUE"""),"")</f>
        <v/>
      </c>
      <c r="M1008" s="261">
        <f>IFERROR(__xludf.DUMMYFUNCTION("""COMPUTED_VALUE"""),242.4)</f>
        <v>242.4</v>
      </c>
      <c r="N1008" s="262" t="str">
        <f>IFERROR(__xludf.DUMMYFUNCTION("""COMPUTED_VALUE"""),"")</f>
        <v/>
      </c>
      <c r="O1008" s="259" t="str">
        <f>IFERROR(__xludf.DUMMYFUNCTION("""COMPUTED_VALUE"""),"")</f>
        <v/>
      </c>
      <c r="P1008" s="259">
        <f>IFERROR(__xludf.DUMMYFUNCTION("""COMPUTED_VALUE"""),43090.0)</f>
        <v>43090</v>
      </c>
      <c r="Q1008" s="258">
        <f>IFERROR(__xludf.DUMMYFUNCTION("""COMPUTED_VALUE"""),19588.87)</f>
        <v>19588.87</v>
      </c>
      <c r="R1008" s="261">
        <f>IFERROR(__xludf.DUMMYFUNCTION("""COMPUTED_VALUE"""),471.68)</f>
        <v>471.68</v>
      </c>
      <c r="S1008" s="258">
        <v>483.0</v>
      </c>
      <c r="T1008" s="263">
        <v>0.9765631469979296</v>
      </c>
      <c r="U1008" s="264">
        <v>12172.0</v>
      </c>
      <c r="V1008" s="265">
        <v>19588.87</v>
      </c>
      <c r="W1008" s="264">
        <v>12172.0</v>
      </c>
      <c r="X1008" s="266"/>
      <c r="Y1008" s="267">
        <v>-0.01</v>
      </c>
      <c r="Z1008" s="267">
        <v>0.9747876679313116</v>
      </c>
      <c r="AA1008" s="269"/>
      <c r="AB1008" s="270"/>
      <c r="AC1008" s="270"/>
      <c r="AD1008" s="270"/>
      <c r="AE1008" s="270"/>
    </row>
    <row r="1009">
      <c r="A1009" s="256">
        <f>IFERROR(__xludf.DUMMYFUNCTION("""COMPUTED_VALUE"""),42459.31736111111)</f>
        <v>42459.31736</v>
      </c>
      <c r="B1009" s="257" t="str">
        <f>IFERROR(__xludf.DUMMYFUNCTION("""COMPUTED_VALUE"""),"Matthias Wagner")</f>
        <v>Matthias Wagner</v>
      </c>
      <c r="C1009" s="258" t="str">
        <f>IFERROR(__xludf.DUMMYFUNCTION("""COMPUTED_VALUE"""),"Europe (excluding UK) &amp; Asia Pacific")</f>
        <v>Europe (excluding UK) &amp; Asia Pacific</v>
      </c>
      <c r="D1009" s="258" t="str">
        <f>IFERROR(__xludf.DUMMYFUNCTION("""COMPUTED_VALUE"""),"km. My car displays range in kilometres and I will enter all range numbers in kilometres.")</f>
        <v>km. My car displays range in kilometres and I will enter all range numbers in kilometres.</v>
      </c>
      <c r="E1009" s="259">
        <f>IFERROR(__xludf.DUMMYFUNCTION("""COMPUTED_VALUE"""),42156.0)</f>
        <v>42156</v>
      </c>
      <c r="F1009" s="258" t="str">
        <f>IFERROR(__xludf.DUMMYFUNCTION("""COMPUTED_VALUE"""),"Model S 70D")</f>
        <v>Model S 70D</v>
      </c>
      <c r="G1009" s="258" t="str">
        <f>IFERROR(__xludf.DUMMYFUNCTION("""COMPUTED_VALUE"""),"Twice a week")</f>
        <v>Twice a week</v>
      </c>
      <c r="H1009" s="258" t="str">
        <f>IFERROR(__xludf.DUMMYFUNCTION("""COMPUTED_VALUE"""),"A few times a year")</f>
        <v>A few times a year</v>
      </c>
      <c r="I1009" s="258" t="str">
        <f>IFERROR(__xludf.DUMMYFUNCTION("""COMPUTED_VALUE"""),"Never")</f>
        <v>Never</v>
      </c>
      <c r="J1009" s="260" t="str">
        <f>IFERROR(__xludf.DUMMYFUNCTION("""COMPUTED_VALUE"""),"")</f>
        <v/>
      </c>
      <c r="K1009" s="258">
        <f>IFERROR(__xludf.DUMMYFUNCTION("""COMPUTED_VALUE"""),366.0)</f>
        <v>366</v>
      </c>
      <c r="L1009" s="258" t="str">
        <f>IFERROR(__xludf.DUMMYFUNCTION("""COMPUTED_VALUE"""),"")</f>
        <v/>
      </c>
      <c r="M1009" s="261">
        <f>IFERROR(__xludf.DUMMYFUNCTION("""COMPUTED_VALUE"""),207.0)</f>
        <v>207</v>
      </c>
      <c r="N1009" s="262" t="str">
        <f>IFERROR(__xludf.DUMMYFUNCTION("""COMPUTED_VALUE"""),"")</f>
        <v/>
      </c>
      <c r="O1009" s="259" t="str">
        <f>IFERROR(__xludf.DUMMYFUNCTION("""COMPUTED_VALUE"""),"")</f>
        <v/>
      </c>
      <c r="P1009" s="259">
        <f>IFERROR(__xludf.DUMMYFUNCTION("""COMPUTED_VALUE"""),42459.0)</f>
        <v>42459</v>
      </c>
      <c r="Q1009" s="258">
        <f>IFERROR(__xludf.DUMMYFUNCTION("""COMPUTED_VALUE"""),49987.0)</f>
        <v>49987</v>
      </c>
      <c r="R1009" s="261">
        <f>IFERROR(__xludf.DUMMYFUNCTION("""COMPUTED_VALUE"""),358.0)</f>
        <v>358</v>
      </c>
      <c r="S1009" s="258">
        <v>360.0</v>
      </c>
      <c r="T1009" s="263">
        <v>0.9944444444444445</v>
      </c>
      <c r="U1009" s="264">
        <v>31060.0</v>
      </c>
      <c r="V1009" s="265">
        <v>49987.0</v>
      </c>
      <c r="W1009" s="264">
        <v>31060.0</v>
      </c>
      <c r="X1009" s="266"/>
      <c r="Y1009" s="267">
        <v>-0.01</v>
      </c>
      <c r="Z1009" s="267">
        <v>0.9596946912860213</v>
      </c>
      <c r="AA1009" s="269"/>
      <c r="AB1009" s="270"/>
      <c r="AC1009" s="270"/>
      <c r="AD1009" s="270"/>
      <c r="AE1009" s="270"/>
    </row>
    <row r="1010">
      <c r="A1010" s="256">
        <f>IFERROR(__xludf.DUMMYFUNCTION("""COMPUTED_VALUE"""),42351.24513888889)</f>
        <v>42351.24514</v>
      </c>
      <c r="B1010" s="257" t="str">
        <f>IFERROR(__xludf.DUMMYFUNCTION("""COMPUTED_VALUE"""),"Max 35111")</f>
        <v>Max 35111</v>
      </c>
      <c r="C1010" s="258" t="str">
        <f>IFERROR(__xludf.DUMMYFUNCTION("""COMPUTED_VALUE"""),"Europe (excluding UK) &amp; Asia Pacific")</f>
        <v>Europe (excluding UK) &amp; Asia Pacific</v>
      </c>
      <c r="D1010" s="258" t="str">
        <f>IFERROR(__xludf.DUMMYFUNCTION("""COMPUTED_VALUE"""),"km. My car displays range in kilometres and I will enter all range numbers in kilometres.")</f>
        <v>km. My car displays range in kilometres and I will enter all range numbers in kilometres.</v>
      </c>
      <c r="E1010" s="259">
        <f>IFERROR(__xludf.DUMMYFUNCTION("""COMPUTED_VALUE"""),42262.0)</f>
        <v>42262</v>
      </c>
      <c r="F1010" s="258" t="str">
        <f>IFERROR(__xludf.DUMMYFUNCTION("""COMPUTED_VALUE"""),"Model S 90D 2015")</f>
        <v>Model S 90D 2015</v>
      </c>
      <c r="G1010" s="258" t="str">
        <f>IFERROR(__xludf.DUMMYFUNCTION("""COMPUTED_VALUE"""),"A few times a year")</f>
        <v>A few times a year</v>
      </c>
      <c r="H1010" s="258" t="str">
        <f>IFERROR(__xludf.DUMMYFUNCTION("""COMPUTED_VALUE"""),"A few times a year")</f>
        <v>A few times a year</v>
      </c>
      <c r="I1010" s="258" t="str">
        <f>IFERROR(__xludf.DUMMYFUNCTION("""COMPUTED_VALUE"""),"A few times a year")</f>
        <v>A few times a year</v>
      </c>
      <c r="J1010" s="260">
        <f>IFERROR(__xludf.DUMMYFUNCTION("""COMPUTED_VALUE"""),0.9)</f>
        <v>0.9</v>
      </c>
      <c r="K1010" s="258">
        <f>IFERROR(__xludf.DUMMYFUNCTION("""COMPUTED_VALUE"""),421.0)</f>
        <v>421</v>
      </c>
      <c r="L1010" s="258" t="str">
        <f>IFERROR(__xludf.DUMMYFUNCTION("""COMPUTED_VALUE"""),"")</f>
        <v/>
      </c>
      <c r="M1010" s="261">
        <f>IFERROR(__xludf.DUMMYFUNCTION("""COMPUTED_VALUE"""),240.0)</f>
        <v>240</v>
      </c>
      <c r="N1010" s="262" t="str">
        <f>IFERROR(__xludf.DUMMYFUNCTION("""COMPUTED_VALUE"""),"")</f>
        <v/>
      </c>
      <c r="O1010" s="259" t="str">
        <f>IFERROR(__xludf.DUMMYFUNCTION("""COMPUTED_VALUE"""),"")</f>
        <v/>
      </c>
      <c r="P1010" s="259">
        <f>IFERROR(__xludf.DUMMYFUNCTION("""COMPUTED_VALUE"""),42351.0)</f>
        <v>42351</v>
      </c>
      <c r="Q1010" s="258">
        <f>IFERROR(__xludf.DUMMYFUNCTION("""COMPUTED_VALUE"""),1000.0)</f>
        <v>1000</v>
      </c>
      <c r="R1010" s="261">
        <f>IFERROR(__xludf.DUMMYFUNCTION("""COMPUTED_VALUE"""),421.0)</f>
        <v>421</v>
      </c>
      <c r="S1010" s="258">
        <v>427.0</v>
      </c>
      <c r="T1010" s="263">
        <v>0.9859484777517564</v>
      </c>
      <c r="U1010" s="264">
        <v>621.0</v>
      </c>
      <c r="V1010" s="265">
        <v>1000.0</v>
      </c>
      <c r="W1010" s="264">
        <v>621.0</v>
      </c>
      <c r="X1010" s="266"/>
      <c r="Y1010" s="267">
        <v>-0.01</v>
      </c>
      <c r="Z1010" s="267">
        <v>0.9980500211165332</v>
      </c>
      <c r="AA1010" s="269"/>
      <c r="AB1010" s="270"/>
      <c r="AC1010" s="270"/>
      <c r="AD1010" s="270"/>
      <c r="AE1010" s="270"/>
    </row>
    <row r="1011">
      <c r="A1011" s="256">
        <f>IFERROR(__xludf.DUMMYFUNCTION("""COMPUTED_VALUE"""),42136.898611111115)</f>
        <v>42136.89861</v>
      </c>
      <c r="B1011" s="257" t="str">
        <f>IFERROR(__xludf.DUMMYFUNCTION("""COMPUTED_VALUE"""),"Mayhemm")</f>
        <v>Mayhemm</v>
      </c>
      <c r="C1011" s="258" t="str">
        <f>IFERROR(__xludf.DUMMYFUNCTION("""COMPUTED_VALUE"""),"Canada")</f>
        <v>Canada</v>
      </c>
      <c r="D1011" s="258" t="str">
        <f>IFERROR(__xludf.DUMMYFUNCTION("""COMPUTED_VALUE"""),"km. My car displays range in kilometres and I will enter all range numbers in kilometres.")</f>
        <v>km. My car displays range in kilometres and I will enter all range numbers in kilometres.</v>
      </c>
      <c r="E1011" s="259">
        <f>IFERROR(__xludf.DUMMYFUNCTION("""COMPUTED_VALUE"""),41761.0)</f>
        <v>41761</v>
      </c>
      <c r="F1011" s="258" t="str">
        <f>IFERROR(__xludf.DUMMYFUNCTION("""COMPUTED_VALUE"""),"Model S P85+")</f>
        <v>Model S P85+</v>
      </c>
      <c r="G1011" s="258" t="str">
        <f>IFERROR(__xludf.DUMMYFUNCTION("""COMPUTED_VALUE"""),"A few times a year")</f>
        <v>A few times a year</v>
      </c>
      <c r="H1011" s="258" t="str">
        <f>IFERROR(__xludf.DUMMYFUNCTION("""COMPUTED_VALUE"""),"A few times a year")</f>
        <v>A few times a year</v>
      </c>
      <c r="I1011" s="258" t="str">
        <f>IFERROR(__xludf.DUMMYFUNCTION("""COMPUTED_VALUE"""),"A few times a year")</f>
        <v>A few times a year</v>
      </c>
      <c r="J1011" s="260">
        <f>IFERROR(__xludf.DUMMYFUNCTION("""COMPUTED_VALUE"""),0.7)</f>
        <v>0.7</v>
      </c>
      <c r="K1011" s="258" t="str">
        <f>IFERROR(__xludf.DUMMYFUNCTION("""COMPUTED_VALUE"""),"")</f>
        <v/>
      </c>
      <c r="L1011" s="258" t="str">
        <f>IFERROR(__xludf.DUMMYFUNCTION("""COMPUTED_VALUE"""),"")</f>
        <v/>
      </c>
      <c r="M1011" s="261">
        <f>IFERROR(__xludf.DUMMYFUNCTION("""COMPUTED_VALUE"""),201.0)</f>
        <v>201</v>
      </c>
      <c r="N1011" s="262" t="str">
        <f>IFERROR(__xludf.DUMMYFUNCTION("""COMPUTED_VALUE"""),"")</f>
        <v/>
      </c>
      <c r="O1011" s="259" t="str">
        <f>IFERROR(__xludf.DUMMYFUNCTION("""COMPUTED_VALUE"""),"")</f>
        <v/>
      </c>
      <c r="P1011" s="259">
        <f>IFERROR(__xludf.DUMMYFUNCTION("""COMPUTED_VALUE"""),42136.0)</f>
        <v>42136</v>
      </c>
      <c r="Q1011" s="258">
        <f>IFERROR(__xludf.DUMMYFUNCTION("""COMPUTED_VALUE"""),29628.8)</f>
        <v>29628.8</v>
      </c>
      <c r="R1011" s="261">
        <f>IFERROR(__xludf.DUMMYFUNCTION("""COMPUTED_VALUE"""),414.0)</f>
        <v>414</v>
      </c>
      <c r="S1011" s="258">
        <v>428.0</v>
      </c>
      <c r="T1011" s="263">
        <v>0.9672897196261683</v>
      </c>
      <c r="U1011" s="264">
        <v>18410.0</v>
      </c>
      <c r="V1011" s="265">
        <v>29628.8</v>
      </c>
      <c r="W1011" s="264">
        <v>18410.0</v>
      </c>
      <c r="X1011" s="266"/>
      <c r="Y1011" s="267">
        <v>-0.01</v>
      </c>
      <c r="Z1011" s="267">
        <v>0.9681623866807122</v>
      </c>
      <c r="AA1011" s="269"/>
      <c r="AB1011" s="270"/>
      <c r="AC1011" s="270"/>
      <c r="AD1011" s="270"/>
      <c r="AE1011" s="270"/>
    </row>
    <row r="1012">
      <c r="A1012" s="256">
        <f>IFERROR(__xludf.DUMMYFUNCTION("""COMPUTED_VALUE"""),42230.75277777778)</f>
        <v>42230.75278</v>
      </c>
      <c r="B1012" s="257" t="str">
        <f>IFERROR(__xludf.DUMMYFUNCTION("""COMPUTED_VALUE"""),"mcalahan")</f>
        <v>mcalahan</v>
      </c>
      <c r="C1012" s="258" t="str">
        <f>IFERROR(__xludf.DUMMYFUNCTION("""COMPUTED_VALUE"""),"USA")</f>
        <v>USA</v>
      </c>
      <c r="D1012" s="258" t="str">
        <f>IFERROR(__xludf.DUMMYFUNCTION("""COMPUTED_VALUE"""),"mi. My car displays range in miles and I will enter all range numbers in miles.")</f>
        <v>mi. My car displays range in miles and I will enter all range numbers in miles.</v>
      </c>
      <c r="E1012" s="259">
        <f>IFERROR(__xludf.DUMMYFUNCTION("""COMPUTED_VALUE"""),41958.0)</f>
        <v>41958</v>
      </c>
      <c r="F1012" s="258" t="str">
        <f>IFERROR(__xludf.DUMMYFUNCTION("""COMPUTED_VALUE"""),"Model S 85")</f>
        <v>Model S 85</v>
      </c>
      <c r="G1012" s="258" t="str">
        <f>IFERROR(__xludf.DUMMYFUNCTION("""COMPUTED_VALUE"""),"Twice a month")</f>
        <v>Twice a month</v>
      </c>
      <c r="H1012" s="258" t="str">
        <f>IFERROR(__xludf.DUMMYFUNCTION("""COMPUTED_VALUE"""),"Twice a month")</f>
        <v>Twice a month</v>
      </c>
      <c r="I1012" s="258" t="str">
        <f>IFERROR(__xludf.DUMMYFUNCTION("""COMPUTED_VALUE"""),"Once or twice a year")</f>
        <v>Once or twice a year</v>
      </c>
      <c r="J1012" s="260">
        <f>IFERROR(__xludf.DUMMYFUNCTION("""COMPUTED_VALUE"""),0.8)</f>
        <v>0.8</v>
      </c>
      <c r="K1012" s="258">
        <f>IFERROR(__xludf.DUMMYFUNCTION("""COMPUTED_VALUE"""),265.0)</f>
        <v>265</v>
      </c>
      <c r="L1012" s="258" t="str">
        <f>IFERROR(__xludf.DUMMYFUNCTION("""COMPUTED_VALUE"""),"")</f>
        <v/>
      </c>
      <c r="M1012" s="261">
        <f>IFERROR(__xludf.DUMMYFUNCTION("""COMPUTED_VALUE"""),307.0)</f>
        <v>307</v>
      </c>
      <c r="N1012" s="262" t="str">
        <f>IFERROR(__xludf.DUMMYFUNCTION("""COMPUTED_VALUE"""),"")</f>
        <v/>
      </c>
      <c r="O1012" s="259" t="str">
        <f>IFERROR(__xludf.DUMMYFUNCTION("""COMPUTED_VALUE"""),"")</f>
        <v/>
      </c>
      <c r="P1012" s="259">
        <f>IFERROR(__xludf.DUMMYFUNCTION("""COMPUTED_VALUE"""),42230.0)</f>
        <v>42230</v>
      </c>
      <c r="Q1012" s="258">
        <f>IFERROR(__xludf.DUMMYFUNCTION("""COMPUTED_VALUE"""),13734.0)</f>
        <v>13734</v>
      </c>
      <c r="R1012" s="261">
        <f>IFERROR(__xludf.DUMMYFUNCTION("""COMPUTED_VALUE"""),262.0)</f>
        <v>262</v>
      </c>
      <c r="S1012" s="258">
        <v>266.0</v>
      </c>
      <c r="T1012" s="263">
        <v>0.9849624060150376</v>
      </c>
      <c r="U1012" s="264">
        <v>13734.0</v>
      </c>
      <c r="V1012" s="265">
        <v>22103.0</v>
      </c>
      <c r="W1012" s="264">
        <v>13734.0</v>
      </c>
      <c r="X1012" s="266"/>
      <c r="Y1012" s="267">
        <v>-0.01</v>
      </c>
      <c r="Z1012" s="267">
        <v>0.9728823988692789</v>
      </c>
      <c r="AA1012" s="269"/>
      <c r="AB1012" s="270"/>
      <c r="AC1012" s="270"/>
      <c r="AD1012" s="270"/>
      <c r="AE1012" s="270"/>
    </row>
    <row r="1013">
      <c r="A1013" s="256">
        <f>IFERROR(__xludf.DUMMYFUNCTION("""COMPUTED_VALUE"""),42398.7875)</f>
        <v>42398.7875</v>
      </c>
      <c r="B1013" s="257" t="str">
        <f>IFERROR(__xludf.DUMMYFUNCTION("""COMPUTED_VALUE"""),"mcalahan")</f>
        <v>mcalahan</v>
      </c>
      <c r="C1013" s="258" t="str">
        <f>IFERROR(__xludf.DUMMYFUNCTION("""COMPUTED_VALUE"""),"USA")</f>
        <v>USA</v>
      </c>
      <c r="D1013" s="258" t="str">
        <f>IFERROR(__xludf.DUMMYFUNCTION("""COMPUTED_VALUE"""),"mi. My car displays range in miles and I will enter all range numbers in miles.")</f>
        <v>mi. My car displays range in miles and I will enter all range numbers in miles.</v>
      </c>
      <c r="E1013" s="259">
        <f>IFERROR(__xludf.DUMMYFUNCTION("""COMPUTED_VALUE"""),41958.0)</f>
        <v>41958</v>
      </c>
      <c r="F1013" s="258" t="str">
        <f>IFERROR(__xludf.DUMMYFUNCTION("""COMPUTED_VALUE"""),"Model S 85")</f>
        <v>Model S 85</v>
      </c>
      <c r="G1013" s="258" t="str">
        <f>IFERROR(__xludf.DUMMYFUNCTION("""COMPUTED_VALUE"""),"Twice a month")</f>
        <v>Twice a month</v>
      </c>
      <c r="H1013" s="258" t="str">
        <f>IFERROR(__xludf.DUMMYFUNCTION("""COMPUTED_VALUE"""),"Twice a month")</f>
        <v>Twice a month</v>
      </c>
      <c r="I1013" s="258" t="str">
        <f>IFERROR(__xludf.DUMMYFUNCTION("""COMPUTED_VALUE"""),"Monthly")</f>
        <v>Monthly</v>
      </c>
      <c r="J1013" s="260">
        <f>IFERROR(__xludf.DUMMYFUNCTION("""COMPUTED_VALUE"""),0.8)</f>
        <v>0.8</v>
      </c>
      <c r="K1013" s="258">
        <f>IFERROR(__xludf.DUMMYFUNCTION("""COMPUTED_VALUE"""),265.0)</f>
        <v>265</v>
      </c>
      <c r="L1013" s="258" t="str">
        <f>IFERROR(__xludf.DUMMYFUNCTION("""COMPUTED_VALUE"""),"")</f>
        <v/>
      </c>
      <c r="M1013" s="261">
        <f>IFERROR(__xludf.DUMMYFUNCTION("""COMPUTED_VALUE"""),310.0)</f>
        <v>310</v>
      </c>
      <c r="N1013" s="262" t="str">
        <f>IFERROR(__xludf.DUMMYFUNCTION("""COMPUTED_VALUE"""),"")</f>
        <v/>
      </c>
      <c r="O1013" s="259" t="str">
        <f>IFERROR(__xludf.DUMMYFUNCTION("""COMPUTED_VALUE"""),"")</f>
        <v/>
      </c>
      <c r="P1013" s="259">
        <f>IFERROR(__xludf.DUMMYFUNCTION("""COMPUTED_VALUE"""),42398.0)</f>
        <v>42398</v>
      </c>
      <c r="Q1013" s="258">
        <f>IFERROR(__xludf.DUMMYFUNCTION("""COMPUTED_VALUE"""),25283.0)</f>
        <v>25283</v>
      </c>
      <c r="R1013" s="261">
        <f>IFERROR(__xludf.DUMMYFUNCTION("""COMPUTED_VALUE"""),257.0)</f>
        <v>257</v>
      </c>
      <c r="S1013" s="258">
        <v>266.0</v>
      </c>
      <c r="T1013" s="263">
        <v>0.9661654135338346</v>
      </c>
      <c r="U1013" s="264">
        <v>25283.0</v>
      </c>
      <c r="V1013" s="265">
        <v>40689.0</v>
      </c>
      <c r="W1013" s="264">
        <v>25283.0</v>
      </c>
      <c r="X1013" s="266"/>
      <c r="Y1013" s="267">
        <v>-0.01</v>
      </c>
      <c r="Z1013" s="267">
        <v>0.9630327356077747</v>
      </c>
      <c r="AA1013" s="269"/>
      <c r="AB1013" s="270"/>
      <c r="AC1013" s="270"/>
      <c r="AD1013" s="270"/>
      <c r="AE1013" s="270"/>
    </row>
    <row r="1014">
      <c r="A1014" s="256">
        <f>IFERROR(__xludf.DUMMYFUNCTION("""COMPUTED_VALUE"""),42601.80347222222)</f>
        <v>42601.80347</v>
      </c>
      <c r="B1014" s="257" t="str">
        <f>IFERROR(__xludf.DUMMYFUNCTION("""COMPUTED_VALUE"""),"mcalahan")</f>
        <v>mcalahan</v>
      </c>
      <c r="C1014" s="258" t="str">
        <f>IFERROR(__xludf.DUMMYFUNCTION("""COMPUTED_VALUE"""),"USA")</f>
        <v>USA</v>
      </c>
      <c r="D1014" s="258" t="str">
        <f>IFERROR(__xludf.DUMMYFUNCTION("""COMPUTED_VALUE"""),"mi. My car displays range in miles and I will enter all range numbers in miles.")</f>
        <v>mi. My car displays range in miles and I will enter all range numbers in miles.</v>
      </c>
      <c r="E1014" s="259">
        <f>IFERROR(__xludf.DUMMYFUNCTION("""COMPUTED_VALUE"""),41958.0)</f>
        <v>41958</v>
      </c>
      <c r="F1014" s="258" t="str">
        <f>IFERROR(__xludf.DUMMYFUNCTION("""COMPUTED_VALUE"""),"Model S 85")</f>
        <v>Model S 85</v>
      </c>
      <c r="G1014" s="258" t="str">
        <f>IFERROR(__xludf.DUMMYFUNCTION("""COMPUTED_VALUE"""),"Twice a month")</f>
        <v>Twice a month</v>
      </c>
      <c r="H1014" s="258" t="str">
        <f>IFERROR(__xludf.DUMMYFUNCTION("""COMPUTED_VALUE"""),"Monthly")</f>
        <v>Monthly</v>
      </c>
      <c r="I1014" s="258" t="str">
        <f>IFERROR(__xludf.DUMMYFUNCTION("""COMPUTED_VALUE"""),"Monthly")</f>
        <v>Monthly</v>
      </c>
      <c r="J1014" s="260">
        <f>IFERROR(__xludf.DUMMYFUNCTION("""COMPUTED_VALUE"""),0.8)</f>
        <v>0.8</v>
      </c>
      <c r="K1014" s="258">
        <f>IFERROR(__xludf.DUMMYFUNCTION("""COMPUTED_VALUE"""),265.0)</f>
        <v>265</v>
      </c>
      <c r="L1014" s="258" t="str">
        <f>IFERROR(__xludf.DUMMYFUNCTION("""COMPUTED_VALUE"""),"")</f>
        <v/>
      </c>
      <c r="M1014" s="261">
        <f>IFERROR(__xludf.DUMMYFUNCTION("""COMPUTED_VALUE"""),312.0)</f>
        <v>312</v>
      </c>
      <c r="N1014" s="262" t="str">
        <f>IFERROR(__xludf.DUMMYFUNCTION("""COMPUTED_VALUE"""),"")</f>
        <v/>
      </c>
      <c r="O1014" s="259" t="str">
        <f>IFERROR(__xludf.DUMMYFUNCTION("""COMPUTED_VALUE"""),"")</f>
        <v/>
      </c>
      <c r="P1014" s="259">
        <f>IFERROR(__xludf.DUMMYFUNCTION("""COMPUTED_VALUE"""),42601.0)</f>
        <v>42601</v>
      </c>
      <c r="Q1014" s="258">
        <f>IFERROR(__xludf.DUMMYFUNCTION("""COMPUTED_VALUE"""),36967.0)</f>
        <v>36967</v>
      </c>
      <c r="R1014" s="261">
        <f>IFERROR(__xludf.DUMMYFUNCTION("""COMPUTED_VALUE"""),256.0)</f>
        <v>256</v>
      </c>
      <c r="S1014" s="258">
        <v>266.0</v>
      </c>
      <c r="T1014" s="263">
        <v>0.9624060150375939</v>
      </c>
      <c r="U1014" s="264">
        <v>36967.0</v>
      </c>
      <c r="V1014" s="265">
        <v>59493.0</v>
      </c>
      <c r="W1014" s="264">
        <v>36967.0</v>
      </c>
      <c r="X1014" s="266"/>
      <c r="Y1014" s="267">
        <v>-0.01</v>
      </c>
      <c r="Z1014" s="267">
        <v>0.9567954087950549</v>
      </c>
      <c r="AA1014" s="269"/>
      <c r="AB1014" s="270"/>
      <c r="AC1014" s="270"/>
      <c r="AD1014" s="270"/>
      <c r="AE1014" s="270"/>
    </row>
    <row r="1015">
      <c r="A1015" s="256">
        <f>IFERROR(__xludf.DUMMYFUNCTION("""COMPUTED_VALUE"""),43684.69235146991)</f>
        <v>43684.69235</v>
      </c>
      <c r="B1015" s="257" t="str">
        <f>IFERROR(__xludf.DUMMYFUNCTION("""COMPUTED_VALUE"""),"mcalahan")</f>
        <v>mcalahan</v>
      </c>
      <c r="C1015" s="258" t="str">
        <f>IFERROR(__xludf.DUMMYFUNCTION("""COMPUTED_VALUE"""),"USA")</f>
        <v>USA</v>
      </c>
      <c r="D1015" s="258" t="str">
        <f>IFERROR(__xludf.DUMMYFUNCTION("""COMPUTED_VALUE"""),"mi. My car displays range in miles and I will enter all range numbers in miles.")</f>
        <v>mi. My car displays range in miles and I will enter all range numbers in miles.</v>
      </c>
      <c r="E1015" s="259">
        <f>IFERROR(__xludf.DUMMYFUNCTION("""COMPUTED_VALUE"""),43784.0)</f>
        <v>43784</v>
      </c>
      <c r="F1015" s="258" t="str">
        <f>IFERROR(__xludf.DUMMYFUNCTION("""COMPUTED_VALUE"""),"Model S 85")</f>
        <v>Model S 85</v>
      </c>
      <c r="G1015" s="258" t="str">
        <f>IFERROR(__xludf.DUMMYFUNCTION("""COMPUTED_VALUE"""),"Twice a month")</f>
        <v>Twice a month</v>
      </c>
      <c r="H1015" s="258" t="str">
        <f>IFERROR(__xludf.DUMMYFUNCTION("""COMPUTED_VALUE"""),"Monthly")</f>
        <v>Monthly</v>
      </c>
      <c r="I1015" s="258" t="str">
        <f>IFERROR(__xludf.DUMMYFUNCTION("""COMPUTED_VALUE"""),"Monthly")</f>
        <v>Monthly</v>
      </c>
      <c r="J1015" s="260">
        <f>IFERROR(__xludf.DUMMYFUNCTION("""COMPUTED_VALUE"""),0.8)</f>
        <v>0.8</v>
      </c>
      <c r="K1015" s="258">
        <f>IFERROR(__xludf.DUMMYFUNCTION("""COMPUTED_VALUE"""),265.0)</f>
        <v>265</v>
      </c>
      <c r="L1015" s="258" t="str">
        <f>IFERROR(__xludf.DUMMYFUNCTION("""COMPUTED_VALUE"""),"")</f>
        <v/>
      </c>
      <c r="M1015" s="261">
        <f>IFERROR(__xludf.DUMMYFUNCTION("""COMPUTED_VALUE"""),314.0)</f>
        <v>314</v>
      </c>
      <c r="N1015" s="262" t="str">
        <f>IFERROR(__xludf.DUMMYFUNCTION("""COMPUTED_VALUE"""),"")</f>
        <v/>
      </c>
      <c r="O1015" s="259" t="str">
        <f>IFERROR(__xludf.DUMMYFUNCTION("""COMPUTED_VALUE"""),"")</f>
        <v/>
      </c>
      <c r="P1015" s="259">
        <f>IFERROR(__xludf.DUMMYFUNCTION("""COMPUTED_VALUE"""),43502.0)</f>
        <v>43502</v>
      </c>
      <c r="Q1015" s="258">
        <f>IFERROR(__xludf.DUMMYFUNCTION("""COMPUTED_VALUE"""),75612.0)</f>
        <v>75612</v>
      </c>
      <c r="R1015" s="261">
        <f>IFERROR(__xludf.DUMMYFUNCTION("""COMPUTED_VALUE"""),252.0)</f>
        <v>252</v>
      </c>
      <c r="S1015" s="258">
        <v>266.0</v>
      </c>
      <c r="T1015" s="263">
        <v>0.9473684210526315</v>
      </c>
      <c r="U1015" s="264">
        <v>75612.0</v>
      </c>
      <c r="V1015" s="265">
        <v>121686.0</v>
      </c>
      <c r="W1015" s="264">
        <v>75612.0</v>
      </c>
      <c r="X1015" s="266"/>
      <c r="Y1015" s="267">
        <v>-0.01</v>
      </c>
      <c r="Z1015" s="267">
        <v>0.9415187423696632</v>
      </c>
      <c r="AA1015" s="269"/>
      <c r="AB1015" s="270"/>
      <c r="AC1015" s="270"/>
      <c r="AD1015" s="270"/>
      <c r="AE1015" s="270"/>
    </row>
    <row r="1016">
      <c r="A1016" s="256">
        <f>IFERROR(__xludf.DUMMYFUNCTION("""COMPUTED_VALUE"""),42317.757638888885)</f>
        <v>42317.75764</v>
      </c>
      <c r="B1016" s="257" t="str">
        <f>IFERROR(__xludf.DUMMYFUNCTION("""COMPUTED_VALUE"""),"Me")</f>
        <v>Me</v>
      </c>
      <c r="C1016" s="258" t="str">
        <f>IFERROR(__xludf.DUMMYFUNCTION("""COMPUTED_VALUE"""),"USA")</f>
        <v>USA</v>
      </c>
      <c r="D1016" s="258" t="str">
        <f>IFERROR(__xludf.DUMMYFUNCTION("""COMPUTED_VALUE"""),"mi. My car displays range in miles and I will enter all range numbers in miles.")</f>
        <v>mi. My car displays range in miles and I will enter all range numbers in miles.</v>
      </c>
      <c r="E1016" s="259">
        <f>IFERROR(__xludf.DUMMYFUNCTION("""COMPUTED_VALUE"""),42013.0)</f>
        <v>42013</v>
      </c>
      <c r="F1016" s="258" t="str">
        <f>IFERROR(__xludf.DUMMYFUNCTION("""COMPUTED_VALUE"""),"Model S P85")</f>
        <v>Model S P85</v>
      </c>
      <c r="G1016" s="258" t="str">
        <f>IFERROR(__xludf.DUMMYFUNCTION("""COMPUTED_VALUE"""),"Monthly")</f>
        <v>Monthly</v>
      </c>
      <c r="H1016" s="258" t="str">
        <f>IFERROR(__xludf.DUMMYFUNCTION("""COMPUTED_VALUE"""),"A few times a year")</f>
        <v>A few times a year</v>
      </c>
      <c r="I1016" s="258" t="str">
        <f>IFERROR(__xludf.DUMMYFUNCTION("""COMPUTED_VALUE"""),"A few times a year")</f>
        <v>A few times a year</v>
      </c>
      <c r="J1016" s="260">
        <f>IFERROR(__xludf.DUMMYFUNCTION("""COMPUTED_VALUE"""),0.8)</f>
        <v>0.8</v>
      </c>
      <c r="K1016" s="258" t="str">
        <f>IFERROR(__xludf.DUMMYFUNCTION("""COMPUTED_VALUE"""),"")</f>
        <v/>
      </c>
      <c r="L1016" s="258" t="str">
        <f>IFERROR(__xludf.DUMMYFUNCTION("""COMPUTED_VALUE"""),"")</f>
        <v/>
      </c>
      <c r="M1016" s="261">
        <f>IFERROR(__xludf.DUMMYFUNCTION("""COMPUTED_VALUE"""),355.0)</f>
        <v>355</v>
      </c>
      <c r="N1016" s="262" t="str">
        <f>IFERROR(__xludf.DUMMYFUNCTION("""COMPUTED_VALUE"""),"")</f>
        <v/>
      </c>
      <c r="O1016" s="259" t="str">
        <f>IFERROR(__xludf.DUMMYFUNCTION("""COMPUTED_VALUE"""),"")</f>
        <v/>
      </c>
      <c r="P1016" s="259">
        <f>IFERROR(__xludf.DUMMYFUNCTION("""COMPUTED_VALUE"""),42317.0)</f>
        <v>42317</v>
      </c>
      <c r="Q1016" s="258">
        <f>IFERROR(__xludf.DUMMYFUNCTION("""COMPUTED_VALUE"""),34500.0)</f>
        <v>34500</v>
      </c>
      <c r="R1016" s="261">
        <f>IFERROR(__xludf.DUMMYFUNCTION("""COMPUTED_VALUE"""),260.0)</f>
        <v>260</v>
      </c>
      <c r="S1016" s="258">
        <v>266.0</v>
      </c>
      <c r="T1016" s="263">
        <v>0.9774436090225563</v>
      </c>
      <c r="U1016" s="264">
        <v>34500.0</v>
      </c>
      <c r="V1016" s="265">
        <v>55522.0</v>
      </c>
      <c r="W1016" s="264">
        <v>34500.0</v>
      </c>
      <c r="X1016" s="266"/>
      <c r="Y1016" s="267">
        <v>-0.01</v>
      </c>
      <c r="Z1016" s="267">
        <v>0.9579600456871442</v>
      </c>
      <c r="AA1016" s="269"/>
      <c r="AB1016" s="270"/>
      <c r="AC1016" s="270"/>
      <c r="AD1016" s="270"/>
      <c r="AE1016" s="270"/>
    </row>
    <row r="1017">
      <c r="A1017" s="256">
        <f>IFERROR(__xludf.DUMMYFUNCTION("""COMPUTED_VALUE"""),42676.89166666666)</f>
        <v>42676.89167</v>
      </c>
      <c r="B1017" s="257" t="str">
        <f>IFERROR(__xludf.DUMMYFUNCTION("""COMPUTED_VALUE"""),"memesweeper")</f>
        <v>memesweeper</v>
      </c>
      <c r="C1017" s="258" t="str">
        <f>IFERROR(__xludf.DUMMYFUNCTION("""COMPUTED_VALUE"""),"UK")</f>
        <v>UK</v>
      </c>
      <c r="D1017" s="258" t="str">
        <f>IFERROR(__xludf.DUMMYFUNCTION("""COMPUTED_VALUE"""),"mi. My car displays range in miles and I will enter all range numbers in miles.")</f>
        <v>mi. My car displays range in miles and I will enter all range numbers in miles.</v>
      </c>
      <c r="E1017" s="259">
        <f>IFERROR(__xludf.DUMMYFUNCTION("""COMPUTED_VALUE"""),42289.0)</f>
        <v>42289</v>
      </c>
      <c r="F1017" s="258" t="str">
        <f>IFERROR(__xludf.DUMMYFUNCTION("""COMPUTED_VALUE"""),"Model S 85D")</f>
        <v>Model S 85D</v>
      </c>
      <c r="G1017" s="258" t="str">
        <f>IFERROR(__xludf.DUMMYFUNCTION("""COMPUTED_VALUE"""),"Daily")</f>
        <v>Daily</v>
      </c>
      <c r="H1017" s="258" t="str">
        <f>IFERROR(__xludf.DUMMYFUNCTION("""COMPUTED_VALUE"""),"Monthly")</f>
        <v>Monthly</v>
      </c>
      <c r="I1017" s="258" t="str">
        <f>IFERROR(__xludf.DUMMYFUNCTION("""COMPUTED_VALUE"""),"A few times a year")</f>
        <v>A few times a year</v>
      </c>
      <c r="J1017" s="260">
        <f>IFERROR(__xludf.DUMMYFUNCTION("""COMPUTED_VALUE"""),0.9)</f>
        <v>0.9</v>
      </c>
      <c r="K1017" s="258" t="str">
        <f>IFERROR(__xludf.DUMMYFUNCTION("""COMPUTED_VALUE"""),"")</f>
        <v/>
      </c>
      <c r="L1017" s="258" t="str">
        <f>IFERROR(__xludf.DUMMYFUNCTION("""COMPUTED_VALUE"""),"")</f>
        <v/>
      </c>
      <c r="M1017" s="261">
        <f>IFERROR(__xludf.DUMMYFUNCTION("""COMPUTED_VALUE"""),345.0)</f>
        <v>345</v>
      </c>
      <c r="N1017" s="262" t="str">
        <f>IFERROR(__xludf.DUMMYFUNCTION("""COMPUTED_VALUE"""),"")</f>
        <v/>
      </c>
      <c r="O1017" s="259" t="str">
        <f>IFERROR(__xludf.DUMMYFUNCTION("""COMPUTED_VALUE"""),"")</f>
        <v/>
      </c>
      <c r="P1017" s="259">
        <f>IFERROR(__xludf.DUMMYFUNCTION("""COMPUTED_VALUE"""),42676.0)</f>
        <v>42676</v>
      </c>
      <c r="Q1017" s="258">
        <f>IFERROR(__xludf.DUMMYFUNCTION("""COMPUTED_VALUE"""),34653.0)</f>
        <v>34653</v>
      </c>
      <c r="R1017" s="261">
        <f>IFERROR(__xludf.DUMMYFUNCTION("""COMPUTED_VALUE"""),256.0)</f>
        <v>256</v>
      </c>
      <c r="S1017" s="258">
        <v>264.0</v>
      </c>
      <c r="T1017" s="263">
        <v>0.9696969696969697</v>
      </c>
      <c r="U1017" s="264">
        <v>34653.0</v>
      </c>
      <c r="V1017" s="265">
        <v>55769.0</v>
      </c>
      <c r="W1017" s="264">
        <v>34653.0</v>
      </c>
      <c r="X1017" s="266"/>
      <c r="Y1017" s="267">
        <v>-0.01</v>
      </c>
      <c r="Z1017" s="267">
        <v>0.9578858733163903</v>
      </c>
      <c r="AA1017" s="269"/>
      <c r="AB1017" s="270"/>
      <c r="AC1017" s="270"/>
      <c r="AD1017" s="270"/>
      <c r="AE1017" s="270"/>
    </row>
    <row r="1018">
      <c r="A1018" s="256">
        <f>IFERROR(__xludf.DUMMYFUNCTION("""COMPUTED_VALUE"""),41900.00347222222)</f>
        <v>41900.00347</v>
      </c>
      <c r="B1018" s="257" t="str">
        <f>IFERROR(__xludf.DUMMYFUNCTION("""COMPUTED_VALUE"""),"Merijn")</f>
        <v>Merijn</v>
      </c>
      <c r="C1018" s="258" t="str">
        <f>IFERROR(__xludf.DUMMYFUNCTION("""COMPUTED_VALUE"""),"Europe (excluding UK) &amp; Asia Pacific")</f>
        <v>Europe (excluding UK) &amp; Asia Pacific</v>
      </c>
      <c r="D1018" s="258" t="str">
        <f>IFERROR(__xludf.DUMMYFUNCTION("""COMPUTED_VALUE"""),"km. My car displays range in kilometres and I will enter all range numbers in kilometres.")</f>
        <v>km. My car displays range in kilometres and I will enter all range numbers in kilometres.</v>
      </c>
      <c r="E1018" s="259">
        <f>IFERROR(__xludf.DUMMYFUNCTION("""COMPUTED_VALUE"""),41596.0)</f>
        <v>41596</v>
      </c>
      <c r="F1018" s="258" t="str">
        <f>IFERROR(__xludf.DUMMYFUNCTION("""COMPUTED_VALUE"""),"Model S 85")</f>
        <v>Model S 85</v>
      </c>
      <c r="G1018" s="258" t="str">
        <f>IFERROR(__xludf.DUMMYFUNCTION("""COMPUTED_VALUE"""),"Never")</f>
        <v>Never</v>
      </c>
      <c r="H1018" s="258" t="str">
        <f>IFERROR(__xludf.DUMMYFUNCTION("""COMPUTED_VALUE"""),"Never")</f>
        <v>Never</v>
      </c>
      <c r="I1018" s="258" t="str">
        <f>IFERROR(__xludf.DUMMYFUNCTION("""COMPUTED_VALUE"""),"Never")</f>
        <v>Never</v>
      </c>
      <c r="J1018" s="260" t="str">
        <f>IFERROR(__xludf.DUMMYFUNCTION("""COMPUTED_VALUE"""),"")</f>
        <v/>
      </c>
      <c r="K1018" s="258" t="str">
        <f>IFERROR(__xludf.DUMMYFUNCTION("""COMPUTED_VALUE"""),"")</f>
        <v/>
      </c>
      <c r="L1018" s="258" t="str">
        <f>IFERROR(__xludf.DUMMYFUNCTION("""COMPUTED_VALUE"""),"")</f>
        <v/>
      </c>
      <c r="M1018" s="261">
        <f>IFERROR(__xludf.DUMMYFUNCTION("""COMPUTED_VALUE"""),224.0)</f>
        <v>224</v>
      </c>
      <c r="N1018" s="262" t="str">
        <f>IFERROR(__xludf.DUMMYFUNCTION("""COMPUTED_VALUE"""),"")</f>
        <v/>
      </c>
      <c r="O1018" s="259" t="str">
        <f>IFERROR(__xludf.DUMMYFUNCTION("""COMPUTED_VALUE"""),"")</f>
        <v/>
      </c>
      <c r="P1018" s="259">
        <f>IFERROR(__xludf.DUMMYFUNCTION("""COMPUTED_VALUE"""),41900.0)</f>
        <v>41900</v>
      </c>
      <c r="Q1018" s="258">
        <f>IFERROR(__xludf.DUMMYFUNCTION("""COMPUTED_VALUE"""),35000.0)</f>
        <v>35000</v>
      </c>
      <c r="R1018" s="261">
        <f>IFERROR(__xludf.DUMMYFUNCTION("""COMPUTED_VALUE"""),381.0)</f>
        <v>381</v>
      </c>
      <c r="S1018" s="258">
        <v>395.0</v>
      </c>
      <c r="T1018" s="263">
        <v>0.9645569620253165</v>
      </c>
      <c r="U1018" s="264">
        <v>21748.0</v>
      </c>
      <c r="V1018" s="265">
        <v>35000.0</v>
      </c>
      <c r="W1018" s="264">
        <v>21748.0</v>
      </c>
      <c r="X1018" s="266"/>
      <c r="Y1018" s="267">
        <v>-0.01</v>
      </c>
      <c r="Z1018" s="267">
        <v>0.96546529312767</v>
      </c>
      <c r="AA1018" s="269"/>
      <c r="AB1018" s="270"/>
      <c r="AC1018" s="270"/>
      <c r="AD1018" s="270"/>
      <c r="AE1018" s="270"/>
    </row>
    <row r="1019">
      <c r="A1019" s="256">
        <f>IFERROR(__xludf.DUMMYFUNCTION("""COMPUTED_VALUE"""),41959.038888888885)</f>
        <v>41959.03889</v>
      </c>
      <c r="B1019" s="257" t="str">
        <f>IFERROR(__xludf.DUMMYFUNCTION("""COMPUTED_VALUE"""),"Merijn")</f>
        <v>Merijn</v>
      </c>
      <c r="C1019" s="258" t="str">
        <f>IFERROR(__xludf.DUMMYFUNCTION("""COMPUTED_VALUE"""),"Europe (excluding UK) &amp; Asia Pacific")</f>
        <v>Europe (excluding UK) &amp; Asia Pacific</v>
      </c>
      <c r="D1019" s="258" t="str">
        <f>IFERROR(__xludf.DUMMYFUNCTION("""COMPUTED_VALUE"""),"km. My car displays range in kilometres and I will enter all range numbers in kilometres.")</f>
        <v>km. My car displays range in kilometres and I will enter all range numbers in kilometres.</v>
      </c>
      <c r="E1019" s="259">
        <f>IFERROR(__xludf.DUMMYFUNCTION("""COMPUTED_VALUE"""),41596.0)</f>
        <v>41596</v>
      </c>
      <c r="F1019" s="258" t="str">
        <f>IFERROR(__xludf.DUMMYFUNCTION("""COMPUTED_VALUE"""),"Model S 85")</f>
        <v>Model S 85</v>
      </c>
      <c r="G1019" s="258" t="str">
        <f>IFERROR(__xludf.DUMMYFUNCTION("""COMPUTED_VALUE"""),"Monthly")</f>
        <v>Monthly</v>
      </c>
      <c r="H1019" s="258" t="str">
        <f>IFERROR(__xludf.DUMMYFUNCTION("""COMPUTED_VALUE"""),"Twice a month")</f>
        <v>Twice a month</v>
      </c>
      <c r="I1019" s="258" t="str">
        <f>IFERROR(__xludf.DUMMYFUNCTION("""COMPUTED_VALUE"""),"Monthly")</f>
        <v>Monthly</v>
      </c>
      <c r="J1019" s="260" t="str">
        <f>IFERROR(__xludf.DUMMYFUNCTION("""COMPUTED_VALUE"""),"")</f>
        <v/>
      </c>
      <c r="K1019" s="258" t="str">
        <f>IFERROR(__xludf.DUMMYFUNCTION("""COMPUTED_VALUE"""),"")</f>
        <v/>
      </c>
      <c r="L1019" s="258" t="str">
        <f>IFERROR(__xludf.DUMMYFUNCTION("""COMPUTED_VALUE"""),"")</f>
        <v/>
      </c>
      <c r="M1019" s="261">
        <f>IFERROR(__xludf.DUMMYFUNCTION("""COMPUTED_VALUE"""),223.0)</f>
        <v>223</v>
      </c>
      <c r="N1019" s="262" t="str">
        <f>IFERROR(__xludf.DUMMYFUNCTION("""COMPUTED_VALUE"""),"")</f>
        <v/>
      </c>
      <c r="O1019" s="259" t="str">
        <f>IFERROR(__xludf.DUMMYFUNCTION("""COMPUTED_VALUE"""),"")</f>
        <v/>
      </c>
      <c r="P1019" s="259">
        <f>IFERROR(__xludf.DUMMYFUNCTION("""COMPUTED_VALUE"""),41959.0)</f>
        <v>41959</v>
      </c>
      <c r="Q1019" s="258">
        <f>IFERROR(__xludf.DUMMYFUNCTION("""COMPUTED_VALUE"""),42000.0)</f>
        <v>42000</v>
      </c>
      <c r="R1019" s="261">
        <f>IFERROR(__xludf.DUMMYFUNCTION("""COMPUTED_VALUE"""),380.0)</f>
        <v>380</v>
      </c>
      <c r="S1019" s="258">
        <v>395.0</v>
      </c>
      <c r="T1019" s="263">
        <v>0.9620253164556962</v>
      </c>
      <c r="U1019" s="264">
        <v>26098.0</v>
      </c>
      <c r="V1019" s="265">
        <v>42000.0</v>
      </c>
      <c r="W1019" s="264">
        <v>26098.0</v>
      </c>
      <c r="X1019" s="266"/>
      <c r="Y1019" s="267">
        <v>-0.01</v>
      </c>
      <c r="Z1019" s="267">
        <v>0.9625206103339731</v>
      </c>
      <c r="AA1019" s="269"/>
      <c r="AB1019" s="270"/>
      <c r="AC1019" s="270"/>
      <c r="AD1019" s="270"/>
      <c r="AE1019" s="270"/>
    </row>
    <row r="1020">
      <c r="A1020" s="256">
        <f>IFERROR(__xludf.DUMMYFUNCTION("""COMPUTED_VALUE"""),41989.04583333334)</f>
        <v>41989.04583</v>
      </c>
      <c r="B1020" s="257" t="str">
        <f>IFERROR(__xludf.DUMMYFUNCTION("""COMPUTED_VALUE"""),"Merijn")</f>
        <v>Merijn</v>
      </c>
      <c r="C1020" s="258" t="str">
        <f>IFERROR(__xludf.DUMMYFUNCTION("""COMPUTED_VALUE"""),"Europe (excluding UK) &amp; Asia Pacific")</f>
        <v>Europe (excluding UK) &amp; Asia Pacific</v>
      </c>
      <c r="D1020" s="258" t="str">
        <f>IFERROR(__xludf.DUMMYFUNCTION("""COMPUTED_VALUE"""),"km. My car displays range in kilometres and I will enter all range numbers in kilometres.")</f>
        <v>km. My car displays range in kilometres and I will enter all range numbers in kilometres.</v>
      </c>
      <c r="E1020" s="259">
        <f>IFERROR(__xludf.DUMMYFUNCTION("""COMPUTED_VALUE"""),41596.0)</f>
        <v>41596</v>
      </c>
      <c r="F1020" s="258" t="str">
        <f>IFERROR(__xludf.DUMMYFUNCTION("""COMPUTED_VALUE"""),"Model S 85")</f>
        <v>Model S 85</v>
      </c>
      <c r="G1020" s="258" t="str">
        <f>IFERROR(__xludf.DUMMYFUNCTION("""COMPUTED_VALUE"""),"Twice a month")</f>
        <v>Twice a month</v>
      </c>
      <c r="H1020" s="258" t="str">
        <f>IFERROR(__xludf.DUMMYFUNCTION("""COMPUTED_VALUE"""),"Twice a month")</f>
        <v>Twice a month</v>
      </c>
      <c r="I1020" s="258" t="str">
        <f>IFERROR(__xludf.DUMMYFUNCTION("""COMPUTED_VALUE"""),"Monthly")</f>
        <v>Monthly</v>
      </c>
      <c r="J1020" s="260" t="str">
        <f>IFERROR(__xludf.DUMMYFUNCTION("""COMPUTED_VALUE"""),"")</f>
        <v/>
      </c>
      <c r="K1020" s="258" t="str">
        <f>IFERROR(__xludf.DUMMYFUNCTION("""COMPUTED_VALUE"""),"")</f>
        <v/>
      </c>
      <c r="L1020" s="258" t="str">
        <f>IFERROR(__xludf.DUMMYFUNCTION("""COMPUTED_VALUE"""),"")</f>
        <v/>
      </c>
      <c r="M1020" s="261">
        <f>IFERROR(__xludf.DUMMYFUNCTION("""COMPUTED_VALUE"""),225.0)</f>
        <v>225</v>
      </c>
      <c r="N1020" s="262" t="str">
        <f>IFERROR(__xludf.DUMMYFUNCTION("""COMPUTED_VALUE"""),"")</f>
        <v/>
      </c>
      <c r="O1020" s="259" t="str">
        <f>IFERROR(__xludf.DUMMYFUNCTION("""COMPUTED_VALUE"""),"")</f>
        <v/>
      </c>
      <c r="P1020" s="259">
        <f>IFERROR(__xludf.DUMMYFUNCTION("""COMPUTED_VALUE"""),41989.0)</f>
        <v>41989</v>
      </c>
      <c r="Q1020" s="258">
        <f>IFERROR(__xludf.DUMMYFUNCTION("""COMPUTED_VALUE"""),45000.0)</f>
        <v>45000</v>
      </c>
      <c r="R1020" s="261">
        <f>IFERROR(__xludf.DUMMYFUNCTION("""COMPUTED_VALUE"""),378.0)</f>
        <v>378</v>
      </c>
      <c r="S1020" s="258">
        <v>395.0</v>
      </c>
      <c r="T1020" s="263">
        <v>0.9569620253164557</v>
      </c>
      <c r="U1020" s="264">
        <v>27962.0</v>
      </c>
      <c r="V1020" s="265">
        <v>45000.0</v>
      </c>
      <c r="W1020" s="264">
        <v>27962.0</v>
      </c>
      <c r="X1020" s="266"/>
      <c r="Y1020" s="267">
        <v>-0.01</v>
      </c>
      <c r="Z1020" s="267">
        <v>0.961404798047548</v>
      </c>
      <c r="AA1020" s="269"/>
      <c r="AB1020" s="270"/>
      <c r="AC1020" s="270"/>
      <c r="AD1020" s="270"/>
      <c r="AE1020" s="270"/>
    </row>
    <row r="1021">
      <c r="A1021" s="256">
        <f>IFERROR(__xludf.DUMMYFUNCTION("""COMPUTED_VALUE"""),42055.075694444444)</f>
        <v>42055.07569</v>
      </c>
      <c r="B1021" s="257" t="str">
        <f>IFERROR(__xludf.DUMMYFUNCTION("""COMPUTED_VALUE"""),"Merijn")</f>
        <v>Merijn</v>
      </c>
      <c r="C1021" s="258" t="str">
        <f>IFERROR(__xludf.DUMMYFUNCTION("""COMPUTED_VALUE"""),"Europe (excluding UK) &amp; Asia Pacific")</f>
        <v>Europe (excluding UK) &amp; Asia Pacific</v>
      </c>
      <c r="D1021" s="258" t="str">
        <f>IFERROR(__xludf.DUMMYFUNCTION("""COMPUTED_VALUE"""),"km. My car displays range in kilometres and I will enter all range numbers in kilometres.")</f>
        <v>km. My car displays range in kilometres and I will enter all range numbers in kilometres.</v>
      </c>
      <c r="E1021" s="259">
        <f>IFERROR(__xludf.DUMMYFUNCTION("""COMPUTED_VALUE"""),41596.0)</f>
        <v>41596</v>
      </c>
      <c r="F1021" s="258" t="str">
        <f>IFERROR(__xludf.DUMMYFUNCTION("""COMPUTED_VALUE"""),"Model S 85")</f>
        <v>Model S 85</v>
      </c>
      <c r="G1021" s="258" t="str">
        <f>IFERROR(__xludf.DUMMYFUNCTION("""COMPUTED_VALUE"""),"Twice a month")</f>
        <v>Twice a month</v>
      </c>
      <c r="H1021" s="258" t="str">
        <f>IFERROR(__xludf.DUMMYFUNCTION("""COMPUTED_VALUE"""),"Twice a month")</f>
        <v>Twice a month</v>
      </c>
      <c r="I1021" s="258" t="str">
        <f>IFERROR(__xludf.DUMMYFUNCTION("""COMPUTED_VALUE"""),"A few times a year")</f>
        <v>A few times a year</v>
      </c>
      <c r="J1021" s="260" t="str">
        <f>IFERROR(__xludf.DUMMYFUNCTION("""COMPUTED_VALUE"""),"")</f>
        <v/>
      </c>
      <c r="K1021" s="258" t="str">
        <f>IFERROR(__xludf.DUMMYFUNCTION("""COMPUTED_VALUE"""),"")</f>
        <v/>
      </c>
      <c r="L1021" s="258" t="str">
        <f>IFERROR(__xludf.DUMMYFUNCTION("""COMPUTED_VALUE"""),"")</f>
        <v/>
      </c>
      <c r="M1021" s="261">
        <f>IFERROR(__xludf.DUMMYFUNCTION("""COMPUTED_VALUE"""),228.0)</f>
        <v>228</v>
      </c>
      <c r="N1021" s="262" t="str">
        <f>IFERROR(__xludf.DUMMYFUNCTION("""COMPUTED_VALUE"""),"")</f>
        <v/>
      </c>
      <c r="O1021" s="259" t="str">
        <f>IFERROR(__xludf.DUMMYFUNCTION("""COMPUTED_VALUE"""),"")</f>
        <v/>
      </c>
      <c r="P1021" s="259">
        <f>IFERROR(__xludf.DUMMYFUNCTION("""COMPUTED_VALUE"""),42055.0)</f>
        <v>42055</v>
      </c>
      <c r="Q1021" s="258">
        <f>IFERROR(__xludf.DUMMYFUNCTION("""COMPUTED_VALUE"""),54432.0)</f>
        <v>54432</v>
      </c>
      <c r="R1021" s="261">
        <f>IFERROR(__xludf.DUMMYFUNCTION("""COMPUTED_VALUE"""),376.0)</f>
        <v>376</v>
      </c>
      <c r="S1021" s="258">
        <v>395.0</v>
      </c>
      <c r="T1021" s="263">
        <v>0.9518987341772152</v>
      </c>
      <c r="U1021" s="264">
        <v>33822.0</v>
      </c>
      <c r="V1021" s="265">
        <v>54432.0</v>
      </c>
      <c r="W1021" s="264">
        <v>33822.0</v>
      </c>
      <c r="X1021" s="266"/>
      <c r="Y1021" s="267">
        <v>-0.01</v>
      </c>
      <c r="Z1021" s="267">
        <v>0.9582903861721063</v>
      </c>
      <c r="AA1021" s="269"/>
      <c r="AB1021" s="270"/>
      <c r="AC1021" s="270"/>
      <c r="AD1021" s="270"/>
      <c r="AE1021" s="270"/>
    </row>
    <row r="1022">
      <c r="A1022" s="256">
        <f>IFERROR(__xludf.DUMMYFUNCTION("""COMPUTED_VALUE"""),42112.1)</f>
        <v>42112.1</v>
      </c>
      <c r="B1022" s="257" t="str">
        <f>IFERROR(__xludf.DUMMYFUNCTION("""COMPUTED_VALUE"""),"Merijn")</f>
        <v>Merijn</v>
      </c>
      <c r="C1022" s="258" t="str">
        <f>IFERROR(__xludf.DUMMYFUNCTION("""COMPUTED_VALUE"""),"Europe (excluding UK) &amp; Asia Pacific")</f>
        <v>Europe (excluding UK) &amp; Asia Pacific</v>
      </c>
      <c r="D1022" s="258" t="str">
        <f>IFERROR(__xludf.DUMMYFUNCTION("""COMPUTED_VALUE"""),"km. My car displays range in kilometres and I will enter all range numbers in kilometres.")</f>
        <v>km. My car displays range in kilometres and I will enter all range numbers in kilometres.</v>
      </c>
      <c r="E1022" s="259">
        <f>IFERROR(__xludf.DUMMYFUNCTION("""COMPUTED_VALUE"""),41596.0)</f>
        <v>41596</v>
      </c>
      <c r="F1022" s="258" t="str">
        <f>IFERROR(__xludf.DUMMYFUNCTION("""COMPUTED_VALUE"""),"Model S 85")</f>
        <v>Model S 85</v>
      </c>
      <c r="G1022" s="258" t="str">
        <f>IFERROR(__xludf.DUMMYFUNCTION("""COMPUTED_VALUE"""),"Twice a month")</f>
        <v>Twice a month</v>
      </c>
      <c r="H1022" s="258" t="str">
        <f>IFERROR(__xludf.DUMMYFUNCTION("""COMPUTED_VALUE"""),"Twice a month")</f>
        <v>Twice a month</v>
      </c>
      <c r="I1022" s="258" t="str">
        <f>IFERROR(__xludf.DUMMYFUNCTION("""COMPUTED_VALUE"""),"Monthly")</f>
        <v>Monthly</v>
      </c>
      <c r="J1022" s="260" t="str">
        <f>IFERROR(__xludf.DUMMYFUNCTION("""COMPUTED_VALUE"""),"")</f>
        <v/>
      </c>
      <c r="K1022" s="258" t="str">
        <f>IFERROR(__xludf.DUMMYFUNCTION("""COMPUTED_VALUE"""),"")</f>
        <v/>
      </c>
      <c r="L1022" s="258" t="str">
        <f>IFERROR(__xludf.DUMMYFUNCTION("""COMPUTED_VALUE"""),"")</f>
        <v/>
      </c>
      <c r="M1022" s="261">
        <f>IFERROR(__xludf.DUMMYFUNCTION("""COMPUTED_VALUE"""),229.0)</f>
        <v>229</v>
      </c>
      <c r="N1022" s="262" t="str">
        <f>IFERROR(__xludf.DUMMYFUNCTION("""COMPUTED_VALUE"""),"")</f>
        <v/>
      </c>
      <c r="O1022" s="259" t="str">
        <f>IFERROR(__xludf.DUMMYFUNCTION("""COMPUTED_VALUE"""),"")</f>
        <v/>
      </c>
      <c r="P1022" s="259">
        <f>IFERROR(__xludf.DUMMYFUNCTION("""COMPUTED_VALUE"""),42112.0)</f>
        <v>42112</v>
      </c>
      <c r="Q1022" s="258">
        <f>IFERROR(__xludf.DUMMYFUNCTION("""COMPUTED_VALUE"""),60555.0)</f>
        <v>60555</v>
      </c>
      <c r="R1022" s="261">
        <f>IFERROR(__xludf.DUMMYFUNCTION("""COMPUTED_VALUE"""),369.0)</f>
        <v>369</v>
      </c>
      <c r="S1022" s="258">
        <v>395.0</v>
      </c>
      <c r="T1022" s="263">
        <v>0.9341772151898734</v>
      </c>
      <c r="U1022" s="264">
        <v>37627.0</v>
      </c>
      <c r="V1022" s="265">
        <v>60555.0</v>
      </c>
      <c r="W1022" s="264">
        <v>37627.0</v>
      </c>
      <c r="X1022" s="266"/>
      <c r="Y1022" s="267">
        <v>-0.01</v>
      </c>
      <c r="Z1022" s="267">
        <v>0.9564931121008449</v>
      </c>
      <c r="AA1022" s="269"/>
      <c r="AB1022" s="270"/>
      <c r="AC1022" s="270"/>
      <c r="AD1022" s="270"/>
      <c r="AE1022" s="270"/>
    </row>
    <row r="1023">
      <c r="A1023" s="256">
        <f>IFERROR(__xludf.DUMMYFUNCTION("""COMPUTED_VALUE"""),42957.57083333333)</f>
        <v>42957.57083</v>
      </c>
      <c r="B1023" s="257" t="str">
        <f>IFERROR(__xludf.DUMMYFUNCTION("""COMPUTED_VALUE"""),"merlinfive")</f>
        <v>merlinfive</v>
      </c>
      <c r="C1023" s="258" t="str">
        <f>IFERROR(__xludf.DUMMYFUNCTION("""COMPUTED_VALUE"""),"Europe (excluding UK) &amp; Asia Pacific")</f>
        <v>Europe (excluding UK) &amp; Asia Pacific</v>
      </c>
      <c r="D1023" s="258" t="str">
        <f>IFERROR(__xludf.DUMMYFUNCTION("""COMPUTED_VALUE"""),"km. My car displays range in kilometres and I will enter all range numbers in kilometres.")</f>
        <v>km. My car displays range in kilometres and I will enter all range numbers in kilometres.</v>
      </c>
      <c r="E1023" s="259">
        <f>IFERROR(__xludf.DUMMYFUNCTION("""COMPUTED_VALUE"""),42180.0)</f>
        <v>42180</v>
      </c>
      <c r="F1023" s="258" t="str">
        <f>IFERROR(__xludf.DUMMYFUNCTION("""COMPUTED_VALUE"""),"Model S 85D")</f>
        <v>Model S 85D</v>
      </c>
      <c r="G1023" s="258" t="str">
        <f>IFERROR(__xludf.DUMMYFUNCTION("""COMPUTED_VALUE"""),"Twice a month")</f>
        <v>Twice a month</v>
      </c>
      <c r="H1023" s="258" t="str">
        <f>IFERROR(__xludf.DUMMYFUNCTION("""COMPUTED_VALUE"""),"A few times a year")</f>
        <v>A few times a year</v>
      </c>
      <c r="I1023" s="258" t="str">
        <f>IFERROR(__xludf.DUMMYFUNCTION("""COMPUTED_VALUE"""),"A few times a year")</f>
        <v>A few times a year</v>
      </c>
      <c r="J1023" s="260">
        <f>IFERROR(__xludf.DUMMYFUNCTION("""COMPUTED_VALUE"""),0.9)</f>
        <v>0.9</v>
      </c>
      <c r="K1023" s="258">
        <f>IFERROR(__xludf.DUMMYFUNCTION("""COMPUTED_VALUE"""),405.0)</f>
        <v>405</v>
      </c>
      <c r="L1023" s="258" t="str">
        <f>IFERROR(__xludf.DUMMYFUNCTION("""COMPUTED_VALUE"""),"")</f>
        <v/>
      </c>
      <c r="M1023" s="261">
        <f>IFERROR(__xludf.DUMMYFUNCTION("""COMPUTED_VALUE"""),230.0)</f>
        <v>230</v>
      </c>
      <c r="N1023" s="262" t="str">
        <f>IFERROR(__xludf.DUMMYFUNCTION("""COMPUTED_VALUE"""),"")</f>
        <v/>
      </c>
      <c r="O1023" s="259" t="str">
        <f>IFERROR(__xludf.DUMMYFUNCTION("""COMPUTED_VALUE"""),"")</f>
        <v/>
      </c>
      <c r="P1023" s="259">
        <f>IFERROR(__xludf.DUMMYFUNCTION("""COMPUTED_VALUE"""),42957.0)</f>
        <v>42957</v>
      </c>
      <c r="Q1023" s="258">
        <f>IFERROR(__xludf.DUMMYFUNCTION("""COMPUTED_VALUE"""),114321.0)</f>
        <v>114321</v>
      </c>
      <c r="R1023" s="261">
        <f>IFERROR(__xludf.DUMMYFUNCTION("""COMPUTED_VALUE"""),408.0)</f>
        <v>408</v>
      </c>
      <c r="S1023" s="258">
        <v>425.0</v>
      </c>
      <c r="T1023" s="263">
        <v>0.96</v>
      </c>
      <c r="U1023" s="264">
        <v>71036.0</v>
      </c>
      <c r="V1023" s="265">
        <v>114321.0</v>
      </c>
      <c r="W1023" s="264">
        <v>71036.0</v>
      </c>
      <c r="X1023" s="266"/>
      <c r="Y1023" s="267">
        <v>-0.01</v>
      </c>
      <c r="Z1023" s="267">
        <v>0.9432312252202464</v>
      </c>
      <c r="AA1023" s="269"/>
      <c r="AB1023" s="270"/>
      <c r="AC1023" s="270"/>
      <c r="AD1023" s="270"/>
      <c r="AE1023" s="270"/>
    </row>
    <row r="1024">
      <c r="A1024" s="256">
        <f>IFERROR(__xludf.DUMMYFUNCTION("""COMPUTED_VALUE"""),43182.72986111111)</f>
        <v>43182.72986</v>
      </c>
      <c r="B1024" s="257" t="str">
        <f>IFERROR(__xludf.DUMMYFUNCTION("""COMPUTED_VALUE"""),"merzhase")</f>
        <v>merzhase</v>
      </c>
      <c r="C1024" s="258" t="str">
        <f>IFERROR(__xludf.DUMMYFUNCTION("""COMPUTED_VALUE"""),"Europe (excluding UK) &amp; Asia Pacific")</f>
        <v>Europe (excluding UK) &amp; Asia Pacific</v>
      </c>
      <c r="D1024" s="258" t="str">
        <f>IFERROR(__xludf.DUMMYFUNCTION("""COMPUTED_VALUE"""),"km. My car displays range in kilometres and I will enter all range numbers in kilometres.")</f>
        <v>km. My car displays range in kilometres and I will enter all range numbers in kilometres.</v>
      </c>
      <c r="E1024" s="259">
        <f>IFERROR(__xludf.DUMMYFUNCTION("""COMPUTED_VALUE"""),43077.0)</f>
        <v>43077</v>
      </c>
      <c r="F1024" s="258" t="str">
        <f>IFERROR(__xludf.DUMMYFUNCTION("""COMPUTED_VALUE"""),"Model S 75D")</f>
        <v>Model S 75D</v>
      </c>
      <c r="G1024" s="258" t="str">
        <f>IFERROR(__xludf.DUMMYFUNCTION("""COMPUTED_VALUE"""),"Twice a week")</f>
        <v>Twice a week</v>
      </c>
      <c r="H1024" s="258" t="str">
        <f>IFERROR(__xludf.DUMMYFUNCTION("""COMPUTED_VALUE"""),"Twice a month")</f>
        <v>Twice a month</v>
      </c>
      <c r="I1024" s="258" t="str">
        <f>IFERROR(__xludf.DUMMYFUNCTION("""COMPUTED_VALUE"""),"A few times a year")</f>
        <v>A few times a year</v>
      </c>
      <c r="J1024" s="260">
        <f>IFERROR(__xludf.DUMMYFUNCTION("""COMPUTED_VALUE"""),0.5)</f>
        <v>0.5</v>
      </c>
      <c r="K1024" s="258">
        <f>IFERROR(__xludf.DUMMYFUNCTION("""COMPUTED_VALUE"""),393.0)</f>
        <v>393</v>
      </c>
      <c r="L1024" s="258" t="str">
        <f>IFERROR(__xludf.DUMMYFUNCTION("""COMPUTED_VALUE"""),"")</f>
        <v/>
      </c>
      <c r="M1024" s="261">
        <f>IFERROR(__xludf.DUMMYFUNCTION("""COMPUTED_VALUE"""),239.0)</f>
        <v>239</v>
      </c>
      <c r="N1024" s="262" t="str">
        <f>IFERROR(__xludf.DUMMYFUNCTION("""COMPUTED_VALUE"""),"")</f>
        <v/>
      </c>
      <c r="O1024" s="259" t="str">
        <f>IFERROR(__xludf.DUMMYFUNCTION("""COMPUTED_VALUE"""),"")</f>
        <v/>
      </c>
      <c r="P1024" s="259">
        <f>IFERROR(__xludf.DUMMYFUNCTION("""COMPUTED_VALUE"""),43182.0)</f>
        <v>43182</v>
      </c>
      <c r="Q1024" s="258">
        <f>IFERROR(__xludf.DUMMYFUNCTION("""COMPUTED_VALUE"""),10245.0)</f>
        <v>10245</v>
      </c>
      <c r="R1024" s="261">
        <f>IFERROR(__xludf.DUMMYFUNCTION("""COMPUTED_VALUE"""),389.0)</f>
        <v>389</v>
      </c>
      <c r="S1024" s="258">
        <v>384.0</v>
      </c>
      <c r="T1024" s="263">
        <v>1.0130208333333333</v>
      </c>
      <c r="U1024" s="264">
        <v>6366.0</v>
      </c>
      <c r="V1024" s="265">
        <v>10245.0</v>
      </c>
      <c r="W1024" s="264">
        <v>6366.0</v>
      </c>
      <c r="X1024" s="266"/>
      <c r="Y1024" s="267">
        <v>-0.01</v>
      </c>
      <c r="Z1024" s="267">
        <v>0.9839756257086646</v>
      </c>
      <c r="AA1024" s="269"/>
      <c r="AB1024" s="270"/>
      <c r="AC1024" s="270"/>
      <c r="AD1024" s="270"/>
      <c r="AE1024" s="270"/>
    </row>
    <row r="1025">
      <c r="A1025" s="256">
        <f>IFERROR(__xludf.DUMMYFUNCTION("""COMPUTED_VALUE"""),43024.62638888889)</f>
        <v>43024.62639</v>
      </c>
      <c r="B1025" s="257" t="str">
        <f>IFERROR(__xludf.DUMMYFUNCTION("""COMPUTED_VALUE"""),"mguw")</f>
        <v>mguw</v>
      </c>
      <c r="C1025" s="258" t="str">
        <f>IFERROR(__xludf.DUMMYFUNCTION("""COMPUTED_VALUE"""),"Europe (excluding UK) &amp; Asia Pacific")</f>
        <v>Europe (excluding UK) &amp; Asia Pacific</v>
      </c>
      <c r="D1025" s="258" t="str">
        <f>IFERROR(__xludf.DUMMYFUNCTION("""COMPUTED_VALUE"""),"km. My car displays range in kilometres and I will enter all range numbers in kilometres.")</f>
        <v>km. My car displays range in kilometres and I will enter all range numbers in kilometres.</v>
      </c>
      <c r="E1025" s="259">
        <f>IFERROR(__xludf.DUMMYFUNCTION("""COMPUTED_VALUE"""),42339.0)</f>
        <v>42339</v>
      </c>
      <c r="F1025" s="258" t="str">
        <f>IFERROR(__xludf.DUMMYFUNCTION("""COMPUTED_VALUE"""),"Model S 85D")</f>
        <v>Model S 85D</v>
      </c>
      <c r="G1025" s="258" t="str">
        <f>IFERROR(__xludf.DUMMYFUNCTION("""COMPUTED_VALUE"""),"Twice a month")</f>
        <v>Twice a month</v>
      </c>
      <c r="H1025" s="258" t="str">
        <f>IFERROR(__xludf.DUMMYFUNCTION("""COMPUTED_VALUE"""),"Monthly")</f>
        <v>Monthly</v>
      </c>
      <c r="I1025" s="258" t="str">
        <f>IFERROR(__xludf.DUMMYFUNCTION("""COMPUTED_VALUE"""),"A few times a year")</f>
        <v>A few times a year</v>
      </c>
      <c r="J1025" s="260">
        <f>IFERROR(__xludf.DUMMYFUNCTION("""COMPUTED_VALUE"""),0.8)</f>
        <v>0.8</v>
      </c>
      <c r="K1025" s="258">
        <f>IFERROR(__xludf.DUMMYFUNCTION("""COMPUTED_VALUE"""),428.0)</f>
        <v>428</v>
      </c>
      <c r="L1025" s="258" t="str">
        <f>IFERROR(__xludf.DUMMYFUNCTION("""COMPUTED_VALUE"""),"")</f>
        <v/>
      </c>
      <c r="M1025" s="261">
        <f>IFERROR(__xludf.DUMMYFUNCTION("""COMPUTED_VALUE"""),222.0)</f>
        <v>222</v>
      </c>
      <c r="N1025" s="262" t="str">
        <f>IFERROR(__xludf.DUMMYFUNCTION("""COMPUTED_VALUE"""),"")</f>
        <v/>
      </c>
      <c r="O1025" s="259" t="str">
        <f>IFERROR(__xludf.DUMMYFUNCTION("""COMPUTED_VALUE"""),"")</f>
        <v/>
      </c>
      <c r="P1025" s="259">
        <f>IFERROR(__xludf.DUMMYFUNCTION("""COMPUTED_VALUE"""),43024.0)</f>
        <v>43024</v>
      </c>
      <c r="Q1025" s="258">
        <f>IFERROR(__xludf.DUMMYFUNCTION("""COMPUTED_VALUE"""),52000.0)</f>
        <v>52000</v>
      </c>
      <c r="R1025" s="261">
        <f>IFERROR(__xludf.DUMMYFUNCTION("""COMPUTED_VALUE"""),417.0)</f>
        <v>417</v>
      </c>
      <c r="S1025" s="258">
        <v>425.0</v>
      </c>
      <c r="T1025" s="263">
        <v>0.9811764705882353</v>
      </c>
      <c r="U1025" s="264">
        <v>32311.0</v>
      </c>
      <c r="V1025" s="265">
        <v>52000.0</v>
      </c>
      <c r="W1025" s="264">
        <v>32311.0</v>
      </c>
      <c r="X1025" s="266"/>
      <c r="Y1025" s="267">
        <v>-0.01</v>
      </c>
      <c r="Z1025" s="267">
        <v>0.9590465565366617</v>
      </c>
      <c r="AA1025" s="269"/>
      <c r="AB1025" s="270"/>
      <c r="AC1025" s="270"/>
      <c r="AD1025" s="270"/>
      <c r="AE1025" s="270"/>
    </row>
    <row r="1026">
      <c r="A1026" s="256">
        <f>IFERROR(__xludf.DUMMYFUNCTION("""COMPUTED_VALUE"""),43157.87430555555)</f>
        <v>43157.87431</v>
      </c>
      <c r="B1026" s="257" t="str">
        <f>IFERROR(__xludf.DUMMYFUNCTION("""COMPUTED_VALUE"""),"Michael")</f>
        <v>Michael</v>
      </c>
      <c r="C1026" s="258" t="str">
        <f>IFERROR(__xludf.DUMMYFUNCTION("""COMPUTED_VALUE"""),"USA")</f>
        <v>USA</v>
      </c>
      <c r="D1026" s="258" t="str">
        <f>IFERROR(__xludf.DUMMYFUNCTION("""COMPUTED_VALUE"""),"mi. My car displays range in miles and I will enter all range numbers in miles.")</f>
        <v>mi. My car displays range in miles and I will enter all range numbers in miles.</v>
      </c>
      <c r="E1026" s="259">
        <f>IFERROR(__xludf.DUMMYFUNCTION("""COMPUTED_VALUE"""),41285.0)</f>
        <v>41285</v>
      </c>
      <c r="F1026" s="258" t="str">
        <f>IFERROR(__xludf.DUMMYFUNCTION("""COMPUTED_VALUE"""),"Model S 85")</f>
        <v>Model S 85</v>
      </c>
      <c r="G1026" s="258" t="str">
        <f>IFERROR(__xludf.DUMMYFUNCTION("""COMPUTED_VALUE"""),"Weekly")</f>
        <v>Weekly</v>
      </c>
      <c r="H1026" s="258" t="str">
        <f>IFERROR(__xludf.DUMMYFUNCTION("""COMPUTED_VALUE"""),"Monthly")</f>
        <v>Monthly</v>
      </c>
      <c r="I1026" s="258" t="str">
        <f>IFERROR(__xludf.DUMMYFUNCTION("""COMPUTED_VALUE"""),"Twice a month")</f>
        <v>Twice a month</v>
      </c>
      <c r="J1026" s="260">
        <f>IFERROR(__xludf.DUMMYFUNCTION("""COMPUTED_VALUE"""),0.8)</f>
        <v>0.8</v>
      </c>
      <c r="K1026" s="258" t="str">
        <f>IFERROR(__xludf.DUMMYFUNCTION("""COMPUTED_VALUE"""),"")</f>
        <v/>
      </c>
      <c r="L1026" s="258" t="str">
        <f>IFERROR(__xludf.DUMMYFUNCTION("""COMPUTED_VALUE"""),"")</f>
        <v/>
      </c>
      <c r="M1026" s="261">
        <f>IFERROR(__xludf.DUMMYFUNCTION("""COMPUTED_VALUE"""),317.0)</f>
        <v>317</v>
      </c>
      <c r="N1026" s="262" t="str">
        <f>IFERROR(__xludf.DUMMYFUNCTION("""COMPUTED_VALUE"""),"")</f>
        <v/>
      </c>
      <c r="O1026" s="259" t="str">
        <f>IFERROR(__xludf.DUMMYFUNCTION("""COMPUTED_VALUE"""),"")</f>
        <v/>
      </c>
      <c r="P1026" s="259">
        <f>IFERROR(__xludf.DUMMYFUNCTION("""COMPUTED_VALUE"""),43157.0)</f>
        <v>43157</v>
      </c>
      <c r="Q1026" s="258">
        <f>IFERROR(__xludf.DUMMYFUNCTION("""COMPUTED_VALUE"""),88024.0)</f>
        <v>88024</v>
      </c>
      <c r="R1026" s="261">
        <f>IFERROR(__xludf.DUMMYFUNCTION("""COMPUTED_VALUE"""),256.0)</f>
        <v>256</v>
      </c>
      <c r="S1026" s="258">
        <v>266.0</v>
      </c>
      <c r="T1026" s="263">
        <v>0.9624060150375939</v>
      </c>
      <c r="U1026" s="264">
        <v>88024.0</v>
      </c>
      <c r="V1026" s="265">
        <v>141661.0</v>
      </c>
      <c r="W1026" s="264">
        <v>88024.0</v>
      </c>
      <c r="X1026" s="266"/>
      <c r="Y1026" s="267">
        <v>-0.01</v>
      </c>
      <c r="Z1026" s="267">
        <v>0.9368938739957553</v>
      </c>
      <c r="AA1026" s="269"/>
      <c r="AB1026" s="270"/>
      <c r="AC1026" s="270"/>
      <c r="AD1026" s="270"/>
      <c r="AE1026" s="270"/>
    </row>
    <row r="1027">
      <c r="A1027" s="256">
        <f>IFERROR(__xludf.DUMMYFUNCTION("""COMPUTED_VALUE"""),42861.82916666666)</f>
        <v>42861.82917</v>
      </c>
      <c r="B1027" s="257" t="str">
        <f>IFERROR(__xludf.DUMMYFUNCTION("""COMPUTED_VALUE"""),"Miiln Patel")</f>
        <v>Miiln Patel</v>
      </c>
      <c r="C1027" s="258" t="str">
        <f>IFERROR(__xludf.DUMMYFUNCTION("""COMPUTED_VALUE"""),"USA")</f>
        <v>USA</v>
      </c>
      <c r="D1027" s="258" t="str">
        <f>IFERROR(__xludf.DUMMYFUNCTION("""COMPUTED_VALUE"""),"mi. My car displays range in miles and I will enter all range numbers in miles.")</f>
        <v>mi. My car displays range in miles and I will enter all range numbers in miles.</v>
      </c>
      <c r="E1027" s="259">
        <f>IFERROR(__xludf.DUMMYFUNCTION("""COMPUTED_VALUE"""),42528.0)</f>
        <v>42528</v>
      </c>
      <c r="F1027" s="258" t="str">
        <f>IFERROR(__xludf.DUMMYFUNCTION("""COMPUTED_VALUE"""),"Model X 90D")</f>
        <v>Model X 90D</v>
      </c>
      <c r="G1027" s="258" t="str">
        <f>IFERROR(__xludf.DUMMYFUNCTION("""COMPUTED_VALUE"""),"Twice a month")</f>
        <v>Twice a month</v>
      </c>
      <c r="H1027" s="258" t="str">
        <f>IFERROR(__xludf.DUMMYFUNCTION("""COMPUTED_VALUE"""),"Twice a month")</f>
        <v>Twice a month</v>
      </c>
      <c r="I1027" s="258" t="str">
        <f>IFERROR(__xludf.DUMMYFUNCTION("""COMPUTED_VALUE"""),"A few times a year")</f>
        <v>A few times a year</v>
      </c>
      <c r="J1027" s="260">
        <f>IFERROR(__xludf.DUMMYFUNCTION("""COMPUTED_VALUE"""),0.7)</f>
        <v>0.7</v>
      </c>
      <c r="K1027" s="258">
        <f>IFERROR(__xludf.DUMMYFUNCTION("""COMPUTED_VALUE"""),259.0)</f>
        <v>259</v>
      </c>
      <c r="L1027" s="258" t="str">
        <f>IFERROR(__xludf.DUMMYFUNCTION("""COMPUTED_VALUE"""),"")</f>
        <v/>
      </c>
      <c r="M1027" s="261">
        <f>IFERROR(__xludf.DUMMYFUNCTION("""COMPUTED_VALUE"""),347.0)</f>
        <v>347</v>
      </c>
      <c r="N1027" s="262" t="str">
        <f>IFERROR(__xludf.DUMMYFUNCTION("""COMPUTED_VALUE"""),"")</f>
        <v/>
      </c>
      <c r="O1027" s="259" t="str">
        <f>IFERROR(__xludf.DUMMYFUNCTION("""COMPUTED_VALUE"""),"")</f>
        <v/>
      </c>
      <c r="P1027" s="259">
        <f>IFERROR(__xludf.DUMMYFUNCTION("""COMPUTED_VALUE"""),42861.0)</f>
        <v>42861</v>
      </c>
      <c r="Q1027" s="258">
        <f>IFERROR(__xludf.DUMMYFUNCTION("""COMPUTED_VALUE"""),14391.0)</f>
        <v>14391</v>
      </c>
      <c r="R1027" s="261">
        <f>IFERROR(__xludf.DUMMYFUNCTION("""COMPUTED_VALUE"""),257.0)</f>
        <v>257</v>
      </c>
      <c r="S1027" s="258">
        <v>257.0</v>
      </c>
      <c r="T1027" s="263">
        <v>1.0</v>
      </c>
      <c r="U1027" s="264">
        <v>14391.0</v>
      </c>
      <c r="V1027" s="265">
        <v>23160.0</v>
      </c>
      <c r="W1027" s="264">
        <v>14391.0</v>
      </c>
      <c r="X1027" s="266"/>
      <c r="Y1027" s="267">
        <v>-0.01</v>
      </c>
      <c r="Z1027" s="267">
        <v>0.9721366918004726</v>
      </c>
      <c r="AA1027" s="269"/>
      <c r="AB1027" s="270"/>
      <c r="AC1027" s="270"/>
      <c r="AD1027" s="270"/>
      <c r="AE1027" s="270"/>
    </row>
    <row r="1028">
      <c r="A1028" s="256">
        <f>IFERROR(__xludf.DUMMYFUNCTION("""COMPUTED_VALUE"""),42802.51041666667)</f>
        <v>42802.51042</v>
      </c>
      <c r="B1028" s="257" t="str">
        <f>IFERROR(__xludf.DUMMYFUNCTION("""COMPUTED_VALUE"""),"mikelger")</f>
        <v>mikelger</v>
      </c>
      <c r="C1028" s="258" t="str">
        <f>IFERROR(__xludf.DUMMYFUNCTION("""COMPUTED_VALUE"""),"Europe (excluding UK) &amp; Asia Pacific")</f>
        <v>Europe (excluding UK) &amp; Asia Pacific</v>
      </c>
      <c r="D1028" s="258" t="str">
        <f>IFERROR(__xludf.DUMMYFUNCTION("""COMPUTED_VALUE"""),"km. My car displays range in kilometres and I will enter all range numbers in kilometres.")</f>
        <v>km. My car displays range in kilometres and I will enter all range numbers in kilometres.</v>
      </c>
      <c r="E1028" s="259">
        <f>IFERROR(__xludf.DUMMYFUNCTION("""COMPUTED_VALUE"""),42448.0)</f>
        <v>42448</v>
      </c>
      <c r="F1028" s="258" t="str">
        <f>IFERROR(__xludf.DUMMYFUNCTION("""COMPUTED_VALUE"""),"Model S 85D")</f>
        <v>Model S 85D</v>
      </c>
      <c r="G1028" s="258" t="str">
        <f>IFERROR(__xludf.DUMMYFUNCTION("""COMPUTED_VALUE"""),"Weekly")</f>
        <v>Weekly</v>
      </c>
      <c r="H1028" s="258" t="str">
        <f>IFERROR(__xludf.DUMMYFUNCTION("""COMPUTED_VALUE"""),"Never")</f>
        <v>Never</v>
      </c>
      <c r="I1028" s="258" t="str">
        <f>IFERROR(__xludf.DUMMYFUNCTION("""COMPUTED_VALUE"""),"A few times a year")</f>
        <v>A few times a year</v>
      </c>
      <c r="J1028" s="260">
        <f>IFERROR(__xludf.DUMMYFUNCTION("""COMPUTED_VALUE"""),0.5)</f>
        <v>0.5</v>
      </c>
      <c r="K1028" s="258">
        <f>IFERROR(__xludf.DUMMYFUNCTION("""COMPUTED_VALUE"""),430.0)</f>
        <v>430</v>
      </c>
      <c r="L1028" s="258" t="str">
        <f>IFERROR(__xludf.DUMMYFUNCTION("""COMPUTED_VALUE"""),"")</f>
        <v/>
      </c>
      <c r="M1028" s="261">
        <f>IFERROR(__xludf.DUMMYFUNCTION("""COMPUTED_VALUE"""),211.0)</f>
        <v>211</v>
      </c>
      <c r="N1028" s="262" t="str">
        <f>IFERROR(__xludf.DUMMYFUNCTION("""COMPUTED_VALUE"""),"")</f>
        <v/>
      </c>
      <c r="O1028" s="259" t="str">
        <f>IFERROR(__xludf.DUMMYFUNCTION("""COMPUTED_VALUE"""),"")</f>
        <v/>
      </c>
      <c r="P1028" s="259">
        <f>IFERROR(__xludf.DUMMYFUNCTION("""COMPUTED_VALUE"""),42802.0)</f>
        <v>42802</v>
      </c>
      <c r="Q1028" s="258">
        <f>IFERROR(__xludf.DUMMYFUNCTION("""COMPUTED_VALUE"""),26663.0)</f>
        <v>26663</v>
      </c>
      <c r="R1028" s="261">
        <f>IFERROR(__xludf.DUMMYFUNCTION("""COMPUTED_VALUE"""),430.0)</f>
        <v>430</v>
      </c>
      <c r="S1028" s="258">
        <v>425.0</v>
      </c>
      <c r="T1028" s="263">
        <v>1.011764705882353</v>
      </c>
      <c r="U1028" s="264">
        <v>16568.0</v>
      </c>
      <c r="V1028" s="265">
        <v>26663.0</v>
      </c>
      <c r="W1028" s="264">
        <v>16568.0</v>
      </c>
      <c r="X1028" s="266"/>
      <c r="Y1028" s="267">
        <v>-0.01</v>
      </c>
      <c r="Z1028" s="267">
        <v>0.9698695634009985</v>
      </c>
      <c r="AA1028" s="269"/>
      <c r="AB1028" s="270"/>
      <c r="AC1028" s="270"/>
      <c r="AD1028" s="270"/>
      <c r="AE1028" s="270"/>
    </row>
    <row r="1029">
      <c r="A1029" s="256">
        <f>IFERROR(__xludf.DUMMYFUNCTION("""COMPUTED_VALUE"""),43013.61597222222)</f>
        <v>43013.61597</v>
      </c>
      <c r="B1029" s="257" t="str">
        <f>IFERROR(__xludf.DUMMYFUNCTION("""COMPUTED_VALUE"""),"mikelger")</f>
        <v>mikelger</v>
      </c>
      <c r="C1029" s="258" t="str">
        <f>IFERROR(__xludf.DUMMYFUNCTION("""COMPUTED_VALUE"""),"Europe (excluding UK) &amp; Asia Pacific")</f>
        <v>Europe (excluding UK) &amp; Asia Pacific</v>
      </c>
      <c r="D1029" s="258" t="str">
        <f>IFERROR(__xludf.DUMMYFUNCTION("""COMPUTED_VALUE"""),"km. My car displays range in kilometres and I will enter all range numbers in kilometres.")</f>
        <v>km. My car displays range in kilometres and I will enter all range numbers in kilometres.</v>
      </c>
      <c r="E1029" s="259">
        <f>IFERROR(__xludf.DUMMYFUNCTION("""COMPUTED_VALUE"""),42448.0)</f>
        <v>42448</v>
      </c>
      <c r="F1029" s="258" t="str">
        <f>IFERROR(__xludf.DUMMYFUNCTION("""COMPUTED_VALUE"""),"Model S 85D")</f>
        <v>Model S 85D</v>
      </c>
      <c r="G1029" s="258" t="str">
        <f>IFERROR(__xludf.DUMMYFUNCTION("""COMPUTED_VALUE"""),"Weekly")</f>
        <v>Weekly</v>
      </c>
      <c r="H1029" s="258" t="str">
        <f>IFERROR(__xludf.DUMMYFUNCTION("""COMPUTED_VALUE"""),"Never")</f>
        <v>Never</v>
      </c>
      <c r="I1029" s="258" t="str">
        <f>IFERROR(__xludf.DUMMYFUNCTION("""COMPUTED_VALUE"""),"Never")</f>
        <v>Never</v>
      </c>
      <c r="J1029" s="260">
        <f>IFERROR(__xludf.DUMMYFUNCTION("""COMPUTED_VALUE"""),0.7)</f>
        <v>0.7</v>
      </c>
      <c r="K1029" s="258">
        <f>IFERROR(__xludf.DUMMYFUNCTION("""COMPUTED_VALUE"""),430.0)</f>
        <v>430</v>
      </c>
      <c r="L1029" s="258" t="str">
        <f>IFERROR(__xludf.DUMMYFUNCTION("""COMPUTED_VALUE"""),"")</f>
        <v/>
      </c>
      <c r="M1029" s="261">
        <f>IFERROR(__xludf.DUMMYFUNCTION("""COMPUTED_VALUE"""),206.2)</f>
        <v>206.2</v>
      </c>
      <c r="N1029" s="262" t="str">
        <f>IFERROR(__xludf.DUMMYFUNCTION("""COMPUTED_VALUE"""),"")</f>
        <v/>
      </c>
      <c r="O1029" s="259" t="str">
        <f>IFERROR(__xludf.DUMMYFUNCTION("""COMPUTED_VALUE"""),"")</f>
        <v/>
      </c>
      <c r="P1029" s="259">
        <f>IFERROR(__xludf.DUMMYFUNCTION("""COMPUTED_VALUE"""),43013.0)</f>
        <v>43013</v>
      </c>
      <c r="Q1029" s="258">
        <f>IFERROR(__xludf.DUMMYFUNCTION("""COMPUTED_VALUE"""),39929.0)</f>
        <v>39929</v>
      </c>
      <c r="R1029" s="261">
        <f>IFERROR(__xludf.DUMMYFUNCTION("""COMPUTED_VALUE"""),429.0)</f>
        <v>429</v>
      </c>
      <c r="S1029" s="258">
        <v>425.0</v>
      </c>
      <c r="T1029" s="263">
        <v>1.0094117647058825</v>
      </c>
      <c r="U1029" s="264">
        <v>24811.0</v>
      </c>
      <c r="V1029" s="265">
        <v>39929.0</v>
      </c>
      <c r="W1029" s="264">
        <v>24811.0</v>
      </c>
      <c r="X1029" s="266"/>
      <c r="Y1029" s="267">
        <v>-0.01</v>
      </c>
      <c r="Z1029" s="267">
        <v>0.9633371442076327</v>
      </c>
      <c r="AA1029" s="269"/>
      <c r="AB1029" s="270"/>
      <c r="AC1029" s="270"/>
      <c r="AD1029" s="270"/>
      <c r="AE1029" s="270"/>
    </row>
    <row r="1030">
      <c r="A1030" s="256">
        <f>IFERROR(__xludf.DUMMYFUNCTION("""COMPUTED_VALUE"""),42921.55694444444)</f>
        <v>42921.55694</v>
      </c>
      <c r="B1030" s="257" t="str">
        <f>IFERROR(__xludf.DUMMYFUNCTION("""COMPUTED_VALUE"""),"mikeyc")</f>
        <v>mikeyc</v>
      </c>
      <c r="C1030" s="258" t="str">
        <f>IFERROR(__xludf.DUMMYFUNCTION("""COMPUTED_VALUE"""),"Europe (excluding UK) &amp; Asia Pacific")</f>
        <v>Europe (excluding UK) &amp; Asia Pacific</v>
      </c>
      <c r="D1030" s="258" t="str">
        <f>IFERROR(__xludf.DUMMYFUNCTION("""COMPUTED_VALUE"""),"km. My car displays range in kilometres and I will enter all range numbers in kilometres.")</f>
        <v>km. My car displays range in kilometres and I will enter all range numbers in kilometres.</v>
      </c>
      <c r="E1030" s="259">
        <f>IFERROR(__xludf.DUMMYFUNCTION("""COMPUTED_VALUE"""),41927.0)</f>
        <v>41927</v>
      </c>
      <c r="F1030" s="258" t="str">
        <f>IFERROR(__xludf.DUMMYFUNCTION("""COMPUTED_VALUE"""),"Model S 85")</f>
        <v>Model S 85</v>
      </c>
      <c r="G1030" s="258" t="str">
        <f>IFERROR(__xludf.DUMMYFUNCTION("""COMPUTED_VALUE"""),"A few times a year")</f>
        <v>A few times a year</v>
      </c>
      <c r="H1030" s="258" t="str">
        <f>IFERROR(__xludf.DUMMYFUNCTION("""COMPUTED_VALUE"""),"A few times a year")</f>
        <v>A few times a year</v>
      </c>
      <c r="I1030" s="258" t="str">
        <f>IFERROR(__xludf.DUMMYFUNCTION("""COMPUTED_VALUE"""),"Once or twice a year")</f>
        <v>Once or twice a year</v>
      </c>
      <c r="J1030" s="260">
        <f>IFERROR(__xludf.DUMMYFUNCTION("""COMPUTED_VALUE"""),0.8)</f>
        <v>0.8</v>
      </c>
      <c r="K1030" s="258" t="str">
        <f>IFERROR(__xludf.DUMMYFUNCTION("""COMPUTED_VALUE"""),"")</f>
        <v/>
      </c>
      <c r="L1030" s="258" t="str">
        <f>IFERROR(__xludf.DUMMYFUNCTION("""COMPUTED_VALUE"""),"")</f>
        <v/>
      </c>
      <c r="M1030" s="261">
        <f>IFERROR(__xludf.DUMMYFUNCTION("""COMPUTED_VALUE"""),218.0)</f>
        <v>218</v>
      </c>
      <c r="N1030" s="262" t="str">
        <f>IFERROR(__xludf.DUMMYFUNCTION("""COMPUTED_VALUE"""),"")</f>
        <v/>
      </c>
      <c r="O1030" s="259" t="str">
        <f>IFERROR(__xludf.DUMMYFUNCTION("""COMPUTED_VALUE"""),"")</f>
        <v/>
      </c>
      <c r="P1030" s="259">
        <f>IFERROR(__xludf.DUMMYFUNCTION("""COMPUTED_VALUE"""),42921.0)</f>
        <v>42921</v>
      </c>
      <c r="Q1030" s="258">
        <f>IFERROR(__xludf.DUMMYFUNCTION("""COMPUTED_VALUE"""),26726.0)</f>
        <v>26726</v>
      </c>
      <c r="R1030" s="261">
        <f>IFERROR(__xludf.DUMMYFUNCTION("""COMPUTED_VALUE"""),378.0)</f>
        <v>378</v>
      </c>
      <c r="S1030" s="258">
        <v>395.0</v>
      </c>
      <c r="T1030" s="263">
        <v>0.9569620253164557</v>
      </c>
      <c r="U1030" s="264">
        <v>16607.0</v>
      </c>
      <c r="V1030" s="265">
        <v>26726.0</v>
      </c>
      <c r="W1030" s="264">
        <v>16607.0</v>
      </c>
      <c r="X1030" s="266"/>
      <c r="Y1030" s="267">
        <v>-0.01</v>
      </c>
      <c r="Z1030" s="267">
        <v>0.9698314149926498</v>
      </c>
      <c r="AA1030" s="269"/>
      <c r="AB1030" s="270"/>
      <c r="AC1030" s="270"/>
      <c r="AD1030" s="270"/>
      <c r="AE1030" s="270"/>
    </row>
    <row r="1031">
      <c r="A1031" s="256">
        <f>IFERROR(__xludf.DUMMYFUNCTION("""COMPUTED_VALUE"""),43607.77130726852)</f>
        <v>43607.77131</v>
      </c>
      <c r="B1031" s="257" t="str">
        <f>IFERROR(__xludf.DUMMYFUNCTION("""COMPUTED_VALUE"""),"MIKLES")</f>
        <v>MIKLES</v>
      </c>
      <c r="C1031" s="258" t="str">
        <f>IFERROR(__xludf.DUMMYFUNCTION("""COMPUTED_VALUE"""),"Europe (excluding UK) &amp; Asia Pacific")</f>
        <v>Europe (excluding UK) &amp; Asia Pacific</v>
      </c>
      <c r="D1031" s="258" t="str">
        <f>IFERROR(__xludf.DUMMYFUNCTION("""COMPUTED_VALUE"""),"km. My car displays range in kilometres and I will enter all range numbers in kilometres.")</f>
        <v>km. My car displays range in kilometres and I will enter all range numbers in kilometres.</v>
      </c>
      <c r="E1031" s="259">
        <f>IFERROR(__xludf.DUMMYFUNCTION("""COMPUTED_VALUE"""),43480.0)</f>
        <v>43480</v>
      </c>
      <c r="F1031" s="258" t="str">
        <f>IFERROR(__xludf.DUMMYFUNCTION("""COMPUTED_VALUE"""),"Model 3 P")</f>
        <v>Model 3 P</v>
      </c>
      <c r="G1031" s="258" t="str">
        <f>IFERROR(__xludf.DUMMYFUNCTION("""COMPUTED_VALUE"""),"A few times a year")</f>
        <v>A few times a year</v>
      </c>
      <c r="H1031" s="258" t="str">
        <f>IFERROR(__xludf.DUMMYFUNCTION("""COMPUTED_VALUE"""),"A few times a year")</f>
        <v>A few times a year</v>
      </c>
      <c r="I1031" s="258" t="str">
        <f>IFERROR(__xludf.DUMMYFUNCTION("""COMPUTED_VALUE"""),"Once or twice a year")</f>
        <v>Once or twice a year</v>
      </c>
      <c r="J1031" s="260">
        <f>IFERROR(__xludf.DUMMYFUNCTION("""COMPUTED_VALUE"""),0.8)</f>
        <v>0.8</v>
      </c>
      <c r="K1031" s="258">
        <f>IFERROR(__xludf.DUMMYFUNCTION("""COMPUTED_VALUE"""),499.0)</f>
        <v>499</v>
      </c>
      <c r="L1031" s="258">
        <f>IFERROR(__xludf.DUMMYFUNCTION("""COMPUTED_VALUE"""),153.0)</f>
        <v>153</v>
      </c>
      <c r="M1031" s="261">
        <f>IFERROR(__xludf.DUMMYFUNCTION("""COMPUTED_VALUE"""),180.0)</f>
        <v>180</v>
      </c>
      <c r="N1031" s="262" t="str">
        <f>IFERROR(__xludf.DUMMYFUNCTION("""COMPUTED_VALUE"""),"")</f>
        <v/>
      </c>
      <c r="O1031" s="259" t="str">
        <f>IFERROR(__xludf.DUMMYFUNCTION("""COMPUTED_VALUE"""),"")</f>
        <v/>
      </c>
      <c r="P1031" s="259">
        <f>IFERROR(__xludf.DUMMYFUNCTION("""COMPUTED_VALUE"""),43680.0)</f>
        <v>43680</v>
      </c>
      <c r="Q1031" s="258">
        <f>IFERROR(__xludf.DUMMYFUNCTION("""COMPUTED_VALUE"""),1241.0)</f>
        <v>1241</v>
      </c>
      <c r="R1031" s="261">
        <f>IFERROR(__xludf.DUMMYFUNCTION("""COMPUTED_VALUE"""),479.0)</f>
        <v>479</v>
      </c>
      <c r="S1031" s="258">
        <v>530.0</v>
      </c>
      <c r="T1031" s="263">
        <v>0.9037735849056604</v>
      </c>
      <c r="U1031" s="264">
        <v>771.0</v>
      </c>
      <c r="V1031" s="265">
        <v>1241.0</v>
      </c>
      <c r="W1031" s="264">
        <v>771.0</v>
      </c>
      <c r="X1031" s="266"/>
      <c r="Y1031" s="267">
        <v>-0.01</v>
      </c>
      <c r="Z1031" s="267">
        <v>0.9975948110436158</v>
      </c>
      <c r="AA1031" s="269"/>
      <c r="AB1031" s="270"/>
      <c r="AC1031" s="270"/>
      <c r="AD1031" s="270"/>
      <c r="AE1031" s="270"/>
    </row>
    <row r="1032">
      <c r="A1032" s="256">
        <f>IFERROR(__xludf.DUMMYFUNCTION("""COMPUTED_VALUE"""),43607.77130726852)</f>
        <v>43607.77131</v>
      </c>
      <c r="B1032" s="257" t="str">
        <f>IFERROR(__xludf.DUMMYFUNCTION("""COMPUTED_VALUE"""),"MIKLES")</f>
        <v>MIKLES</v>
      </c>
      <c r="C1032" s="258" t="str">
        <f>IFERROR(__xludf.DUMMYFUNCTION("""COMPUTED_VALUE"""),"Europe (excluding UK) &amp; Asia Pacific")</f>
        <v>Europe (excluding UK) &amp; Asia Pacific</v>
      </c>
      <c r="D1032" s="258" t="str">
        <f>IFERROR(__xludf.DUMMYFUNCTION("""COMPUTED_VALUE"""),"km. My car displays range in kilometres and I will enter all range numbers in kilometres.")</f>
        <v>km. My car displays range in kilometres and I will enter all range numbers in kilometres.</v>
      </c>
      <c r="E1032" s="259">
        <f>IFERROR(__xludf.DUMMYFUNCTION("""COMPUTED_VALUE"""),43480.0)</f>
        <v>43480</v>
      </c>
      <c r="F1032" s="258" t="str">
        <f>IFERROR(__xludf.DUMMYFUNCTION("""COMPUTED_VALUE"""),"Model 3 P")</f>
        <v>Model 3 P</v>
      </c>
      <c r="G1032" s="258" t="str">
        <f>IFERROR(__xludf.DUMMYFUNCTION("""COMPUTED_VALUE"""),"A few times a year")</f>
        <v>A few times a year</v>
      </c>
      <c r="H1032" s="258" t="str">
        <f>IFERROR(__xludf.DUMMYFUNCTION("""COMPUTED_VALUE"""),"A few times a year")</f>
        <v>A few times a year</v>
      </c>
      <c r="I1032" s="258" t="str">
        <f>IFERROR(__xludf.DUMMYFUNCTION("""COMPUTED_VALUE"""),"Once or twice a year")</f>
        <v>Once or twice a year</v>
      </c>
      <c r="J1032" s="260">
        <f>IFERROR(__xludf.DUMMYFUNCTION("""COMPUTED_VALUE"""),0.8)</f>
        <v>0.8</v>
      </c>
      <c r="K1032" s="258">
        <f>IFERROR(__xludf.DUMMYFUNCTION("""COMPUTED_VALUE"""),499.0)</f>
        <v>499</v>
      </c>
      <c r="L1032" s="258">
        <f>IFERROR(__xludf.DUMMYFUNCTION("""COMPUTED_VALUE"""),153.0)</f>
        <v>153</v>
      </c>
      <c r="M1032" s="261">
        <f>IFERROR(__xludf.DUMMYFUNCTION("""COMPUTED_VALUE"""),180.0)</f>
        <v>180</v>
      </c>
      <c r="N1032" s="262" t="str">
        <f>IFERROR(__xludf.DUMMYFUNCTION("""COMPUTED_VALUE"""),"")</f>
        <v/>
      </c>
      <c r="O1032" s="259" t="str">
        <f>IFERROR(__xludf.DUMMYFUNCTION("""COMPUTED_VALUE"""),"")</f>
        <v/>
      </c>
      <c r="P1032" s="259">
        <f>IFERROR(__xludf.DUMMYFUNCTION("""COMPUTED_VALUE"""),43567.0)</f>
        <v>43567</v>
      </c>
      <c r="Q1032" s="258">
        <f>IFERROR(__xludf.DUMMYFUNCTION("""COMPUTED_VALUE"""),4189.0)</f>
        <v>4189</v>
      </c>
      <c r="R1032" s="261">
        <f>IFERROR(__xludf.DUMMYFUNCTION("""COMPUTED_VALUE"""),452.0)</f>
        <v>452</v>
      </c>
      <c r="S1032" s="258">
        <v>530.0</v>
      </c>
      <c r="T1032" s="263">
        <v>0.8528301886792453</v>
      </c>
      <c r="U1032" s="264">
        <v>2603.0</v>
      </c>
      <c r="V1032" s="265">
        <v>4189.0</v>
      </c>
      <c r="W1032" s="264">
        <v>2603.0</v>
      </c>
      <c r="X1032" s="266"/>
      <c r="Y1032" s="267">
        <v>-0.01</v>
      </c>
      <c r="Z1032" s="267">
        <v>0.9924538922259359</v>
      </c>
      <c r="AA1032" s="269"/>
      <c r="AB1032" s="270"/>
      <c r="AC1032" s="270"/>
      <c r="AD1032" s="270"/>
      <c r="AE1032" s="270"/>
    </row>
    <row r="1033">
      <c r="A1033" s="256">
        <f>IFERROR(__xludf.DUMMYFUNCTION("""COMPUTED_VALUE"""),43607.77130726852)</f>
        <v>43607.77131</v>
      </c>
      <c r="B1033" s="257" t="str">
        <f>IFERROR(__xludf.DUMMYFUNCTION("""COMPUTED_VALUE"""),"MIKLES")</f>
        <v>MIKLES</v>
      </c>
      <c r="C1033" s="258" t="str">
        <f>IFERROR(__xludf.DUMMYFUNCTION("""COMPUTED_VALUE"""),"Europe (excluding UK) &amp; Asia Pacific")</f>
        <v>Europe (excluding UK) &amp; Asia Pacific</v>
      </c>
      <c r="D1033" s="258" t="str">
        <f>IFERROR(__xludf.DUMMYFUNCTION("""COMPUTED_VALUE"""),"km. My car displays range in kilometres and I will enter all range numbers in kilometres.")</f>
        <v>km. My car displays range in kilometres and I will enter all range numbers in kilometres.</v>
      </c>
      <c r="E1033" s="259">
        <f>IFERROR(__xludf.DUMMYFUNCTION("""COMPUTED_VALUE"""),43480.0)</f>
        <v>43480</v>
      </c>
      <c r="F1033" s="258" t="str">
        <f>IFERROR(__xludf.DUMMYFUNCTION("""COMPUTED_VALUE"""),"Model 3 P")</f>
        <v>Model 3 P</v>
      </c>
      <c r="G1033" s="258" t="str">
        <f>IFERROR(__xludf.DUMMYFUNCTION("""COMPUTED_VALUE"""),"A few times a year")</f>
        <v>A few times a year</v>
      </c>
      <c r="H1033" s="258" t="str">
        <f>IFERROR(__xludf.DUMMYFUNCTION("""COMPUTED_VALUE"""),"A few times a year")</f>
        <v>A few times a year</v>
      </c>
      <c r="I1033" s="258" t="str">
        <f>IFERROR(__xludf.DUMMYFUNCTION("""COMPUTED_VALUE"""),"Once or twice a year")</f>
        <v>Once or twice a year</v>
      </c>
      <c r="J1033" s="260">
        <f>IFERROR(__xludf.DUMMYFUNCTION("""COMPUTED_VALUE"""),0.8)</f>
        <v>0.8</v>
      </c>
      <c r="K1033" s="258">
        <f>IFERROR(__xludf.DUMMYFUNCTION("""COMPUTED_VALUE"""),499.0)</f>
        <v>499</v>
      </c>
      <c r="L1033" s="258">
        <f>IFERROR(__xludf.DUMMYFUNCTION("""COMPUTED_VALUE"""),153.0)</f>
        <v>153</v>
      </c>
      <c r="M1033" s="261">
        <f>IFERROR(__xludf.DUMMYFUNCTION("""COMPUTED_VALUE"""),180.0)</f>
        <v>180</v>
      </c>
      <c r="N1033" s="262" t="str">
        <f>IFERROR(__xludf.DUMMYFUNCTION("""COMPUTED_VALUE"""),"")</f>
        <v/>
      </c>
      <c r="O1033" s="259" t="str">
        <f>IFERROR(__xludf.DUMMYFUNCTION("""COMPUTED_VALUE"""),"")</f>
        <v/>
      </c>
      <c r="P1033" s="259">
        <f>IFERROR(__xludf.DUMMYFUNCTION("""COMPUTED_VALUE"""),43695.0)</f>
        <v>43695</v>
      </c>
      <c r="Q1033" s="258">
        <f>IFERROR(__xludf.DUMMYFUNCTION("""COMPUTED_VALUE"""),4817.0)</f>
        <v>4817</v>
      </c>
      <c r="R1033" s="261">
        <f>IFERROR(__xludf.DUMMYFUNCTION("""COMPUTED_VALUE"""),460.0)</f>
        <v>460</v>
      </c>
      <c r="S1033" s="258">
        <v>530.0</v>
      </c>
      <c r="T1033" s="263">
        <v>0.8679245283018868</v>
      </c>
      <c r="U1033" s="264">
        <v>2993.0</v>
      </c>
      <c r="V1033" s="265">
        <v>4817.0</v>
      </c>
      <c r="W1033" s="264">
        <v>2993.0</v>
      </c>
      <c r="X1033" s="266"/>
      <c r="Y1033" s="267">
        <v>-0.01</v>
      </c>
      <c r="Z1033" s="267">
        <v>0.9914535698639461</v>
      </c>
      <c r="AA1033" s="269"/>
      <c r="AB1033" s="270"/>
      <c r="AC1033" s="270"/>
      <c r="AD1033" s="270"/>
      <c r="AE1033" s="270"/>
    </row>
    <row r="1034">
      <c r="A1034" s="256">
        <f>IFERROR(__xludf.DUMMYFUNCTION("""COMPUTED_VALUE"""),43607.77130726852)</f>
        <v>43607.77131</v>
      </c>
      <c r="B1034" s="257" t="str">
        <f>IFERROR(__xludf.DUMMYFUNCTION("""COMPUTED_VALUE"""),"MIKLES")</f>
        <v>MIKLES</v>
      </c>
      <c r="C1034" s="258" t="str">
        <f>IFERROR(__xludf.DUMMYFUNCTION("""COMPUTED_VALUE"""),"Europe (excluding UK) &amp; Asia Pacific")</f>
        <v>Europe (excluding UK) &amp; Asia Pacific</v>
      </c>
      <c r="D1034" s="258" t="str">
        <f>IFERROR(__xludf.DUMMYFUNCTION("""COMPUTED_VALUE"""),"km. My car displays range in kilometres and I will enter all range numbers in kilometres.")</f>
        <v>km. My car displays range in kilometres and I will enter all range numbers in kilometres.</v>
      </c>
      <c r="E1034" s="259">
        <f>IFERROR(__xludf.DUMMYFUNCTION("""COMPUTED_VALUE"""),43480.0)</f>
        <v>43480</v>
      </c>
      <c r="F1034" s="258" t="str">
        <f>IFERROR(__xludf.DUMMYFUNCTION("""COMPUTED_VALUE"""),"Model 3 P")</f>
        <v>Model 3 P</v>
      </c>
      <c r="G1034" s="258" t="str">
        <f>IFERROR(__xludf.DUMMYFUNCTION("""COMPUTED_VALUE"""),"A few times a year")</f>
        <v>A few times a year</v>
      </c>
      <c r="H1034" s="258" t="str">
        <f>IFERROR(__xludf.DUMMYFUNCTION("""COMPUTED_VALUE"""),"A few times a year")</f>
        <v>A few times a year</v>
      </c>
      <c r="I1034" s="258" t="str">
        <f>IFERROR(__xludf.DUMMYFUNCTION("""COMPUTED_VALUE"""),"Once or twice a year")</f>
        <v>Once or twice a year</v>
      </c>
      <c r="J1034" s="260">
        <f>IFERROR(__xludf.DUMMYFUNCTION("""COMPUTED_VALUE"""),0.8)</f>
        <v>0.8</v>
      </c>
      <c r="K1034" s="258">
        <f>IFERROR(__xludf.DUMMYFUNCTION("""COMPUTED_VALUE"""),499.0)</f>
        <v>499</v>
      </c>
      <c r="L1034" s="258">
        <f>IFERROR(__xludf.DUMMYFUNCTION("""COMPUTED_VALUE"""),153.0)</f>
        <v>153</v>
      </c>
      <c r="M1034" s="261">
        <f>IFERROR(__xludf.DUMMYFUNCTION("""COMPUTED_VALUE"""),180.0)</f>
        <v>180</v>
      </c>
      <c r="N1034" s="262" t="str">
        <f>IFERROR(__xludf.DUMMYFUNCTION("""COMPUTED_VALUE"""),"")</f>
        <v/>
      </c>
      <c r="O1034" s="259" t="str">
        <f>IFERROR(__xludf.DUMMYFUNCTION("""COMPUTED_VALUE"""),"")</f>
        <v/>
      </c>
      <c r="P1034" s="259">
        <f>IFERROR(__xludf.DUMMYFUNCTION("""COMPUTED_VALUE"""),43600.0)</f>
        <v>43600</v>
      </c>
      <c r="Q1034" s="258">
        <f>IFERROR(__xludf.DUMMYFUNCTION("""COMPUTED_VALUE"""),6984.0)</f>
        <v>6984</v>
      </c>
      <c r="R1034" s="261">
        <f>IFERROR(__xludf.DUMMYFUNCTION("""COMPUTED_VALUE"""),470.0)</f>
        <v>470</v>
      </c>
      <c r="S1034" s="258">
        <v>530.0</v>
      </c>
      <c r="T1034" s="263">
        <v>0.8867924528301887</v>
      </c>
      <c r="U1034" s="264">
        <v>4340.0</v>
      </c>
      <c r="V1034" s="265">
        <v>6984.0</v>
      </c>
      <c r="W1034" s="264">
        <v>4340.0</v>
      </c>
      <c r="X1034" s="266"/>
      <c r="Y1034" s="267">
        <v>-0.01</v>
      </c>
      <c r="Z1034" s="267">
        <v>0.9882305313027292</v>
      </c>
      <c r="AA1034" s="269"/>
      <c r="AB1034" s="270"/>
      <c r="AC1034" s="270"/>
      <c r="AD1034" s="270"/>
      <c r="AE1034" s="270"/>
    </row>
    <row r="1035">
      <c r="A1035" s="256">
        <f>IFERROR(__xludf.DUMMYFUNCTION("""COMPUTED_VALUE"""),42037.070138888885)</f>
        <v>42037.07014</v>
      </c>
      <c r="B1035" s="257" t="str">
        <f>IFERROR(__xludf.DUMMYFUNCTION("""COMPUTED_VALUE"""),"MisterGreen")</f>
        <v>MisterGreen</v>
      </c>
      <c r="C1035" s="258" t="str">
        <f>IFERROR(__xludf.DUMMYFUNCTION("""COMPUTED_VALUE"""),"Europe (excluding UK) &amp; Asia Pacific")</f>
        <v>Europe (excluding UK) &amp; Asia Pacific</v>
      </c>
      <c r="D1035" s="258" t="str">
        <f>IFERROR(__xludf.DUMMYFUNCTION("""COMPUTED_VALUE"""),"km. My car displays range in kilometres and I will enter all range numbers in kilometres.")</f>
        <v>km. My car displays range in kilometres and I will enter all range numbers in kilometres.</v>
      </c>
      <c r="E1035" s="259">
        <f>IFERROR(__xludf.DUMMYFUNCTION("""COMPUTED_VALUE"""),41609.0)</f>
        <v>41609</v>
      </c>
      <c r="F1035" s="258" t="str">
        <f>IFERROR(__xludf.DUMMYFUNCTION("""COMPUTED_VALUE"""),"Unspecified 85 kWh")</f>
        <v>Unspecified 85 kWh</v>
      </c>
      <c r="G1035" s="258" t="str">
        <f>IFERROR(__xludf.DUMMYFUNCTION("""COMPUTED_VALUE"""),"Never")</f>
        <v>Never</v>
      </c>
      <c r="H1035" s="258" t="str">
        <f>IFERROR(__xludf.DUMMYFUNCTION("""COMPUTED_VALUE"""),"Never")</f>
        <v>Never</v>
      </c>
      <c r="I1035" s="258" t="str">
        <f>IFERROR(__xludf.DUMMYFUNCTION("""COMPUTED_VALUE"""),"Never")</f>
        <v>Never</v>
      </c>
      <c r="J1035" s="260" t="str">
        <f>IFERROR(__xludf.DUMMYFUNCTION("""COMPUTED_VALUE"""),"")</f>
        <v/>
      </c>
      <c r="K1035" s="258" t="str">
        <f>IFERROR(__xludf.DUMMYFUNCTION("""COMPUTED_VALUE"""),"")</f>
        <v/>
      </c>
      <c r="L1035" s="258" t="str">
        <f>IFERROR(__xludf.DUMMYFUNCTION("""COMPUTED_VALUE"""),"")</f>
        <v/>
      </c>
      <c r="M1035" s="261">
        <f>IFERROR(__xludf.DUMMYFUNCTION("""COMPUTED_VALUE"""),218.0)</f>
        <v>218</v>
      </c>
      <c r="N1035" s="262" t="str">
        <f>IFERROR(__xludf.DUMMYFUNCTION("""COMPUTED_VALUE"""),"")</f>
        <v/>
      </c>
      <c r="O1035" s="259" t="str">
        <f>IFERROR(__xludf.DUMMYFUNCTION("""COMPUTED_VALUE"""),"")</f>
        <v/>
      </c>
      <c r="P1035" s="259">
        <f>IFERROR(__xludf.DUMMYFUNCTION("""COMPUTED_VALUE"""),42037.0)</f>
        <v>42037</v>
      </c>
      <c r="Q1035" s="258">
        <f>IFERROR(__xludf.DUMMYFUNCTION("""COMPUTED_VALUE"""),50000.0)</f>
        <v>50000</v>
      </c>
      <c r="R1035" s="261">
        <f>IFERROR(__xludf.DUMMYFUNCTION("""COMPUTED_VALUE"""),386.0)</f>
        <v>386</v>
      </c>
      <c r="S1035" s="258">
        <v>395.0</v>
      </c>
      <c r="T1035" s="263">
        <v>0.9772151898734177</v>
      </c>
      <c r="U1035" s="264">
        <v>31069.0</v>
      </c>
      <c r="V1035" s="265">
        <v>50000.0</v>
      </c>
      <c r="W1035" s="264">
        <v>31069.0</v>
      </c>
      <c r="X1035" s="266"/>
      <c r="Y1035" s="267">
        <v>-0.01</v>
      </c>
      <c r="Z1035" s="267">
        <v>0.9596904352621635</v>
      </c>
      <c r="AA1035" s="269"/>
      <c r="AB1035" s="270"/>
      <c r="AC1035" s="270"/>
      <c r="AD1035" s="270"/>
      <c r="AE1035" s="270"/>
    </row>
    <row r="1036">
      <c r="A1036" s="256">
        <f>IFERROR(__xludf.DUMMYFUNCTION("""COMPUTED_VALUE"""),42794.504166666666)</f>
        <v>42794.50417</v>
      </c>
      <c r="B1036" s="257" t="str">
        <f>IFERROR(__xludf.DUMMYFUNCTION("""COMPUTED_VALUE"""),"misterp")</f>
        <v>misterp</v>
      </c>
      <c r="C1036" s="258" t="str">
        <f>IFERROR(__xludf.DUMMYFUNCTION("""COMPUTED_VALUE"""),"Europe (excluding UK) &amp; Asia Pacific")</f>
        <v>Europe (excluding UK) &amp; Asia Pacific</v>
      </c>
      <c r="D1036" s="258" t="str">
        <f>IFERROR(__xludf.DUMMYFUNCTION("""COMPUTED_VALUE"""),"km. My car displays range in kilometres and I will enter all range numbers in kilometres.")</f>
        <v>km. My car displays range in kilometres and I will enter all range numbers in kilometres.</v>
      </c>
      <c r="E1036" s="259">
        <f>IFERROR(__xludf.DUMMYFUNCTION("""COMPUTED_VALUE"""),41814.0)</f>
        <v>41814</v>
      </c>
      <c r="F1036" s="258" t="str">
        <f>IFERROR(__xludf.DUMMYFUNCTION("""COMPUTED_VALUE"""),"Model S 60")</f>
        <v>Model S 60</v>
      </c>
      <c r="G1036" s="258" t="str">
        <f>IFERROR(__xludf.DUMMYFUNCTION("""COMPUTED_VALUE"""),"A few times a year")</f>
        <v>A few times a year</v>
      </c>
      <c r="H1036" s="258" t="str">
        <f>IFERROR(__xludf.DUMMYFUNCTION("""COMPUTED_VALUE"""),"Once or twice a year")</f>
        <v>Once or twice a year</v>
      </c>
      <c r="I1036" s="258" t="str">
        <f>IFERROR(__xludf.DUMMYFUNCTION("""COMPUTED_VALUE"""),"Never")</f>
        <v>Never</v>
      </c>
      <c r="J1036" s="260">
        <f>IFERROR(__xludf.DUMMYFUNCTION("""COMPUTED_VALUE"""),0.9)</f>
        <v>0.9</v>
      </c>
      <c r="K1036" s="258">
        <f>IFERROR(__xludf.DUMMYFUNCTION("""COMPUTED_VALUE"""),280.0)</f>
        <v>280</v>
      </c>
      <c r="L1036" s="258" t="str">
        <f>IFERROR(__xludf.DUMMYFUNCTION("""COMPUTED_VALUE"""),"")</f>
        <v/>
      </c>
      <c r="M1036" s="261">
        <f>IFERROR(__xludf.DUMMYFUNCTION("""COMPUTED_VALUE"""),223.0)</f>
        <v>223</v>
      </c>
      <c r="N1036" s="262" t="str">
        <f>IFERROR(__xludf.DUMMYFUNCTION("""COMPUTED_VALUE"""),"")</f>
        <v/>
      </c>
      <c r="O1036" s="259" t="str">
        <f>IFERROR(__xludf.DUMMYFUNCTION("""COMPUTED_VALUE"""),"")</f>
        <v/>
      </c>
      <c r="P1036" s="259">
        <f>IFERROR(__xludf.DUMMYFUNCTION("""COMPUTED_VALUE"""),42794.0)</f>
        <v>42794</v>
      </c>
      <c r="Q1036" s="258">
        <f>IFERROR(__xludf.DUMMYFUNCTION("""COMPUTED_VALUE"""),49800.0)</f>
        <v>49800</v>
      </c>
      <c r="R1036" s="261">
        <f>IFERROR(__xludf.DUMMYFUNCTION("""COMPUTED_VALUE"""),260.0)</f>
        <v>260</v>
      </c>
      <c r="S1036" s="258">
        <v>284.0</v>
      </c>
      <c r="T1036" s="263">
        <v>0.9154929577464789</v>
      </c>
      <c r="U1036" s="264">
        <v>30944.0</v>
      </c>
      <c r="V1036" s="265">
        <v>49800.0</v>
      </c>
      <c r="W1036" s="264">
        <v>30944.0</v>
      </c>
      <c r="X1036" s="266"/>
      <c r="Y1036" s="267">
        <v>-0.01</v>
      </c>
      <c r="Z1036" s="267">
        <v>0.9597560181238202</v>
      </c>
      <c r="AA1036" s="269"/>
      <c r="AB1036" s="270"/>
      <c r="AC1036" s="270"/>
      <c r="AD1036" s="270"/>
      <c r="AE1036" s="270"/>
    </row>
    <row r="1037">
      <c r="A1037" s="256">
        <f>IFERROR(__xludf.DUMMYFUNCTION("""COMPUTED_VALUE"""),42296.19930555555)</f>
        <v>42296.19931</v>
      </c>
      <c r="B1037" s="257" t="str">
        <f>IFERROR(__xludf.DUMMYFUNCTION("""COMPUTED_VALUE"""),"MJ")</f>
        <v>MJ</v>
      </c>
      <c r="C1037" s="258" t="str">
        <f>IFERROR(__xludf.DUMMYFUNCTION("""COMPUTED_VALUE"""),"Europe (excluding UK) &amp; Asia Pacific")</f>
        <v>Europe (excluding UK) &amp; Asia Pacific</v>
      </c>
      <c r="D1037" s="258" t="str">
        <f>IFERROR(__xludf.DUMMYFUNCTION("""COMPUTED_VALUE"""),"km. My car displays range in kilometres and I will enter all range numbers in kilometres.")</f>
        <v>km. My car displays range in kilometres and I will enter all range numbers in kilometres.</v>
      </c>
      <c r="E1037" s="259">
        <f>IFERROR(__xludf.DUMMYFUNCTION("""COMPUTED_VALUE"""),41739.0)</f>
        <v>41739</v>
      </c>
      <c r="F1037" s="258" t="str">
        <f>IFERROR(__xludf.DUMMYFUNCTION("""COMPUTED_VALUE"""),"Model S 85")</f>
        <v>Model S 85</v>
      </c>
      <c r="G1037" s="258" t="str">
        <f>IFERROR(__xludf.DUMMYFUNCTION("""COMPUTED_VALUE"""),"Twice a month")</f>
        <v>Twice a month</v>
      </c>
      <c r="H1037" s="258" t="str">
        <f>IFERROR(__xludf.DUMMYFUNCTION("""COMPUTED_VALUE"""),"Monthly")</f>
        <v>Monthly</v>
      </c>
      <c r="I1037" s="258" t="str">
        <f>IFERROR(__xludf.DUMMYFUNCTION("""COMPUTED_VALUE"""),"Once or twice a year")</f>
        <v>Once or twice a year</v>
      </c>
      <c r="J1037" s="260">
        <f>IFERROR(__xludf.DUMMYFUNCTION("""COMPUTED_VALUE"""),0.9)</f>
        <v>0.9</v>
      </c>
      <c r="K1037" s="258">
        <f>IFERROR(__xludf.DUMMYFUNCTION("""COMPUTED_VALUE"""),409.0)</f>
        <v>409</v>
      </c>
      <c r="L1037" s="258" t="str">
        <f>IFERROR(__xludf.DUMMYFUNCTION("""COMPUTED_VALUE"""),"")</f>
        <v/>
      </c>
      <c r="M1037" s="261">
        <f>IFERROR(__xludf.DUMMYFUNCTION("""COMPUTED_VALUE"""),205.0)</f>
        <v>205</v>
      </c>
      <c r="N1037" s="262" t="str">
        <f>IFERROR(__xludf.DUMMYFUNCTION("""COMPUTED_VALUE"""),"")</f>
        <v/>
      </c>
      <c r="O1037" s="259" t="str">
        <f>IFERROR(__xludf.DUMMYFUNCTION("""COMPUTED_VALUE"""),"")</f>
        <v/>
      </c>
      <c r="P1037" s="259">
        <f>IFERROR(__xludf.DUMMYFUNCTION("""COMPUTED_VALUE"""),42296.0)</f>
        <v>42296</v>
      </c>
      <c r="Q1037" s="258">
        <f>IFERROR(__xludf.DUMMYFUNCTION("""COMPUTED_VALUE"""),47500.0)</f>
        <v>47500</v>
      </c>
      <c r="R1037" s="261">
        <f>IFERROR(__xludf.DUMMYFUNCTION("""COMPUTED_VALUE"""),383.0)</f>
        <v>383</v>
      </c>
      <c r="S1037" s="258">
        <v>395.0</v>
      </c>
      <c r="T1037" s="263">
        <v>0.9696202531645569</v>
      </c>
      <c r="U1037" s="264">
        <v>29515.0</v>
      </c>
      <c r="V1037" s="265">
        <v>47500.0</v>
      </c>
      <c r="W1037" s="264">
        <v>29515.0</v>
      </c>
      <c r="X1037" s="266"/>
      <c r="Y1037" s="267">
        <v>-0.01</v>
      </c>
      <c r="Z1037" s="267">
        <v>0.9605272626603413</v>
      </c>
      <c r="AA1037" s="269"/>
      <c r="AB1037" s="270"/>
      <c r="AC1037" s="270"/>
      <c r="AD1037" s="270"/>
      <c r="AE1037" s="270"/>
    </row>
    <row r="1038">
      <c r="A1038" s="256">
        <f>IFERROR(__xludf.DUMMYFUNCTION("""COMPUTED_VALUE"""),42671.427777777775)</f>
        <v>42671.42778</v>
      </c>
      <c r="B1038" s="257" t="str">
        <f>IFERROR(__xludf.DUMMYFUNCTION("""COMPUTED_VALUE"""),"mj")</f>
        <v>mj</v>
      </c>
      <c r="C1038" s="258" t="str">
        <f>IFERROR(__xludf.DUMMYFUNCTION("""COMPUTED_VALUE"""),"Europe (excluding UK) &amp; Asia Pacific")</f>
        <v>Europe (excluding UK) &amp; Asia Pacific</v>
      </c>
      <c r="D1038" s="258" t="str">
        <f>IFERROR(__xludf.DUMMYFUNCTION("""COMPUTED_VALUE"""),"km. My car displays range in kilometres and I will enter all range numbers in kilometres.")</f>
        <v>km. My car displays range in kilometres and I will enter all range numbers in kilometres.</v>
      </c>
      <c r="E1038" s="259">
        <f>IFERROR(__xludf.DUMMYFUNCTION("""COMPUTED_VALUE"""),41988.0)</f>
        <v>41988</v>
      </c>
      <c r="F1038" s="258" t="str">
        <f>IFERROR(__xludf.DUMMYFUNCTION("""COMPUTED_VALUE"""),"Model S 85")</f>
        <v>Model S 85</v>
      </c>
      <c r="G1038" s="258" t="str">
        <f>IFERROR(__xludf.DUMMYFUNCTION("""COMPUTED_VALUE"""),"Once or twice a year")</f>
        <v>Once or twice a year</v>
      </c>
      <c r="H1038" s="258" t="str">
        <f>IFERROR(__xludf.DUMMYFUNCTION("""COMPUTED_VALUE"""),"A few times a year")</f>
        <v>A few times a year</v>
      </c>
      <c r="I1038" s="258" t="str">
        <f>IFERROR(__xludf.DUMMYFUNCTION("""COMPUTED_VALUE"""),"Never")</f>
        <v>Never</v>
      </c>
      <c r="J1038" s="260">
        <f>IFERROR(__xludf.DUMMYFUNCTION("""COMPUTED_VALUE"""),0.8)</f>
        <v>0.8</v>
      </c>
      <c r="K1038" s="258">
        <f>IFERROR(__xludf.DUMMYFUNCTION("""COMPUTED_VALUE"""),383.0)</f>
        <v>383</v>
      </c>
      <c r="L1038" s="258" t="str">
        <f>IFERROR(__xludf.DUMMYFUNCTION("""COMPUTED_VALUE"""),"")</f>
        <v/>
      </c>
      <c r="M1038" s="261">
        <f>IFERROR(__xludf.DUMMYFUNCTION("""COMPUTED_VALUE"""),213.0)</f>
        <v>213</v>
      </c>
      <c r="N1038" s="262" t="str">
        <f>IFERROR(__xludf.DUMMYFUNCTION("""COMPUTED_VALUE"""),"")</f>
        <v/>
      </c>
      <c r="O1038" s="259" t="str">
        <f>IFERROR(__xludf.DUMMYFUNCTION("""COMPUTED_VALUE"""),"")</f>
        <v/>
      </c>
      <c r="P1038" s="259">
        <f>IFERROR(__xludf.DUMMYFUNCTION("""COMPUTED_VALUE"""),42671.0)</f>
        <v>42671</v>
      </c>
      <c r="Q1038" s="258">
        <f>IFERROR(__xludf.DUMMYFUNCTION("""COMPUTED_VALUE"""),26110.0)</f>
        <v>26110</v>
      </c>
      <c r="R1038" s="261">
        <f>IFERROR(__xludf.DUMMYFUNCTION("""COMPUTED_VALUE"""),381.0)</f>
        <v>381</v>
      </c>
      <c r="S1038" s="258">
        <v>395.0</v>
      </c>
      <c r="T1038" s="263">
        <v>0.9645569620253165</v>
      </c>
      <c r="U1038" s="264">
        <v>16224.0</v>
      </c>
      <c r="V1038" s="265">
        <v>26110.0</v>
      </c>
      <c r="W1038" s="264">
        <v>16224.0</v>
      </c>
      <c r="X1038" s="266"/>
      <c r="Y1038" s="267">
        <v>-0.01</v>
      </c>
      <c r="Z1038" s="267">
        <v>0.9702081763653564</v>
      </c>
      <c r="AA1038" s="269"/>
      <c r="AB1038" s="270"/>
      <c r="AC1038" s="270"/>
      <c r="AD1038" s="270"/>
      <c r="AE1038" s="270"/>
    </row>
    <row r="1039">
      <c r="A1039" s="256">
        <f>IFERROR(__xludf.DUMMYFUNCTION("""COMPUTED_VALUE"""),42673.42847222222)</f>
        <v>42673.42847</v>
      </c>
      <c r="B1039" s="257" t="str">
        <f>IFERROR(__xludf.DUMMYFUNCTION("""COMPUTED_VALUE"""),"mj")</f>
        <v>mj</v>
      </c>
      <c r="C1039" s="258" t="str">
        <f>IFERROR(__xludf.DUMMYFUNCTION("""COMPUTED_VALUE"""),"Europe (excluding UK) &amp; Asia Pacific")</f>
        <v>Europe (excluding UK) &amp; Asia Pacific</v>
      </c>
      <c r="D1039" s="258" t="str">
        <f>IFERROR(__xludf.DUMMYFUNCTION("""COMPUTED_VALUE"""),"km. My car displays range in kilometres and I will enter all range numbers in kilometres.")</f>
        <v>km. My car displays range in kilometres and I will enter all range numbers in kilometres.</v>
      </c>
      <c r="E1039" s="259">
        <f>IFERROR(__xludf.DUMMYFUNCTION("""COMPUTED_VALUE"""),42382.0)</f>
        <v>42382</v>
      </c>
      <c r="F1039" s="258" t="str">
        <f>IFERROR(__xludf.DUMMYFUNCTION("""COMPUTED_VALUE"""),"Model S 90D")</f>
        <v>Model S 90D</v>
      </c>
      <c r="G1039" s="258" t="str">
        <f>IFERROR(__xludf.DUMMYFUNCTION("""COMPUTED_VALUE"""),"Twice a month")</f>
        <v>Twice a month</v>
      </c>
      <c r="H1039" s="258" t="str">
        <f>IFERROR(__xludf.DUMMYFUNCTION("""COMPUTED_VALUE"""),"A few times a year")</f>
        <v>A few times a year</v>
      </c>
      <c r="I1039" s="258" t="str">
        <f>IFERROR(__xludf.DUMMYFUNCTION("""COMPUTED_VALUE"""),"Once or twice a year")</f>
        <v>Once or twice a year</v>
      </c>
      <c r="J1039" s="260">
        <f>IFERROR(__xludf.DUMMYFUNCTION("""COMPUTED_VALUE"""),0.8)</f>
        <v>0.8</v>
      </c>
      <c r="K1039" s="258">
        <f>IFERROR(__xludf.DUMMYFUNCTION("""COMPUTED_VALUE"""),460.0)</f>
        <v>460</v>
      </c>
      <c r="L1039" s="258" t="str">
        <f>IFERROR(__xludf.DUMMYFUNCTION("""COMPUTED_VALUE"""),"")</f>
        <v/>
      </c>
      <c r="M1039" s="261">
        <f>IFERROR(__xludf.DUMMYFUNCTION("""COMPUTED_VALUE"""),195.0)</f>
        <v>195</v>
      </c>
      <c r="N1039" s="262" t="str">
        <f>IFERROR(__xludf.DUMMYFUNCTION("""COMPUTED_VALUE"""),"")</f>
        <v/>
      </c>
      <c r="O1039" s="259" t="str">
        <f>IFERROR(__xludf.DUMMYFUNCTION("""COMPUTED_VALUE"""),"")</f>
        <v/>
      </c>
      <c r="P1039" s="259">
        <f>IFERROR(__xludf.DUMMYFUNCTION("""COMPUTED_VALUE"""),42673.0)</f>
        <v>42673</v>
      </c>
      <c r="Q1039" s="258">
        <f>IFERROR(__xludf.DUMMYFUNCTION("""COMPUTED_VALUE"""),23990.0)</f>
        <v>23990</v>
      </c>
      <c r="R1039" s="261">
        <f>IFERROR(__xludf.DUMMYFUNCTION("""COMPUTED_VALUE"""),450.0)</f>
        <v>450</v>
      </c>
      <c r="S1039" s="258">
        <v>447.0</v>
      </c>
      <c r="T1039" s="263">
        <v>1.0067114093959733</v>
      </c>
      <c r="U1039" s="264">
        <v>14907.0</v>
      </c>
      <c r="V1039" s="265">
        <v>23990.0</v>
      </c>
      <c r="W1039" s="264">
        <v>14907.0</v>
      </c>
      <c r="X1039" s="266"/>
      <c r="Y1039" s="267">
        <v>-0.01</v>
      </c>
      <c r="Z1039" s="267">
        <v>0.9715721915634066</v>
      </c>
      <c r="AA1039" s="269"/>
      <c r="AB1039" s="270"/>
      <c r="AC1039" s="270"/>
      <c r="AD1039" s="270"/>
      <c r="AE1039" s="270"/>
    </row>
    <row r="1040">
      <c r="A1040" s="256">
        <f>IFERROR(__xludf.DUMMYFUNCTION("""COMPUTED_VALUE"""),41906.01388888889)</f>
        <v>41906.01389</v>
      </c>
      <c r="B1040" s="257" t="str">
        <f>IFERROR(__xludf.DUMMYFUNCTION("""COMPUTED_VALUE"""),"MjjVonk")</f>
        <v>MjjVonk</v>
      </c>
      <c r="C1040" s="258" t="str">
        <f>IFERROR(__xludf.DUMMYFUNCTION("""COMPUTED_VALUE"""),"Europe (excluding UK) &amp; Asia Pacific")</f>
        <v>Europe (excluding UK) &amp; Asia Pacific</v>
      </c>
      <c r="D1040" s="258" t="str">
        <f>IFERROR(__xludf.DUMMYFUNCTION("""COMPUTED_VALUE"""),"km. My car displays range in kilometres and I will enter all range numbers in kilometres.")</f>
        <v>km. My car displays range in kilometres and I will enter all range numbers in kilometres.</v>
      </c>
      <c r="E1040" s="259">
        <f>IFERROR(__xludf.DUMMYFUNCTION("""COMPUTED_VALUE"""),41619.0)</f>
        <v>41619</v>
      </c>
      <c r="F1040" s="258" t="str">
        <f>IFERROR(__xludf.DUMMYFUNCTION("""COMPUTED_VALUE"""),"Model S P85")</f>
        <v>Model S P85</v>
      </c>
      <c r="G1040" s="258" t="str">
        <f>IFERROR(__xludf.DUMMYFUNCTION("""COMPUTED_VALUE"""),"Twice a month")</f>
        <v>Twice a month</v>
      </c>
      <c r="H1040" s="258" t="str">
        <f>IFERROR(__xludf.DUMMYFUNCTION("""COMPUTED_VALUE"""),"Monthly")</f>
        <v>Monthly</v>
      </c>
      <c r="I1040" s="258" t="str">
        <f>IFERROR(__xludf.DUMMYFUNCTION("""COMPUTED_VALUE"""),"Once or twice a year")</f>
        <v>Once or twice a year</v>
      </c>
      <c r="J1040" s="260" t="str">
        <f>IFERROR(__xludf.DUMMYFUNCTION("""COMPUTED_VALUE"""),"")</f>
        <v/>
      </c>
      <c r="K1040" s="258" t="str">
        <f>IFERROR(__xludf.DUMMYFUNCTION("""COMPUTED_VALUE"""),"")</f>
        <v/>
      </c>
      <c r="L1040" s="258" t="str">
        <f>IFERROR(__xludf.DUMMYFUNCTION("""COMPUTED_VALUE"""),"")</f>
        <v/>
      </c>
      <c r="M1040" s="261">
        <f>IFERROR(__xludf.DUMMYFUNCTION("""COMPUTED_VALUE"""),202.0)</f>
        <v>202</v>
      </c>
      <c r="N1040" s="262" t="str">
        <f>IFERROR(__xludf.DUMMYFUNCTION("""COMPUTED_VALUE"""),"")</f>
        <v/>
      </c>
      <c r="O1040" s="259" t="str">
        <f>IFERROR(__xludf.DUMMYFUNCTION("""COMPUTED_VALUE"""),"")</f>
        <v/>
      </c>
      <c r="P1040" s="259">
        <f>IFERROR(__xludf.DUMMYFUNCTION("""COMPUTED_VALUE"""),41906.0)</f>
        <v>41906</v>
      </c>
      <c r="Q1040" s="258">
        <f>IFERROR(__xludf.DUMMYFUNCTION("""COMPUTED_VALUE"""),33598.0)</f>
        <v>33598</v>
      </c>
      <c r="R1040" s="261">
        <f>IFERROR(__xludf.DUMMYFUNCTION("""COMPUTED_VALUE"""),384.0)</f>
        <v>384</v>
      </c>
      <c r="S1040" s="258">
        <v>395.0</v>
      </c>
      <c r="T1040" s="263">
        <v>0.9721518987341772</v>
      </c>
      <c r="U1040" s="264">
        <v>20877.0</v>
      </c>
      <c r="V1040" s="265">
        <v>33598.0</v>
      </c>
      <c r="W1040" s="264">
        <v>20877.0</v>
      </c>
      <c r="X1040" s="266"/>
      <c r="Y1040" s="267">
        <v>-0.01</v>
      </c>
      <c r="Z1040" s="267">
        <v>0.9661265327646912</v>
      </c>
      <c r="AA1040" s="269"/>
      <c r="AB1040" s="270"/>
      <c r="AC1040" s="270"/>
      <c r="AD1040" s="270"/>
      <c r="AE1040" s="270"/>
    </row>
    <row r="1041">
      <c r="A1041" s="256">
        <f>IFERROR(__xludf.DUMMYFUNCTION("""COMPUTED_VALUE"""),42234.16875)</f>
        <v>42234.16875</v>
      </c>
      <c r="B1041" s="257" t="str">
        <f>IFERROR(__xludf.DUMMYFUNCTION("""COMPUTED_VALUE"""),"MjjVonk")</f>
        <v>MjjVonk</v>
      </c>
      <c r="C1041" s="258" t="str">
        <f>IFERROR(__xludf.DUMMYFUNCTION("""COMPUTED_VALUE"""),"Europe (excluding UK) &amp; Asia Pacific")</f>
        <v>Europe (excluding UK) &amp; Asia Pacific</v>
      </c>
      <c r="D1041" s="258" t="str">
        <f>IFERROR(__xludf.DUMMYFUNCTION("""COMPUTED_VALUE"""),"km. My car displays range in kilometres and I will enter all range numbers in kilometres.")</f>
        <v>km. My car displays range in kilometres and I will enter all range numbers in kilometres.</v>
      </c>
      <c r="E1041" s="259">
        <f>IFERROR(__xludf.DUMMYFUNCTION("""COMPUTED_VALUE"""),41619.0)</f>
        <v>41619</v>
      </c>
      <c r="F1041" s="258" t="str">
        <f>IFERROR(__xludf.DUMMYFUNCTION("""COMPUTED_VALUE"""),"Model S P85")</f>
        <v>Model S P85</v>
      </c>
      <c r="G1041" s="258" t="str">
        <f>IFERROR(__xludf.DUMMYFUNCTION("""COMPUTED_VALUE"""),"Twice a month")</f>
        <v>Twice a month</v>
      </c>
      <c r="H1041" s="258" t="str">
        <f>IFERROR(__xludf.DUMMYFUNCTION("""COMPUTED_VALUE"""),"Twice a month")</f>
        <v>Twice a month</v>
      </c>
      <c r="I1041" s="258" t="str">
        <f>IFERROR(__xludf.DUMMYFUNCTION("""COMPUTED_VALUE"""),"A few times a year")</f>
        <v>A few times a year</v>
      </c>
      <c r="J1041" s="260">
        <f>IFERROR(__xludf.DUMMYFUNCTION("""COMPUTED_VALUE"""),0.9)</f>
        <v>0.9</v>
      </c>
      <c r="K1041" s="258" t="str">
        <f>IFERROR(__xludf.DUMMYFUNCTION("""COMPUTED_VALUE"""),"")</f>
        <v/>
      </c>
      <c r="L1041" s="258" t="str">
        <f>IFERROR(__xludf.DUMMYFUNCTION("""COMPUTED_VALUE"""),"")</f>
        <v/>
      </c>
      <c r="M1041" s="261">
        <f>IFERROR(__xludf.DUMMYFUNCTION("""COMPUTED_VALUE"""),232.0)</f>
        <v>232</v>
      </c>
      <c r="N1041" s="262" t="str">
        <f>IFERROR(__xludf.DUMMYFUNCTION("""COMPUTED_VALUE"""),"")</f>
        <v/>
      </c>
      <c r="O1041" s="259" t="str">
        <f>IFERROR(__xludf.DUMMYFUNCTION("""COMPUTED_VALUE"""),"")</f>
        <v/>
      </c>
      <c r="P1041" s="259">
        <f>IFERROR(__xludf.DUMMYFUNCTION("""COMPUTED_VALUE"""),42234.0)</f>
        <v>42234</v>
      </c>
      <c r="Q1041" s="258">
        <f>IFERROR(__xludf.DUMMYFUNCTION("""COMPUTED_VALUE"""),68000.0)</f>
        <v>68000</v>
      </c>
      <c r="R1041" s="261">
        <f>IFERROR(__xludf.DUMMYFUNCTION("""COMPUTED_VALUE"""),384.0)</f>
        <v>384</v>
      </c>
      <c r="S1041" s="258">
        <v>395.0</v>
      </c>
      <c r="T1041" s="263">
        <v>0.9721518987341772</v>
      </c>
      <c r="U1041" s="264">
        <v>42253.0</v>
      </c>
      <c r="V1041" s="265">
        <v>68000.0</v>
      </c>
      <c r="W1041" s="264">
        <v>42253.0</v>
      </c>
      <c r="X1041" s="266"/>
      <c r="Y1041" s="267">
        <v>-0.01</v>
      </c>
      <c r="Z1041" s="267">
        <v>0.9544595811986378</v>
      </c>
      <c r="AA1041" s="269"/>
      <c r="AB1041" s="270"/>
      <c r="AC1041" s="270"/>
      <c r="AD1041" s="270"/>
      <c r="AE1041" s="270"/>
    </row>
    <row r="1042">
      <c r="A1042" s="256">
        <f>IFERROR(__xludf.DUMMYFUNCTION("""COMPUTED_VALUE"""),42369.26527777778)</f>
        <v>42369.26528</v>
      </c>
      <c r="B1042" s="257" t="str">
        <f>IFERROR(__xludf.DUMMYFUNCTION("""COMPUTED_VALUE"""),"MjjVonk")</f>
        <v>MjjVonk</v>
      </c>
      <c r="C1042" s="258" t="str">
        <f>IFERROR(__xludf.DUMMYFUNCTION("""COMPUTED_VALUE"""),"Europe (excluding UK) &amp; Asia Pacific")</f>
        <v>Europe (excluding UK) &amp; Asia Pacific</v>
      </c>
      <c r="D1042" s="258" t="str">
        <f>IFERROR(__xludf.DUMMYFUNCTION("""COMPUTED_VALUE"""),"km. My car displays range in kilometres and I will enter all range numbers in kilometres.")</f>
        <v>km. My car displays range in kilometres and I will enter all range numbers in kilometres.</v>
      </c>
      <c r="E1042" s="259">
        <f>IFERROR(__xludf.DUMMYFUNCTION("""COMPUTED_VALUE"""),41619.0)</f>
        <v>41619</v>
      </c>
      <c r="F1042" s="258" t="str">
        <f>IFERROR(__xludf.DUMMYFUNCTION("""COMPUTED_VALUE"""),"Model S P85")</f>
        <v>Model S P85</v>
      </c>
      <c r="G1042" s="258" t="str">
        <f>IFERROR(__xludf.DUMMYFUNCTION("""COMPUTED_VALUE"""),"Twice a week")</f>
        <v>Twice a week</v>
      </c>
      <c r="H1042" s="258" t="str">
        <f>IFERROR(__xludf.DUMMYFUNCTION("""COMPUTED_VALUE"""),"Twice a week")</f>
        <v>Twice a week</v>
      </c>
      <c r="I1042" s="258" t="str">
        <f>IFERROR(__xludf.DUMMYFUNCTION("""COMPUTED_VALUE"""),"Monthly")</f>
        <v>Monthly</v>
      </c>
      <c r="J1042" s="260">
        <f>IFERROR(__xludf.DUMMYFUNCTION("""COMPUTED_VALUE"""),0.9)</f>
        <v>0.9</v>
      </c>
      <c r="K1042" s="258" t="str">
        <f>IFERROR(__xludf.DUMMYFUNCTION("""COMPUTED_VALUE"""),"")</f>
        <v/>
      </c>
      <c r="L1042" s="258" t="str">
        <f>IFERROR(__xludf.DUMMYFUNCTION("""COMPUTED_VALUE"""),"")</f>
        <v/>
      </c>
      <c r="M1042" s="261">
        <f>IFERROR(__xludf.DUMMYFUNCTION("""COMPUTED_VALUE"""),222.0)</f>
        <v>222</v>
      </c>
      <c r="N1042" s="262" t="str">
        <f>IFERROR(__xludf.DUMMYFUNCTION("""COMPUTED_VALUE"""),"")</f>
        <v/>
      </c>
      <c r="O1042" s="259" t="str">
        <f>IFERROR(__xludf.DUMMYFUNCTION("""COMPUTED_VALUE"""),"")</f>
        <v/>
      </c>
      <c r="P1042" s="259">
        <f>IFERROR(__xludf.DUMMYFUNCTION("""COMPUTED_VALUE"""),42369.0)</f>
        <v>42369</v>
      </c>
      <c r="Q1042" s="258">
        <f>IFERROR(__xludf.DUMMYFUNCTION("""COMPUTED_VALUE"""),90000.0)</f>
        <v>90000</v>
      </c>
      <c r="R1042" s="261">
        <f>IFERROR(__xludf.DUMMYFUNCTION("""COMPUTED_VALUE"""),385.0)</f>
        <v>385</v>
      </c>
      <c r="S1042" s="258">
        <v>395.0</v>
      </c>
      <c r="T1042" s="263">
        <v>0.9746835443037974</v>
      </c>
      <c r="U1042" s="264">
        <v>55923.0</v>
      </c>
      <c r="V1042" s="265">
        <v>90000.0</v>
      </c>
      <c r="W1042" s="264">
        <v>55923.0</v>
      </c>
      <c r="X1042" s="266"/>
      <c r="Y1042" s="267">
        <v>-0.01</v>
      </c>
      <c r="Z1042" s="267">
        <v>0.948963812819512</v>
      </c>
      <c r="AA1042" s="269"/>
      <c r="AB1042" s="270"/>
      <c r="AC1042" s="270"/>
      <c r="AD1042" s="270"/>
      <c r="AE1042" s="270"/>
    </row>
    <row r="1043">
      <c r="A1043" s="256">
        <f>IFERROR(__xludf.DUMMYFUNCTION("""COMPUTED_VALUE"""),43097.65625)</f>
        <v>43097.65625</v>
      </c>
      <c r="B1043" s="257" t="str">
        <f>IFERROR(__xludf.DUMMYFUNCTION("""COMPUTED_VALUE"""),"MjjVonk")</f>
        <v>MjjVonk</v>
      </c>
      <c r="C1043" s="258" t="str">
        <f>IFERROR(__xludf.DUMMYFUNCTION("""COMPUTED_VALUE"""),"Europe (excluding UK) &amp; Asia Pacific")</f>
        <v>Europe (excluding UK) &amp; Asia Pacific</v>
      </c>
      <c r="D1043" s="258" t="str">
        <f>IFERROR(__xludf.DUMMYFUNCTION("""COMPUTED_VALUE"""),"km. My car displays range in kilometres and I will enter all range numbers in kilometres.")</f>
        <v>km. My car displays range in kilometres and I will enter all range numbers in kilometres.</v>
      </c>
      <c r="E1043" s="259">
        <f>IFERROR(__xludf.DUMMYFUNCTION("""COMPUTED_VALUE"""),41619.0)</f>
        <v>41619</v>
      </c>
      <c r="F1043" s="258" t="str">
        <f>IFERROR(__xludf.DUMMYFUNCTION("""COMPUTED_VALUE"""),"Model S P85")</f>
        <v>Model S P85</v>
      </c>
      <c r="G1043" s="258" t="str">
        <f>IFERROR(__xludf.DUMMYFUNCTION("""COMPUTED_VALUE"""),"Twice a month")</f>
        <v>Twice a month</v>
      </c>
      <c r="H1043" s="258" t="str">
        <f>IFERROR(__xludf.DUMMYFUNCTION("""COMPUTED_VALUE"""),"A few times a year")</f>
        <v>A few times a year</v>
      </c>
      <c r="I1043" s="258" t="str">
        <f>IFERROR(__xludf.DUMMYFUNCTION("""COMPUTED_VALUE"""),"A few times a year")</f>
        <v>A few times a year</v>
      </c>
      <c r="J1043" s="260">
        <f>IFERROR(__xludf.DUMMYFUNCTION("""COMPUTED_VALUE"""),0.9)</f>
        <v>0.9</v>
      </c>
      <c r="K1043" s="258" t="str">
        <f>IFERROR(__xludf.DUMMYFUNCTION("""COMPUTED_VALUE"""),"")</f>
        <v/>
      </c>
      <c r="L1043" s="258" t="str">
        <f>IFERROR(__xludf.DUMMYFUNCTION("""COMPUTED_VALUE"""),"")</f>
        <v/>
      </c>
      <c r="M1043" s="261">
        <f>IFERROR(__xludf.DUMMYFUNCTION("""COMPUTED_VALUE"""),225.0)</f>
        <v>225</v>
      </c>
      <c r="N1043" s="262" t="str">
        <f>IFERROR(__xludf.DUMMYFUNCTION("""COMPUTED_VALUE"""),"")</f>
        <v/>
      </c>
      <c r="O1043" s="259" t="str">
        <f>IFERROR(__xludf.DUMMYFUNCTION("""COMPUTED_VALUE"""),"")</f>
        <v/>
      </c>
      <c r="P1043" s="259">
        <f>IFERROR(__xludf.DUMMYFUNCTION("""COMPUTED_VALUE"""),43097.0)</f>
        <v>43097</v>
      </c>
      <c r="Q1043" s="258">
        <f>IFERROR(__xludf.DUMMYFUNCTION("""COMPUTED_VALUE"""),164858.0)</f>
        <v>164858</v>
      </c>
      <c r="R1043" s="261">
        <f>IFERROR(__xludf.DUMMYFUNCTION("""COMPUTED_VALUE"""),368.0)</f>
        <v>368</v>
      </c>
      <c r="S1043" s="258">
        <v>395.0</v>
      </c>
      <c r="T1043" s="263">
        <v>0.9316455696202531</v>
      </c>
      <c r="U1043" s="264">
        <v>102438.0</v>
      </c>
      <c r="V1043" s="265">
        <v>164858.0</v>
      </c>
      <c r="W1043" s="264">
        <v>102438.0</v>
      </c>
      <c r="X1043" s="266"/>
      <c r="Y1043" s="267">
        <v>-0.01</v>
      </c>
      <c r="Z1043" s="267">
        <v>0.9315375844784523</v>
      </c>
      <c r="AA1043" s="269"/>
      <c r="AB1043" s="270"/>
      <c r="AC1043" s="270"/>
      <c r="AD1043" s="270"/>
      <c r="AE1043" s="270"/>
    </row>
    <row r="1044">
      <c r="A1044" s="256">
        <f>IFERROR(__xludf.DUMMYFUNCTION("""COMPUTED_VALUE"""),42337.24166666667)</f>
        <v>42337.24167</v>
      </c>
      <c r="B1044" s="257" t="str">
        <f>IFERROR(__xludf.DUMMYFUNCTION("""COMPUTED_VALUE"""),"Mjølner")</f>
        <v>Mjølner</v>
      </c>
      <c r="C1044" s="258" t="str">
        <f>IFERROR(__xludf.DUMMYFUNCTION("""COMPUTED_VALUE"""),"Europe (excluding UK) &amp; Asia Pacific")</f>
        <v>Europe (excluding UK) &amp; Asia Pacific</v>
      </c>
      <c r="D1044" s="258" t="str">
        <f>IFERROR(__xludf.DUMMYFUNCTION("""COMPUTED_VALUE"""),"km. My car displays range in kilometres and I will enter all range numbers in kilometres.")</f>
        <v>km. My car displays range in kilometres and I will enter all range numbers in kilometres.</v>
      </c>
      <c r="E1044" s="259">
        <f>IFERROR(__xludf.DUMMYFUNCTION("""COMPUTED_VALUE"""),42230.0)</f>
        <v>42230</v>
      </c>
      <c r="F1044" s="258" t="str">
        <f>IFERROR(__xludf.DUMMYFUNCTION("""COMPUTED_VALUE"""),"Model S 85D")</f>
        <v>Model S 85D</v>
      </c>
      <c r="G1044" s="258" t="str">
        <f>IFERROR(__xludf.DUMMYFUNCTION("""COMPUTED_VALUE"""),"A few times a year")</f>
        <v>A few times a year</v>
      </c>
      <c r="H1044" s="258" t="str">
        <f>IFERROR(__xludf.DUMMYFUNCTION("""COMPUTED_VALUE"""),"A few times a year")</f>
        <v>A few times a year</v>
      </c>
      <c r="I1044" s="258" t="str">
        <f>IFERROR(__xludf.DUMMYFUNCTION("""COMPUTED_VALUE"""),"A few times a year")</f>
        <v>A few times a year</v>
      </c>
      <c r="J1044" s="260">
        <f>IFERROR(__xludf.DUMMYFUNCTION("""COMPUTED_VALUE"""),0.7)</f>
        <v>0.7</v>
      </c>
      <c r="K1044" s="258">
        <f>IFERROR(__xludf.DUMMYFUNCTION("""COMPUTED_VALUE"""),405.0)</f>
        <v>405</v>
      </c>
      <c r="L1044" s="258" t="str">
        <f>IFERROR(__xludf.DUMMYFUNCTION("""COMPUTED_VALUE"""),"")</f>
        <v/>
      </c>
      <c r="M1044" s="261">
        <f>IFERROR(__xludf.DUMMYFUNCTION("""COMPUTED_VALUE"""),209.0)</f>
        <v>209</v>
      </c>
      <c r="N1044" s="262" t="str">
        <f>IFERROR(__xludf.DUMMYFUNCTION("""COMPUTED_VALUE"""),"")</f>
        <v/>
      </c>
      <c r="O1044" s="259" t="str">
        <f>IFERROR(__xludf.DUMMYFUNCTION("""COMPUTED_VALUE"""),"")</f>
        <v/>
      </c>
      <c r="P1044" s="259">
        <f>IFERROR(__xludf.DUMMYFUNCTION("""COMPUTED_VALUE"""),42337.0)</f>
        <v>42337</v>
      </c>
      <c r="Q1044" s="258">
        <f>IFERROR(__xludf.DUMMYFUNCTION("""COMPUTED_VALUE"""),9535.0)</f>
        <v>9535</v>
      </c>
      <c r="R1044" s="261">
        <f>IFERROR(__xludf.DUMMYFUNCTION("""COMPUTED_VALUE"""),406.0)</f>
        <v>406</v>
      </c>
      <c r="S1044" s="258">
        <v>425.0</v>
      </c>
      <c r="T1044" s="263">
        <v>0.9552941176470588</v>
      </c>
      <c r="U1044" s="264">
        <v>5925.0</v>
      </c>
      <c r="V1044" s="265">
        <v>9535.0</v>
      </c>
      <c r="W1044" s="264">
        <v>5925.0</v>
      </c>
      <c r="X1044" s="266"/>
      <c r="Y1044" s="267">
        <v>-0.01</v>
      </c>
      <c r="Z1044" s="267">
        <v>0.9848465052871207</v>
      </c>
      <c r="AA1044" s="269"/>
      <c r="AB1044" s="270"/>
      <c r="AC1044" s="270"/>
      <c r="AD1044" s="270"/>
      <c r="AE1044" s="270"/>
    </row>
    <row r="1045">
      <c r="A1045" s="256">
        <f>IFERROR(__xludf.DUMMYFUNCTION("""COMPUTED_VALUE"""),42162.902083333334)</f>
        <v>42162.90208</v>
      </c>
      <c r="B1045" s="257" t="str">
        <f>IFERROR(__xludf.DUMMYFUNCTION("""COMPUTED_VALUE"""),"mknox")</f>
        <v>mknox</v>
      </c>
      <c r="C1045" s="258" t="str">
        <f>IFERROR(__xludf.DUMMYFUNCTION("""COMPUTED_VALUE"""),"Canada")</f>
        <v>Canada</v>
      </c>
      <c r="D1045" s="258" t="str">
        <f>IFERROR(__xludf.DUMMYFUNCTION("""COMPUTED_VALUE"""),"km. My car displays range in kilometres and I will enter all range numbers in kilometres.")</f>
        <v>km. My car displays range in kilometres and I will enter all range numbers in kilometres.</v>
      </c>
      <c r="E1045" s="259">
        <f>IFERROR(__xludf.DUMMYFUNCTION("""COMPUTED_VALUE"""),41342.0)</f>
        <v>41342</v>
      </c>
      <c r="F1045" s="258" t="str">
        <f>IFERROR(__xludf.DUMMYFUNCTION("""COMPUTED_VALUE"""),"Model S 85")</f>
        <v>Model S 85</v>
      </c>
      <c r="G1045" s="258" t="str">
        <f>IFERROR(__xludf.DUMMYFUNCTION("""COMPUTED_VALUE"""),"A few times a year")</f>
        <v>A few times a year</v>
      </c>
      <c r="H1045" s="258" t="str">
        <f>IFERROR(__xludf.DUMMYFUNCTION("""COMPUTED_VALUE"""),"Once or twice a year")</f>
        <v>Once or twice a year</v>
      </c>
      <c r="I1045" s="258" t="str">
        <f>IFERROR(__xludf.DUMMYFUNCTION("""COMPUTED_VALUE"""),"Never")</f>
        <v>Never</v>
      </c>
      <c r="J1045" s="260">
        <f>IFERROR(__xludf.DUMMYFUNCTION("""COMPUTED_VALUE"""),0.9)</f>
        <v>0.9</v>
      </c>
      <c r="K1045" s="258">
        <f>IFERROR(__xludf.DUMMYFUNCTION("""COMPUTED_VALUE"""),426.0)</f>
        <v>426</v>
      </c>
      <c r="L1045" s="258" t="str">
        <f>IFERROR(__xludf.DUMMYFUNCTION("""COMPUTED_VALUE"""),"")</f>
        <v/>
      </c>
      <c r="M1045" s="261">
        <f>IFERROR(__xludf.DUMMYFUNCTION("""COMPUTED_VALUE"""),211.0)</f>
        <v>211</v>
      </c>
      <c r="N1045" s="262" t="str">
        <f>IFERROR(__xludf.DUMMYFUNCTION("""COMPUTED_VALUE"""),"")</f>
        <v/>
      </c>
      <c r="O1045" s="259" t="str">
        <f>IFERROR(__xludf.DUMMYFUNCTION("""COMPUTED_VALUE"""),"")</f>
        <v/>
      </c>
      <c r="P1045" s="259">
        <f>IFERROR(__xludf.DUMMYFUNCTION("""COMPUTED_VALUE"""),42162.0)</f>
        <v>42162</v>
      </c>
      <c r="Q1045" s="258">
        <f>IFERROR(__xludf.DUMMYFUNCTION("""COMPUTED_VALUE"""),82059.0)</f>
        <v>82059</v>
      </c>
      <c r="R1045" s="261">
        <f>IFERROR(__xludf.DUMMYFUNCTION("""COMPUTED_VALUE"""),389.0)</f>
        <v>389</v>
      </c>
      <c r="S1045" s="258">
        <v>428.0</v>
      </c>
      <c r="T1045" s="263">
        <v>0.9088785046728972</v>
      </c>
      <c r="U1045" s="264">
        <v>50989.0</v>
      </c>
      <c r="V1045" s="265">
        <v>82059.0</v>
      </c>
      <c r="W1045" s="264">
        <v>50989.0</v>
      </c>
      <c r="X1045" s="266"/>
      <c r="Y1045" s="267">
        <v>-0.01</v>
      </c>
      <c r="Z1045" s="267">
        <v>0.9508907551010192</v>
      </c>
      <c r="AA1045" s="269"/>
      <c r="AB1045" s="270"/>
      <c r="AC1045" s="270"/>
      <c r="AD1045" s="270"/>
      <c r="AE1045" s="270"/>
    </row>
    <row r="1046">
      <c r="A1046" s="256">
        <f>IFERROR(__xludf.DUMMYFUNCTION("""COMPUTED_VALUE"""),42230.75208333333)</f>
        <v>42230.75208</v>
      </c>
      <c r="B1046" s="257" t="str">
        <f>IFERROR(__xludf.DUMMYFUNCTION("""COMPUTED_VALUE"""),"mmccord")</f>
        <v>mmccord</v>
      </c>
      <c r="C1046" s="258" t="str">
        <f>IFERROR(__xludf.DUMMYFUNCTION("""COMPUTED_VALUE"""),"USA")</f>
        <v>USA</v>
      </c>
      <c r="D1046" s="258" t="str">
        <f>IFERROR(__xludf.DUMMYFUNCTION("""COMPUTED_VALUE"""),"mi. My car displays range in miles and I will enter all range numbers in miles.")</f>
        <v>mi. My car displays range in miles and I will enter all range numbers in miles.</v>
      </c>
      <c r="E1046" s="259">
        <f>IFERROR(__xludf.DUMMYFUNCTION("""COMPUTED_VALUE"""),42114.0)</f>
        <v>42114</v>
      </c>
      <c r="F1046" s="258" t="str">
        <f>IFERROR(__xludf.DUMMYFUNCTION("""COMPUTED_VALUE"""),"Model S 85D")</f>
        <v>Model S 85D</v>
      </c>
      <c r="G1046" s="258" t="str">
        <f>IFERROR(__xludf.DUMMYFUNCTION("""COMPUTED_VALUE"""),"Twice a month")</f>
        <v>Twice a month</v>
      </c>
      <c r="H1046" s="258" t="str">
        <f>IFERROR(__xludf.DUMMYFUNCTION("""COMPUTED_VALUE"""),"Monthly")</f>
        <v>Monthly</v>
      </c>
      <c r="I1046" s="258" t="str">
        <f>IFERROR(__xludf.DUMMYFUNCTION("""COMPUTED_VALUE"""),"Never")</f>
        <v>Never</v>
      </c>
      <c r="J1046" s="260">
        <f>IFERROR(__xludf.DUMMYFUNCTION("""COMPUTED_VALUE"""),0.8)</f>
        <v>0.8</v>
      </c>
      <c r="K1046" s="258">
        <f>IFERROR(__xludf.DUMMYFUNCTION("""COMPUTED_VALUE"""),270.0)</f>
        <v>270</v>
      </c>
      <c r="L1046" s="258" t="str">
        <f>IFERROR(__xludf.DUMMYFUNCTION("""COMPUTED_VALUE"""),"")</f>
        <v/>
      </c>
      <c r="M1046" s="261">
        <f>IFERROR(__xludf.DUMMYFUNCTION("""COMPUTED_VALUE"""),298.0)</f>
        <v>298</v>
      </c>
      <c r="N1046" s="262" t="str">
        <f>IFERROR(__xludf.DUMMYFUNCTION("""COMPUTED_VALUE"""),"")</f>
        <v/>
      </c>
      <c r="O1046" s="259" t="str">
        <f>IFERROR(__xludf.DUMMYFUNCTION("""COMPUTED_VALUE"""),"")</f>
        <v/>
      </c>
      <c r="P1046" s="259">
        <f>IFERROR(__xludf.DUMMYFUNCTION("""COMPUTED_VALUE"""),42230.0)</f>
        <v>42230</v>
      </c>
      <c r="Q1046" s="258">
        <f>IFERROR(__xludf.DUMMYFUNCTION("""COMPUTED_VALUE"""),12500.0)</f>
        <v>12500</v>
      </c>
      <c r="R1046" s="261">
        <f>IFERROR(__xludf.DUMMYFUNCTION("""COMPUTED_VALUE"""),261.0)</f>
        <v>261</v>
      </c>
      <c r="S1046" s="258">
        <v>270.0</v>
      </c>
      <c r="T1046" s="263">
        <v>0.9666666666666667</v>
      </c>
      <c r="U1046" s="264">
        <v>12500.0</v>
      </c>
      <c r="V1046" s="265">
        <v>20117.0</v>
      </c>
      <c r="W1046" s="264">
        <v>12500.0</v>
      </c>
      <c r="X1046" s="266"/>
      <c r="Y1046" s="267">
        <v>-0.01</v>
      </c>
      <c r="Z1046" s="267">
        <v>0.9743711421345964</v>
      </c>
      <c r="AA1046" s="269"/>
      <c r="AB1046" s="270"/>
      <c r="AC1046" s="270"/>
      <c r="AD1046" s="270"/>
      <c r="AE1046" s="270"/>
    </row>
    <row r="1047">
      <c r="A1047" s="256">
        <f>IFERROR(__xludf.DUMMYFUNCTION("""COMPUTED_VALUE"""),42345.77916666667)</f>
        <v>42345.77917</v>
      </c>
      <c r="B1047" s="257" t="str">
        <f>IFERROR(__xludf.DUMMYFUNCTION("""COMPUTED_VALUE"""),"mmccord")</f>
        <v>mmccord</v>
      </c>
      <c r="C1047" s="258" t="str">
        <f>IFERROR(__xludf.DUMMYFUNCTION("""COMPUTED_VALUE"""),"USA")</f>
        <v>USA</v>
      </c>
      <c r="D1047" s="258" t="str">
        <f>IFERROR(__xludf.DUMMYFUNCTION("""COMPUTED_VALUE"""),"mi. My car displays range in miles and I will enter all range numbers in miles.")</f>
        <v>mi. My car displays range in miles and I will enter all range numbers in miles.</v>
      </c>
      <c r="E1047" s="259">
        <f>IFERROR(__xludf.DUMMYFUNCTION("""COMPUTED_VALUE"""),42114.0)</f>
        <v>42114</v>
      </c>
      <c r="F1047" s="258" t="str">
        <f>IFERROR(__xludf.DUMMYFUNCTION("""COMPUTED_VALUE"""),"Model S 85D")</f>
        <v>Model S 85D</v>
      </c>
      <c r="G1047" s="258" t="str">
        <f>IFERROR(__xludf.DUMMYFUNCTION("""COMPUTED_VALUE"""),"Twice a month")</f>
        <v>Twice a month</v>
      </c>
      <c r="H1047" s="258" t="str">
        <f>IFERROR(__xludf.DUMMYFUNCTION("""COMPUTED_VALUE"""),"Twice a month")</f>
        <v>Twice a month</v>
      </c>
      <c r="I1047" s="258" t="str">
        <f>IFERROR(__xludf.DUMMYFUNCTION("""COMPUTED_VALUE"""),"Never")</f>
        <v>Never</v>
      </c>
      <c r="J1047" s="260">
        <f>IFERROR(__xludf.DUMMYFUNCTION("""COMPUTED_VALUE"""),0.9)</f>
        <v>0.9</v>
      </c>
      <c r="K1047" s="258">
        <f>IFERROR(__xludf.DUMMYFUNCTION("""COMPUTED_VALUE"""),270.0)</f>
        <v>270</v>
      </c>
      <c r="L1047" s="258" t="str">
        <f>IFERROR(__xludf.DUMMYFUNCTION("""COMPUTED_VALUE"""),"")</f>
        <v/>
      </c>
      <c r="M1047" s="261">
        <f>IFERROR(__xludf.DUMMYFUNCTION("""COMPUTED_VALUE"""),323.0)</f>
        <v>323</v>
      </c>
      <c r="N1047" s="262" t="str">
        <f>IFERROR(__xludf.DUMMYFUNCTION("""COMPUTED_VALUE"""),"")</f>
        <v/>
      </c>
      <c r="O1047" s="259" t="str">
        <f>IFERROR(__xludf.DUMMYFUNCTION("""COMPUTED_VALUE"""),"")</f>
        <v/>
      </c>
      <c r="P1047" s="259">
        <f>IFERROR(__xludf.DUMMYFUNCTION("""COMPUTED_VALUE"""),42345.0)</f>
        <v>42345</v>
      </c>
      <c r="Q1047" s="258">
        <f>IFERROR(__xludf.DUMMYFUNCTION("""COMPUTED_VALUE"""),21000.0)</f>
        <v>21000</v>
      </c>
      <c r="R1047" s="261">
        <f>IFERROR(__xludf.DUMMYFUNCTION("""COMPUTED_VALUE"""),261.0)</f>
        <v>261</v>
      </c>
      <c r="S1047" s="258">
        <v>270.0</v>
      </c>
      <c r="T1047" s="263">
        <v>0.9666666666666667</v>
      </c>
      <c r="U1047" s="264">
        <v>21000.0</v>
      </c>
      <c r="V1047" s="265">
        <v>33796.0</v>
      </c>
      <c r="W1047" s="264">
        <v>21000.0</v>
      </c>
      <c r="X1047" s="266"/>
      <c r="Y1047" s="267">
        <v>-0.01</v>
      </c>
      <c r="Z1047" s="267">
        <v>0.9660314617456156</v>
      </c>
      <c r="AA1047" s="269"/>
      <c r="AB1047" s="270"/>
      <c r="AC1047" s="270"/>
      <c r="AD1047" s="270"/>
      <c r="AE1047" s="270"/>
    </row>
    <row r="1048">
      <c r="A1048" s="256">
        <f>IFERROR(__xludf.DUMMYFUNCTION("""COMPUTED_VALUE"""),42670.81041666667)</f>
        <v>42670.81042</v>
      </c>
      <c r="B1048" s="257" t="str">
        <f>IFERROR(__xludf.DUMMYFUNCTION("""COMPUTED_VALUE"""),"mmccord")</f>
        <v>mmccord</v>
      </c>
      <c r="C1048" s="258" t="str">
        <f>IFERROR(__xludf.DUMMYFUNCTION("""COMPUTED_VALUE"""),"USA")</f>
        <v>USA</v>
      </c>
      <c r="D1048" s="258" t="str">
        <f>IFERROR(__xludf.DUMMYFUNCTION("""COMPUTED_VALUE"""),"mi. My car displays range in miles and I will enter all range numbers in miles.")</f>
        <v>mi. My car displays range in miles and I will enter all range numbers in miles.</v>
      </c>
      <c r="E1048" s="259">
        <f>IFERROR(__xludf.DUMMYFUNCTION("""COMPUTED_VALUE"""),42114.0)</f>
        <v>42114</v>
      </c>
      <c r="F1048" s="258" t="str">
        <f>IFERROR(__xludf.DUMMYFUNCTION("""COMPUTED_VALUE"""),"Model S 85D")</f>
        <v>Model S 85D</v>
      </c>
      <c r="G1048" s="258" t="str">
        <f>IFERROR(__xludf.DUMMYFUNCTION("""COMPUTED_VALUE"""),"Twice a month")</f>
        <v>Twice a month</v>
      </c>
      <c r="H1048" s="258" t="str">
        <f>IFERROR(__xludf.DUMMYFUNCTION("""COMPUTED_VALUE"""),"Twice a month")</f>
        <v>Twice a month</v>
      </c>
      <c r="I1048" s="258" t="str">
        <f>IFERROR(__xludf.DUMMYFUNCTION("""COMPUTED_VALUE"""),"Never")</f>
        <v>Never</v>
      </c>
      <c r="J1048" s="260">
        <f>IFERROR(__xludf.DUMMYFUNCTION("""COMPUTED_VALUE"""),0.9)</f>
        <v>0.9</v>
      </c>
      <c r="K1048" s="258">
        <f>IFERROR(__xludf.DUMMYFUNCTION("""COMPUTED_VALUE"""),270.0)</f>
        <v>270</v>
      </c>
      <c r="L1048" s="258" t="str">
        <f>IFERROR(__xludf.DUMMYFUNCTION("""COMPUTED_VALUE"""),"")</f>
        <v/>
      </c>
      <c r="M1048" s="261">
        <f>IFERROR(__xludf.DUMMYFUNCTION("""COMPUTED_VALUE"""),318.0)</f>
        <v>318</v>
      </c>
      <c r="N1048" s="262" t="str">
        <f>IFERROR(__xludf.DUMMYFUNCTION("""COMPUTED_VALUE"""),"")</f>
        <v/>
      </c>
      <c r="O1048" s="259" t="str">
        <f>IFERROR(__xludf.DUMMYFUNCTION("""COMPUTED_VALUE"""),"")</f>
        <v/>
      </c>
      <c r="P1048" s="259">
        <f>IFERROR(__xludf.DUMMYFUNCTION("""COMPUTED_VALUE"""),42670.0)</f>
        <v>42670</v>
      </c>
      <c r="Q1048" s="258">
        <f>IFERROR(__xludf.DUMMYFUNCTION("""COMPUTED_VALUE"""),50081.0)</f>
        <v>50081</v>
      </c>
      <c r="R1048" s="261">
        <f>IFERROR(__xludf.DUMMYFUNCTION("""COMPUTED_VALUE"""),262.0)</f>
        <v>262</v>
      </c>
      <c r="S1048" s="258">
        <v>270.0</v>
      </c>
      <c r="T1048" s="263">
        <v>0.9703703703703703</v>
      </c>
      <c r="U1048" s="264">
        <v>50081.0</v>
      </c>
      <c r="V1048" s="265">
        <v>80598.0</v>
      </c>
      <c r="W1048" s="264">
        <v>50081.0</v>
      </c>
      <c r="X1048" s="266"/>
      <c r="Y1048" s="267">
        <v>-0.01</v>
      </c>
      <c r="Z1048" s="267">
        <v>0.9512505961447965</v>
      </c>
      <c r="AA1048" s="269"/>
      <c r="AB1048" s="270"/>
      <c r="AC1048" s="270"/>
      <c r="AD1048" s="270"/>
      <c r="AE1048" s="270"/>
    </row>
    <row r="1049">
      <c r="A1049" s="256">
        <f>IFERROR(__xludf.DUMMYFUNCTION("""COMPUTED_VALUE"""),42699.81597222222)</f>
        <v>42699.81597</v>
      </c>
      <c r="B1049" s="257" t="str">
        <f>IFERROR(__xludf.DUMMYFUNCTION("""COMPUTED_VALUE"""),"MNGreene")</f>
        <v>MNGreene</v>
      </c>
      <c r="C1049" s="258" t="str">
        <f>IFERROR(__xludf.DUMMYFUNCTION("""COMPUTED_VALUE"""),"USA")</f>
        <v>USA</v>
      </c>
      <c r="D1049" s="258" t="str">
        <f>IFERROR(__xludf.DUMMYFUNCTION("""COMPUTED_VALUE"""),"mi. My car displays range in miles and I will enter all range numbers in miles.")</f>
        <v>mi. My car displays range in miles and I will enter all range numbers in miles.</v>
      </c>
      <c r="E1049" s="259">
        <f>IFERROR(__xludf.DUMMYFUNCTION("""COMPUTED_VALUE"""),41530.0)</f>
        <v>41530</v>
      </c>
      <c r="F1049" s="258" t="str">
        <f>IFERROR(__xludf.DUMMYFUNCTION("""COMPUTED_VALUE"""),"Model S 85")</f>
        <v>Model S 85</v>
      </c>
      <c r="G1049" s="258" t="str">
        <f>IFERROR(__xludf.DUMMYFUNCTION("""COMPUTED_VALUE"""),"Monthly")</f>
        <v>Monthly</v>
      </c>
      <c r="H1049" s="258" t="str">
        <f>IFERROR(__xludf.DUMMYFUNCTION("""COMPUTED_VALUE"""),"A few times a year")</f>
        <v>A few times a year</v>
      </c>
      <c r="I1049" s="258" t="str">
        <f>IFERROR(__xludf.DUMMYFUNCTION("""COMPUTED_VALUE"""),"Once or twice a year")</f>
        <v>Once or twice a year</v>
      </c>
      <c r="J1049" s="260">
        <f>IFERROR(__xludf.DUMMYFUNCTION("""COMPUTED_VALUE"""),0.6)</f>
        <v>0.6</v>
      </c>
      <c r="K1049" s="258" t="str">
        <f>IFERROR(__xludf.DUMMYFUNCTION("""COMPUTED_VALUE"""),"")</f>
        <v/>
      </c>
      <c r="L1049" s="258" t="str">
        <f>IFERROR(__xludf.DUMMYFUNCTION("""COMPUTED_VALUE"""),"")</f>
        <v/>
      </c>
      <c r="M1049" s="261">
        <f>IFERROR(__xludf.DUMMYFUNCTION("""COMPUTED_VALUE"""),311.0)</f>
        <v>311</v>
      </c>
      <c r="N1049" s="262">
        <f>IFERROR(__xludf.DUMMYFUNCTION("""COMPUTED_VALUE"""),17000.0)</f>
        <v>17000</v>
      </c>
      <c r="O1049" s="259" t="str">
        <f>IFERROR(__xludf.DUMMYFUNCTION("""COMPUTED_VALUE"""),"I don't know")</f>
        <v>I don't know</v>
      </c>
      <c r="P1049" s="259">
        <f>IFERROR(__xludf.DUMMYFUNCTION("""COMPUTED_VALUE"""),42699.0)</f>
        <v>42699</v>
      </c>
      <c r="Q1049" s="258">
        <f>IFERROR(__xludf.DUMMYFUNCTION("""COMPUTED_VALUE"""),67000.0)</f>
        <v>67000</v>
      </c>
      <c r="R1049" s="261">
        <f>IFERROR(__xludf.DUMMYFUNCTION("""COMPUTED_VALUE"""),243.0)</f>
        <v>243</v>
      </c>
      <c r="S1049" s="258">
        <v>266.0</v>
      </c>
      <c r="T1049" s="263">
        <v>0.9135338345864662</v>
      </c>
      <c r="U1049" s="264">
        <v>67000.0</v>
      </c>
      <c r="V1049" s="265">
        <v>107826.0</v>
      </c>
      <c r="W1049" s="264">
        <v>67000.0</v>
      </c>
      <c r="X1049" s="266"/>
      <c r="Y1049" s="267">
        <v>-0.01</v>
      </c>
      <c r="Z1049" s="267">
        <v>0.9447474122298568</v>
      </c>
      <c r="AA1049" s="269"/>
      <c r="AB1049" s="270"/>
      <c r="AC1049" s="270"/>
      <c r="AD1049" s="270"/>
      <c r="AE1049" s="270"/>
    </row>
    <row r="1050">
      <c r="A1050" s="256">
        <f>IFERROR(__xludf.DUMMYFUNCTION("""COMPUTED_VALUE"""),43180.87986111111)</f>
        <v>43180.87986</v>
      </c>
      <c r="B1050" s="257" t="str">
        <f>IFERROR(__xludf.DUMMYFUNCTION("""COMPUTED_VALUE"""),"mnpTesla")</f>
        <v>mnpTesla</v>
      </c>
      <c r="C1050" s="258" t="str">
        <f>IFERROR(__xludf.DUMMYFUNCTION("""COMPUTED_VALUE"""),"USA")</f>
        <v>USA</v>
      </c>
      <c r="D1050" s="258" t="str">
        <f>IFERROR(__xludf.DUMMYFUNCTION("""COMPUTED_VALUE"""),"mi. My car displays range in miles and I will enter all range numbers in miles.")</f>
        <v>mi. My car displays range in miles and I will enter all range numbers in miles.</v>
      </c>
      <c r="E1050" s="259">
        <f>IFERROR(__xludf.DUMMYFUNCTION("""COMPUTED_VALUE"""),42867.0)</f>
        <v>42867</v>
      </c>
      <c r="F1050" s="258" t="str">
        <f>IFERROR(__xludf.DUMMYFUNCTION("""COMPUTED_VALUE"""),"Model S 75")</f>
        <v>Model S 75</v>
      </c>
      <c r="G1050" s="258" t="str">
        <f>IFERROR(__xludf.DUMMYFUNCTION("""COMPUTED_VALUE"""),"A few times a year")</f>
        <v>A few times a year</v>
      </c>
      <c r="H1050" s="258" t="str">
        <f>IFERROR(__xludf.DUMMYFUNCTION("""COMPUTED_VALUE"""),"A few times a year")</f>
        <v>A few times a year</v>
      </c>
      <c r="I1050" s="258" t="str">
        <f>IFERROR(__xludf.DUMMYFUNCTION("""COMPUTED_VALUE"""),"Once or twice a year")</f>
        <v>Once or twice a year</v>
      </c>
      <c r="J1050" s="260">
        <f>IFERROR(__xludf.DUMMYFUNCTION("""COMPUTED_VALUE"""),0.9)</f>
        <v>0.9</v>
      </c>
      <c r="K1050" s="258" t="str">
        <f>IFERROR(__xludf.DUMMYFUNCTION("""COMPUTED_VALUE"""),"")</f>
        <v/>
      </c>
      <c r="L1050" s="258" t="str">
        <f>IFERROR(__xludf.DUMMYFUNCTION("""COMPUTED_VALUE"""),"")</f>
        <v/>
      </c>
      <c r="M1050" s="261">
        <f>IFERROR(__xludf.DUMMYFUNCTION("""COMPUTED_VALUE"""),297.0)</f>
        <v>297</v>
      </c>
      <c r="N1050" s="262" t="str">
        <f>IFERROR(__xludf.DUMMYFUNCTION("""COMPUTED_VALUE"""),"")</f>
        <v/>
      </c>
      <c r="O1050" s="259" t="str">
        <f>IFERROR(__xludf.DUMMYFUNCTION("""COMPUTED_VALUE"""),"")</f>
        <v/>
      </c>
      <c r="P1050" s="259">
        <f>IFERROR(__xludf.DUMMYFUNCTION("""COMPUTED_VALUE"""),43180.0)</f>
        <v>43180</v>
      </c>
      <c r="Q1050" s="258">
        <f>IFERROR(__xludf.DUMMYFUNCTION("""COMPUTED_VALUE"""),14638.0)</f>
        <v>14638</v>
      </c>
      <c r="R1050" s="261">
        <f>IFERROR(__xludf.DUMMYFUNCTION("""COMPUTED_VALUE"""),242.0)</f>
        <v>242</v>
      </c>
      <c r="S1050" s="258">
        <v>246.0</v>
      </c>
      <c r="T1050" s="263">
        <v>0.983739837398374</v>
      </c>
      <c r="U1050" s="264">
        <v>14638.0</v>
      </c>
      <c r="V1050" s="265">
        <v>23558.0</v>
      </c>
      <c r="W1050" s="264">
        <v>14638.0</v>
      </c>
      <c r="X1050" s="266"/>
      <c r="Y1050" s="267">
        <v>-0.01</v>
      </c>
      <c r="Z1050" s="267">
        <v>0.9718637565711511</v>
      </c>
      <c r="AA1050" s="269"/>
      <c r="AB1050" s="270"/>
      <c r="AC1050" s="270"/>
      <c r="AD1050" s="270"/>
      <c r="AE1050" s="270"/>
    </row>
    <row r="1051">
      <c r="A1051" s="256">
        <f>IFERROR(__xludf.DUMMYFUNCTION("""COMPUTED_VALUE"""),42422.29513888889)</f>
        <v>42422.29514</v>
      </c>
      <c r="B1051" s="257" t="str">
        <f>IFERROR(__xludf.DUMMYFUNCTION("""COMPUTED_VALUE"""),"moho")</f>
        <v>moho</v>
      </c>
      <c r="C1051" s="258" t="str">
        <f>IFERROR(__xludf.DUMMYFUNCTION("""COMPUTED_VALUE"""),"Europe (excluding UK) &amp; Asia Pacific")</f>
        <v>Europe (excluding UK) &amp; Asia Pacific</v>
      </c>
      <c r="D1051" s="258" t="str">
        <f>IFERROR(__xludf.DUMMYFUNCTION("""COMPUTED_VALUE"""),"km. My car displays range in kilometres and I will enter all range numbers in kilometres.")</f>
        <v>km. My car displays range in kilometres and I will enter all range numbers in kilometres.</v>
      </c>
      <c r="E1051" s="259">
        <f>IFERROR(__xludf.DUMMYFUNCTION("""COMPUTED_VALUE"""),42267.0)</f>
        <v>42267</v>
      </c>
      <c r="F1051" s="258" t="str">
        <f>IFERROR(__xludf.DUMMYFUNCTION("""COMPUTED_VALUE"""),"Model S 85D")</f>
        <v>Model S 85D</v>
      </c>
      <c r="G1051" s="258" t="str">
        <f>IFERROR(__xludf.DUMMYFUNCTION("""COMPUTED_VALUE"""),"Monthly")</f>
        <v>Monthly</v>
      </c>
      <c r="H1051" s="258" t="str">
        <f>IFERROR(__xludf.DUMMYFUNCTION("""COMPUTED_VALUE"""),"A few times a year")</f>
        <v>A few times a year</v>
      </c>
      <c r="I1051" s="258" t="str">
        <f>IFERROR(__xludf.DUMMYFUNCTION("""COMPUTED_VALUE"""),"A few times a year")</f>
        <v>A few times a year</v>
      </c>
      <c r="J1051" s="260">
        <f>IFERROR(__xludf.DUMMYFUNCTION("""COMPUTED_VALUE"""),0.9)</f>
        <v>0.9</v>
      </c>
      <c r="K1051" s="258">
        <f>IFERROR(__xludf.DUMMYFUNCTION("""COMPUTED_VALUE"""),421.0)</f>
        <v>421</v>
      </c>
      <c r="L1051" s="258" t="str">
        <f>IFERROR(__xludf.DUMMYFUNCTION("""COMPUTED_VALUE"""),"")</f>
        <v/>
      </c>
      <c r="M1051" s="261">
        <f>IFERROR(__xludf.DUMMYFUNCTION("""COMPUTED_VALUE"""),269.0)</f>
        <v>269</v>
      </c>
      <c r="N1051" s="262" t="str">
        <f>IFERROR(__xludf.DUMMYFUNCTION("""COMPUTED_VALUE"""),"")</f>
        <v/>
      </c>
      <c r="O1051" s="259" t="str">
        <f>IFERROR(__xludf.DUMMYFUNCTION("""COMPUTED_VALUE"""),"")</f>
        <v/>
      </c>
      <c r="P1051" s="259">
        <f>IFERROR(__xludf.DUMMYFUNCTION("""COMPUTED_VALUE"""),42422.0)</f>
        <v>42422</v>
      </c>
      <c r="Q1051" s="258">
        <f>IFERROR(__xludf.DUMMYFUNCTION("""COMPUTED_VALUE"""),3856.0)</f>
        <v>3856</v>
      </c>
      <c r="R1051" s="261">
        <f>IFERROR(__xludf.DUMMYFUNCTION("""COMPUTED_VALUE"""),421.0)</f>
        <v>421</v>
      </c>
      <c r="S1051" s="258">
        <v>425.0</v>
      </c>
      <c r="T1051" s="263">
        <v>0.9905882352941177</v>
      </c>
      <c r="U1051" s="264">
        <v>2396.0</v>
      </c>
      <c r="V1051" s="265">
        <v>3856.0</v>
      </c>
      <c r="W1051" s="264">
        <v>2396.0</v>
      </c>
      <c r="X1051" s="266"/>
      <c r="Y1051" s="267">
        <v>-0.01</v>
      </c>
      <c r="Z1051" s="267">
        <v>0.9929971503365932</v>
      </c>
      <c r="AA1051" s="269"/>
      <c r="AB1051" s="270"/>
      <c r="AC1051" s="270"/>
      <c r="AD1051" s="270"/>
      <c r="AE1051" s="270"/>
    </row>
    <row r="1052">
      <c r="A1052" s="256">
        <f>IFERROR(__xludf.DUMMYFUNCTION("""COMPUTED_VALUE"""),42832.54375)</f>
        <v>42832.54375</v>
      </c>
      <c r="B1052" s="257" t="str">
        <f>IFERROR(__xludf.DUMMYFUNCTION("""COMPUTED_VALUE"""),"morth_S")</f>
        <v>morth_S</v>
      </c>
      <c r="C1052" s="258" t="str">
        <f>IFERROR(__xludf.DUMMYFUNCTION("""COMPUTED_VALUE"""),"Europe (excluding UK) &amp; Asia Pacific")</f>
        <v>Europe (excluding UK) &amp; Asia Pacific</v>
      </c>
      <c r="D1052" s="258" t="str">
        <f>IFERROR(__xludf.DUMMYFUNCTION("""COMPUTED_VALUE"""),"km. My car displays range in kilometres and I will enter all range numbers in kilometres.")</f>
        <v>km. My car displays range in kilometres and I will enter all range numbers in kilometres.</v>
      </c>
      <c r="E1052" s="259">
        <f>IFERROR(__xludf.DUMMYFUNCTION("""COMPUTED_VALUE"""),41871.0)</f>
        <v>41871</v>
      </c>
      <c r="F1052" s="258" t="str">
        <f>IFERROR(__xludf.DUMMYFUNCTION("""COMPUTED_VALUE"""),"Model S 85")</f>
        <v>Model S 85</v>
      </c>
      <c r="G1052" s="258" t="str">
        <f>IFERROR(__xludf.DUMMYFUNCTION("""COMPUTED_VALUE"""),"Monthly")</f>
        <v>Monthly</v>
      </c>
      <c r="H1052" s="258" t="str">
        <f>IFERROR(__xludf.DUMMYFUNCTION("""COMPUTED_VALUE"""),"Once or twice a year")</f>
        <v>Once or twice a year</v>
      </c>
      <c r="I1052" s="258" t="str">
        <f>IFERROR(__xludf.DUMMYFUNCTION("""COMPUTED_VALUE"""),"Never")</f>
        <v>Never</v>
      </c>
      <c r="J1052" s="260">
        <f>IFERROR(__xludf.DUMMYFUNCTION("""COMPUTED_VALUE"""),0.8)</f>
        <v>0.8</v>
      </c>
      <c r="K1052" s="258" t="str">
        <f>IFERROR(__xludf.DUMMYFUNCTION("""COMPUTED_VALUE"""),"")</f>
        <v/>
      </c>
      <c r="L1052" s="258" t="str">
        <f>IFERROR(__xludf.DUMMYFUNCTION("""COMPUTED_VALUE"""),"")</f>
        <v/>
      </c>
      <c r="M1052" s="261">
        <f>IFERROR(__xludf.DUMMYFUNCTION("""COMPUTED_VALUE"""),210.0)</f>
        <v>210</v>
      </c>
      <c r="N1052" s="262" t="str">
        <f>IFERROR(__xludf.DUMMYFUNCTION("""COMPUTED_VALUE"""),"")</f>
        <v/>
      </c>
      <c r="O1052" s="259" t="str">
        <f>IFERROR(__xludf.DUMMYFUNCTION("""COMPUTED_VALUE"""),"")</f>
        <v/>
      </c>
      <c r="P1052" s="259">
        <f>IFERROR(__xludf.DUMMYFUNCTION("""COMPUTED_VALUE"""),42832.0)</f>
        <v>42832</v>
      </c>
      <c r="Q1052" s="258">
        <f>IFERROR(__xludf.DUMMYFUNCTION("""COMPUTED_VALUE"""),14857.0)</f>
        <v>14857</v>
      </c>
      <c r="R1052" s="261">
        <f>IFERROR(__xludf.DUMMYFUNCTION("""COMPUTED_VALUE"""),389.0)</f>
        <v>389</v>
      </c>
      <c r="S1052" s="258">
        <v>395.0</v>
      </c>
      <c r="T1052" s="263">
        <v>0.9848101265822785</v>
      </c>
      <c r="U1052" s="264">
        <v>9232.0</v>
      </c>
      <c r="V1052" s="265">
        <v>14857.0</v>
      </c>
      <c r="W1052" s="264">
        <v>9232.0</v>
      </c>
      <c r="X1052" s="266"/>
      <c r="Y1052" s="267">
        <v>-0.01</v>
      </c>
      <c r="Z1052" s="267">
        <v>0.9789654532037734</v>
      </c>
      <c r="AA1052" s="269"/>
      <c r="AB1052" s="270"/>
      <c r="AC1052" s="270"/>
      <c r="AD1052" s="270"/>
      <c r="AE1052" s="270"/>
    </row>
    <row r="1053">
      <c r="A1053" s="256">
        <f>IFERROR(__xludf.DUMMYFUNCTION("""COMPUTED_VALUE"""),43197.726388888885)</f>
        <v>43197.72639</v>
      </c>
      <c r="B1053" s="257" t="str">
        <f>IFERROR(__xludf.DUMMYFUNCTION("""COMPUTED_VALUE"""),"morth_S")</f>
        <v>morth_S</v>
      </c>
      <c r="C1053" s="258" t="str">
        <f>IFERROR(__xludf.DUMMYFUNCTION("""COMPUTED_VALUE"""),"Europe (excluding UK) &amp; Asia Pacific")</f>
        <v>Europe (excluding UK) &amp; Asia Pacific</v>
      </c>
      <c r="D1053" s="258" t="str">
        <f>IFERROR(__xludf.DUMMYFUNCTION("""COMPUTED_VALUE"""),"km. My car displays range in kilometres and I will enter all range numbers in kilometres.")</f>
        <v>km. My car displays range in kilometres and I will enter all range numbers in kilometres.</v>
      </c>
      <c r="E1053" s="259">
        <f>IFERROR(__xludf.DUMMYFUNCTION("""COMPUTED_VALUE"""),41871.0)</f>
        <v>41871</v>
      </c>
      <c r="F1053" s="258" t="str">
        <f>IFERROR(__xludf.DUMMYFUNCTION("""COMPUTED_VALUE"""),"Model S 85")</f>
        <v>Model S 85</v>
      </c>
      <c r="G1053" s="258" t="str">
        <f>IFERROR(__xludf.DUMMYFUNCTION("""COMPUTED_VALUE"""),"Monthly")</f>
        <v>Monthly</v>
      </c>
      <c r="H1053" s="258" t="str">
        <f>IFERROR(__xludf.DUMMYFUNCTION("""COMPUTED_VALUE"""),"Once or twice a year")</f>
        <v>Once or twice a year</v>
      </c>
      <c r="I1053" s="258" t="str">
        <f>IFERROR(__xludf.DUMMYFUNCTION("""COMPUTED_VALUE"""),"Never")</f>
        <v>Never</v>
      </c>
      <c r="J1053" s="260">
        <f>IFERROR(__xludf.DUMMYFUNCTION("""COMPUTED_VALUE"""),0.7)</f>
        <v>0.7</v>
      </c>
      <c r="K1053" s="258" t="str">
        <f>IFERROR(__xludf.DUMMYFUNCTION("""COMPUTED_VALUE"""),"")</f>
        <v/>
      </c>
      <c r="L1053" s="258" t="str">
        <f>IFERROR(__xludf.DUMMYFUNCTION("""COMPUTED_VALUE"""),"")</f>
        <v/>
      </c>
      <c r="M1053" s="261">
        <f>IFERROR(__xludf.DUMMYFUNCTION("""COMPUTED_VALUE"""),210.0)</f>
        <v>210</v>
      </c>
      <c r="N1053" s="262" t="str">
        <f>IFERROR(__xludf.DUMMYFUNCTION("""COMPUTED_VALUE"""),"")</f>
        <v/>
      </c>
      <c r="O1053" s="259" t="str">
        <f>IFERROR(__xludf.DUMMYFUNCTION("""COMPUTED_VALUE"""),"")</f>
        <v/>
      </c>
      <c r="P1053" s="259">
        <f>IFERROR(__xludf.DUMMYFUNCTION("""COMPUTED_VALUE"""),43197.0)</f>
        <v>43197</v>
      </c>
      <c r="Q1053" s="258">
        <f>IFERROR(__xludf.DUMMYFUNCTION("""COMPUTED_VALUE"""),17888.0)</f>
        <v>17888</v>
      </c>
      <c r="R1053" s="261">
        <f>IFERROR(__xludf.DUMMYFUNCTION("""COMPUTED_VALUE"""),388.0)</f>
        <v>388</v>
      </c>
      <c r="S1053" s="258">
        <v>395.0</v>
      </c>
      <c r="T1053" s="263">
        <v>0.9822784810126582</v>
      </c>
      <c r="U1053" s="264">
        <v>11115.0</v>
      </c>
      <c r="V1053" s="265">
        <v>17888.0</v>
      </c>
      <c r="W1053" s="264">
        <v>11115.0</v>
      </c>
      <c r="X1053" s="266"/>
      <c r="Y1053" s="267">
        <v>-0.01</v>
      </c>
      <c r="Z1053" s="267">
        <v>0.9761930210693541</v>
      </c>
      <c r="AA1053" s="269"/>
      <c r="AB1053" s="270"/>
      <c r="AC1053" s="270"/>
      <c r="AD1053" s="270"/>
      <c r="AE1053" s="270"/>
    </row>
    <row r="1054">
      <c r="A1054" s="256">
        <f>IFERROR(__xludf.DUMMYFUNCTION("""COMPUTED_VALUE"""),42826.544444444444)</f>
        <v>42826.54444</v>
      </c>
      <c r="B1054" s="257" t="str">
        <f>IFERROR(__xludf.DUMMYFUNCTION("""COMPUTED_VALUE"""),"morth_X")</f>
        <v>morth_X</v>
      </c>
      <c r="C1054" s="258" t="str">
        <f>IFERROR(__xludf.DUMMYFUNCTION("""COMPUTED_VALUE"""),"Europe (excluding UK) &amp; Asia Pacific")</f>
        <v>Europe (excluding UK) &amp; Asia Pacific</v>
      </c>
      <c r="D1054" s="258" t="str">
        <f>IFERROR(__xludf.DUMMYFUNCTION("""COMPUTED_VALUE"""),"km. My car displays range in kilometres and I will enter all range numbers in kilometres.")</f>
        <v>km. My car displays range in kilometres and I will enter all range numbers in kilometres.</v>
      </c>
      <c r="E1054" s="259">
        <f>IFERROR(__xludf.DUMMYFUNCTION("""COMPUTED_VALUE"""),42802.0)</f>
        <v>42802</v>
      </c>
      <c r="F1054" s="258" t="str">
        <f>IFERROR(__xludf.DUMMYFUNCTION("""COMPUTED_VALUE"""),"Model X 90D")</f>
        <v>Model X 90D</v>
      </c>
      <c r="G1054" s="258" t="str">
        <f>IFERROR(__xludf.DUMMYFUNCTION("""COMPUTED_VALUE"""),"Monthly")</f>
        <v>Monthly</v>
      </c>
      <c r="H1054" s="258" t="str">
        <f>IFERROR(__xludf.DUMMYFUNCTION("""COMPUTED_VALUE"""),"Once or twice a year")</f>
        <v>Once or twice a year</v>
      </c>
      <c r="I1054" s="258" t="str">
        <f>IFERROR(__xludf.DUMMYFUNCTION("""COMPUTED_VALUE"""),"Never")</f>
        <v>Never</v>
      </c>
      <c r="J1054" s="260">
        <f>IFERROR(__xludf.DUMMYFUNCTION("""COMPUTED_VALUE"""),0.8)</f>
        <v>0.8</v>
      </c>
      <c r="K1054" s="258">
        <f>IFERROR(__xludf.DUMMYFUNCTION("""COMPUTED_VALUE"""),395.0)</f>
        <v>395</v>
      </c>
      <c r="L1054" s="258" t="str">
        <f>IFERROR(__xludf.DUMMYFUNCTION("""COMPUTED_VALUE"""),"")</f>
        <v/>
      </c>
      <c r="M1054" s="261">
        <f>IFERROR(__xludf.DUMMYFUNCTION("""COMPUTED_VALUE"""),225.0)</f>
        <v>225</v>
      </c>
      <c r="N1054" s="262" t="str">
        <f>IFERROR(__xludf.DUMMYFUNCTION("""COMPUTED_VALUE"""),"")</f>
        <v/>
      </c>
      <c r="O1054" s="259" t="str">
        <f>IFERROR(__xludf.DUMMYFUNCTION("""COMPUTED_VALUE"""),"")</f>
        <v/>
      </c>
      <c r="P1054" s="259">
        <f>IFERROR(__xludf.DUMMYFUNCTION("""COMPUTED_VALUE"""),42826.0)</f>
        <v>42826</v>
      </c>
      <c r="Q1054" s="258">
        <f>IFERROR(__xludf.DUMMYFUNCTION("""COMPUTED_VALUE"""),100.0)</f>
        <v>100</v>
      </c>
      <c r="R1054" s="261">
        <f>IFERROR(__xludf.DUMMYFUNCTION("""COMPUTED_VALUE"""),395.0)</f>
        <v>395</v>
      </c>
      <c r="S1054" s="258">
        <v>400.0</v>
      </c>
      <c r="T1054" s="263">
        <v>0.9875</v>
      </c>
      <c r="U1054" s="264">
        <v>62.0</v>
      </c>
      <c r="V1054" s="265">
        <v>100.0</v>
      </c>
      <c r="W1054" s="264">
        <v>62.0</v>
      </c>
      <c r="X1054" s="266"/>
      <c r="Y1054" s="267">
        <v>-0.01</v>
      </c>
      <c r="Z1054" s="267">
        <v>0.9998004691060184</v>
      </c>
      <c r="AA1054" s="269"/>
      <c r="AB1054" s="270"/>
      <c r="AC1054" s="270"/>
      <c r="AD1054" s="270"/>
      <c r="AE1054" s="270"/>
    </row>
    <row r="1055">
      <c r="A1055" s="256">
        <f>IFERROR(__xludf.DUMMYFUNCTION("""COMPUTED_VALUE"""),43210.72708333333)</f>
        <v>43210.72708</v>
      </c>
      <c r="B1055" s="257" t="str">
        <f>IFERROR(__xludf.DUMMYFUNCTION("""COMPUTED_VALUE"""),"morth_X")</f>
        <v>morth_X</v>
      </c>
      <c r="C1055" s="258" t="str">
        <f>IFERROR(__xludf.DUMMYFUNCTION("""COMPUTED_VALUE"""),"Europe (excluding UK) &amp; Asia Pacific")</f>
        <v>Europe (excluding UK) &amp; Asia Pacific</v>
      </c>
      <c r="D1055" s="258" t="str">
        <f>IFERROR(__xludf.DUMMYFUNCTION("""COMPUTED_VALUE"""),"km. My car displays range in kilometres and I will enter all range numbers in kilometres.")</f>
        <v>km. My car displays range in kilometres and I will enter all range numbers in kilometres.</v>
      </c>
      <c r="E1055" s="259">
        <f>IFERROR(__xludf.DUMMYFUNCTION("""COMPUTED_VALUE"""),42802.0)</f>
        <v>42802</v>
      </c>
      <c r="F1055" s="258" t="str">
        <f>IFERROR(__xludf.DUMMYFUNCTION("""COMPUTED_VALUE"""),"Model X 90D")</f>
        <v>Model X 90D</v>
      </c>
      <c r="G1055" s="258" t="str">
        <f>IFERROR(__xludf.DUMMYFUNCTION("""COMPUTED_VALUE"""),"Monthly")</f>
        <v>Monthly</v>
      </c>
      <c r="H1055" s="258" t="str">
        <f>IFERROR(__xludf.DUMMYFUNCTION("""COMPUTED_VALUE"""),"Once or twice a year")</f>
        <v>Once or twice a year</v>
      </c>
      <c r="I1055" s="258" t="str">
        <f>IFERROR(__xludf.DUMMYFUNCTION("""COMPUTED_VALUE"""),"Never")</f>
        <v>Never</v>
      </c>
      <c r="J1055" s="260">
        <f>IFERROR(__xludf.DUMMYFUNCTION("""COMPUTED_VALUE"""),0.7)</f>
        <v>0.7</v>
      </c>
      <c r="K1055" s="258">
        <f>IFERROR(__xludf.DUMMYFUNCTION("""COMPUTED_VALUE"""),395.0)</f>
        <v>395</v>
      </c>
      <c r="L1055" s="258" t="str">
        <f>IFERROR(__xludf.DUMMYFUNCTION("""COMPUTED_VALUE"""),"")</f>
        <v/>
      </c>
      <c r="M1055" s="261">
        <f>IFERROR(__xludf.DUMMYFUNCTION("""COMPUTED_VALUE"""),210.0)</f>
        <v>210</v>
      </c>
      <c r="N1055" s="262" t="str">
        <f>IFERROR(__xludf.DUMMYFUNCTION("""COMPUTED_VALUE"""),"")</f>
        <v/>
      </c>
      <c r="O1055" s="259" t="str">
        <f>IFERROR(__xludf.DUMMYFUNCTION("""COMPUTED_VALUE"""),"")</f>
        <v/>
      </c>
      <c r="P1055" s="259">
        <f>IFERROR(__xludf.DUMMYFUNCTION("""COMPUTED_VALUE"""),43210.0)</f>
        <v>43210</v>
      </c>
      <c r="Q1055" s="258">
        <f>IFERROR(__xludf.DUMMYFUNCTION("""COMPUTED_VALUE"""),3442.0)</f>
        <v>3442</v>
      </c>
      <c r="R1055" s="261">
        <f>IFERROR(__xludf.DUMMYFUNCTION("""COMPUTED_VALUE"""),393.0)</f>
        <v>393</v>
      </c>
      <c r="S1055" s="258">
        <v>400.0</v>
      </c>
      <c r="T1055" s="263">
        <v>0.9825</v>
      </c>
      <c r="U1055" s="264">
        <v>2139.0</v>
      </c>
      <c r="V1055" s="265">
        <v>3442.0</v>
      </c>
      <c r="W1055" s="264">
        <v>2139.0</v>
      </c>
      <c r="X1055" s="266"/>
      <c r="Y1055" s="267">
        <v>-0.01</v>
      </c>
      <c r="Z1055" s="267">
        <v>0.9936852879880963</v>
      </c>
      <c r="AA1055" s="269"/>
      <c r="AB1055" s="270"/>
      <c r="AC1055" s="270"/>
      <c r="AD1055" s="270"/>
      <c r="AE1055" s="270"/>
    </row>
    <row r="1056">
      <c r="A1056" s="256">
        <f>IFERROR(__xludf.DUMMYFUNCTION("""COMPUTED_VALUE"""),43691.57400594907)</f>
        <v>43691.57401</v>
      </c>
      <c r="B1056" s="257" t="str">
        <f>IFERROR(__xludf.DUMMYFUNCTION("""COMPUTED_VALUE"""),"mr Lois")</f>
        <v>mr Lois</v>
      </c>
      <c r="C1056" s="258" t="str">
        <f>IFERROR(__xludf.DUMMYFUNCTION("""COMPUTED_VALUE"""),"Europe (excluding UK) &amp; Asia Pacific")</f>
        <v>Europe (excluding UK) &amp; Asia Pacific</v>
      </c>
      <c r="D1056" s="258" t="str">
        <f>IFERROR(__xludf.DUMMYFUNCTION("""COMPUTED_VALUE"""),"km. My car displays range in kilometres and I will enter all range numbers in kilometres.")</f>
        <v>km. My car displays range in kilometres and I will enter all range numbers in kilometres.</v>
      </c>
      <c r="E1056" s="259">
        <f>IFERROR(__xludf.DUMMYFUNCTION("""COMPUTED_VALUE"""),43344.0)</f>
        <v>43344</v>
      </c>
      <c r="F1056" s="258" t="str">
        <f>IFERROR(__xludf.DUMMYFUNCTION("""COMPUTED_VALUE"""),"Model S 100D")</f>
        <v>Model S 100D</v>
      </c>
      <c r="G1056" s="258" t="str">
        <f>IFERROR(__xludf.DUMMYFUNCTION("""COMPUTED_VALUE"""),"Twice a month")</f>
        <v>Twice a month</v>
      </c>
      <c r="H1056" s="258" t="str">
        <f>IFERROR(__xludf.DUMMYFUNCTION("""COMPUTED_VALUE"""),"A few times a year")</f>
        <v>A few times a year</v>
      </c>
      <c r="I1056" s="258" t="str">
        <f>IFERROR(__xludf.DUMMYFUNCTION("""COMPUTED_VALUE"""),"A few times a year")</f>
        <v>A few times a year</v>
      </c>
      <c r="J1056" s="260">
        <f>IFERROR(__xludf.DUMMYFUNCTION("""COMPUTED_VALUE"""),0.7)</f>
        <v>0.7</v>
      </c>
      <c r="K1056" s="258">
        <f>IFERROR(__xludf.DUMMYFUNCTION("""COMPUTED_VALUE"""),504.0)</f>
        <v>504</v>
      </c>
      <c r="L1056" s="258" t="str">
        <f>IFERROR(__xludf.DUMMYFUNCTION("""COMPUTED_VALUE"""),"")</f>
        <v/>
      </c>
      <c r="M1056" s="261">
        <f>IFERROR(__xludf.DUMMYFUNCTION("""COMPUTED_VALUE"""),181.0)</f>
        <v>181</v>
      </c>
      <c r="N1056" s="262" t="str">
        <f>IFERROR(__xludf.DUMMYFUNCTION("""COMPUTED_VALUE"""),"")</f>
        <v/>
      </c>
      <c r="O1056" s="259" t="str">
        <f>IFERROR(__xludf.DUMMYFUNCTION("""COMPUTED_VALUE"""),"")</f>
        <v/>
      </c>
      <c r="P1056" s="259">
        <f>IFERROR(__xludf.DUMMYFUNCTION("""COMPUTED_VALUE"""),43805.0)</f>
        <v>43805</v>
      </c>
      <c r="Q1056" s="258">
        <f>IFERROR(__xludf.DUMMYFUNCTION("""COMPUTED_VALUE"""),15.0)</f>
        <v>15</v>
      </c>
      <c r="R1056" s="261">
        <f>IFERROR(__xludf.DUMMYFUNCTION("""COMPUTED_VALUE"""),504.0)</f>
        <v>504</v>
      </c>
      <c r="S1056" s="258">
        <v>510.0</v>
      </c>
      <c r="T1056" s="263">
        <v>0.9882352941176471</v>
      </c>
      <c r="U1056" s="264">
        <v>9.0</v>
      </c>
      <c r="V1056" s="265">
        <v>15.0</v>
      </c>
      <c r="W1056" s="264">
        <v>9.0</v>
      </c>
      <c r="X1056" s="266"/>
      <c r="Y1056" s="267">
        <v>-0.01</v>
      </c>
      <c r="Z1056" s="267">
        <v>0.9999700049162146</v>
      </c>
      <c r="AA1056" s="269"/>
      <c r="AB1056" s="270"/>
      <c r="AC1056" s="270"/>
      <c r="AD1056" s="270"/>
      <c r="AE1056" s="270"/>
    </row>
    <row r="1057">
      <c r="A1057" s="256">
        <f>IFERROR(__xludf.DUMMYFUNCTION("""COMPUTED_VALUE"""),43691.57400594907)</f>
        <v>43691.57401</v>
      </c>
      <c r="B1057" s="257" t="str">
        <f>IFERROR(__xludf.DUMMYFUNCTION("""COMPUTED_VALUE"""),"mr Lois")</f>
        <v>mr Lois</v>
      </c>
      <c r="C1057" s="258" t="str">
        <f>IFERROR(__xludf.DUMMYFUNCTION("""COMPUTED_VALUE"""),"Europe (excluding UK) &amp; Asia Pacific")</f>
        <v>Europe (excluding UK) &amp; Asia Pacific</v>
      </c>
      <c r="D1057" s="258" t="str">
        <f>IFERROR(__xludf.DUMMYFUNCTION("""COMPUTED_VALUE"""),"km. My car displays range in kilometres and I will enter all range numbers in kilometres.")</f>
        <v>km. My car displays range in kilometres and I will enter all range numbers in kilometres.</v>
      </c>
      <c r="E1057" s="259">
        <f>IFERROR(__xludf.DUMMYFUNCTION("""COMPUTED_VALUE"""),43344.0)</f>
        <v>43344</v>
      </c>
      <c r="F1057" s="258" t="str">
        <f>IFERROR(__xludf.DUMMYFUNCTION("""COMPUTED_VALUE"""),"Model S 100D")</f>
        <v>Model S 100D</v>
      </c>
      <c r="G1057" s="258" t="str">
        <f>IFERROR(__xludf.DUMMYFUNCTION("""COMPUTED_VALUE"""),"Twice a month")</f>
        <v>Twice a month</v>
      </c>
      <c r="H1057" s="258" t="str">
        <f>IFERROR(__xludf.DUMMYFUNCTION("""COMPUTED_VALUE"""),"A few times a year")</f>
        <v>A few times a year</v>
      </c>
      <c r="I1057" s="258" t="str">
        <f>IFERROR(__xludf.DUMMYFUNCTION("""COMPUTED_VALUE"""),"A few times a year")</f>
        <v>A few times a year</v>
      </c>
      <c r="J1057" s="260">
        <f>IFERROR(__xludf.DUMMYFUNCTION("""COMPUTED_VALUE"""),0.7)</f>
        <v>0.7</v>
      </c>
      <c r="K1057" s="258">
        <f>IFERROR(__xludf.DUMMYFUNCTION("""COMPUTED_VALUE"""),504.0)</f>
        <v>504</v>
      </c>
      <c r="L1057" s="258" t="str">
        <f>IFERROR(__xludf.DUMMYFUNCTION("""COMPUTED_VALUE"""),"")</f>
        <v/>
      </c>
      <c r="M1057" s="261">
        <f>IFERROR(__xludf.DUMMYFUNCTION("""COMPUTED_VALUE"""),181.0)</f>
        <v>181</v>
      </c>
      <c r="N1057" s="262" t="str">
        <f>IFERROR(__xludf.DUMMYFUNCTION("""COMPUTED_VALUE"""),"")</f>
        <v/>
      </c>
      <c r="O1057" s="259" t="str">
        <f>IFERROR(__xludf.DUMMYFUNCTION("""COMPUTED_VALUE"""),"")</f>
        <v/>
      </c>
      <c r="P1057" s="259">
        <f>IFERROR(__xludf.DUMMYFUNCTION("""COMPUTED_VALUE"""),43807.0)</f>
        <v>43807</v>
      </c>
      <c r="Q1057" s="258">
        <f>IFERROR(__xludf.DUMMYFUNCTION("""COMPUTED_VALUE"""),6196.0)</f>
        <v>6196</v>
      </c>
      <c r="R1057" s="261">
        <f>IFERROR(__xludf.DUMMYFUNCTION("""COMPUTED_VALUE"""),500.0)</f>
        <v>500</v>
      </c>
      <c r="S1057" s="258">
        <v>510.0</v>
      </c>
      <c r="T1057" s="263">
        <v>0.9803921568627451</v>
      </c>
      <c r="U1057" s="264">
        <v>3850.0</v>
      </c>
      <c r="V1057" s="265">
        <v>6196.0</v>
      </c>
      <c r="W1057" s="264">
        <v>3850.0</v>
      </c>
      <c r="X1057" s="266"/>
      <c r="Y1057" s="267">
        <v>-0.01</v>
      </c>
      <c r="Z1057" s="267">
        <v>0.9893630877761903</v>
      </c>
      <c r="AA1057" s="269"/>
      <c r="AB1057" s="270"/>
      <c r="AC1057" s="270"/>
      <c r="AD1057" s="270"/>
      <c r="AE1057" s="270"/>
    </row>
    <row r="1058">
      <c r="A1058" s="256">
        <f>IFERROR(__xludf.DUMMYFUNCTION("""COMPUTED_VALUE"""),43858.00884952546)</f>
        <v>43858.00885</v>
      </c>
      <c r="B1058" s="257" t="str">
        <f>IFERROR(__xludf.DUMMYFUNCTION("""COMPUTED_VALUE"""),"Mrgoogle")</f>
        <v>Mrgoogle</v>
      </c>
      <c r="C1058" s="258" t="str">
        <f>IFERROR(__xludf.DUMMYFUNCTION("""COMPUTED_VALUE"""),"Europe (excluding UK) &amp; Asia Pacific")</f>
        <v>Europe (excluding UK) &amp; Asia Pacific</v>
      </c>
      <c r="D1058" s="258" t="str">
        <f>IFERROR(__xludf.DUMMYFUNCTION("""COMPUTED_VALUE"""),"km. My car displays range in kilometres and I will enter all range numbers in kilometres.")</f>
        <v>km. My car displays range in kilometres and I will enter all range numbers in kilometres.</v>
      </c>
      <c r="E1058" s="259">
        <f>IFERROR(__xludf.DUMMYFUNCTION("""COMPUTED_VALUE"""),44050.0)</f>
        <v>44050</v>
      </c>
      <c r="F1058" s="258" t="str">
        <f>IFERROR(__xludf.DUMMYFUNCTION("""COMPUTED_VALUE"""),"Model 3 SR+")</f>
        <v>Model 3 SR+</v>
      </c>
      <c r="G1058" s="258" t="str">
        <f>IFERROR(__xludf.DUMMYFUNCTION("""COMPUTED_VALUE"""),"A few times a year")</f>
        <v>A few times a year</v>
      </c>
      <c r="H1058" s="258" t="str">
        <f>IFERROR(__xludf.DUMMYFUNCTION("""COMPUTED_VALUE"""),"A few times a year")</f>
        <v>A few times a year</v>
      </c>
      <c r="I1058" s="258" t="str">
        <f>IFERROR(__xludf.DUMMYFUNCTION("""COMPUTED_VALUE"""),"A few times a year")</f>
        <v>A few times a year</v>
      </c>
      <c r="J1058" s="260">
        <f>IFERROR(__xludf.DUMMYFUNCTION("""COMPUTED_VALUE"""),0.9)</f>
        <v>0.9</v>
      </c>
      <c r="K1058" s="258">
        <f>IFERROR(__xludf.DUMMYFUNCTION("""COMPUTED_VALUE"""),386.0)</f>
        <v>386</v>
      </c>
      <c r="L1058" s="258" t="str">
        <f>IFERROR(__xludf.DUMMYFUNCTION("""COMPUTED_VALUE"""),"")</f>
        <v/>
      </c>
      <c r="M1058" s="261" t="str">
        <f>IFERROR(__xludf.DUMMYFUNCTION("""COMPUTED_VALUE"""),"")</f>
        <v/>
      </c>
      <c r="N1058" s="262" t="str">
        <f>IFERROR(__xludf.DUMMYFUNCTION("""COMPUTED_VALUE"""),"")</f>
        <v/>
      </c>
      <c r="O1058" s="259" t="str">
        <f>IFERROR(__xludf.DUMMYFUNCTION("""COMPUTED_VALUE"""),"")</f>
        <v/>
      </c>
      <c r="P1058" s="259">
        <f>IFERROR(__xludf.DUMMYFUNCTION("""COMPUTED_VALUE"""),43848.0)</f>
        <v>43848</v>
      </c>
      <c r="Q1058" s="258">
        <f>IFERROR(__xludf.DUMMYFUNCTION("""COMPUTED_VALUE"""),14700.0)</f>
        <v>14700</v>
      </c>
      <c r="R1058" s="261">
        <f>IFERROR(__xludf.DUMMYFUNCTION("""COMPUTED_VALUE"""),337.0)</f>
        <v>337</v>
      </c>
      <c r="S1058" s="258">
        <v>415.0</v>
      </c>
      <c r="T1058" s="263">
        <v>0.8120481927710843</v>
      </c>
      <c r="U1058" s="264">
        <v>9134.0</v>
      </c>
      <c r="V1058" s="265">
        <v>14700.0</v>
      </c>
      <c r="W1058" s="264">
        <v>9134.0</v>
      </c>
      <c r="X1058" s="266"/>
      <c r="Y1058" s="267">
        <v>-0.01</v>
      </c>
      <c r="Z1058" s="267">
        <v>0.9791193365217492</v>
      </c>
      <c r="AA1058" s="269"/>
      <c r="AB1058" s="270"/>
      <c r="AC1058" s="270"/>
      <c r="AD1058" s="270"/>
      <c r="AE1058" s="270"/>
    </row>
    <row r="1059">
      <c r="A1059" s="256">
        <f>IFERROR(__xludf.DUMMYFUNCTION("""COMPUTED_VALUE"""),43732.62810503472)</f>
        <v>43732.62811</v>
      </c>
      <c r="B1059" s="257" t="str">
        <f>IFERROR(__xludf.DUMMYFUNCTION("""COMPUTED_VALUE"""),"mrjohnmoreno")</f>
        <v>mrjohnmoreno</v>
      </c>
      <c r="C1059" s="258" t="str">
        <f>IFERROR(__xludf.DUMMYFUNCTION("""COMPUTED_VALUE"""),"USA")</f>
        <v>USA</v>
      </c>
      <c r="D1059" s="258" t="str">
        <f>IFERROR(__xludf.DUMMYFUNCTION("""COMPUTED_VALUE"""),"mi. My car displays range in miles and I will enter all range numbers in miles.")</f>
        <v>mi. My car displays range in miles and I will enter all range numbers in miles.</v>
      </c>
      <c r="E1059" s="259">
        <f>IFERROR(__xludf.DUMMYFUNCTION("""COMPUTED_VALUE"""),43397.0)</f>
        <v>43397</v>
      </c>
      <c r="F1059" s="258" t="str">
        <f>IFERROR(__xludf.DUMMYFUNCTION("""COMPUTED_VALUE"""),"Model 3 LR AWD")</f>
        <v>Model 3 LR AWD</v>
      </c>
      <c r="G1059" s="258" t="str">
        <f>IFERROR(__xludf.DUMMYFUNCTION("""COMPUTED_VALUE"""),"Twice a month")</f>
        <v>Twice a month</v>
      </c>
      <c r="H1059" s="258" t="str">
        <f>IFERROR(__xludf.DUMMYFUNCTION("""COMPUTED_VALUE"""),"A few times a year")</f>
        <v>A few times a year</v>
      </c>
      <c r="I1059" s="258" t="str">
        <f>IFERROR(__xludf.DUMMYFUNCTION("""COMPUTED_VALUE"""),"A few times a year")</f>
        <v>A few times a year</v>
      </c>
      <c r="J1059" s="260">
        <f>IFERROR(__xludf.DUMMYFUNCTION("""COMPUTED_VALUE"""),0.9)</f>
        <v>0.9</v>
      </c>
      <c r="K1059" s="258">
        <f>IFERROR(__xludf.DUMMYFUNCTION("""COMPUTED_VALUE"""),310.0)</f>
        <v>310</v>
      </c>
      <c r="L1059" s="258" t="str">
        <f>IFERROR(__xludf.DUMMYFUNCTION("""COMPUTED_VALUE"""),"")</f>
        <v/>
      </c>
      <c r="M1059" s="261" t="str">
        <f>IFERROR(__xludf.DUMMYFUNCTION("""COMPUTED_VALUE"""),"")</f>
        <v/>
      </c>
      <c r="N1059" s="262" t="str">
        <f>IFERROR(__xludf.DUMMYFUNCTION("""COMPUTED_VALUE"""),"")</f>
        <v/>
      </c>
      <c r="O1059" s="259" t="str">
        <f>IFERROR(__xludf.DUMMYFUNCTION("""COMPUTED_VALUE"""),"")</f>
        <v/>
      </c>
      <c r="P1059" s="259">
        <f>IFERROR(__xludf.DUMMYFUNCTION("""COMPUTED_VALUE"""),43732.0)</f>
        <v>43732</v>
      </c>
      <c r="Q1059" s="258">
        <f>IFERROR(__xludf.DUMMYFUNCTION("""COMPUTED_VALUE"""),40000.0)</f>
        <v>40000</v>
      </c>
      <c r="R1059" s="261">
        <f>IFERROR(__xludf.DUMMYFUNCTION("""COMPUTED_VALUE"""),294.0)</f>
        <v>294</v>
      </c>
      <c r="S1059" s="258">
        <v>310.0</v>
      </c>
      <c r="T1059" s="263">
        <v>0.9483870967741935</v>
      </c>
      <c r="U1059" s="264">
        <v>40000.0</v>
      </c>
      <c r="V1059" s="265">
        <v>64374.0</v>
      </c>
      <c r="W1059" s="264">
        <v>40000.0</v>
      </c>
      <c r="X1059" s="266"/>
      <c r="Y1059" s="267">
        <v>-0.01</v>
      </c>
      <c r="Z1059" s="267">
        <v>0.9554329811073101</v>
      </c>
      <c r="AA1059" s="269"/>
      <c r="AB1059" s="270"/>
      <c r="AC1059" s="270"/>
      <c r="AD1059" s="270"/>
      <c r="AE1059" s="270"/>
    </row>
    <row r="1060">
      <c r="A1060" s="256">
        <f>IFERROR(__xludf.DUMMYFUNCTION("""COMPUTED_VALUE"""),42568.365277777775)</f>
        <v>42568.36528</v>
      </c>
      <c r="B1060" s="257" t="str">
        <f>IFERROR(__xludf.DUMMYFUNCTION("""COMPUTED_VALUE"""),"MrvdG")</f>
        <v>MrvdG</v>
      </c>
      <c r="C1060" s="258" t="str">
        <f>IFERROR(__xludf.DUMMYFUNCTION("""COMPUTED_VALUE"""),"Europe (excluding UK) &amp; Asia Pacific")</f>
        <v>Europe (excluding UK) &amp; Asia Pacific</v>
      </c>
      <c r="D1060" s="258" t="str">
        <f>IFERROR(__xludf.DUMMYFUNCTION("""COMPUTED_VALUE"""),"km. My car displays range in kilometres and I will enter all range numbers in kilometres.")</f>
        <v>km. My car displays range in kilometres and I will enter all range numbers in kilometres.</v>
      </c>
      <c r="E1060" s="259">
        <f>IFERROR(__xludf.DUMMYFUNCTION("""COMPUTED_VALUE"""),42541.0)</f>
        <v>42541</v>
      </c>
      <c r="F1060" s="258" t="str">
        <f>IFERROR(__xludf.DUMMYFUNCTION("""COMPUTED_VALUE"""),"Model S 90D")</f>
        <v>Model S 90D</v>
      </c>
      <c r="G1060" s="258" t="str">
        <f>IFERROR(__xludf.DUMMYFUNCTION("""COMPUTED_VALUE"""),"Weekly")</f>
        <v>Weekly</v>
      </c>
      <c r="H1060" s="258" t="str">
        <f>IFERROR(__xludf.DUMMYFUNCTION("""COMPUTED_VALUE"""),"Weekly")</f>
        <v>Weekly</v>
      </c>
      <c r="I1060" s="258" t="str">
        <f>IFERROR(__xludf.DUMMYFUNCTION("""COMPUTED_VALUE"""),"Monthly")</f>
        <v>Monthly</v>
      </c>
      <c r="J1060" s="260">
        <f>IFERROR(__xludf.DUMMYFUNCTION("""COMPUTED_VALUE"""),0.9)</f>
        <v>0.9</v>
      </c>
      <c r="K1060" s="258">
        <f>IFERROR(__xludf.DUMMYFUNCTION("""COMPUTED_VALUE"""),456.0)</f>
        <v>456</v>
      </c>
      <c r="L1060" s="258" t="str">
        <f>IFERROR(__xludf.DUMMYFUNCTION("""COMPUTED_VALUE"""),"")</f>
        <v/>
      </c>
      <c r="M1060" s="261">
        <f>IFERROR(__xludf.DUMMYFUNCTION("""COMPUTED_VALUE"""),194.0)</f>
        <v>194</v>
      </c>
      <c r="N1060" s="262" t="str">
        <f>IFERROR(__xludf.DUMMYFUNCTION("""COMPUTED_VALUE"""),"")</f>
        <v/>
      </c>
      <c r="O1060" s="259" t="str">
        <f>IFERROR(__xludf.DUMMYFUNCTION("""COMPUTED_VALUE"""),"")</f>
        <v/>
      </c>
      <c r="P1060" s="259">
        <f>IFERROR(__xludf.DUMMYFUNCTION("""COMPUTED_VALUE"""),42568.0)</f>
        <v>42568</v>
      </c>
      <c r="Q1060" s="258">
        <f>IFERROR(__xludf.DUMMYFUNCTION("""COMPUTED_VALUE"""),1512.0)</f>
        <v>1512</v>
      </c>
      <c r="R1060" s="261">
        <f>IFERROR(__xludf.DUMMYFUNCTION("""COMPUTED_VALUE"""),456.0)</f>
        <v>456</v>
      </c>
      <c r="S1060" s="258">
        <v>447.0</v>
      </c>
      <c r="T1060" s="263">
        <v>1.0201342281879195</v>
      </c>
      <c r="U1060" s="264">
        <v>940.0</v>
      </c>
      <c r="V1060" s="265">
        <v>1512.0</v>
      </c>
      <c r="W1060" s="264">
        <v>940.0</v>
      </c>
      <c r="X1060" s="266"/>
      <c r="Y1060" s="267">
        <v>-0.01</v>
      </c>
      <c r="Z1060" s="267">
        <v>0.9970895736272697</v>
      </c>
      <c r="AA1060" s="269"/>
      <c r="AB1060" s="270"/>
      <c r="AC1060" s="270"/>
      <c r="AD1060" s="270"/>
      <c r="AE1060" s="270"/>
    </row>
    <row r="1061">
      <c r="A1061" s="256">
        <f>IFERROR(__xludf.DUMMYFUNCTION("""COMPUTED_VALUE"""),42906.84027777778)</f>
        <v>42906.84028</v>
      </c>
      <c r="B1061" s="257" t="str">
        <f>IFERROR(__xludf.DUMMYFUNCTION("""COMPUTED_VALUE"""),"MS75 GA")</f>
        <v>MS75 GA</v>
      </c>
      <c r="C1061" s="258" t="str">
        <f>IFERROR(__xludf.DUMMYFUNCTION("""COMPUTED_VALUE"""),"USA")</f>
        <v>USA</v>
      </c>
      <c r="D1061" s="258" t="str">
        <f>IFERROR(__xludf.DUMMYFUNCTION("""COMPUTED_VALUE"""),"mi. My car displays range in miles and I will enter all range numbers in miles.")</f>
        <v>mi. My car displays range in miles and I will enter all range numbers in miles.</v>
      </c>
      <c r="E1061" s="259">
        <f>IFERROR(__xludf.DUMMYFUNCTION("""COMPUTED_VALUE"""),42643.0)</f>
        <v>42643</v>
      </c>
      <c r="F1061" s="258" t="str">
        <f>IFERROR(__xludf.DUMMYFUNCTION("""COMPUTED_VALUE"""),"Model S 75")</f>
        <v>Model S 75</v>
      </c>
      <c r="G1061" s="258" t="str">
        <f>IFERROR(__xludf.DUMMYFUNCTION("""COMPUTED_VALUE"""),"Weekly")</f>
        <v>Weekly</v>
      </c>
      <c r="H1061" s="258" t="str">
        <f>IFERROR(__xludf.DUMMYFUNCTION("""COMPUTED_VALUE"""),"Once or twice a year")</f>
        <v>Once or twice a year</v>
      </c>
      <c r="I1061" s="258" t="str">
        <f>IFERROR(__xludf.DUMMYFUNCTION("""COMPUTED_VALUE"""),"Once or twice a year")</f>
        <v>Once or twice a year</v>
      </c>
      <c r="J1061" s="260">
        <f>IFERROR(__xludf.DUMMYFUNCTION("""COMPUTED_VALUE"""),0.9)</f>
        <v>0.9</v>
      </c>
      <c r="K1061" s="258" t="str">
        <f>IFERROR(__xludf.DUMMYFUNCTION("""COMPUTED_VALUE"""),"")</f>
        <v/>
      </c>
      <c r="L1061" s="258" t="str">
        <f>IFERROR(__xludf.DUMMYFUNCTION("""COMPUTED_VALUE"""),"")</f>
        <v/>
      </c>
      <c r="M1061" s="261">
        <f>IFERROR(__xludf.DUMMYFUNCTION("""COMPUTED_VALUE"""),297.0)</f>
        <v>297</v>
      </c>
      <c r="N1061" s="262" t="str">
        <f>IFERROR(__xludf.DUMMYFUNCTION("""COMPUTED_VALUE"""),"")</f>
        <v/>
      </c>
      <c r="O1061" s="259" t="str">
        <f>IFERROR(__xludf.DUMMYFUNCTION("""COMPUTED_VALUE"""),"")</f>
        <v/>
      </c>
      <c r="P1061" s="259">
        <f>IFERROR(__xludf.DUMMYFUNCTION("""COMPUTED_VALUE"""),42906.0)</f>
        <v>42906</v>
      </c>
      <c r="Q1061" s="258">
        <f>IFERROR(__xludf.DUMMYFUNCTION("""COMPUTED_VALUE"""),11536.0)</f>
        <v>11536</v>
      </c>
      <c r="R1061" s="261">
        <f>IFERROR(__xludf.DUMMYFUNCTION("""COMPUTED_VALUE"""),238.0)</f>
        <v>238</v>
      </c>
      <c r="S1061" s="258">
        <v>246.0</v>
      </c>
      <c r="T1061" s="263">
        <v>0.967479674796748</v>
      </c>
      <c r="U1061" s="264">
        <v>11536.0</v>
      </c>
      <c r="V1061" s="265">
        <v>18565.0</v>
      </c>
      <c r="W1061" s="264">
        <v>11536.0</v>
      </c>
      <c r="X1061" s="266"/>
      <c r="Y1061" s="267">
        <v>-0.01</v>
      </c>
      <c r="Z1061" s="267">
        <v>0.9756216066224813</v>
      </c>
      <c r="AA1061" s="269"/>
      <c r="AB1061" s="270"/>
      <c r="AC1061" s="270"/>
      <c r="AD1061" s="270"/>
      <c r="AE1061" s="270"/>
    </row>
    <row r="1062">
      <c r="A1062" s="256">
        <f>IFERROR(__xludf.DUMMYFUNCTION("""COMPUTED_VALUE"""),42767.84097222222)</f>
        <v>42767.84097</v>
      </c>
      <c r="B1062" s="257" t="str">
        <f>IFERROR(__xludf.DUMMYFUNCTION("""COMPUTED_VALUE"""),"MS75 GA")</f>
        <v>MS75 GA</v>
      </c>
      <c r="C1062" s="258" t="str">
        <f>IFERROR(__xludf.DUMMYFUNCTION("""COMPUTED_VALUE"""),"USA")</f>
        <v>USA</v>
      </c>
      <c r="D1062" s="258" t="str">
        <f>IFERROR(__xludf.DUMMYFUNCTION("""COMPUTED_VALUE"""),"mi. My car displays range in miles and I will enter all range numbers in miles.")</f>
        <v>mi. My car displays range in miles and I will enter all range numbers in miles.</v>
      </c>
      <c r="E1062" s="259">
        <f>IFERROR(__xludf.DUMMYFUNCTION("""COMPUTED_VALUE"""),42643.0)</f>
        <v>42643</v>
      </c>
      <c r="F1062" s="258" t="str">
        <f>IFERROR(__xludf.DUMMYFUNCTION("""COMPUTED_VALUE"""),"Model S 75")</f>
        <v>Model S 75</v>
      </c>
      <c r="G1062" s="258" t="str">
        <f>IFERROR(__xludf.DUMMYFUNCTION("""COMPUTED_VALUE"""),"Twice a month")</f>
        <v>Twice a month</v>
      </c>
      <c r="H1062" s="258" t="str">
        <f>IFERROR(__xludf.DUMMYFUNCTION("""COMPUTED_VALUE"""),"Once or twice a year")</f>
        <v>Once or twice a year</v>
      </c>
      <c r="I1062" s="258" t="str">
        <f>IFERROR(__xludf.DUMMYFUNCTION("""COMPUTED_VALUE"""),"Once or twice a year")</f>
        <v>Once or twice a year</v>
      </c>
      <c r="J1062" s="260">
        <f>IFERROR(__xludf.DUMMYFUNCTION("""COMPUTED_VALUE"""),0.9)</f>
        <v>0.9</v>
      </c>
      <c r="K1062" s="258" t="str">
        <f>IFERROR(__xludf.DUMMYFUNCTION("""COMPUTED_VALUE"""),"")</f>
        <v/>
      </c>
      <c r="L1062" s="258" t="str">
        <f>IFERROR(__xludf.DUMMYFUNCTION("""COMPUTED_VALUE"""),"")</f>
        <v/>
      </c>
      <c r="M1062" s="261">
        <f>IFERROR(__xludf.DUMMYFUNCTION("""COMPUTED_VALUE"""),290.0)</f>
        <v>290</v>
      </c>
      <c r="N1062" s="262" t="str">
        <f>IFERROR(__xludf.DUMMYFUNCTION("""COMPUTED_VALUE"""),"")</f>
        <v/>
      </c>
      <c r="O1062" s="259" t="str">
        <f>IFERROR(__xludf.DUMMYFUNCTION("""COMPUTED_VALUE"""),"")</f>
        <v/>
      </c>
      <c r="P1062" s="259">
        <f>IFERROR(__xludf.DUMMYFUNCTION("""COMPUTED_VALUE"""),42767.0)</f>
        <v>42767</v>
      </c>
      <c r="Q1062" s="258">
        <f>IFERROR(__xludf.DUMMYFUNCTION("""COMPUTED_VALUE"""),3000.0)</f>
        <v>3000</v>
      </c>
      <c r="R1062" s="261">
        <f>IFERROR(__xludf.DUMMYFUNCTION("""COMPUTED_VALUE"""),241.0)</f>
        <v>241</v>
      </c>
      <c r="S1062" s="258">
        <v>246.0</v>
      </c>
      <c r="T1062" s="263">
        <v>0.9796747967479674</v>
      </c>
      <c r="U1062" s="264">
        <v>3000.0</v>
      </c>
      <c r="V1062" s="265">
        <v>4828.0</v>
      </c>
      <c r="W1062" s="264">
        <v>3000.0</v>
      </c>
      <c r="X1062" s="266"/>
      <c r="Y1062" s="267">
        <v>-0.01</v>
      </c>
      <c r="Z1062" s="267">
        <v>0.9914363248862823</v>
      </c>
      <c r="AA1062" s="269"/>
      <c r="AB1062" s="270"/>
      <c r="AC1062" s="270"/>
      <c r="AD1062" s="270"/>
      <c r="AE1062" s="270"/>
    </row>
    <row r="1063">
      <c r="A1063" s="256">
        <f>IFERROR(__xludf.DUMMYFUNCTION("""COMPUTED_VALUE"""),43136.87708333333)</f>
        <v>43136.87708</v>
      </c>
      <c r="B1063" s="257" t="str">
        <f>IFERROR(__xludf.DUMMYFUNCTION("""COMPUTED_VALUE"""),"msinz")</f>
        <v>msinz</v>
      </c>
      <c r="C1063" s="258" t="str">
        <f>IFERROR(__xludf.DUMMYFUNCTION("""COMPUTED_VALUE"""),"USA")</f>
        <v>USA</v>
      </c>
      <c r="D1063" s="258" t="str">
        <f>IFERROR(__xludf.DUMMYFUNCTION("""COMPUTED_VALUE"""),"mi. My car displays range in miles and I will enter all range numbers in miles.")</f>
        <v>mi. My car displays range in miles and I will enter all range numbers in miles.</v>
      </c>
      <c r="E1063" s="259">
        <f>IFERROR(__xludf.DUMMYFUNCTION("""COMPUTED_VALUE"""),43028.0)</f>
        <v>43028</v>
      </c>
      <c r="F1063" s="258" t="str">
        <f>IFERROR(__xludf.DUMMYFUNCTION("""COMPUTED_VALUE"""),"Model S 100D")</f>
        <v>Model S 100D</v>
      </c>
      <c r="G1063" s="258" t="str">
        <f>IFERROR(__xludf.DUMMYFUNCTION("""COMPUTED_VALUE"""),"A few times a year")</f>
        <v>A few times a year</v>
      </c>
      <c r="H1063" s="258" t="str">
        <f>IFERROR(__xludf.DUMMYFUNCTION("""COMPUTED_VALUE"""),"Once or twice a year")</f>
        <v>Once or twice a year</v>
      </c>
      <c r="I1063" s="258" t="str">
        <f>IFERROR(__xludf.DUMMYFUNCTION("""COMPUTED_VALUE"""),"Never")</f>
        <v>Never</v>
      </c>
      <c r="J1063" s="260">
        <f>IFERROR(__xludf.DUMMYFUNCTION("""COMPUTED_VALUE"""),0.8)</f>
        <v>0.8</v>
      </c>
      <c r="K1063" s="258" t="str">
        <f>IFERROR(__xludf.DUMMYFUNCTION("""COMPUTED_VALUE"""),"")</f>
        <v/>
      </c>
      <c r="L1063" s="258" t="str">
        <f>IFERROR(__xludf.DUMMYFUNCTION("""COMPUTED_VALUE"""),"")</f>
        <v/>
      </c>
      <c r="M1063" s="261">
        <f>IFERROR(__xludf.DUMMYFUNCTION("""COMPUTED_VALUE"""),356.0)</f>
        <v>356</v>
      </c>
      <c r="N1063" s="262" t="str">
        <f>IFERROR(__xludf.DUMMYFUNCTION("""COMPUTED_VALUE"""),"")</f>
        <v/>
      </c>
      <c r="O1063" s="259" t="str">
        <f>IFERROR(__xludf.DUMMYFUNCTION("""COMPUTED_VALUE"""),"")</f>
        <v/>
      </c>
      <c r="P1063" s="259">
        <f>IFERROR(__xludf.DUMMYFUNCTION("""COMPUTED_VALUE"""),43136.0)</f>
        <v>43136</v>
      </c>
      <c r="Q1063" s="258">
        <f>IFERROR(__xludf.DUMMYFUNCTION("""COMPUTED_VALUE"""),4407.0)</f>
        <v>4407</v>
      </c>
      <c r="R1063" s="261">
        <f>IFERROR(__xludf.DUMMYFUNCTION("""COMPUTED_VALUE"""),333.0)</f>
        <v>333</v>
      </c>
      <c r="S1063" s="258">
        <v>332.0</v>
      </c>
      <c r="T1063" s="263">
        <v>1.0030120481927711</v>
      </c>
      <c r="U1063" s="264">
        <v>4407.0</v>
      </c>
      <c r="V1063" s="265">
        <v>7092.0</v>
      </c>
      <c r="W1063" s="264">
        <v>4407.0</v>
      </c>
      <c r="X1063" s="266"/>
      <c r="Y1063" s="267">
        <v>-0.01</v>
      </c>
      <c r="Z1063" s="267">
        <v>0.988078669113233</v>
      </c>
      <c r="AA1063" s="269"/>
      <c r="AB1063" s="270"/>
      <c r="AC1063" s="270"/>
      <c r="AD1063" s="270"/>
      <c r="AE1063" s="270"/>
    </row>
    <row r="1064">
      <c r="A1064" s="256">
        <f>IFERROR(__xludf.DUMMYFUNCTION("""COMPUTED_VALUE"""),42298.20138888889)</f>
        <v>42298.20139</v>
      </c>
      <c r="B1064" s="257" t="str">
        <f>IFERROR(__xludf.DUMMYFUNCTION("""COMPUTED_VALUE"""),"Muffinman")</f>
        <v>Muffinman</v>
      </c>
      <c r="C1064" s="258" t="str">
        <f>IFERROR(__xludf.DUMMYFUNCTION("""COMPUTED_VALUE"""),"Europe (excluding UK) &amp; Asia Pacific")</f>
        <v>Europe (excluding UK) &amp; Asia Pacific</v>
      </c>
      <c r="D1064" s="258" t="str">
        <f>IFERROR(__xludf.DUMMYFUNCTION("""COMPUTED_VALUE"""),"km. My car displays range in kilometres and I will enter all range numbers in kilometres.")</f>
        <v>km. My car displays range in kilometres and I will enter all range numbers in kilometres.</v>
      </c>
      <c r="E1064" s="259">
        <f>IFERROR(__xludf.DUMMYFUNCTION("""COMPUTED_VALUE"""),41577.0)</f>
        <v>41577</v>
      </c>
      <c r="F1064" s="258" t="str">
        <f>IFERROR(__xludf.DUMMYFUNCTION("""COMPUTED_VALUE"""),"Model S P85")</f>
        <v>Model S P85</v>
      </c>
      <c r="G1064" s="258" t="str">
        <f>IFERROR(__xludf.DUMMYFUNCTION("""COMPUTED_VALUE"""),"Monthly")</f>
        <v>Monthly</v>
      </c>
      <c r="H1064" s="258" t="str">
        <f>IFERROR(__xludf.DUMMYFUNCTION("""COMPUTED_VALUE"""),"A few times a year")</f>
        <v>A few times a year</v>
      </c>
      <c r="I1064" s="258" t="str">
        <f>IFERROR(__xludf.DUMMYFUNCTION("""COMPUTED_VALUE"""),"Once or twice a year")</f>
        <v>Once or twice a year</v>
      </c>
      <c r="J1064" s="260">
        <f>IFERROR(__xludf.DUMMYFUNCTION("""COMPUTED_VALUE"""),0.7)</f>
        <v>0.7</v>
      </c>
      <c r="K1064" s="258">
        <f>IFERROR(__xludf.DUMMYFUNCTION("""COMPUTED_VALUE"""),394.0)</f>
        <v>394</v>
      </c>
      <c r="L1064" s="258" t="str">
        <f>IFERROR(__xludf.DUMMYFUNCTION("""COMPUTED_VALUE"""),"")</f>
        <v/>
      </c>
      <c r="M1064" s="261">
        <f>IFERROR(__xludf.DUMMYFUNCTION("""COMPUTED_VALUE"""),195.0)</f>
        <v>195</v>
      </c>
      <c r="N1064" s="262" t="str">
        <f>IFERROR(__xludf.DUMMYFUNCTION("""COMPUTED_VALUE"""),"")</f>
        <v/>
      </c>
      <c r="O1064" s="259" t="str">
        <f>IFERROR(__xludf.DUMMYFUNCTION("""COMPUTED_VALUE"""),"")</f>
        <v/>
      </c>
      <c r="P1064" s="259">
        <f>IFERROR(__xludf.DUMMYFUNCTION("""COMPUTED_VALUE"""),42298.0)</f>
        <v>42298</v>
      </c>
      <c r="Q1064" s="258">
        <f>IFERROR(__xludf.DUMMYFUNCTION("""COMPUTED_VALUE"""),92000.0)</f>
        <v>92000</v>
      </c>
      <c r="R1064" s="261">
        <f>IFERROR(__xludf.DUMMYFUNCTION("""COMPUTED_VALUE"""),359.0)</f>
        <v>359</v>
      </c>
      <c r="S1064" s="258">
        <v>395.0</v>
      </c>
      <c r="T1064" s="263">
        <v>0.9088607594936708</v>
      </c>
      <c r="U1064" s="264">
        <v>57166.0</v>
      </c>
      <c r="V1064" s="265">
        <v>92000.0</v>
      </c>
      <c r="W1064" s="264">
        <v>57166.0</v>
      </c>
      <c r="X1064" s="266"/>
      <c r="Y1064" s="267">
        <v>-0.01</v>
      </c>
      <c r="Z1064" s="267">
        <v>0.9484846754115535</v>
      </c>
      <c r="AA1064" s="269"/>
      <c r="AB1064" s="270"/>
      <c r="AC1064" s="270"/>
      <c r="AD1064" s="270"/>
      <c r="AE1064" s="270"/>
    </row>
    <row r="1065">
      <c r="A1065" s="256">
        <f>IFERROR(__xludf.DUMMYFUNCTION("""COMPUTED_VALUE"""),41737.73611111111)</f>
        <v>41737.73611</v>
      </c>
      <c r="B1065" s="257" t="str">
        <f>IFERROR(__xludf.DUMMYFUNCTION("""COMPUTED_VALUE"""),"Muzzman1")</f>
        <v>Muzzman1</v>
      </c>
      <c r="C1065" s="258" t="str">
        <f>IFERROR(__xludf.DUMMYFUNCTION("""COMPUTED_VALUE"""),"USA")</f>
        <v>USA</v>
      </c>
      <c r="D1065" s="258" t="str">
        <f>IFERROR(__xludf.DUMMYFUNCTION("""COMPUTED_VALUE"""),"mi. My car displays range in miles and I will enter all range numbers in miles.")</f>
        <v>mi. My car displays range in miles and I will enter all range numbers in miles.</v>
      </c>
      <c r="E1065" s="259">
        <f>IFERROR(__xludf.DUMMYFUNCTION("""COMPUTED_VALUE"""),41720.0)</f>
        <v>41720</v>
      </c>
      <c r="F1065" s="258" t="str">
        <f>IFERROR(__xludf.DUMMYFUNCTION("""COMPUTED_VALUE"""),"Model S 85")</f>
        <v>Model S 85</v>
      </c>
      <c r="G1065" s="258" t="str">
        <f>IFERROR(__xludf.DUMMYFUNCTION("""COMPUTED_VALUE"""),"Monthly")</f>
        <v>Monthly</v>
      </c>
      <c r="H1065" s="258" t="str">
        <f>IFERROR(__xludf.DUMMYFUNCTION("""COMPUTED_VALUE"""),"Once or twice a year")</f>
        <v>Once or twice a year</v>
      </c>
      <c r="I1065" s="258" t="str">
        <f>IFERROR(__xludf.DUMMYFUNCTION("""COMPUTED_VALUE"""),"Never")</f>
        <v>Never</v>
      </c>
      <c r="J1065" s="260">
        <f>IFERROR(__xludf.DUMMYFUNCTION("""COMPUTED_VALUE"""),0.7)</f>
        <v>0.7</v>
      </c>
      <c r="K1065" s="258" t="str">
        <f>IFERROR(__xludf.DUMMYFUNCTION("""COMPUTED_VALUE"""),"")</f>
        <v/>
      </c>
      <c r="L1065" s="258" t="str">
        <f>IFERROR(__xludf.DUMMYFUNCTION("""COMPUTED_VALUE"""),"")</f>
        <v/>
      </c>
      <c r="M1065" s="261">
        <f>IFERROR(__xludf.DUMMYFUNCTION("""COMPUTED_VALUE"""),303.0)</f>
        <v>303</v>
      </c>
      <c r="N1065" s="262" t="str">
        <f>IFERROR(__xludf.DUMMYFUNCTION("""COMPUTED_VALUE"""),"")</f>
        <v/>
      </c>
      <c r="O1065" s="259" t="str">
        <f>IFERROR(__xludf.DUMMYFUNCTION("""COMPUTED_VALUE"""),"")</f>
        <v/>
      </c>
      <c r="P1065" s="259">
        <f>IFERROR(__xludf.DUMMYFUNCTION("""COMPUTED_VALUE"""),41737.0)</f>
        <v>41737</v>
      </c>
      <c r="Q1065" s="258">
        <f>IFERROR(__xludf.DUMMYFUNCTION("""COMPUTED_VALUE"""),2000.0)</f>
        <v>2000</v>
      </c>
      <c r="R1065" s="261">
        <f>IFERROR(__xludf.DUMMYFUNCTION("""COMPUTED_VALUE"""),271.0)</f>
        <v>271</v>
      </c>
      <c r="S1065" s="258">
        <v>266.0</v>
      </c>
      <c r="T1065" s="263">
        <v>1.018796992481203</v>
      </c>
      <c r="U1065" s="264">
        <v>2000.0</v>
      </c>
      <c r="V1065" s="265">
        <v>3219.0</v>
      </c>
      <c r="W1065" s="264">
        <v>2000.0</v>
      </c>
      <c r="X1065" s="266"/>
      <c r="Y1065" s="267">
        <v>-0.01</v>
      </c>
      <c r="Z1065" s="267">
        <v>0.9940619123126193</v>
      </c>
      <c r="AA1065" s="269"/>
      <c r="AB1065" s="270"/>
      <c r="AC1065" s="270"/>
      <c r="AD1065" s="270"/>
      <c r="AE1065" s="270"/>
    </row>
    <row r="1066">
      <c r="A1066" s="256">
        <f>IFERROR(__xludf.DUMMYFUNCTION("""COMPUTED_VALUE"""),42110.736805555556)</f>
        <v>42110.73681</v>
      </c>
      <c r="B1066" s="257" t="str">
        <f>IFERROR(__xludf.DUMMYFUNCTION("""COMPUTED_VALUE"""),"Muzzman1")</f>
        <v>Muzzman1</v>
      </c>
      <c r="C1066" s="258" t="str">
        <f>IFERROR(__xludf.DUMMYFUNCTION("""COMPUTED_VALUE"""),"USA")</f>
        <v>USA</v>
      </c>
      <c r="D1066" s="258" t="str">
        <f>IFERROR(__xludf.DUMMYFUNCTION("""COMPUTED_VALUE"""),"mi. My car displays range in miles and I will enter all range numbers in miles.")</f>
        <v>mi. My car displays range in miles and I will enter all range numbers in miles.</v>
      </c>
      <c r="E1066" s="259">
        <f>IFERROR(__xludf.DUMMYFUNCTION("""COMPUTED_VALUE"""),41720.0)</f>
        <v>41720</v>
      </c>
      <c r="F1066" s="258" t="str">
        <f>IFERROR(__xludf.DUMMYFUNCTION("""COMPUTED_VALUE"""),"Model S 85")</f>
        <v>Model S 85</v>
      </c>
      <c r="G1066" s="258" t="str">
        <f>IFERROR(__xludf.DUMMYFUNCTION("""COMPUTED_VALUE"""),"Monthly")</f>
        <v>Monthly</v>
      </c>
      <c r="H1066" s="258" t="str">
        <f>IFERROR(__xludf.DUMMYFUNCTION("""COMPUTED_VALUE"""),"Once or twice a year")</f>
        <v>Once or twice a year</v>
      </c>
      <c r="I1066" s="258" t="str">
        <f>IFERROR(__xludf.DUMMYFUNCTION("""COMPUTED_VALUE"""),"Never")</f>
        <v>Never</v>
      </c>
      <c r="J1066" s="260">
        <f>IFERROR(__xludf.DUMMYFUNCTION("""COMPUTED_VALUE"""),0.7)</f>
        <v>0.7</v>
      </c>
      <c r="K1066" s="258" t="str">
        <f>IFERROR(__xludf.DUMMYFUNCTION("""COMPUTED_VALUE"""),"")</f>
        <v/>
      </c>
      <c r="L1066" s="258" t="str">
        <f>IFERROR(__xludf.DUMMYFUNCTION("""COMPUTED_VALUE"""),"")</f>
        <v/>
      </c>
      <c r="M1066" s="261">
        <f>IFERROR(__xludf.DUMMYFUNCTION("""COMPUTED_VALUE"""),303.0)</f>
        <v>303</v>
      </c>
      <c r="N1066" s="262" t="str">
        <f>IFERROR(__xludf.DUMMYFUNCTION("""COMPUTED_VALUE"""),"")</f>
        <v/>
      </c>
      <c r="O1066" s="259" t="str">
        <f>IFERROR(__xludf.DUMMYFUNCTION("""COMPUTED_VALUE"""),"")</f>
        <v/>
      </c>
      <c r="P1066" s="259">
        <f>IFERROR(__xludf.DUMMYFUNCTION("""COMPUTED_VALUE"""),42110.0)</f>
        <v>42110</v>
      </c>
      <c r="Q1066" s="258">
        <f>IFERROR(__xludf.DUMMYFUNCTION("""COMPUTED_VALUE"""),21000.0)</f>
        <v>21000</v>
      </c>
      <c r="R1066" s="261">
        <f>IFERROR(__xludf.DUMMYFUNCTION("""COMPUTED_VALUE"""),256.0)</f>
        <v>256</v>
      </c>
      <c r="S1066" s="258">
        <v>266.0</v>
      </c>
      <c r="T1066" s="263">
        <v>0.9624060150375939</v>
      </c>
      <c r="U1066" s="264">
        <v>21000.0</v>
      </c>
      <c r="V1066" s="265">
        <v>33796.0</v>
      </c>
      <c r="W1066" s="264">
        <v>21000.0</v>
      </c>
      <c r="X1066" s="266"/>
      <c r="Y1066" s="267">
        <v>-0.01</v>
      </c>
      <c r="Z1066" s="267">
        <v>0.9660314617456156</v>
      </c>
      <c r="AA1066" s="269"/>
      <c r="AB1066" s="270"/>
      <c r="AC1066" s="270"/>
      <c r="AD1066" s="270"/>
      <c r="AE1066" s="270"/>
    </row>
    <row r="1067">
      <c r="A1067" s="256">
        <f>IFERROR(__xludf.DUMMYFUNCTION("""COMPUTED_VALUE"""),42196.14513888889)</f>
        <v>42196.14514</v>
      </c>
      <c r="B1067" s="257" t="str">
        <f>IFERROR(__xludf.DUMMYFUNCTION("""COMPUTED_VALUE"""),"MVNJ")</f>
        <v>MVNJ</v>
      </c>
      <c r="C1067" s="258" t="str">
        <f>IFERROR(__xludf.DUMMYFUNCTION("""COMPUTED_VALUE"""),"Europe (excluding UK) &amp; Asia Pacific")</f>
        <v>Europe (excluding UK) &amp; Asia Pacific</v>
      </c>
      <c r="D1067" s="258" t="str">
        <f>IFERROR(__xludf.DUMMYFUNCTION("""COMPUTED_VALUE"""),"km. My car displays range in kilometres and I will enter all range numbers in kilometres.")</f>
        <v>km. My car displays range in kilometres and I will enter all range numbers in kilometres.</v>
      </c>
      <c r="E1067" s="259">
        <f>IFERROR(__xludf.DUMMYFUNCTION("""COMPUTED_VALUE"""),41984.0)</f>
        <v>41984</v>
      </c>
      <c r="F1067" s="258" t="str">
        <f>IFERROR(__xludf.DUMMYFUNCTION("""COMPUTED_VALUE"""),"Model S 85")</f>
        <v>Model S 85</v>
      </c>
      <c r="G1067" s="258" t="str">
        <f>IFERROR(__xludf.DUMMYFUNCTION("""COMPUTED_VALUE"""),"Daily")</f>
        <v>Daily</v>
      </c>
      <c r="H1067" s="258" t="str">
        <f>IFERROR(__xludf.DUMMYFUNCTION("""COMPUTED_VALUE"""),"Twice a month")</f>
        <v>Twice a month</v>
      </c>
      <c r="I1067" s="258" t="str">
        <f>IFERROR(__xludf.DUMMYFUNCTION("""COMPUTED_VALUE"""),"Once or twice a year")</f>
        <v>Once or twice a year</v>
      </c>
      <c r="J1067" s="260">
        <f>IFERROR(__xludf.DUMMYFUNCTION("""COMPUTED_VALUE"""),0.8)</f>
        <v>0.8</v>
      </c>
      <c r="K1067" s="258">
        <f>IFERROR(__xludf.DUMMYFUNCTION("""COMPUTED_VALUE"""),396.0)</f>
        <v>396</v>
      </c>
      <c r="L1067" s="258" t="str">
        <f>IFERROR(__xludf.DUMMYFUNCTION("""COMPUTED_VALUE"""),"")</f>
        <v/>
      </c>
      <c r="M1067" s="261">
        <f>IFERROR(__xludf.DUMMYFUNCTION("""COMPUTED_VALUE"""),225.0)</f>
        <v>225</v>
      </c>
      <c r="N1067" s="262" t="str">
        <f>IFERROR(__xludf.DUMMYFUNCTION("""COMPUTED_VALUE"""),"")</f>
        <v/>
      </c>
      <c r="O1067" s="259" t="str">
        <f>IFERROR(__xludf.DUMMYFUNCTION("""COMPUTED_VALUE"""),"")</f>
        <v/>
      </c>
      <c r="P1067" s="259">
        <f>IFERROR(__xludf.DUMMYFUNCTION("""COMPUTED_VALUE"""),42196.0)</f>
        <v>42196</v>
      </c>
      <c r="Q1067" s="258">
        <f>IFERROR(__xludf.DUMMYFUNCTION("""COMPUTED_VALUE"""),48500.0)</f>
        <v>48500</v>
      </c>
      <c r="R1067" s="261">
        <f>IFERROR(__xludf.DUMMYFUNCTION("""COMPUTED_VALUE"""),385.0)</f>
        <v>385</v>
      </c>
      <c r="S1067" s="258">
        <v>395.0</v>
      </c>
      <c r="T1067" s="263">
        <v>0.9746835443037974</v>
      </c>
      <c r="U1067" s="264">
        <v>30137.0</v>
      </c>
      <c r="V1067" s="265">
        <v>48500.0</v>
      </c>
      <c r="W1067" s="264">
        <v>30137.0</v>
      </c>
      <c r="X1067" s="266"/>
      <c r="Y1067" s="267">
        <v>-0.01</v>
      </c>
      <c r="Z1067" s="267">
        <v>0.9601879730977516</v>
      </c>
      <c r="AA1067" s="269"/>
      <c r="AB1067" s="270"/>
      <c r="AC1067" s="270"/>
      <c r="AD1067" s="270"/>
      <c r="AE1067" s="270"/>
    </row>
    <row r="1068">
      <c r="A1068" s="256">
        <f>IFERROR(__xludf.DUMMYFUNCTION("""COMPUTED_VALUE"""),42454.336111111115)</f>
        <v>42454.33611</v>
      </c>
      <c r="B1068" s="257" t="str">
        <f>IFERROR(__xludf.DUMMYFUNCTION("""COMPUTED_VALUE"""),"mw80")</f>
        <v>mw80</v>
      </c>
      <c r="C1068" s="258" t="str">
        <f>IFERROR(__xludf.DUMMYFUNCTION("""COMPUTED_VALUE"""),"Europe (excluding UK) &amp; Asia Pacific")</f>
        <v>Europe (excluding UK) &amp; Asia Pacific</v>
      </c>
      <c r="D1068" s="258" t="str">
        <f>IFERROR(__xludf.DUMMYFUNCTION("""COMPUTED_VALUE"""),"km. My car displays range in kilometres and I will enter all range numbers in kilometres.")</f>
        <v>km. My car displays range in kilometres and I will enter all range numbers in kilometres.</v>
      </c>
      <c r="E1068" s="259">
        <f>IFERROR(__xludf.DUMMYFUNCTION("""COMPUTED_VALUE"""),41594.0)</f>
        <v>41594</v>
      </c>
      <c r="F1068" s="258" t="str">
        <f>IFERROR(__xludf.DUMMYFUNCTION("""COMPUTED_VALUE"""),"Model S 85")</f>
        <v>Model S 85</v>
      </c>
      <c r="G1068" s="258" t="str">
        <f>IFERROR(__xludf.DUMMYFUNCTION("""COMPUTED_VALUE"""),"Weekly")</f>
        <v>Weekly</v>
      </c>
      <c r="H1068" s="258" t="str">
        <f>IFERROR(__xludf.DUMMYFUNCTION("""COMPUTED_VALUE"""),"A few times a year")</f>
        <v>A few times a year</v>
      </c>
      <c r="I1068" s="258" t="str">
        <f>IFERROR(__xludf.DUMMYFUNCTION("""COMPUTED_VALUE"""),"Once or twice a year")</f>
        <v>Once or twice a year</v>
      </c>
      <c r="J1068" s="260">
        <f>IFERROR(__xludf.DUMMYFUNCTION("""COMPUTED_VALUE"""),0.9)</f>
        <v>0.9</v>
      </c>
      <c r="K1068" s="258" t="str">
        <f>IFERROR(__xludf.DUMMYFUNCTION("""COMPUTED_VALUE"""),"")</f>
        <v/>
      </c>
      <c r="L1068" s="258" t="str">
        <f>IFERROR(__xludf.DUMMYFUNCTION("""COMPUTED_VALUE"""),"")</f>
        <v/>
      </c>
      <c r="M1068" s="261">
        <f>IFERROR(__xludf.DUMMYFUNCTION("""COMPUTED_VALUE"""),219.0)</f>
        <v>219</v>
      </c>
      <c r="N1068" s="262" t="str">
        <f>IFERROR(__xludf.DUMMYFUNCTION("""COMPUTED_VALUE"""),"")</f>
        <v/>
      </c>
      <c r="O1068" s="259" t="str">
        <f>IFERROR(__xludf.DUMMYFUNCTION("""COMPUTED_VALUE"""),"")</f>
        <v/>
      </c>
      <c r="P1068" s="259">
        <f>IFERROR(__xludf.DUMMYFUNCTION("""COMPUTED_VALUE"""),42454.0)</f>
        <v>42454</v>
      </c>
      <c r="Q1068" s="258">
        <f>IFERROR(__xludf.DUMMYFUNCTION("""COMPUTED_VALUE"""),36410.0)</f>
        <v>36410</v>
      </c>
      <c r="R1068" s="261">
        <f>IFERROR(__xludf.DUMMYFUNCTION("""COMPUTED_VALUE"""),379.0)</f>
        <v>379</v>
      </c>
      <c r="S1068" s="258">
        <v>395.0</v>
      </c>
      <c r="T1068" s="263">
        <v>0.959493670886076</v>
      </c>
      <c r="U1068" s="264">
        <v>22624.0</v>
      </c>
      <c r="V1068" s="265">
        <v>36410.0</v>
      </c>
      <c r="W1068" s="264">
        <v>22624.0</v>
      </c>
      <c r="X1068" s="266"/>
      <c r="Y1068" s="267">
        <v>-0.01</v>
      </c>
      <c r="Z1068" s="267">
        <v>0.9648269511097542</v>
      </c>
      <c r="AA1068" s="269"/>
      <c r="AB1068" s="270"/>
      <c r="AC1068" s="270"/>
      <c r="AD1068" s="270"/>
      <c r="AE1068" s="270"/>
    </row>
    <row r="1069">
      <c r="A1069" s="256">
        <f>IFERROR(__xludf.DUMMYFUNCTION("""COMPUTED_VALUE"""),42616.396527777775)</f>
        <v>42616.39653</v>
      </c>
      <c r="B1069" s="257" t="str">
        <f>IFERROR(__xludf.DUMMYFUNCTION("""COMPUTED_VALUE"""),"mw80")</f>
        <v>mw80</v>
      </c>
      <c r="C1069" s="258" t="str">
        <f>IFERROR(__xludf.DUMMYFUNCTION("""COMPUTED_VALUE"""),"Europe (excluding UK) &amp; Asia Pacific")</f>
        <v>Europe (excluding UK) &amp; Asia Pacific</v>
      </c>
      <c r="D1069" s="258" t="str">
        <f>IFERROR(__xludf.DUMMYFUNCTION("""COMPUTED_VALUE"""),"km. My car displays range in kilometres and I will enter all range numbers in kilometres.")</f>
        <v>km. My car displays range in kilometres and I will enter all range numbers in kilometres.</v>
      </c>
      <c r="E1069" s="259">
        <f>IFERROR(__xludf.DUMMYFUNCTION("""COMPUTED_VALUE"""),41594.0)</f>
        <v>41594</v>
      </c>
      <c r="F1069" s="258" t="str">
        <f>IFERROR(__xludf.DUMMYFUNCTION("""COMPUTED_VALUE"""),"Model S 85")</f>
        <v>Model S 85</v>
      </c>
      <c r="G1069" s="258" t="str">
        <f>IFERROR(__xludf.DUMMYFUNCTION("""COMPUTED_VALUE"""),"Weekly")</f>
        <v>Weekly</v>
      </c>
      <c r="H1069" s="258" t="str">
        <f>IFERROR(__xludf.DUMMYFUNCTION("""COMPUTED_VALUE"""),"A few times a year")</f>
        <v>A few times a year</v>
      </c>
      <c r="I1069" s="258" t="str">
        <f>IFERROR(__xludf.DUMMYFUNCTION("""COMPUTED_VALUE"""),"Once or twice a year")</f>
        <v>Once or twice a year</v>
      </c>
      <c r="J1069" s="260">
        <f>IFERROR(__xludf.DUMMYFUNCTION("""COMPUTED_VALUE"""),0.9)</f>
        <v>0.9</v>
      </c>
      <c r="K1069" s="258" t="str">
        <f>IFERROR(__xludf.DUMMYFUNCTION("""COMPUTED_VALUE"""),"")</f>
        <v/>
      </c>
      <c r="L1069" s="258" t="str">
        <f>IFERROR(__xludf.DUMMYFUNCTION("""COMPUTED_VALUE"""),"")</f>
        <v/>
      </c>
      <c r="M1069" s="261">
        <f>IFERROR(__xludf.DUMMYFUNCTION("""COMPUTED_VALUE"""),195.0)</f>
        <v>195</v>
      </c>
      <c r="N1069" s="262" t="str">
        <f>IFERROR(__xludf.DUMMYFUNCTION("""COMPUTED_VALUE"""),"")</f>
        <v/>
      </c>
      <c r="O1069" s="259" t="str">
        <f>IFERROR(__xludf.DUMMYFUNCTION("""COMPUTED_VALUE"""),"")</f>
        <v/>
      </c>
      <c r="P1069" s="259">
        <f>IFERROR(__xludf.DUMMYFUNCTION("""COMPUTED_VALUE"""),42616.0)</f>
        <v>42616</v>
      </c>
      <c r="Q1069" s="258">
        <f>IFERROR(__xludf.DUMMYFUNCTION("""COMPUTED_VALUE"""),53756.1)</f>
        <v>53756.1</v>
      </c>
      <c r="R1069" s="261">
        <f>IFERROR(__xludf.DUMMYFUNCTION("""COMPUTED_VALUE"""),381.0)</f>
        <v>381</v>
      </c>
      <c r="S1069" s="258">
        <v>395.0</v>
      </c>
      <c r="T1069" s="263">
        <v>0.9645569620253165</v>
      </c>
      <c r="U1069" s="264">
        <v>33402.0</v>
      </c>
      <c r="V1069" s="265">
        <v>53756.1</v>
      </c>
      <c r="W1069" s="264">
        <v>33402.0</v>
      </c>
      <c r="X1069" s="266"/>
      <c r="Y1069" s="267">
        <v>-0.01</v>
      </c>
      <c r="Z1069" s="267">
        <v>0.958497800548698</v>
      </c>
      <c r="AA1069" s="269"/>
      <c r="AB1069" s="270"/>
      <c r="AC1069" s="270"/>
      <c r="AD1069" s="270"/>
      <c r="AE1069" s="270"/>
    </row>
    <row r="1070">
      <c r="A1070" s="256">
        <f>IFERROR(__xludf.DUMMYFUNCTION("""COMPUTED_VALUE"""),43674.56194892361)</f>
        <v>43674.56195</v>
      </c>
      <c r="B1070" s="257" t="str">
        <f>IFERROR(__xludf.DUMMYFUNCTION("""COMPUTED_VALUE"""),"N54tt")</f>
        <v>N54tt</v>
      </c>
      <c r="C1070" s="258" t="str">
        <f>IFERROR(__xludf.DUMMYFUNCTION("""COMPUTED_VALUE"""),"USA")</f>
        <v>USA</v>
      </c>
      <c r="D1070" s="258" t="str">
        <f>IFERROR(__xludf.DUMMYFUNCTION("""COMPUTED_VALUE"""),"mi. My car displays range in miles and I will enter all range numbers in miles.")</f>
        <v>mi. My car displays range in miles and I will enter all range numbers in miles.</v>
      </c>
      <c r="E1070" s="259">
        <f>IFERROR(__xludf.DUMMYFUNCTION("""COMPUTED_VALUE"""),43313.0)</f>
        <v>43313</v>
      </c>
      <c r="F1070" s="258" t="str">
        <f>IFERROR(__xludf.DUMMYFUNCTION("""COMPUTED_VALUE"""),"Model 3 P")</f>
        <v>Model 3 P</v>
      </c>
      <c r="G1070" s="258" t="str">
        <f>IFERROR(__xludf.DUMMYFUNCTION("""COMPUTED_VALUE"""),"A few times a year")</f>
        <v>A few times a year</v>
      </c>
      <c r="H1070" s="258" t="str">
        <f>IFERROR(__xludf.DUMMYFUNCTION("""COMPUTED_VALUE"""),"A few times a year")</f>
        <v>A few times a year</v>
      </c>
      <c r="I1070" s="258" t="str">
        <f>IFERROR(__xludf.DUMMYFUNCTION("""COMPUTED_VALUE"""),"")</f>
        <v/>
      </c>
      <c r="J1070" s="260">
        <f>IFERROR(__xludf.DUMMYFUNCTION("""COMPUTED_VALUE"""),0.8)</f>
        <v>0.8</v>
      </c>
      <c r="K1070" s="258" t="str">
        <f>IFERROR(__xludf.DUMMYFUNCTION("""COMPUTED_VALUE"""),"")</f>
        <v/>
      </c>
      <c r="L1070" s="258" t="str">
        <f>IFERROR(__xludf.DUMMYFUNCTION("""COMPUTED_VALUE"""),"")</f>
        <v/>
      </c>
      <c r="M1070" s="261" t="str">
        <f>IFERROR(__xludf.DUMMYFUNCTION("""COMPUTED_VALUE"""),"")</f>
        <v/>
      </c>
      <c r="N1070" s="262" t="str">
        <f>IFERROR(__xludf.DUMMYFUNCTION("""COMPUTED_VALUE"""),"")</f>
        <v/>
      </c>
      <c r="O1070" s="259" t="str">
        <f>IFERROR(__xludf.DUMMYFUNCTION("""COMPUTED_VALUE"""),"")</f>
        <v/>
      </c>
      <c r="P1070" s="259">
        <f>IFERROR(__xludf.DUMMYFUNCTION("""COMPUTED_VALUE"""),43668.0)</f>
        <v>43668</v>
      </c>
      <c r="Q1070" s="258">
        <f>IFERROR(__xludf.DUMMYFUNCTION("""COMPUTED_VALUE"""),11451.0)</f>
        <v>11451</v>
      </c>
      <c r="R1070" s="261">
        <f>IFERROR(__xludf.DUMMYFUNCTION("""COMPUTED_VALUE"""),297.0)</f>
        <v>297</v>
      </c>
      <c r="S1070" s="258">
        <v>310.0</v>
      </c>
      <c r="T1070" s="263">
        <v>0.9580645161290322</v>
      </c>
      <c r="U1070" s="264">
        <v>11451.0</v>
      </c>
      <c r="V1070" s="265">
        <v>18429.0</v>
      </c>
      <c r="W1070" s="264">
        <v>11451.0</v>
      </c>
      <c r="X1070" s="266"/>
      <c r="Y1070" s="267">
        <v>-0.01</v>
      </c>
      <c r="Z1070" s="267">
        <v>0.9757350891651652</v>
      </c>
      <c r="AA1070" s="269"/>
      <c r="AB1070" s="270"/>
      <c r="AC1070" s="270"/>
      <c r="AD1070" s="270"/>
      <c r="AE1070" s="270"/>
    </row>
    <row r="1071">
      <c r="A1071" s="256">
        <f>IFERROR(__xludf.DUMMYFUNCTION("""COMPUTED_VALUE"""),43038.85972222222)</f>
        <v>43038.85972</v>
      </c>
      <c r="B1071" s="257" t="str">
        <f>IFERROR(__xludf.DUMMYFUNCTION("""COMPUTED_VALUE"""),"namu")</f>
        <v>namu</v>
      </c>
      <c r="C1071" s="258" t="str">
        <f>IFERROR(__xludf.DUMMYFUNCTION("""COMPUTED_VALUE"""),"USA")</f>
        <v>USA</v>
      </c>
      <c r="D1071" s="258" t="str">
        <f>IFERROR(__xludf.DUMMYFUNCTION("""COMPUTED_VALUE"""),"mi. My car displays range in miles and I will enter all range numbers in miles.")</f>
        <v>mi. My car displays range in miles and I will enter all range numbers in miles.</v>
      </c>
      <c r="E1071" s="259">
        <f>IFERROR(__xludf.DUMMYFUNCTION("""COMPUTED_VALUE"""),42736.0)</f>
        <v>42736</v>
      </c>
      <c r="F1071" s="258" t="str">
        <f>IFERROR(__xludf.DUMMYFUNCTION("""COMPUTED_VALUE"""),"Model S 75D")</f>
        <v>Model S 75D</v>
      </c>
      <c r="G1071" s="258" t="str">
        <f>IFERROR(__xludf.DUMMYFUNCTION("""COMPUTED_VALUE"""),"")</f>
        <v/>
      </c>
      <c r="H1071" s="258" t="str">
        <f>IFERROR(__xludf.DUMMYFUNCTION("""COMPUTED_VALUE"""),"")</f>
        <v/>
      </c>
      <c r="I1071" s="258" t="str">
        <f>IFERROR(__xludf.DUMMYFUNCTION("""COMPUTED_VALUE"""),"")</f>
        <v/>
      </c>
      <c r="J1071" s="260" t="str">
        <f>IFERROR(__xludf.DUMMYFUNCTION("""COMPUTED_VALUE"""),"")</f>
        <v/>
      </c>
      <c r="K1071" s="258" t="str">
        <f>IFERROR(__xludf.DUMMYFUNCTION("""COMPUTED_VALUE"""),"")</f>
        <v/>
      </c>
      <c r="L1071" s="258" t="str">
        <f>IFERROR(__xludf.DUMMYFUNCTION("""COMPUTED_VALUE"""),"")</f>
        <v/>
      </c>
      <c r="M1071" s="261" t="str">
        <f>IFERROR(__xludf.DUMMYFUNCTION("""COMPUTED_VALUE"""),"")</f>
        <v/>
      </c>
      <c r="N1071" s="262" t="str">
        <f>IFERROR(__xludf.DUMMYFUNCTION("""COMPUTED_VALUE"""),"")</f>
        <v/>
      </c>
      <c r="O1071" s="259" t="str">
        <f>IFERROR(__xludf.DUMMYFUNCTION("""COMPUTED_VALUE"""),"")</f>
        <v/>
      </c>
      <c r="P1071" s="259">
        <f>IFERROR(__xludf.DUMMYFUNCTION("""COMPUTED_VALUE"""),43038.0)</f>
        <v>43038</v>
      </c>
      <c r="Q1071" s="258">
        <f>IFERROR(__xludf.DUMMYFUNCTION("""COMPUTED_VALUE"""),18827.0)</f>
        <v>18827</v>
      </c>
      <c r="R1071" s="261">
        <f>IFERROR(__xludf.DUMMYFUNCTION("""COMPUTED_VALUE"""),256.0)</f>
        <v>256</v>
      </c>
      <c r="S1071" s="258">
        <v>259.0</v>
      </c>
      <c r="T1071" s="263">
        <v>0.9884169884169884</v>
      </c>
      <c r="U1071" s="264">
        <v>18827.0</v>
      </c>
      <c r="V1071" s="265">
        <v>30299.0</v>
      </c>
      <c r="W1071" s="264">
        <v>18827.0</v>
      </c>
      <c r="X1071" s="266"/>
      <c r="Y1071" s="267">
        <v>-0.01</v>
      </c>
      <c r="Z1071" s="267">
        <v>0.9678000401227564</v>
      </c>
      <c r="AA1071" s="269"/>
      <c r="AB1071" s="270"/>
      <c r="AC1071" s="270"/>
      <c r="AD1071" s="270"/>
      <c r="AE1071" s="270"/>
    </row>
    <row r="1072">
      <c r="A1072" s="256">
        <f>IFERROR(__xludf.DUMMYFUNCTION("""COMPUTED_VALUE"""),43795.678401909725)</f>
        <v>43795.6784</v>
      </c>
      <c r="B1072" s="257" t="str">
        <f>IFERROR(__xludf.DUMMYFUNCTION("""COMPUTED_VALUE"""),"nanafadnavis")</f>
        <v>nanafadnavis</v>
      </c>
      <c r="C1072" s="258" t="str">
        <f>IFERROR(__xludf.DUMMYFUNCTION("""COMPUTED_VALUE"""),"USA")</f>
        <v>USA</v>
      </c>
      <c r="D1072" s="258" t="str">
        <f>IFERROR(__xludf.DUMMYFUNCTION("""COMPUTED_VALUE"""),"mi. My car displays range in miles and I will enter all range numbers in miles.")</f>
        <v>mi. My car displays range in miles and I will enter all range numbers in miles.</v>
      </c>
      <c r="E1072" s="259">
        <f>IFERROR(__xludf.DUMMYFUNCTION("""COMPUTED_VALUE"""),43257.0)</f>
        <v>43257</v>
      </c>
      <c r="F1072" s="258" t="str">
        <f>IFERROR(__xludf.DUMMYFUNCTION("""COMPUTED_VALUE"""),"Model 3 LR")</f>
        <v>Model 3 LR</v>
      </c>
      <c r="G1072" s="258" t="str">
        <f>IFERROR(__xludf.DUMMYFUNCTION("""COMPUTED_VALUE"""),"Never")</f>
        <v>Never</v>
      </c>
      <c r="H1072" s="258" t="str">
        <f>IFERROR(__xludf.DUMMYFUNCTION("""COMPUTED_VALUE"""),"A few times a year")</f>
        <v>A few times a year</v>
      </c>
      <c r="I1072" s="258" t="str">
        <f>IFERROR(__xludf.DUMMYFUNCTION("""COMPUTED_VALUE"""),"A few times a year")</f>
        <v>A few times a year</v>
      </c>
      <c r="J1072" s="260">
        <f>IFERROR(__xludf.DUMMYFUNCTION("""COMPUTED_VALUE"""),0.9)</f>
        <v>0.9</v>
      </c>
      <c r="K1072" s="258">
        <f>IFERROR(__xludf.DUMMYFUNCTION("""COMPUTED_VALUE"""),310.0)</f>
        <v>310</v>
      </c>
      <c r="L1072" s="258" t="str">
        <f>IFERROR(__xludf.DUMMYFUNCTION("""COMPUTED_VALUE"""),"")</f>
        <v/>
      </c>
      <c r="M1072" s="261" t="str">
        <f>IFERROR(__xludf.DUMMYFUNCTION("""COMPUTED_VALUE"""),"")</f>
        <v/>
      </c>
      <c r="N1072" s="262" t="str">
        <f>IFERROR(__xludf.DUMMYFUNCTION("""COMPUTED_VALUE"""),"")</f>
        <v/>
      </c>
      <c r="O1072" s="259" t="str">
        <f>IFERROR(__xludf.DUMMYFUNCTION("""COMPUTED_VALUE"""),"")</f>
        <v/>
      </c>
      <c r="P1072" s="259">
        <f>IFERROR(__xludf.DUMMYFUNCTION("""COMPUTED_VALUE"""),43794.0)</f>
        <v>43794</v>
      </c>
      <c r="Q1072" s="258">
        <f>IFERROR(__xludf.DUMMYFUNCTION("""COMPUTED_VALUE"""),27500.0)</f>
        <v>27500</v>
      </c>
      <c r="R1072" s="261">
        <f>IFERROR(__xludf.DUMMYFUNCTION("""COMPUTED_VALUE"""),305.0)</f>
        <v>305</v>
      </c>
      <c r="S1072" s="258">
        <v>325.0</v>
      </c>
      <c r="T1072" s="263">
        <v>0.9384615384615385</v>
      </c>
      <c r="U1072" s="264">
        <v>27500.0</v>
      </c>
      <c r="V1072" s="265">
        <v>44257.0</v>
      </c>
      <c r="W1072" s="264">
        <v>27500.0</v>
      </c>
      <c r="X1072" s="266"/>
      <c r="Y1072" s="267">
        <v>-0.01</v>
      </c>
      <c r="Z1072" s="267">
        <v>0.9616743640684571</v>
      </c>
      <c r="AA1072" s="269"/>
      <c r="AB1072" s="270"/>
      <c r="AC1072" s="270"/>
      <c r="AD1072" s="270"/>
      <c r="AE1072" s="270"/>
    </row>
    <row r="1073">
      <c r="A1073" s="256">
        <f>IFERROR(__xludf.DUMMYFUNCTION("""COMPUTED_VALUE"""),43750.00338237269)</f>
        <v>43750.00338</v>
      </c>
      <c r="B1073" s="257" t="str">
        <f>IFERROR(__xludf.DUMMYFUNCTION("""COMPUTED_VALUE"""),"NateL")</f>
        <v>NateL</v>
      </c>
      <c r="C1073" s="258" t="str">
        <f>IFERROR(__xludf.DUMMYFUNCTION("""COMPUTED_VALUE"""),"USA")</f>
        <v>USA</v>
      </c>
      <c r="D1073" s="258" t="str">
        <f>IFERROR(__xludf.DUMMYFUNCTION("""COMPUTED_VALUE"""),"mi. My car displays range in miles and I will enter all range numbers in miles.")</f>
        <v>mi. My car displays range in miles and I will enter all range numbers in miles.</v>
      </c>
      <c r="E1073" s="259">
        <f>IFERROR(__xludf.DUMMYFUNCTION("""COMPUTED_VALUE"""),43647.0)</f>
        <v>43647</v>
      </c>
      <c r="F1073" s="258" t="str">
        <f>IFERROR(__xludf.DUMMYFUNCTION("""COMPUTED_VALUE"""),"Model 3 P")</f>
        <v>Model 3 P</v>
      </c>
      <c r="G1073" s="258" t="str">
        <f>IFERROR(__xludf.DUMMYFUNCTION("""COMPUTED_VALUE"""),"Twice a month")</f>
        <v>Twice a month</v>
      </c>
      <c r="H1073" s="258" t="str">
        <f>IFERROR(__xludf.DUMMYFUNCTION("""COMPUTED_VALUE"""),"Monthly")</f>
        <v>Monthly</v>
      </c>
      <c r="I1073" s="258" t="str">
        <f>IFERROR(__xludf.DUMMYFUNCTION("""COMPUTED_VALUE"""),"Never")</f>
        <v>Never</v>
      </c>
      <c r="J1073" s="260">
        <f>IFERROR(__xludf.DUMMYFUNCTION("""COMPUTED_VALUE"""),0.6)</f>
        <v>0.6</v>
      </c>
      <c r="K1073" s="258">
        <f>IFERROR(__xludf.DUMMYFUNCTION("""COMPUTED_VALUE"""),310.0)</f>
        <v>310</v>
      </c>
      <c r="L1073" s="258" t="str">
        <f>IFERROR(__xludf.DUMMYFUNCTION("""COMPUTED_VALUE"""),"")</f>
        <v/>
      </c>
      <c r="M1073" s="261" t="str">
        <f>IFERROR(__xludf.DUMMYFUNCTION("""COMPUTED_VALUE"""),"")</f>
        <v/>
      </c>
      <c r="N1073" s="262" t="str">
        <f>IFERROR(__xludf.DUMMYFUNCTION("""COMPUTED_VALUE"""),"")</f>
        <v/>
      </c>
      <c r="O1073" s="259" t="str">
        <f>IFERROR(__xludf.DUMMYFUNCTION("""COMPUTED_VALUE"""),"")</f>
        <v/>
      </c>
      <c r="P1073" s="259">
        <f>IFERROR(__xludf.DUMMYFUNCTION("""COMPUTED_VALUE"""),43749.0)</f>
        <v>43749</v>
      </c>
      <c r="Q1073" s="258">
        <f>IFERROR(__xludf.DUMMYFUNCTION("""COMPUTED_VALUE"""),4269.0)</f>
        <v>4269</v>
      </c>
      <c r="R1073" s="261">
        <f>IFERROR(__xludf.DUMMYFUNCTION("""COMPUTED_VALUE"""),303.67)</f>
        <v>303.67</v>
      </c>
      <c r="S1073" s="258">
        <v>310.0</v>
      </c>
      <c r="T1073" s="263">
        <v>0.9795806451612904</v>
      </c>
      <c r="U1073" s="264">
        <v>4269.0</v>
      </c>
      <c r="V1073" s="265">
        <v>6870.0</v>
      </c>
      <c r="W1073" s="264">
        <v>4269.0</v>
      </c>
      <c r="X1073" s="266"/>
      <c r="Y1073" s="267">
        <v>-0.01</v>
      </c>
      <c r="Z1073" s="267">
        <v>0.9883916979034566</v>
      </c>
      <c r="AA1073" s="269"/>
      <c r="AB1073" s="270"/>
      <c r="AC1073" s="270"/>
      <c r="AD1073" s="270"/>
      <c r="AE1073" s="270"/>
    </row>
    <row r="1074">
      <c r="A1074" s="256">
        <f>IFERROR(__xludf.DUMMYFUNCTION("""COMPUTED_VALUE"""),43750.00338237269)</f>
        <v>43750.00338</v>
      </c>
      <c r="B1074" s="257" t="str">
        <f>IFERROR(__xludf.DUMMYFUNCTION("""COMPUTED_VALUE"""),"NateL")</f>
        <v>NateL</v>
      </c>
      <c r="C1074" s="258" t="str">
        <f>IFERROR(__xludf.DUMMYFUNCTION("""COMPUTED_VALUE"""),"USA")</f>
        <v>USA</v>
      </c>
      <c r="D1074" s="258" t="str">
        <f>IFERROR(__xludf.DUMMYFUNCTION("""COMPUTED_VALUE"""),"mi. My car displays range in miles and I will enter all range numbers in miles.")</f>
        <v>mi. My car displays range in miles and I will enter all range numbers in miles.</v>
      </c>
      <c r="E1074" s="259">
        <f>IFERROR(__xludf.DUMMYFUNCTION("""COMPUTED_VALUE"""),43647.0)</f>
        <v>43647</v>
      </c>
      <c r="F1074" s="258" t="str">
        <f>IFERROR(__xludf.DUMMYFUNCTION("""COMPUTED_VALUE"""),"Model 3 P")</f>
        <v>Model 3 P</v>
      </c>
      <c r="G1074" s="258" t="str">
        <f>IFERROR(__xludf.DUMMYFUNCTION("""COMPUTED_VALUE"""),"Twice a month")</f>
        <v>Twice a month</v>
      </c>
      <c r="H1074" s="258" t="str">
        <f>IFERROR(__xludf.DUMMYFUNCTION("""COMPUTED_VALUE"""),"Monthly")</f>
        <v>Monthly</v>
      </c>
      <c r="I1074" s="258" t="str">
        <f>IFERROR(__xludf.DUMMYFUNCTION("""COMPUTED_VALUE"""),"Never")</f>
        <v>Never</v>
      </c>
      <c r="J1074" s="260">
        <f>IFERROR(__xludf.DUMMYFUNCTION("""COMPUTED_VALUE"""),0.6)</f>
        <v>0.6</v>
      </c>
      <c r="K1074" s="258">
        <f>IFERROR(__xludf.DUMMYFUNCTION("""COMPUTED_VALUE"""),310.0)</f>
        <v>310</v>
      </c>
      <c r="L1074" s="258" t="str">
        <f>IFERROR(__xludf.DUMMYFUNCTION("""COMPUTED_VALUE"""),"")</f>
        <v/>
      </c>
      <c r="M1074" s="261" t="str">
        <f>IFERROR(__xludf.DUMMYFUNCTION("""COMPUTED_VALUE"""),"")</f>
        <v/>
      </c>
      <c r="N1074" s="262" t="str">
        <f>IFERROR(__xludf.DUMMYFUNCTION("""COMPUTED_VALUE"""),"")</f>
        <v/>
      </c>
      <c r="O1074" s="259" t="str">
        <f>IFERROR(__xludf.DUMMYFUNCTION("""COMPUTED_VALUE"""),"")</f>
        <v/>
      </c>
      <c r="P1074" s="259">
        <f>IFERROR(__xludf.DUMMYFUNCTION("""COMPUTED_VALUE"""),43735.0)</f>
        <v>43735</v>
      </c>
      <c r="Q1074" s="258">
        <f>IFERROR(__xludf.DUMMYFUNCTION("""COMPUTED_VALUE"""),3402.0)</f>
        <v>3402</v>
      </c>
      <c r="R1074" s="261">
        <f>IFERROR(__xludf.DUMMYFUNCTION("""COMPUTED_VALUE"""),308.16)</f>
        <v>308.16</v>
      </c>
      <c r="S1074" s="258">
        <v>310.0</v>
      </c>
      <c r="T1074" s="263">
        <v>0.9940645161290323</v>
      </c>
      <c r="U1074" s="264">
        <v>3402.0</v>
      </c>
      <c r="V1074" s="265">
        <v>5475.0</v>
      </c>
      <c r="W1074" s="264">
        <v>3402.0</v>
      </c>
      <c r="X1074" s="266"/>
      <c r="Y1074" s="267">
        <v>-0.01</v>
      </c>
      <c r="Z1074" s="267">
        <v>0.9904383467306227</v>
      </c>
      <c r="AA1074" s="269"/>
      <c r="AB1074" s="270"/>
      <c r="AC1074" s="270"/>
      <c r="AD1074" s="270"/>
      <c r="AE1074" s="270"/>
    </row>
    <row r="1075">
      <c r="A1075" s="256">
        <f>IFERROR(__xludf.DUMMYFUNCTION("""COMPUTED_VALUE"""),43750.00338237269)</f>
        <v>43750.00338</v>
      </c>
      <c r="B1075" s="257" t="str">
        <f>IFERROR(__xludf.DUMMYFUNCTION("""COMPUTED_VALUE"""),"NateL")</f>
        <v>NateL</v>
      </c>
      <c r="C1075" s="258" t="str">
        <f>IFERROR(__xludf.DUMMYFUNCTION("""COMPUTED_VALUE"""),"USA")</f>
        <v>USA</v>
      </c>
      <c r="D1075" s="258" t="str">
        <f>IFERROR(__xludf.DUMMYFUNCTION("""COMPUTED_VALUE"""),"mi. My car displays range in miles and I will enter all range numbers in miles.")</f>
        <v>mi. My car displays range in miles and I will enter all range numbers in miles.</v>
      </c>
      <c r="E1075" s="259">
        <f>IFERROR(__xludf.DUMMYFUNCTION("""COMPUTED_VALUE"""),43647.0)</f>
        <v>43647</v>
      </c>
      <c r="F1075" s="258" t="str">
        <f>IFERROR(__xludf.DUMMYFUNCTION("""COMPUTED_VALUE"""),"Model 3 P")</f>
        <v>Model 3 P</v>
      </c>
      <c r="G1075" s="258" t="str">
        <f>IFERROR(__xludf.DUMMYFUNCTION("""COMPUTED_VALUE"""),"Twice a month")</f>
        <v>Twice a month</v>
      </c>
      <c r="H1075" s="258" t="str">
        <f>IFERROR(__xludf.DUMMYFUNCTION("""COMPUTED_VALUE"""),"Monthly")</f>
        <v>Monthly</v>
      </c>
      <c r="I1075" s="258" t="str">
        <f>IFERROR(__xludf.DUMMYFUNCTION("""COMPUTED_VALUE"""),"Never")</f>
        <v>Never</v>
      </c>
      <c r="J1075" s="260">
        <f>IFERROR(__xludf.DUMMYFUNCTION("""COMPUTED_VALUE"""),0.6)</f>
        <v>0.6</v>
      </c>
      <c r="K1075" s="258">
        <f>IFERROR(__xludf.DUMMYFUNCTION("""COMPUTED_VALUE"""),310.0)</f>
        <v>310</v>
      </c>
      <c r="L1075" s="258" t="str">
        <f>IFERROR(__xludf.DUMMYFUNCTION("""COMPUTED_VALUE"""),"")</f>
        <v/>
      </c>
      <c r="M1075" s="261" t="str">
        <f>IFERROR(__xludf.DUMMYFUNCTION("""COMPUTED_VALUE"""),"")</f>
        <v/>
      </c>
      <c r="N1075" s="262" t="str">
        <f>IFERROR(__xludf.DUMMYFUNCTION("""COMPUTED_VALUE"""),"")</f>
        <v/>
      </c>
      <c r="O1075" s="259" t="str">
        <f>IFERROR(__xludf.DUMMYFUNCTION("""COMPUTED_VALUE"""),"")</f>
        <v/>
      </c>
      <c r="P1075" s="259">
        <f>IFERROR(__xludf.DUMMYFUNCTION("""COMPUTED_VALUE"""),43672.0)</f>
        <v>43672</v>
      </c>
      <c r="Q1075" s="258">
        <f>IFERROR(__xludf.DUMMYFUNCTION("""COMPUTED_VALUE"""),676.0)</f>
        <v>676</v>
      </c>
      <c r="R1075" s="261">
        <f>IFERROR(__xludf.DUMMYFUNCTION("""COMPUTED_VALUE"""),310.0)</f>
        <v>310</v>
      </c>
      <c r="S1075" s="258">
        <v>310.0</v>
      </c>
      <c r="T1075" s="263">
        <v>1.0</v>
      </c>
      <c r="U1075" s="264">
        <v>676.0</v>
      </c>
      <c r="V1075" s="265">
        <v>1088.0</v>
      </c>
      <c r="W1075" s="264">
        <v>676.0</v>
      </c>
      <c r="X1075" s="266"/>
      <c r="Y1075" s="267">
        <v>-0.01</v>
      </c>
      <c r="Z1075" s="267">
        <v>0.9978831539158338</v>
      </c>
      <c r="AA1075" s="269"/>
      <c r="AB1075" s="270"/>
      <c r="AC1075" s="270"/>
      <c r="AD1075" s="270"/>
      <c r="AE1075" s="270"/>
    </row>
    <row r="1076">
      <c r="A1076" s="256">
        <f>IFERROR(__xludf.DUMMYFUNCTION("""COMPUTED_VALUE"""),42408.28472222222)</f>
        <v>42408.28472</v>
      </c>
      <c r="B1076" s="257" t="str">
        <f>IFERROR(__xludf.DUMMYFUNCTION("""COMPUTED_VALUE"""),"Nexus")</f>
        <v>Nexus</v>
      </c>
      <c r="C1076" s="258" t="str">
        <f>IFERROR(__xludf.DUMMYFUNCTION("""COMPUTED_VALUE"""),"Europe (excluding UK) &amp; Asia Pacific")</f>
        <v>Europe (excluding UK) &amp; Asia Pacific</v>
      </c>
      <c r="D1076" s="258" t="str">
        <f>IFERROR(__xludf.DUMMYFUNCTION("""COMPUTED_VALUE"""),"km. My car displays range in kilometres and I will enter all range numbers in kilometres.")</f>
        <v>km. My car displays range in kilometres and I will enter all range numbers in kilometres.</v>
      </c>
      <c r="E1076" s="259">
        <f>IFERROR(__xludf.DUMMYFUNCTION("""COMPUTED_VALUE"""),42341.0)</f>
        <v>42341</v>
      </c>
      <c r="F1076" s="258" t="str">
        <f>IFERROR(__xludf.DUMMYFUNCTION("""COMPUTED_VALUE"""),"Model S 85D")</f>
        <v>Model S 85D</v>
      </c>
      <c r="G1076" s="258" t="str">
        <f>IFERROR(__xludf.DUMMYFUNCTION("""COMPUTED_VALUE"""),"Monthly")</f>
        <v>Monthly</v>
      </c>
      <c r="H1076" s="258" t="str">
        <f>IFERROR(__xludf.DUMMYFUNCTION("""COMPUTED_VALUE"""),"Once or twice a year")</f>
        <v>Once or twice a year</v>
      </c>
      <c r="I1076" s="258" t="str">
        <f>IFERROR(__xludf.DUMMYFUNCTION("""COMPUTED_VALUE"""),"Once or twice a year")</f>
        <v>Once or twice a year</v>
      </c>
      <c r="J1076" s="260">
        <f>IFERROR(__xludf.DUMMYFUNCTION("""COMPUTED_VALUE"""),0.9)</f>
        <v>0.9</v>
      </c>
      <c r="K1076" s="258" t="str">
        <f>IFERROR(__xludf.DUMMYFUNCTION("""COMPUTED_VALUE"""),"")</f>
        <v/>
      </c>
      <c r="L1076" s="258" t="str">
        <f>IFERROR(__xludf.DUMMYFUNCTION("""COMPUTED_VALUE"""),"")</f>
        <v/>
      </c>
      <c r="M1076" s="261">
        <f>IFERROR(__xludf.DUMMYFUNCTION("""COMPUTED_VALUE"""),220.0)</f>
        <v>220</v>
      </c>
      <c r="N1076" s="262" t="str">
        <f>IFERROR(__xludf.DUMMYFUNCTION("""COMPUTED_VALUE"""),"")</f>
        <v/>
      </c>
      <c r="O1076" s="259" t="str">
        <f>IFERROR(__xludf.DUMMYFUNCTION("""COMPUTED_VALUE"""),"")</f>
        <v/>
      </c>
      <c r="P1076" s="259">
        <f>IFERROR(__xludf.DUMMYFUNCTION("""COMPUTED_VALUE"""),42408.0)</f>
        <v>42408</v>
      </c>
      <c r="Q1076" s="258">
        <f>IFERROR(__xludf.DUMMYFUNCTION("""COMPUTED_VALUE"""),6900.0)</f>
        <v>6900</v>
      </c>
      <c r="R1076" s="261">
        <f>IFERROR(__xludf.DUMMYFUNCTION("""COMPUTED_VALUE"""),423.0)</f>
        <v>423</v>
      </c>
      <c r="S1076" s="258">
        <v>425.0</v>
      </c>
      <c r="T1076" s="263">
        <v>0.9952941176470588</v>
      </c>
      <c r="U1076" s="264">
        <v>4287.0</v>
      </c>
      <c r="V1076" s="265">
        <v>6900.0</v>
      </c>
      <c r="W1076" s="264">
        <v>4287.0</v>
      </c>
      <c r="X1076" s="266"/>
      <c r="Y1076" s="267">
        <v>-0.01</v>
      </c>
      <c r="Z1076" s="267">
        <v>0.9883491989262244</v>
      </c>
      <c r="AA1076" s="269"/>
      <c r="AB1076" s="270"/>
      <c r="AC1076" s="270"/>
      <c r="AD1076" s="270"/>
      <c r="AE1076" s="270"/>
    </row>
    <row r="1077">
      <c r="A1077" s="256">
        <f>IFERROR(__xludf.DUMMYFUNCTION("""COMPUTED_VALUE"""),42891.555555555555)</f>
        <v>42891.55556</v>
      </c>
      <c r="B1077" s="257" t="str">
        <f>IFERROR(__xludf.DUMMYFUNCTION("""COMPUTED_VALUE"""),"Nexus")</f>
        <v>Nexus</v>
      </c>
      <c r="C1077" s="258" t="str">
        <f>IFERROR(__xludf.DUMMYFUNCTION("""COMPUTED_VALUE"""),"Europe (excluding UK) &amp; Asia Pacific")</f>
        <v>Europe (excluding UK) &amp; Asia Pacific</v>
      </c>
      <c r="D1077" s="258" t="str">
        <f>IFERROR(__xludf.DUMMYFUNCTION("""COMPUTED_VALUE"""),"km. My car displays range in kilometres and I will enter all range numbers in kilometres.")</f>
        <v>km. My car displays range in kilometres and I will enter all range numbers in kilometres.</v>
      </c>
      <c r="E1077" s="259">
        <f>IFERROR(__xludf.DUMMYFUNCTION("""COMPUTED_VALUE"""),42341.0)</f>
        <v>42341</v>
      </c>
      <c r="F1077" s="258" t="str">
        <f>IFERROR(__xludf.DUMMYFUNCTION("""COMPUTED_VALUE"""),"Model S 85D")</f>
        <v>Model S 85D</v>
      </c>
      <c r="G1077" s="258" t="str">
        <f>IFERROR(__xludf.DUMMYFUNCTION("""COMPUTED_VALUE"""),"A few times a year")</f>
        <v>A few times a year</v>
      </c>
      <c r="H1077" s="258" t="str">
        <f>IFERROR(__xludf.DUMMYFUNCTION("""COMPUTED_VALUE"""),"Once or twice a year")</f>
        <v>Once or twice a year</v>
      </c>
      <c r="I1077" s="258" t="str">
        <f>IFERROR(__xludf.DUMMYFUNCTION("""COMPUTED_VALUE"""),"Never")</f>
        <v>Never</v>
      </c>
      <c r="J1077" s="260">
        <f>IFERROR(__xludf.DUMMYFUNCTION("""COMPUTED_VALUE"""),0.8)</f>
        <v>0.8</v>
      </c>
      <c r="K1077" s="258" t="str">
        <f>IFERROR(__xludf.DUMMYFUNCTION("""COMPUTED_VALUE"""),"")</f>
        <v/>
      </c>
      <c r="L1077" s="258" t="str">
        <f>IFERROR(__xludf.DUMMYFUNCTION("""COMPUTED_VALUE"""),"")</f>
        <v/>
      </c>
      <c r="M1077" s="261">
        <f>IFERROR(__xludf.DUMMYFUNCTION("""COMPUTED_VALUE"""),208.0)</f>
        <v>208</v>
      </c>
      <c r="N1077" s="262" t="str">
        <f>IFERROR(__xludf.DUMMYFUNCTION("""COMPUTED_VALUE"""),"")</f>
        <v/>
      </c>
      <c r="O1077" s="259" t="str">
        <f>IFERROR(__xludf.DUMMYFUNCTION("""COMPUTED_VALUE"""),"")</f>
        <v/>
      </c>
      <c r="P1077" s="259">
        <f>IFERROR(__xludf.DUMMYFUNCTION("""COMPUTED_VALUE"""),42891.0)</f>
        <v>42891</v>
      </c>
      <c r="Q1077" s="258">
        <f>IFERROR(__xludf.DUMMYFUNCTION("""COMPUTED_VALUE"""),50000.0)</f>
        <v>50000</v>
      </c>
      <c r="R1077" s="261">
        <f>IFERROR(__xludf.DUMMYFUNCTION("""COMPUTED_VALUE"""),421.0)</f>
        <v>421</v>
      </c>
      <c r="S1077" s="258">
        <v>425.0</v>
      </c>
      <c r="T1077" s="263">
        <v>0.9905882352941177</v>
      </c>
      <c r="U1077" s="264">
        <v>31069.0</v>
      </c>
      <c r="V1077" s="265">
        <v>50000.0</v>
      </c>
      <c r="W1077" s="264">
        <v>31069.0</v>
      </c>
      <c r="X1077" s="266"/>
      <c r="Y1077" s="267">
        <v>-0.01</v>
      </c>
      <c r="Z1077" s="267">
        <v>0.9596904352621635</v>
      </c>
      <c r="AA1077" s="269"/>
      <c r="AB1077" s="270"/>
      <c r="AC1077" s="270"/>
      <c r="AD1077" s="270"/>
      <c r="AE1077" s="270"/>
    </row>
    <row r="1078">
      <c r="A1078" s="256">
        <f>IFERROR(__xludf.DUMMYFUNCTION("""COMPUTED_VALUE"""),42856.82777777778)</f>
        <v>42856.82778</v>
      </c>
      <c r="B1078" s="257" t="str">
        <f>IFERROR(__xludf.DUMMYFUNCTION("""COMPUTED_VALUE"""),"nickjhowe")</f>
        <v>nickjhowe</v>
      </c>
      <c r="C1078" s="258" t="str">
        <f>IFERROR(__xludf.DUMMYFUNCTION("""COMPUTED_VALUE"""),"USA")</f>
        <v>USA</v>
      </c>
      <c r="D1078" s="258" t="str">
        <f>IFERROR(__xludf.DUMMYFUNCTION("""COMPUTED_VALUE"""),"mi. My car displays range in miles and I will enter all range numbers in miles.")</f>
        <v>mi. My car displays range in miles and I will enter all range numbers in miles.</v>
      </c>
      <c r="E1078" s="259">
        <f>IFERROR(__xludf.DUMMYFUNCTION("""COMPUTED_VALUE"""),41258.0)</f>
        <v>41258</v>
      </c>
      <c r="F1078" s="258" t="str">
        <f>IFERROR(__xludf.DUMMYFUNCTION("""COMPUTED_VALUE"""),"Model S P85")</f>
        <v>Model S P85</v>
      </c>
      <c r="G1078" s="258" t="str">
        <f>IFERROR(__xludf.DUMMYFUNCTION("""COMPUTED_VALUE"""),"A few times a year")</f>
        <v>A few times a year</v>
      </c>
      <c r="H1078" s="258" t="str">
        <f>IFERROR(__xludf.DUMMYFUNCTION("""COMPUTED_VALUE"""),"A few times a year")</f>
        <v>A few times a year</v>
      </c>
      <c r="I1078" s="258" t="str">
        <f>IFERROR(__xludf.DUMMYFUNCTION("""COMPUTED_VALUE"""),"Never")</f>
        <v>Never</v>
      </c>
      <c r="J1078" s="260">
        <f>IFERROR(__xludf.DUMMYFUNCTION("""COMPUTED_VALUE"""),0.9)</f>
        <v>0.9</v>
      </c>
      <c r="K1078" s="258">
        <f>IFERROR(__xludf.DUMMYFUNCTION("""COMPUTED_VALUE"""),265.0)</f>
        <v>265</v>
      </c>
      <c r="L1078" s="258" t="str">
        <f>IFERROR(__xludf.DUMMYFUNCTION("""COMPUTED_VALUE"""),"")</f>
        <v/>
      </c>
      <c r="M1078" s="261">
        <f>IFERROR(__xludf.DUMMYFUNCTION("""COMPUTED_VALUE"""),330.0)</f>
        <v>330</v>
      </c>
      <c r="N1078" s="262" t="str">
        <f>IFERROR(__xludf.DUMMYFUNCTION("""COMPUTED_VALUE"""),"")</f>
        <v/>
      </c>
      <c r="O1078" s="259" t="str">
        <f>IFERROR(__xludf.DUMMYFUNCTION("""COMPUTED_VALUE"""),"")</f>
        <v/>
      </c>
      <c r="P1078" s="259">
        <f>IFERROR(__xludf.DUMMYFUNCTION("""COMPUTED_VALUE"""),42856.0)</f>
        <v>42856</v>
      </c>
      <c r="Q1078" s="258">
        <f>IFERROR(__xludf.DUMMYFUNCTION("""COMPUTED_VALUE"""),38010.0)</f>
        <v>38010</v>
      </c>
      <c r="R1078" s="261">
        <f>IFERROR(__xludf.DUMMYFUNCTION("""COMPUTED_VALUE"""),261.0)</f>
        <v>261</v>
      </c>
      <c r="S1078" s="258">
        <v>266.0</v>
      </c>
      <c r="T1078" s="263">
        <v>0.981203007518797</v>
      </c>
      <c r="U1078" s="264">
        <v>38010.0</v>
      </c>
      <c r="V1078" s="265">
        <v>61171.0</v>
      </c>
      <c r="W1078" s="264">
        <v>38010.0</v>
      </c>
      <c r="X1078" s="266"/>
      <c r="Y1078" s="267">
        <v>-0.01</v>
      </c>
      <c r="Z1078" s="267">
        <v>0.956319355663096</v>
      </c>
      <c r="AA1078" s="269"/>
      <c r="AB1078" s="270"/>
      <c r="AC1078" s="270"/>
      <c r="AD1078" s="270"/>
      <c r="AE1078" s="270"/>
    </row>
    <row r="1079">
      <c r="A1079" s="256">
        <f>IFERROR(__xludf.DUMMYFUNCTION("""COMPUTED_VALUE"""),43072.8625)</f>
        <v>43072.8625</v>
      </c>
      <c r="B1079" s="257" t="str">
        <f>IFERROR(__xludf.DUMMYFUNCTION("""COMPUTED_VALUE"""),"Nico")</f>
        <v>Nico</v>
      </c>
      <c r="C1079" s="258" t="str">
        <f>IFERROR(__xludf.DUMMYFUNCTION("""COMPUTED_VALUE"""),"USA")</f>
        <v>USA</v>
      </c>
      <c r="D1079" s="258" t="str">
        <f>IFERROR(__xludf.DUMMYFUNCTION("""COMPUTED_VALUE"""),"mi. My car displays range in miles and I will enter all range numbers in miles.")</f>
        <v>mi. My car displays range in miles and I will enter all range numbers in miles.</v>
      </c>
      <c r="E1079" s="259">
        <f>IFERROR(__xludf.DUMMYFUNCTION("""COMPUTED_VALUE"""),41274.0)</f>
        <v>41274</v>
      </c>
      <c r="F1079" s="258" t="str">
        <f>IFERROR(__xludf.DUMMYFUNCTION("""COMPUTED_VALUE"""),"Model S 60")</f>
        <v>Model S 60</v>
      </c>
      <c r="G1079" s="258" t="str">
        <f>IFERROR(__xludf.DUMMYFUNCTION("""COMPUTED_VALUE"""),"Monthly")</f>
        <v>Monthly</v>
      </c>
      <c r="H1079" s="258" t="str">
        <f>IFERROR(__xludf.DUMMYFUNCTION("""COMPUTED_VALUE"""),"Monthly")</f>
        <v>Monthly</v>
      </c>
      <c r="I1079" s="258" t="str">
        <f>IFERROR(__xludf.DUMMYFUNCTION("""COMPUTED_VALUE"""),"Once or twice a year")</f>
        <v>Once or twice a year</v>
      </c>
      <c r="J1079" s="260">
        <f>IFERROR(__xludf.DUMMYFUNCTION("""COMPUTED_VALUE"""),0.9)</f>
        <v>0.9</v>
      </c>
      <c r="K1079" s="258">
        <f>IFERROR(__xludf.DUMMYFUNCTION("""COMPUTED_VALUE"""),224.0)</f>
        <v>224</v>
      </c>
      <c r="L1079" s="258" t="str">
        <f>IFERROR(__xludf.DUMMYFUNCTION("""COMPUTED_VALUE"""),"")</f>
        <v/>
      </c>
      <c r="M1079" s="261">
        <f>IFERROR(__xludf.DUMMYFUNCTION("""COMPUTED_VALUE"""),350.0)</f>
        <v>350</v>
      </c>
      <c r="N1079" s="262" t="str">
        <f>IFERROR(__xludf.DUMMYFUNCTION("""COMPUTED_VALUE"""),"")</f>
        <v/>
      </c>
      <c r="O1079" s="259" t="str">
        <f>IFERROR(__xludf.DUMMYFUNCTION("""COMPUTED_VALUE"""),"")</f>
        <v/>
      </c>
      <c r="P1079" s="259">
        <f>IFERROR(__xludf.DUMMYFUNCTION("""COMPUTED_VALUE"""),43072.0)</f>
        <v>43072</v>
      </c>
      <c r="Q1079" s="258">
        <f>IFERROR(__xludf.DUMMYFUNCTION("""COMPUTED_VALUE"""),82000.0)</f>
        <v>82000</v>
      </c>
      <c r="R1079" s="261">
        <f>IFERROR(__xludf.DUMMYFUNCTION("""COMPUTED_VALUE"""),178.0)</f>
        <v>178</v>
      </c>
      <c r="S1079" s="258">
        <v>207.0</v>
      </c>
      <c r="T1079" s="263">
        <v>0.8599033816425121</v>
      </c>
      <c r="U1079" s="264">
        <v>82000.0</v>
      </c>
      <c r="V1079" s="265">
        <v>131966.0</v>
      </c>
      <c r="W1079" s="264">
        <v>82000.0</v>
      </c>
      <c r="X1079" s="266"/>
      <c r="Y1079" s="267">
        <v>-0.01</v>
      </c>
      <c r="Z1079" s="267">
        <v>0.9391361020961787</v>
      </c>
      <c r="AA1079" s="269"/>
      <c r="AB1079" s="270"/>
      <c r="AC1079" s="270"/>
      <c r="AD1079" s="270"/>
      <c r="AE1079" s="270"/>
    </row>
    <row r="1080">
      <c r="A1080" s="256">
        <f>IFERROR(__xludf.DUMMYFUNCTION("""COMPUTED_VALUE"""),42616.39097222222)</f>
        <v>42616.39097</v>
      </c>
      <c r="B1080" s="257" t="str">
        <f>IFERROR(__xludf.DUMMYFUNCTION("""COMPUTED_VALUE"""),"nico180")</f>
        <v>nico180</v>
      </c>
      <c r="C1080" s="258" t="str">
        <f>IFERROR(__xludf.DUMMYFUNCTION("""COMPUTED_VALUE"""),"Europe (excluding UK) &amp; Asia Pacific")</f>
        <v>Europe (excluding UK) &amp; Asia Pacific</v>
      </c>
      <c r="D1080" s="258" t="str">
        <f>IFERROR(__xludf.DUMMYFUNCTION("""COMPUTED_VALUE"""),"km. My car displays range in kilometres and I will enter all range numbers in kilometres.")</f>
        <v>km. My car displays range in kilometres and I will enter all range numbers in kilometres.</v>
      </c>
      <c r="E1080" s="259">
        <f>IFERROR(__xludf.DUMMYFUNCTION("""COMPUTED_VALUE"""),42480.0)</f>
        <v>42480</v>
      </c>
      <c r="F1080" s="258" t="str">
        <f>IFERROR(__xludf.DUMMYFUNCTION("""COMPUTED_VALUE"""),"Model S 90D")</f>
        <v>Model S 90D</v>
      </c>
      <c r="G1080" s="258" t="str">
        <f>IFERROR(__xludf.DUMMYFUNCTION("""COMPUTED_VALUE"""),"Monthly")</f>
        <v>Monthly</v>
      </c>
      <c r="H1080" s="258" t="str">
        <f>IFERROR(__xludf.DUMMYFUNCTION("""COMPUTED_VALUE"""),"A few times a year")</f>
        <v>A few times a year</v>
      </c>
      <c r="I1080" s="258" t="str">
        <f>IFERROR(__xludf.DUMMYFUNCTION("""COMPUTED_VALUE"""),"Monthly")</f>
        <v>Monthly</v>
      </c>
      <c r="J1080" s="260">
        <f>IFERROR(__xludf.DUMMYFUNCTION("""COMPUTED_VALUE"""),0.9)</f>
        <v>0.9</v>
      </c>
      <c r="K1080" s="258">
        <f>IFERROR(__xludf.DUMMYFUNCTION("""COMPUTED_VALUE"""),455.0)</f>
        <v>455</v>
      </c>
      <c r="L1080" s="258" t="str">
        <f>IFERROR(__xludf.DUMMYFUNCTION("""COMPUTED_VALUE"""),"")</f>
        <v/>
      </c>
      <c r="M1080" s="261">
        <f>IFERROR(__xludf.DUMMYFUNCTION("""COMPUTED_VALUE"""),220.0)</f>
        <v>220</v>
      </c>
      <c r="N1080" s="262" t="str">
        <f>IFERROR(__xludf.DUMMYFUNCTION("""COMPUTED_VALUE"""),"")</f>
        <v/>
      </c>
      <c r="O1080" s="259" t="str">
        <f>IFERROR(__xludf.DUMMYFUNCTION("""COMPUTED_VALUE"""),"")</f>
        <v/>
      </c>
      <c r="P1080" s="259">
        <f>IFERROR(__xludf.DUMMYFUNCTION("""COMPUTED_VALUE"""),42616.0)</f>
        <v>42616</v>
      </c>
      <c r="Q1080" s="258">
        <f>IFERROR(__xludf.DUMMYFUNCTION("""COMPUTED_VALUE"""),5444.0)</f>
        <v>5444</v>
      </c>
      <c r="R1080" s="261">
        <f>IFERROR(__xludf.DUMMYFUNCTION("""COMPUTED_VALUE"""),446.0)</f>
        <v>446</v>
      </c>
      <c r="S1080" s="258">
        <v>447.0</v>
      </c>
      <c r="T1080" s="263">
        <v>0.9977628635346756</v>
      </c>
      <c r="U1080" s="264">
        <v>3383.0</v>
      </c>
      <c r="V1080" s="265">
        <v>5444.0</v>
      </c>
      <c r="W1080" s="264">
        <v>3383.0</v>
      </c>
      <c r="X1080" s="266"/>
      <c r="Y1080" s="267">
        <v>-0.01</v>
      </c>
      <c r="Z1080" s="267">
        <v>0.990485439221182</v>
      </c>
      <c r="AA1080" s="269"/>
      <c r="AB1080" s="270"/>
      <c r="AC1080" s="270"/>
      <c r="AD1080" s="270"/>
      <c r="AE1080" s="270"/>
    </row>
    <row r="1081">
      <c r="A1081" s="256">
        <f>IFERROR(__xludf.DUMMYFUNCTION("""COMPUTED_VALUE"""),42754.492361111115)</f>
        <v>42754.49236</v>
      </c>
      <c r="B1081" s="257" t="str">
        <f>IFERROR(__xludf.DUMMYFUNCTION("""COMPUTED_VALUE"""),"nico180")</f>
        <v>nico180</v>
      </c>
      <c r="C1081" s="258" t="str">
        <f>IFERROR(__xludf.DUMMYFUNCTION("""COMPUTED_VALUE"""),"Europe (excluding UK) &amp; Asia Pacific")</f>
        <v>Europe (excluding UK) &amp; Asia Pacific</v>
      </c>
      <c r="D1081" s="258" t="str">
        <f>IFERROR(__xludf.DUMMYFUNCTION("""COMPUTED_VALUE"""),"km. My car displays range in kilometres and I will enter all range numbers in kilometres.")</f>
        <v>km. My car displays range in kilometres and I will enter all range numbers in kilometres.</v>
      </c>
      <c r="E1081" s="259">
        <f>IFERROR(__xludf.DUMMYFUNCTION("""COMPUTED_VALUE"""),42480.0)</f>
        <v>42480</v>
      </c>
      <c r="F1081" s="258" t="str">
        <f>IFERROR(__xludf.DUMMYFUNCTION("""COMPUTED_VALUE"""),"Model S 90D")</f>
        <v>Model S 90D</v>
      </c>
      <c r="G1081" s="258" t="str">
        <f>IFERROR(__xludf.DUMMYFUNCTION("""COMPUTED_VALUE"""),"Twice a month")</f>
        <v>Twice a month</v>
      </c>
      <c r="H1081" s="258" t="str">
        <f>IFERROR(__xludf.DUMMYFUNCTION("""COMPUTED_VALUE"""),"Twice a month")</f>
        <v>Twice a month</v>
      </c>
      <c r="I1081" s="258" t="str">
        <f>IFERROR(__xludf.DUMMYFUNCTION("""COMPUTED_VALUE"""),"Monthly")</f>
        <v>Monthly</v>
      </c>
      <c r="J1081" s="260">
        <f>IFERROR(__xludf.DUMMYFUNCTION("""COMPUTED_VALUE"""),0.9)</f>
        <v>0.9</v>
      </c>
      <c r="K1081" s="258">
        <f>IFERROR(__xludf.DUMMYFUNCTION("""COMPUTED_VALUE"""),455.0)</f>
        <v>455</v>
      </c>
      <c r="L1081" s="258" t="str">
        <f>IFERROR(__xludf.DUMMYFUNCTION("""COMPUTED_VALUE"""),"")</f>
        <v/>
      </c>
      <c r="M1081" s="261">
        <f>IFERROR(__xludf.DUMMYFUNCTION("""COMPUTED_VALUE"""),230.0)</f>
        <v>230</v>
      </c>
      <c r="N1081" s="262" t="str">
        <f>IFERROR(__xludf.DUMMYFUNCTION("""COMPUTED_VALUE"""),"")</f>
        <v/>
      </c>
      <c r="O1081" s="259" t="str">
        <f>IFERROR(__xludf.DUMMYFUNCTION("""COMPUTED_VALUE"""),"")</f>
        <v/>
      </c>
      <c r="P1081" s="259">
        <f>IFERROR(__xludf.DUMMYFUNCTION("""COMPUTED_VALUE"""),42754.0)</f>
        <v>42754</v>
      </c>
      <c r="Q1081" s="258">
        <f>IFERROR(__xludf.DUMMYFUNCTION("""COMPUTED_VALUE"""),26700.0)</f>
        <v>26700</v>
      </c>
      <c r="R1081" s="261">
        <f>IFERROR(__xludf.DUMMYFUNCTION("""COMPUTED_VALUE"""),430.0)</f>
        <v>430</v>
      </c>
      <c r="S1081" s="258">
        <v>447.0</v>
      </c>
      <c r="T1081" s="263">
        <v>0.9619686800894854</v>
      </c>
      <c r="U1081" s="264">
        <v>16591.0</v>
      </c>
      <c r="V1081" s="265">
        <v>26700.0</v>
      </c>
      <c r="W1081" s="264">
        <v>16591.0</v>
      </c>
      <c r="X1081" s="266"/>
      <c r="Y1081" s="267">
        <v>-0.01</v>
      </c>
      <c r="Z1081" s="267">
        <v>0.969847148297688</v>
      </c>
      <c r="AA1081" s="269"/>
      <c r="AB1081" s="270"/>
      <c r="AC1081" s="270"/>
      <c r="AD1081" s="270"/>
      <c r="AE1081" s="270"/>
    </row>
    <row r="1082">
      <c r="A1082" s="256">
        <f>IFERROR(__xludf.DUMMYFUNCTION("""COMPUTED_VALUE"""),42440.304861111115)</f>
        <v>42440.30486</v>
      </c>
      <c r="B1082" s="257" t="str">
        <f>IFERROR(__xludf.DUMMYFUNCTION("""COMPUTED_VALUE"""),"Niels1275")</f>
        <v>Niels1275</v>
      </c>
      <c r="C1082" s="258" t="str">
        <f>IFERROR(__xludf.DUMMYFUNCTION("""COMPUTED_VALUE"""),"Europe (excluding UK) &amp; Asia Pacific")</f>
        <v>Europe (excluding UK) &amp; Asia Pacific</v>
      </c>
      <c r="D1082" s="258" t="str">
        <f>IFERROR(__xludf.DUMMYFUNCTION("""COMPUTED_VALUE"""),"km. My car displays range in kilometres and I will enter all range numbers in kilometres.")</f>
        <v>km. My car displays range in kilometres and I will enter all range numbers in kilometres.</v>
      </c>
      <c r="E1082" s="259">
        <f>IFERROR(__xludf.DUMMYFUNCTION("""COMPUTED_VALUE"""),41792.0)</f>
        <v>41792</v>
      </c>
      <c r="F1082" s="258" t="str">
        <f>IFERROR(__xludf.DUMMYFUNCTION("""COMPUTED_VALUE"""),"Model S 85")</f>
        <v>Model S 85</v>
      </c>
      <c r="G1082" s="258" t="str">
        <f>IFERROR(__xludf.DUMMYFUNCTION("""COMPUTED_VALUE"""),"A few times a year")</f>
        <v>A few times a year</v>
      </c>
      <c r="H1082" s="258" t="str">
        <f>IFERROR(__xludf.DUMMYFUNCTION("""COMPUTED_VALUE"""),"A few times a year")</f>
        <v>A few times a year</v>
      </c>
      <c r="I1082" s="258" t="str">
        <f>IFERROR(__xludf.DUMMYFUNCTION("""COMPUTED_VALUE"""),"Once or twice a year")</f>
        <v>Once or twice a year</v>
      </c>
      <c r="J1082" s="260">
        <f>IFERROR(__xludf.DUMMYFUNCTION("""COMPUTED_VALUE"""),0.9)</f>
        <v>0.9</v>
      </c>
      <c r="K1082" s="258">
        <f>IFERROR(__xludf.DUMMYFUNCTION("""COMPUTED_VALUE"""),407.0)</f>
        <v>407</v>
      </c>
      <c r="L1082" s="258" t="str">
        <f>IFERROR(__xludf.DUMMYFUNCTION("""COMPUTED_VALUE"""),"")</f>
        <v/>
      </c>
      <c r="M1082" s="261">
        <f>IFERROR(__xludf.DUMMYFUNCTION("""COMPUTED_VALUE"""),215.0)</f>
        <v>215</v>
      </c>
      <c r="N1082" s="262" t="str">
        <f>IFERROR(__xludf.DUMMYFUNCTION("""COMPUTED_VALUE"""),"")</f>
        <v/>
      </c>
      <c r="O1082" s="259" t="str">
        <f>IFERROR(__xludf.DUMMYFUNCTION("""COMPUTED_VALUE"""),"")</f>
        <v/>
      </c>
      <c r="P1082" s="259">
        <f>IFERROR(__xludf.DUMMYFUNCTION("""COMPUTED_VALUE"""),42440.0)</f>
        <v>42440</v>
      </c>
      <c r="Q1082" s="258">
        <f>IFERROR(__xludf.DUMMYFUNCTION("""COMPUTED_VALUE"""),36500.0)</f>
        <v>36500</v>
      </c>
      <c r="R1082" s="261">
        <f>IFERROR(__xludf.DUMMYFUNCTION("""COMPUTED_VALUE"""),372.0)</f>
        <v>372</v>
      </c>
      <c r="S1082" s="258">
        <v>395.0</v>
      </c>
      <c r="T1082" s="263">
        <v>0.9417721518987342</v>
      </c>
      <c r="U1082" s="264">
        <v>22680.0</v>
      </c>
      <c r="V1082" s="265">
        <v>36500.0</v>
      </c>
      <c r="W1082" s="264">
        <v>22680.0</v>
      </c>
      <c r="X1082" s="266"/>
      <c r="Y1082" s="267">
        <v>-0.01</v>
      </c>
      <c r="Z1082" s="267">
        <v>0.9647870640076597</v>
      </c>
      <c r="AA1082" s="269"/>
      <c r="AB1082" s="270"/>
      <c r="AC1082" s="270"/>
      <c r="AD1082" s="270"/>
      <c r="AE1082" s="270"/>
    </row>
    <row r="1083">
      <c r="A1083" s="256">
        <f>IFERROR(__xludf.DUMMYFUNCTION("""COMPUTED_VALUE"""),43094.65138888889)</f>
        <v>43094.65139</v>
      </c>
      <c r="B1083" s="257" t="str">
        <f>IFERROR(__xludf.DUMMYFUNCTION("""COMPUTED_VALUE"""),"Nobbi 67")</f>
        <v>Nobbi 67</v>
      </c>
      <c r="C1083" s="258" t="str">
        <f>IFERROR(__xludf.DUMMYFUNCTION("""COMPUTED_VALUE"""),"Europe (excluding UK) &amp; Asia Pacific")</f>
        <v>Europe (excluding UK) &amp; Asia Pacific</v>
      </c>
      <c r="D1083" s="258" t="str">
        <f>IFERROR(__xludf.DUMMYFUNCTION("""COMPUTED_VALUE"""),"km. My car displays range in kilometres and I will enter all range numbers in kilometres.")</f>
        <v>km. My car displays range in kilometres and I will enter all range numbers in kilometres.</v>
      </c>
      <c r="E1083" s="259">
        <f>IFERROR(__xludf.DUMMYFUNCTION("""COMPUTED_VALUE"""),42817.0)</f>
        <v>42817</v>
      </c>
      <c r="F1083" s="258" t="str">
        <f>IFERROR(__xludf.DUMMYFUNCTION("""COMPUTED_VALUE"""),"Model S 90D")</f>
        <v>Model S 90D</v>
      </c>
      <c r="G1083" s="258" t="str">
        <f>IFERROR(__xludf.DUMMYFUNCTION("""COMPUTED_VALUE"""),"Weekly")</f>
        <v>Weekly</v>
      </c>
      <c r="H1083" s="258" t="str">
        <f>IFERROR(__xludf.DUMMYFUNCTION("""COMPUTED_VALUE"""),"Monthly")</f>
        <v>Monthly</v>
      </c>
      <c r="I1083" s="258" t="str">
        <f>IFERROR(__xludf.DUMMYFUNCTION("""COMPUTED_VALUE"""),"Once or twice a year")</f>
        <v>Once or twice a year</v>
      </c>
      <c r="J1083" s="260">
        <f>IFERROR(__xludf.DUMMYFUNCTION("""COMPUTED_VALUE"""),0.9)</f>
        <v>0.9</v>
      </c>
      <c r="K1083" s="258">
        <f>IFERROR(__xludf.DUMMYFUNCTION("""COMPUTED_VALUE"""),448.0)</f>
        <v>448</v>
      </c>
      <c r="L1083" s="258" t="str">
        <f>IFERROR(__xludf.DUMMYFUNCTION("""COMPUTED_VALUE"""),"")</f>
        <v/>
      </c>
      <c r="M1083" s="261">
        <f>IFERROR(__xludf.DUMMYFUNCTION("""COMPUTED_VALUE"""),206.0)</f>
        <v>206</v>
      </c>
      <c r="N1083" s="262" t="str">
        <f>IFERROR(__xludf.DUMMYFUNCTION("""COMPUTED_VALUE"""),"")</f>
        <v/>
      </c>
      <c r="O1083" s="259" t="str">
        <f>IFERROR(__xludf.DUMMYFUNCTION("""COMPUTED_VALUE"""),"")</f>
        <v/>
      </c>
      <c r="P1083" s="259">
        <f>IFERROR(__xludf.DUMMYFUNCTION("""COMPUTED_VALUE"""),43094.0)</f>
        <v>43094</v>
      </c>
      <c r="Q1083" s="258">
        <f>IFERROR(__xludf.DUMMYFUNCTION("""COMPUTED_VALUE"""),50153.0)</f>
        <v>50153</v>
      </c>
      <c r="R1083" s="261">
        <f>IFERROR(__xludf.DUMMYFUNCTION("""COMPUTED_VALUE"""),432.0)</f>
        <v>432</v>
      </c>
      <c r="S1083" s="258">
        <v>447.0</v>
      </c>
      <c r="T1083" s="263">
        <v>0.9664429530201343</v>
      </c>
      <c r="U1083" s="264">
        <v>31164.0</v>
      </c>
      <c r="V1083" s="265">
        <v>50153.0</v>
      </c>
      <c r="W1083" s="264">
        <v>31164.0</v>
      </c>
      <c r="X1083" s="266"/>
      <c r="Y1083" s="267">
        <v>-0.01</v>
      </c>
      <c r="Z1083" s="267">
        <v>0.9596404163390323</v>
      </c>
      <c r="AA1083" s="269"/>
      <c r="AB1083" s="270"/>
      <c r="AC1083" s="270"/>
      <c r="AD1083" s="270"/>
      <c r="AE1083" s="270"/>
    </row>
    <row r="1084">
      <c r="A1084" s="256">
        <f>IFERROR(__xludf.DUMMYFUNCTION("""COMPUTED_VALUE"""),42202.74930555555)</f>
        <v>42202.74931</v>
      </c>
      <c r="B1084" s="257" t="str">
        <f>IFERROR(__xludf.DUMMYFUNCTION("""COMPUTED_VALUE"""),"notacarguy")</f>
        <v>notacarguy</v>
      </c>
      <c r="C1084" s="258" t="str">
        <f>IFERROR(__xludf.DUMMYFUNCTION("""COMPUTED_VALUE"""),"USA")</f>
        <v>USA</v>
      </c>
      <c r="D1084" s="258" t="str">
        <f>IFERROR(__xludf.DUMMYFUNCTION("""COMPUTED_VALUE"""),"mi. My car displays range in miles and I will enter all range numbers in miles.")</f>
        <v>mi. My car displays range in miles and I will enter all range numbers in miles.</v>
      </c>
      <c r="E1084" s="259">
        <f>IFERROR(__xludf.DUMMYFUNCTION("""COMPUTED_VALUE"""),41963.0)</f>
        <v>41963</v>
      </c>
      <c r="F1084" s="258" t="str">
        <f>IFERROR(__xludf.DUMMYFUNCTION("""COMPUTED_VALUE"""),"Model S 60")</f>
        <v>Model S 60</v>
      </c>
      <c r="G1084" s="258" t="str">
        <f>IFERROR(__xludf.DUMMYFUNCTION("""COMPUTED_VALUE"""),"Never")</f>
        <v>Never</v>
      </c>
      <c r="H1084" s="258" t="str">
        <f>IFERROR(__xludf.DUMMYFUNCTION("""COMPUTED_VALUE"""),"A few times a year")</f>
        <v>A few times a year</v>
      </c>
      <c r="I1084" s="258" t="str">
        <f>IFERROR(__xludf.DUMMYFUNCTION("""COMPUTED_VALUE"""),"A few times a year")</f>
        <v>A few times a year</v>
      </c>
      <c r="J1084" s="260">
        <f>IFERROR(__xludf.DUMMYFUNCTION("""COMPUTED_VALUE"""),0.9)</f>
        <v>0.9</v>
      </c>
      <c r="K1084" s="258">
        <f>IFERROR(__xludf.DUMMYFUNCTION("""COMPUTED_VALUE"""),205.0)</f>
        <v>205</v>
      </c>
      <c r="L1084" s="258" t="str">
        <f>IFERROR(__xludf.DUMMYFUNCTION("""COMPUTED_VALUE"""),"")</f>
        <v/>
      </c>
      <c r="M1084" s="261">
        <f>IFERROR(__xludf.DUMMYFUNCTION("""COMPUTED_VALUE"""),311.0)</f>
        <v>311</v>
      </c>
      <c r="N1084" s="262" t="str">
        <f>IFERROR(__xludf.DUMMYFUNCTION("""COMPUTED_VALUE"""),"")</f>
        <v/>
      </c>
      <c r="O1084" s="259" t="str">
        <f>IFERROR(__xludf.DUMMYFUNCTION("""COMPUTED_VALUE"""),"")</f>
        <v/>
      </c>
      <c r="P1084" s="259">
        <f>IFERROR(__xludf.DUMMYFUNCTION("""COMPUTED_VALUE"""),42202.0)</f>
        <v>42202</v>
      </c>
      <c r="Q1084" s="258">
        <f>IFERROR(__xludf.DUMMYFUNCTION("""COMPUTED_VALUE"""),17200.0)</f>
        <v>17200</v>
      </c>
      <c r="R1084" s="261">
        <f>IFERROR(__xludf.DUMMYFUNCTION("""COMPUTED_VALUE"""),191.0)</f>
        <v>191</v>
      </c>
      <c r="S1084" s="258">
        <v>207.0</v>
      </c>
      <c r="T1084" s="263">
        <v>0.9227053140096618</v>
      </c>
      <c r="U1084" s="264">
        <v>17200.0</v>
      </c>
      <c r="V1084" s="265">
        <v>27681.0</v>
      </c>
      <c r="W1084" s="264">
        <v>17200.0</v>
      </c>
      <c r="X1084" s="266"/>
      <c r="Y1084" s="267">
        <v>-0.01</v>
      </c>
      <c r="Z1084" s="267">
        <v>0.9692635285838863</v>
      </c>
      <c r="AA1084" s="269"/>
      <c r="AB1084" s="270"/>
      <c r="AC1084" s="270"/>
      <c r="AD1084" s="270"/>
      <c r="AE1084" s="270"/>
    </row>
    <row r="1085">
      <c r="A1085" s="256">
        <f>IFERROR(__xludf.DUMMYFUNCTION("""COMPUTED_VALUE"""),41988.04513888889)</f>
        <v>41988.04514</v>
      </c>
      <c r="B1085" s="257" t="str">
        <f>IFERROR(__xludf.DUMMYFUNCTION("""COMPUTED_VALUE"""),"Nulwoning")</f>
        <v>Nulwoning</v>
      </c>
      <c r="C1085" s="258" t="str">
        <f>IFERROR(__xludf.DUMMYFUNCTION("""COMPUTED_VALUE"""),"Europe (excluding UK) &amp; Asia Pacific")</f>
        <v>Europe (excluding UK) &amp; Asia Pacific</v>
      </c>
      <c r="D1085" s="258" t="str">
        <f>IFERROR(__xludf.DUMMYFUNCTION("""COMPUTED_VALUE"""),"km. My car displays range in kilometres and I will enter all range numbers in kilometres.")</f>
        <v>km. My car displays range in kilometres and I will enter all range numbers in kilometres.</v>
      </c>
      <c r="E1085" s="259">
        <f>IFERROR(__xludf.DUMMYFUNCTION("""COMPUTED_VALUE"""),41598.0)</f>
        <v>41598</v>
      </c>
      <c r="F1085" s="258" t="str">
        <f>IFERROR(__xludf.DUMMYFUNCTION("""COMPUTED_VALUE"""),"Model S 85")</f>
        <v>Model S 85</v>
      </c>
      <c r="G1085" s="258" t="str">
        <f>IFERROR(__xludf.DUMMYFUNCTION("""COMPUTED_VALUE"""),"Weekly")</f>
        <v>Weekly</v>
      </c>
      <c r="H1085" s="258" t="str">
        <f>IFERROR(__xludf.DUMMYFUNCTION("""COMPUTED_VALUE"""),"Once or twice a year")</f>
        <v>Once or twice a year</v>
      </c>
      <c r="I1085" s="258" t="str">
        <f>IFERROR(__xludf.DUMMYFUNCTION("""COMPUTED_VALUE"""),"Never")</f>
        <v>Never</v>
      </c>
      <c r="J1085" s="260" t="str">
        <f>IFERROR(__xludf.DUMMYFUNCTION("""COMPUTED_VALUE"""),"")</f>
        <v/>
      </c>
      <c r="K1085" s="258" t="str">
        <f>IFERROR(__xludf.DUMMYFUNCTION("""COMPUTED_VALUE"""),"")</f>
        <v/>
      </c>
      <c r="L1085" s="258" t="str">
        <f>IFERROR(__xludf.DUMMYFUNCTION("""COMPUTED_VALUE"""),"")</f>
        <v/>
      </c>
      <c r="M1085" s="261">
        <f>IFERROR(__xludf.DUMMYFUNCTION("""COMPUTED_VALUE"""),190.0)</f>
        <v>190</v>
      </c>
      <c r="N1085" s="262" t="str">
        <f>IFERROR(__xludf.DUMMYFUNCTION("""COMPUTED_VALUE"""),"")</f>
        <v/>
      </c>
      <c r="O1085" s="259" t="str">
        <f>IFERROR(__xludf.DUMMYFUNCTION("""COMPUTED_VALUE"""),"")</f>
        <v/>
      </c>
      <c r="P1085" s="259">
        <f>IFERROR(__xludf.DUMMYFUNCTION("""COMPUTED_VALUE"""),41988.0)</f>
        <v>41988</v>
      </c>
      <c r="Q1085" s="258">
        <f>IFERROR(__xludf.DUMMYFUNCTION("""COMPUTED_VALUE"""),45050.0)</f>
        <v>45050</v>
      </c>
      <c r="R1085" s="261">
        <f>IFERROR(__xludf.DUMMYFUNCTION("""COMPUTED_VALUE"""),378.0)</f>
        <v>378</v>
      </c>
      <c r="S1085" s="258">
        <v>395.0</v>
      </c>
      <c r="T1085" s="263">
        <v>0.9569620253164557</v>
      </c>
      <c r="U1085" s="264">
        <v>27993.0</v>
      </c>
      <c r="V1085" s="265">
        <v>45050.0</v>
      </c>
      <c r="W1085" s="264">
        <v>27993.0</v>
      </c>
      <c r="X1085" s="266"/>
      <c r="Y1085" s="267">
        <v>-0.01</v>
      </c>
      <c r="Z1085" s="267">
        <v>0.9613868087571001</v>
      </c>
      <c r="AA1085" s="269"/>
      <c r="AB1085" s="270"/>
      <c r="AC1085" s="270"/>
      <c r="AD1085" s="270"/>
      <c r="AE1085" s="270"/>
    </row>
    <row r="1086">
      <c r="A1086" s="256">
        <f>IFERROR(__xludf.DUMMYFUNCTION("""COMPUTED_VALUE"""),42041.07152777778)</f>
        <v>42041.07153</v>
      </c>
      <c r="B1086" s="257" t="str">
        <f>IFERROR(__xludf.DUMMYFUNCTION("""COMPUTED_VALUE"""),"Nulwoning")</f>
        <v>Nulwoning</v>
      </c>
      <c r="C1086" s="258" t="str">
        <f>IFERROR(__xludf.DUMMYFUNCTION("""COMPUTED_VALUE"""),"Europe (excluding UK) &amp; Asia Pacific")</f>
        <v>Europe (excluding UK) &amp; Asia Pacific</v>
      </c>
      <c r="D1086" s="258" t="str">
        <f>IFERROR(__xludf.DUMMYFUNCTION("""COMPUTED_VALUE"""),"km. My car displays range in kilometres and I will enter all range numbers in kilometres.")</f>
        <v>km. My car displays range in kilometres and I will enter all range numbers in kilometres.</v>
      </c>
      <c r="E1086" s="259">
        <f>IFERROR(__xludf.DUMMYFUNCTION("""COMPUTED_VALUE"""),41598.0)</f>
        <v>41598</v>
      </c>
      <c r="F1086" s="258" t="str">
        <f>IFERROR(__xludf.DUMMYFUNCTION("""COMPUTED_VALUE"""),"Model S 85")</f>
        <v>Model S 85</v>
      </c>
      <c r="G1086" s="258" t="str">
        <f>IFERROR(__xludf.DUMMYFUNCTION("""COMPUTED_VALUE"""),"Weekly")</f>
        <v>Weekly</v>
      </c>
      <c r="H1086" s="258" t="str">
        <f>IFERROR(__xludf.DUMMYFUNCTION("""COMPUTED_VALUE"""),"Once or twice a year")</f>
        <v>Once or twice a year</v>
      </c>
      <c r="I1086" s="258" t="str">
        <f>IFERROR(__xludf.DUMMYFUNCTION("""COMPUTED_VALUE"""),"Never")</f>
        <v>Never</v>
      </c>
      <c r="J1086" s="260" t="str">
        <f>IFERROR(__xludf.DUMMYFUNCTION("""COMPUTED_VALUE"""),"")</f>
        <v/>
      </c>
      <c r="K1086" s="258" t="str">
        <f>IFERROR(__xludf.DUMMYFUNCTION("""COMPUTED_VALUE"""),"")</f>
        <v/>
      </c>
      <c r="L1086" s="258" t="str">
        <f>IFERROR(__xludf.DUMMYFUNCTION("""COMPUTED_VALUE"""),"")</f>
        <v/>
      </c>
      <c r="M1086" s="261">
        <f>IFERROR(__xludf.DUMMYFUNCTION("""COMPUTED_VALUE"""),192.0)</f>
        <v>192</v>
      </c>
      <c r="N1086" s="262" t="str">
        <f>IFERROR(__xludf.DUMMYFUNCTION("""COMPUTED_VALUE"""),"")</f>
        <v/>
      </c>
      <c r="O1086" s="259" t="str">
        <f>IFERROR(__xludf.DUMMYFUNCTION("""COMPUTED_VALUE"""),"")</f>
        <v/>
      </c>
      <c r="P1086" s="259">
        <f>IFERROR(__xludf.DUMMYFUNCTION("""COMPUTED_VALUE"""),42041.0)</f>
        <v>42041</v>
      </c>
      <c r="Q1086" s="258">
        <f>IFERROR(__xludf.DUMMYFUNCTION("""COMPUTED_VALUE"""),53833.0)</f>
        <v>53833</v>
      </c>
      <c r="R1086" s="261">
        <f>IFERROR(__xludf.DUMMYFUNCTION("""COMPUTED_VALUE"""),378.0)</f>
        <v>378</v>
      </c>
      <c r="S1086" s="258">
        <v>395.0</v>
      </c>
      <c r="T1086" s="263">
        <v>0.9569620253164557</v>
      </c>
      <c r="U1086" s="264">
        <v>33450.0</v>
      </c>
      <c r="V1086" s="265">
        <v>53833.0</v>
      </c>
      <c r="W1086" s="264">
        <v>33450.0</v>
      </c>
      <c r="X1086" s="266"/>
      <c r="Y1086" s="267">
        <v>-0.01</v>
      </c>
      <c r="Z1086" s="267">
        <v>0.9584740995555373</v>
      </c>
      <c r="AA1086" s="269"/>
      <c r="AB1086" s="270"/>
      <c r="AC1086" s="270"/>
      <c r="AD1086" s="270"/>
      <c r="AE1086" s="270"/>
    </row>
    <row r="1087">
      <c r="A1087" s="256">
        <f>IFERROR(__xludf.DUMMYFUNCTION("""COMPUTED_VALUE"""),42141.11666666667)</f>
        <v>42141.11667</v>
      </c>
      <c r="B1087" s="257" t="str">
        <f>IFERROR(__xludf.DUMMYFUNCTION("""COMPUTED_VALUE"""),"Nulwoning")</f>
        <v>Nulwoning</v>
      </c>
      <c r="C1087" s="258" t="str">
        <f>IFERROR(__xludf.DUMMYFUNCTION("""COMPUTED_VALUE"""),"Europe (excluding UK) &amp; Asia Pacific")</f>
        <v>Europe (excluding UK) &amp; Asia Pacific</v>
      </c>
      <c r="D1087" s="258" t="str">
        <f>IFERROR(__xludf.DUMMYFUNCTION("""COMPUTED_VALUE"""),"km. My car displays range in kilometres and I will enter all range numbers in kilometres.")</f>
        <v>km. My car displays range in kilometres and I will enter all range numbers in kilometres.</v>
      </c>
      <c r="E1087" s="259">
        <f>IFERROR(__xludf.DUMMYFUNCTION("""COMPUTED_VALUE"""),41598.0)</f>
        <v>41598</v>
      </c>
      <c r="F1087" s="258" t="str">
        <f>IFERROR(__xludf.DUMMYFUNCTION("""COMPUTED_VALUE"""),"Model S 85")</f>
        <v>Model S 85</v>
      </c>
      <c r="G1087" s="258" t="str">
        <f>IFERROR(__xludf.DUMMYFUNCTION("""COMPUTED_VALUE"""),"Twice a week")</f>
        <v>Twice a week</v>
      </c>
      <c r="H1087" s="258" t="str">
        <f>IFERROR(__xludf.DUMMYFUNCTION("""COMPUTED_VALUE"""),"Monthly")</f>
        <v>Monthly</v>
      </c>
      <c r="I1087" s="258" t="str">
        <f>IFERROR(__xludf.DUMMYFUNCTION("""COMPUTED_VALUE"""),"Never")</f>
        <v>Never</v>
      </c>
      <c r="J1087" s="260">
        <f>IFERROR(__xludf.DUMMYFUNCTION("""COMPUTED_VALUE"""),0.7)</f>
        <v>0.7</v>
      </c>
      <c r="K1087" s="258" t="str">
        <f>IFERROR(__xludf.DUMMYFUNCTION("""COMPUTED_VALUE"""),"")</f>
        <v/>
      </c>
      <c r="L1087" s="258" t="str">
        <f>IFERROR(__xludf.DUMMYFUNCTION("""COMPUTED_VALUE"""),"")</f>
        <v/>
      </c>
      <c r="M1087" s="261">
        <f>IFERROR(__xludf.DUMMYFUNCTION("""COMPUTED_VALUE"""),191.0)</f>
        <v>191</v>
      </c>
      <c r="N1087" s="262" t="str">
        <f>IFERROR(__xludf.DUMMYFUNCTION("""COMPUTED_VALUE"""),"")</f>
        <v/>
      </c>
      <c r="O1087" s="259" t="str">
        <f>IFERROR(__xludf.DUMMYFUNCTION("""COMPUTED_VALUE"""),"")</f>
        <v/>
      </c>
      <c r="P1087" s="259">
        <f>IFERROR(__xludf.DUMMYFUNCTION("""COMPUTED_VALUE"""),42141.0)</f>
        <v>42141</v>
      </c>
      <c r="Q1087" s="258">
        <f>IFERROR(__xludf.DUMMYFUNCTION("""COMPUTED_VALUE"""),71820.0)</f>
        <v>71820</v>
      </c>
      <c r="R1087" s="261">
        <f>IFERROR(__xludf.DUMMYFUNCTION("""COMPUTED_VALUE"""),370.0)</f>
        <v>370</v>
      </c>
      <c r="S1087" s="258">
        <v>395.0</v>
      </c>
      <c r="T1087" s="263">
        <v>0.9367088607594937</v>
      </c>
      <c r="U1087" s="264">
        <v>44627.0</v>
      </c>
      <c r="V1087" s="265">
        <v>71820.0</v>
      </c>
      <c r="W1087" s="264">
        <v>44627.0</v>
      </c>
      <c r="X1087" s="266"/>
      <c r="Y1087" s="267">
        <v>-0.01</v>
      </c>
      <c r="Z1087" s="267">
        <v>0.9534621843921295</v>
      </c>
      <c r="AA1087" s="269"/>
      <c r="AB1087" s="270"/>
      <c r="AC1087" s="270"/>
      <c r="AD1087" s="270"/>
      <c r="AE1087" s="270"/>
    </row>
    <row r="1088">
      <c r="A1088" s="256">
        <f>IFERROR(__xludf.DUMMYFUNCTION("""COMPUTED_VALUE"""),42164.13611111111)</f>
        <v>42164.13611</v>
      </c>
      <c r="B1088" s="257" t="str">
        <f>IFERROR(__xludf.DUMMYFUNCTION("""COMPUTED_VALUE"""),"Nulwoning")</f>
        <v>Nulwoning</v>
      </c>
      <c r="C1088" s="258" t="str">
        <f>IFERROR(__xludf.DUMMYFUNCTION("""COMPUTED_VALUE"""),"Europe (excluding UK) &amp; Asia Pacific")</f>
        <v>Europe (excluding UK) &amp; Asia Pacific</v>
      </c>
      <c r="D1088" s="258" t="str">
        <f>IFERROR(__xludf.DUMMYFUNCTION("""COMPUTED_VALUE"""),"km. My car displays range in kilometres and I will enter all range numbers in kilometres.")</f>
        <v>km. My car displays range in kilometres and I will enter all range numbers in kilometres.</v>
      </c>
      <c r="E1088" s="259">
        <f>IFERROR(__xludf.DUMMYFUNCTION("""COMPUTED_VALUE"""),41598.0)</f>
        <v>41598</v>
      </c>
      <c r="F1088" s="258" t="str">
        <f>IFERROR(__xludf.DUMMYFUNCTION("""COMPUTED_VALUE"""),"Model S 85")</f>
        <v>Model S 85</v>
      </c>
      <c r="G1088" s="258" t="str">
        <f>IFERROR(__xludf.DUMMYFUNCTION("""COMPUTED_VALUE"""),"Twice a week")</f>
        <v>Twice a week</v>
      </c>
      <c r="H1088" s="258" t="str">
        <f>IFERROR(__xludf.DUMMYFUNCTION("""COMPUTED_VALUE"""),"Monthly")</f>
        <v>Monthly</v>
      </c>
      <c r="I1088" s="258" t="str">
        <f>IFERROR(__xludf.DUMMYFUNCTION("""COMPUTED_VALUE"""),"Never")</f>
        <v>Never</v>
      </c>
      <c r="J1088" s="260">
        <f>IFERROR(__xludf.DUMMYFUNCTION("""COMPUTED_VALUE"""),0.7)</f>
        <v>0.7</v>
      </c>
      <c r="K1088" s="258" t="str">
        <f>IFERROR(__xludf.DUMMYFUNCTION("""COMPUTED_VALUE"""),"")</f>
        <v/>
      </c>
      <c r="L1088" s="258" t="str">
        <f>IFERROR(__xludf.DUMMYFUNCTION("""COMPUTED_VALUE"""),"")</f>
        <v/>
      </c>
      <c r="M1088" s="261">
        <f>IFERROR(__xludf.DUMMYFUNCTION("""COMPUTED_VALUE"""),190.0)</f>
        <v>190</v>
      </c>
      <c r="N1088" s="262" t="str">
        <f>IFERROR(__xludf.DUMMYFUNCTION("""COMPUTED_VALUE"""),"")</f>
        <v/>
      </c>
      <c r="O1088" s="259" t="str">
        <f>IFERROR(__xludf.DUMMYFUNCTION("""COMPUTED_VALUE"""),"")</f>
        <v/>
      </c>
      <c r="P1088" s="259">
        <f>IFERROR(__xludf.DUMMYFUNCTION("""COMPUTED_VALUE"""),42164.0)</f>
        <v>42164</v>
      </c>
      <c r="Q1088" s="258">
        <f>IFERROR(__xludf.DUMMYFUNCTION("""COMPUTED_VALUE"""),76550.0)</f>
        <v>76550</v>
      </c>
      <c r="R1088" s="261">
        <f>IFERROR(__xludf.DUMMYFUNCTION("""COMPUTED_VALUE"""),378.0)</f>
        <v>378</v>
      </c>
      <c r="S1088" s="258">
        <v>395.0</v>
      </c>
      <c r="T1088" s="263">
        <v>0.9569620253164557</v>
      </c>
      <c r="U1088" s="264">
        <v>47566.0</v>
      </c>
      <c r="V1088" s="265">
        <v>76550.0</v>
      </c>
      <c r="W1088" s="264">
        <v>47566.0</v>
      </c>
      <c r="X1088" s="266"/>
      <c r="Y1088" s="267">
        <v>-0.01</v>
      </c>
      <c r="Z1088" s="267">
        <v>0.9522587623112795</v>
      </c>
      <c r="AA1088" s="269"/>
      <c r="AB1088" s="270"/>
      <c r="AC1088" s="270"/>
      <c r="AD1088" s="270"/>
      <c r="AE1088" s="270"/>
    </row>
    <row r="1089">
      <c r="A1089" s="256">
        <f>IFERROR(__xludf.DUMMYFUNCTION("""COMPUTED_VALUE"""),42183.14236111111)</f>
        <v>42183.14236</v>
      </c>
      <c r="B1089" s="257" t="str">
        <f>IFERROR(__xludf.DUMMYFUNCTION("""COMPUTED_VALUE"""),"Nulwoning")</f>
        <v>Nulwoning</v>
      </c>
      <c r="C1089" s="258" t="str">
        <f>IFERROR(__xludf.DUMMYFUNCTION("""COMPUTED_VALUE"""),"Europe (excluding UK) &amp; Asia Pacific")</f>
        <v>Europe (excluding UK) &amp; Asia Pacific</v>
      </c>
      <c r="D1089" s="258" t="str">
        <f>IFERROR(__xludf.DUMMYFUNCTION("""COMPUTED_VALUE"""),"km. My car displays range in kilometres and I will enter all range numbers in kilometres.")</f>
        <v>km. My car displays range in kilometres and I will enter all range numbers in kilometres.</v>
      </c>
      <c r="E1089" s="259">
        <f>IFERROR(__xludf.DUMMYFUNCTION("""COMPUTED_VALUE"""),41598.0)</f>
        <v>41598</v>
      </c>
      <c r="F1089" s="258" t="str">
        <f>IFERROR(__xludf.DUMMYFUNCTION("""COMPUTED_VALUE"""),"Model S 85")</f>
        <v>Model S 85</v>
      </c>
      <c r="G1089" s="258" t="str">
        <f>IFERROR(__xludf.DUMMYFUNCTION("""COMPUTED_VALUE"""),"Twice a week")</f>
        <v>Twice a week</v>
      </c>
      <c r="H1089" s="258" t="str">
        <f>IFERROR(__xludf.DUMMYFUNCTION("""COMPUTED_VALUE"""),"Monthly")</f>
        <v>Monthly</v>
      </c>
      <c r="I1089" s="258" t="str">
        <f>IFERROR(__xludf.DUMMYFUNCTION("""COMPUTED_VALUE"""),"Never")</f>
        <v>Never</v>
      </c>
      <c r="J1089" s="260">
        <f>IFERROR(__xludf.DUMMYFUNCTION("""COMPUTED_VALUE"""),0.7)</f>
        <v>0.7</v>
      </c>
      <c r="K1089" s="258" t="str">
        <f>IFERROR(__xludf.DUMMYFUNCTION("""COMPUTED_VALUE"""),"")</f>
        <v/>
      </c>
      <c r="L1089" s="258" t="str">
        <f>IFERROR(__xludf.DUMMYFUNCTION("""COMPUTED_VALUE"""),"")</f>
        <v/>
      </c>
      <c r="M1089" s="261">
        <f>IFERROR(__xludf.DUMMYFUNCTION("""COMPUTED_VALUE"""),189.0)</f>
        <v>189</v>
      </c>
      <c r="N1089" s="262" t="str">
        <f>IFERROR(__xludf.DUMMYFUNCTION("""COMPUTED_VALUE"""),"")</f>
        <v/>
      </c>
      <c r="O1089" s="259" t="str">
        <f>IFERROR(__xludf.DUMMYFUNCTION("""COMPUTED_VALUE"""),"")</f>
        <v/>
      </c>
      <c r="P1089" s="259">
        <f>IFERROR(__xludf.DUMMYFUNCTION("""COMPUTED_VALUE"""),42183.0)</f>
        <v>42183</v>
      </c>
      <c r="Q1089" s="258">
        <f>IFERROR(__xludf.DUMMYFUNCTION("""COMPUTED_VALUE"""),80840.0)</f>
        <v>80840</v>
      </c>
      <c r="R1089" s="261">
        <f>IFERROR(__xludf.DUMMYFUNCTION("""COMPUTED_VALUE"""),383.0)</f>
        <v>383</v>
      </c>
      <c r="S1089" s="258">
        <v>395.0</v>
      </c>
      <c r="T1089" s="263">
        <v>0.9696202531645569</v>
      </c>
      <c r="U1089" s="264">
        <v>50232.0</v>
      </c>
      <c r="V1089" s="265">
        <v>80840.0</v>
      </c>
      <c r="W1089" s="264">
        <v>50232.0</v>
      </c>
      <c r="X1089" s="266"/>
      <c r="Y1089" s="267">
        <v>-0.01</v>
      </c>
      <c r="Z1089" s="267">
        <v>0.9511908566114687</v>
      </c>
      <c r="AA1089" s="269"/>
      <c r="AB1089" s="270"/>
      <c r="AC1089" s="270"/>
      <c r="AD1089" s="270"/>
      <c r="AE1089" s="270"/>
    </row>
    <row r="1090">
      <c r="A1090" s="256">
        <f>IFERROR(__xludf.DUMMYFUNCTION("""COMPUTED_VALUE"""),42236.17152777778)</f>
        <v>42236.17153</v>
      </c>
      <c r="B1090" s="257" t="str">
        <f>IFERROR(__xludf.DUMMYFUNCTION("""COMPUTED_VALUE"""),"Nulwoning")</f>
        <v>Nulwoning</v>
      </c>
      <c r="C1090" s="258" t="str">
        <f>IFERROR(__xludf.DUMMYFUNCTION("""COMPUTED_VALUE"""),"Europe (excluding UK) &amp; Asia Pacific")</f>
        <v>Europe (excluding UK) &amp; Asia Pacific</v>
      </c>
      <c r="D1090" s="258" t="str">
        <f>IFERROR(__xludf.DUMMYFUNCTION("""COMPUTED_VALUE"""),"km. My car displays range in kilometres and I will enter all range numbers in kilometres.")</f>
        <v>km. My car displays range in kilometres and I will enter all range numbers in kilometres.</v>
      </c>
      <c r="E1090" s="259">
        <f>IFERROR(__xludf.DUMMYFUNCTION("""COMPUTED_VALUE"""),41598.0)</f>
        <v>41598</v>
      </c>
      <c r="F1090" s="258" t="str">
        <f>IFERROR(__xludf.DUMMYFUNCTION("""COMPUTED_VALUE"""),"Model S 85")</f>
        <v>Model S 85</v>
      </c>
      <c r="G1090" s="258" t="str">
        <f>IFERROR(__xludf.DUMMYFUNCTION("""COMPUTED_VALUE"""),"Twice a week")</f>
        <v>Twice a week</v>
      </c>
      <c r="H1090" s="258" t="str">
        <f>IFERROR(__xludf.DUMMYFUNCTION("""COMPUTED_VALUE"""),"Twice a month")</f>
        <v>Twice a month</v>
      </c>
      <c r="I1090" s="258" t="str">
        <f>IFERROR(__xludf.DUMMYFUNCTION("""COMPUTED_VALUE"""),"Never")</f>
        <v>Never</v>
      </c>
      <c r="J1090" s="260">
        <f>IFERROR(__xludf.DUMMYFUNCTION("""COMPUTED_VALUE"""),0.7)</f>
        <v>0.7</v>
      </c>
      <c r="K1090" s="258" t="str">
        <f>IFERROR(__xludf.DUMMYFUNCTION("""COMPUTED_VALUE"""),"")</f>
        <v/>
      </c>
      <c r="L1090" s="258" t="str">
        <f>IFERROR(__xludf.DUMMYFUNCTION("""COMPUTED_VALUE"""),"")</f>
        <v/>
      </c>
      <c r="M1090" s="261">
        <f>IFERROR(__xludf.DUMMYFUNCTION("""COMPUTED_VALUE"""),187.0)</f>
        <v>187</v>
      </c>
      <c r="N1090" s="262" t="str">
        <f>IFERROR(__xludf.DUMMYFUNCTION("""COMPUTED_VALUE"""),"")</f>
        <v/>
      </c>
      <c r="O1090" s="259" t="str">
        <f>IFERROR(__xludf.DUMMYFUNCTION("""COMPUTED_VALUE"""),"")</f>
        <v/>
      </c>
      <c r="P1090" s="259">
        <f>IFERROR(__xludf.DUMMYFUNCTION("""COMPUTED_VALUE"""),42236.0)</f>
        <v>42236</v>
      </c>
      <c r="Q1090" s="258">
        <f>IFERROR(__xludf.DUMMYFUNCTION("""COMPUTED_VALUE"""),88160.0)</f>
        <v>88160</v>
      </c>
      <c r="R1090" s="261">
        <f>IFERROR(__xludf.DUMMYFUNCTION("""COMPUTED_VALUE"""),377.0)</f>
        <v>377</v>
      </c>
      <c r="S1090" s="258">
        <v>395.0</v>
      </c>
      <c r="T1090" s="263">
        <v>0.9544303797468354</v>
      </c>
      <c r="U1090" s="264">
        <v>54780.0</v>
      </c>
      <c r="V1090" s="265">
        <v>88160.0</v>
      </c>
      <c r="W1090" s="264">
        <v>54780.0</v>
      </c>
      <c r="X1090" s="266"/>
      <c r="Y1090" s="267">
        <v>-0.01</v>
      </c>
      <c r="Z1090" s="267">
        <v>0.949406556312897</v>
      </c>
      <c r="AA1090" s="269"/>
      <c r="AB1090" s="270"/>
      <c r="AC1090" s="270"/>
      <c r="AD1090" s="270"/>
      <c r="AE1090" s="270"/>
    </row>
    <row r="1091">
      <c r="A1091" s="256">
        <f>IFERROR(__xludf.DUMMYFUNCTION("""COMPUTED_VALUE"""),42354.25069444445)</f>
        <v>42354.25069</v>
      </c>
      <c r="B1091" s="257" t="str">
        <f>IFERROR(__xludf.DUMMYFUNCTION("""COMPUTED_VALUE"""),"Nulwoning")</f>
        <v>Nulwoning</v>
      </c>
      <c r="C1091" s="258" t="str">
        <f>IFERROR(__xludf.DUMMYFUNCTION("""COMPUTED_VALUE"""),"Europe (excluding UK) &amp; Asia Pacific")</f>
        <v>Europe (excluding UK) &amp; Asia Pacific</v>
      </c>
      <c r="D1091" s="258" t="str">
        <f>IFERROR(__xludf.DUMMYFUNCTION("""COMPUTED_VALUE"""),"km. My car displays range in kilometres and I will enter all range numbers in kilometres.")</f>
        <v>km. My car displays range in kilometres and I will enter all range numbers in kilometres.</v>
      </c>
      <c r="E1091" s="259">
        <f>IFERROR(__xludf.DUMMYFUNCTION("""COMPUTED_VALUE"""),41598.0)</f>
        <v>41598</v>
      </c>
      <c r="F1091" s="258" t="str">
        <f>IFERROR(__xludf.DUMMYFUNCTION("""COMPUTED_VALUE"""),"Model S 85")</f>
        <v>Model S 85</v>
      </c>
      <c r="G1091" s="258" t="str">
        <f>IFERROR(__xludf.DUMMYFUNCTION("""COMPUTED_VALUE"""),"Twice a week")</f>
        <v>Twice a week</v>
      </c>
      <c r="H1091" s="258" t="str">
        <f>IFERROR(__xludf.DUMMYFUNCTION("""COMPUTED_VALUE"""),"A few times a year")</f>
        <v>A few times a year</v>
      </c>
      <c r="I1091" s="258" t="str">
        <f>IFERROR(__xludf.DUMMYFUNCTION("""COMPUTED_VALUE"""),"Once or twice a year")</f>
        <v>Once or twice a year</v>
      </c>
      <c r="J1091" s="260">
        <f>IFERROR(__xludf.DUMMYFUNCTION("""COMPUTED_VALUE"""),0.7)</f>
        <v>0.7</v>
      </c>
      <c r="K1091" s="258">
        <f>IFERROR(__xludf.DUMMYFUNCTION("""COMPUTED_VALUE"""),400.0)</f>
        <v>400</v>
      </c>
      <c r="L1091" s="258" t="str">
        <f>IFERROR(__xludf.DUMMYFUNCTION("""COMPUTED_VALUE"""),"")</f>
        <v/>
      </c>
      <c r="M1091" s="261">
        <f>IFERROR(__xludf.DUMMYFUNCTION("""COMPUTED_VALUE"""),186.0)</f>
        <v>186</v>
      </c>
      <c r="N1091" s="262" t="str">
        <f>IFERROR(__xludf.DUMMYFUNCTION("""COMPUTED_VALUE"""),"")</f>
        <v/>
      </c>
      <c r="O1091" s="259" t="str">
        <f>IFERROR(__xludf.DUMMYFUNCTION("""COMPUTED_VALUE"""),"")</f>
        <v/>
      </c>
      <c r="P1091" s="259">
        <f>IFERROR(__xludf.DUMMYFUNCTION("""COMPUTED_VALUE"""),42354.0)</f>
        <v>42354</v>
      </c>
      <c r="Q1091" s="258">
        <f>IFERROR(__xludf.DUMMYFUNCTION("""COMPUTED_VALUE"""),108788.0)</f>
        <v>108788</v>
      </c>
      <c r="R1091" s="261">
        <f>IFERROR(__xludf.DUMMYFUNCTION("""COMPUTED_VALUE"""),377.0)</f>
        <v>377</v>
      </c>
      <c r="S1091" s="258">
        <v>395.0</v>
      </c>
      <c r="T1091" s="263">
        <v>0.9544303797468354</v>
      </c>
      <c r="U1091" s="264">
        <v>67598.0</v>
      </c>
      <c r="V1091" s="265">
        <v>108788.0</v>
      </c>
      <c r="W1091" s="264">
        <v>67598.0</v>
      </c>
      <c r="X1091" s="266"/>
      <c r="Y1091" s="267">
        <v>-0.01</v>
      </c>
      <c r="Z1091" s="267">
        <v>0.9445223933564759</v>
      </c>
      <c r="AA1091" s="269"/>
      <c r="AB1091" s="270"/>
      <c r="AC1091" s="270"/>
      <c r="AD1091" s="270"/>
      <c r="AE1091" s="270"/>
    </row>
    <row r="1092">
      <c r="A1092" s="256">
        <f>IFERROR(__xludf.DUMMYFUNCTION("""COMPUTED_VALUE"""),42420.28611111111)</f>
        <v>42420.28611</v>
      </c>
      <c r="B1092" s="257" t="str">
        <f>IFERROR(__xludf.DUMMYFUNCTION("""COMPUTED_VALUE"""),"Nulwoning")</f>
        <v>Nulwoning</v>
      </c>
      <c r="C1092" s="258" t="str">
        <f>IFERROR(__xludf.DUMMYFUNCTION("""COMPUTED_VALUE"""),"Europe (excluding UK) &amp; Asia Pacific")</f>
        <v>Europe (excluding UK) &amp; Asia Pacific</v>
      </c>
      <c r="D1092" s="258" t="str">
        <f>IFERROR(__xludf.DUMMYFUNCTION("""COMPUTED_VALUE"""),"km. My car displays range in kilometres and I will enter all range numbers in kilometres.")</f>
        <v>km. My car displays range in kilometres and I will enter all range numbers in kilometres.</v>
      </c>
      <c r="E1092" s="259">
        <f>IFERROR(__xludf.DUMMYFUNCTION("""COMPUTED_VALUE"""),41598.0)</f>
        <v>41598</v>
      </c>
      <c r="F1092" s="258" t="str">
        <f>IFERROR(__xludf.DUMMYFUNCTION("""COMPUTED_VALUE"""),"Model S 85")</f>
        <v>Model S 85</v>
      </c>
      <c r="G1092" s="258" t="str">
        <f>IFERROR(__xludf.DUMMYFUNCTION("""COMPUTED_VALUE"""),"Weekly")</f>
        <v>Weekly</v>
      </c>
      <c r="H1092" s="258" t="str">
        <f>IFERROR(__xludf.DUMMYFUNCTION("""COMPUTED_VALUE"""),"Twice a month")</f>
        <v>Twice a month</v>
      </c>
      <c r="I1092" s="258" t="str">
        <f>IFERROR(__xludf.DUMMYFUNCTION("""COMPUTED_VALUE"""),"Once or twice a year")</f>
        <v>Once or twice a year</v>
      </c>
      <c r="J1092" s="260">
        <f>IFERROR(__xludf.DUMMYFUNCTION("""COMPUTED_VALUE"""),0.8)</f>
        <v>0.8</v>
      </c>
      <c r="K1092" s="258" t="str">
        <f>IFERROR(__xludf.DUMMYFUNCTION("""COMPUTED_VALUE"""),"")</f>
        <v/>
      </c>
      <c r="L1092" s="258" t="str">
        <f>IFERROR(__xludf.DUMMYFUNCTION("""COMPUTED_VALUE"""),"")</f>
        <v/>
      </c>
      <c r="M1092" s="261">
        <f>IFERROR(__xludf.DUMMYFUNCTION("""COMPUTED_VALUE"""),186.0)</f>
        <v>186</v>
      </c>
      <c r="N1092" s="262" t="str">
        <f>IFERROR(__xludf.DUMMYFUNCTION("""COMPUTED_VALUE"""),"")</f>
        <v/>
      </c>
      <c r="O1092" s="259" t="str">
        <f>IFERROR(__xludf.DUMMYFUNCTION("""COMPUTED_VALUE"""),"")</f>
        <v/>
      </c>
      <c r="P1092" s="259">
        <f>IFERROR(__xludf.DUMMYFUNCTION("""COMPUTED_VALUE"""),42420.0)</f>
        <v>42420</v>
      </c>
      <c r="Q1092" s="258">
        <f>IFERROR(__xludf.DUMMYFUNCTION("""COMPUTED_VALUE"""),117000.0)</f>
        <v>117000</v>
      </c>
      <c r="R1092" s="261">
        <f>IFERROR(__xludf.DUMMYFUNCTION("""COMPUTED_VALUE"""),368.0)</f>
        <v>368</v>
      </c>
      <c r="S1092" s="258">
        <v>395.0</v>
      </c>
      <c r="T1092" s="263">
        <v>0.9316455696202531</v>
      </c>
      <c r="U1092" s="264">
        <v>72700.0</v>
      </c>
      <c r="V1092" s="265">
        <v>117000.0</v>
      </c>
      <c r="W1092" s="264">
        <v>72700.0</v>
      </c>
      <c r="X1092" s="266"/>
      <c r="Y1092" s="267">
        <v>-0.01</v>
      </c>
      <c r="Z1092" s="267">
        <v>0.9426076209609396</v>
      </c>
      <c r="AA1092" s="269"/>
      <c r="AB1092" s="270"/>
      <c r="AC1092" s="270"/>
      <c r="AD1092" s="270"/>
      <c r="AE1092" s="270"/>
    </row>
    <row r="1093">
      <c r="A1093" s="256">
        <f>IFERROR(__xludf.DUMMYFUNCTION("""COMPUTED_VALUE"""),42449.31597222222)</f>
        <v>42449.31597</v>
      </c>
      <c r="B1093" s="257" t="str">
        <f>IFERROR(__xludf.DUMMYFUNCTION("""COMPUTED_VALUE"""),"Nulwoning")</f>
        <v>Nulwoning</v>
      </c>
      <c r="C1093" s="258" t="str">
        <f>IFERROR(__xludf.DUMMYFUNCTION("""COMPUTED_VALUE"""),"Europe (excluding UK) &amp; Asia Pacific")</f>
        <v>Europe (excluding UK) &amp; Asia Pacific</v>
      </c>
      <c r="D1093" s="258" t="str">
        <f>IFERROR(__xludf.DUMMYFUNCTION("""COMPUTED_VALUE"""),"km. My car displays range in kilometres and I will enter all range numbers in kilometres.")</f>
        <v>km. My car displays range in kilometres and I will enter all range numbers in kilometres.</v>
      </c>
      <c r="E1093" s="259">
        <f>IFERROR(__xludf.DUMMYFUNCTION("""COMPUTED_VALUE"""),41598.0)</f>
        <v>41598</v>
      </c>
      <c r="F1093" s="258" t="str">
        <f>IFERROR(__xludf.DUMMYFUNCTION("""COMPUTED_VALUE"""),"Model S 85")</f>
        <v>Model S 85</v>
      </c>
      <c r="G1093" s="258" t="str">
        <f>IFERROR(__xludf.DUMMYFUNCTION("""COMPUTED_VALUE"""),"Twice a week")</f>
        <v>Twice a week</v>
      </c>
      <c r="H1093" s="258" t="str">
        <f>IFERROR(__xludf.DUMMYFUNCTION("""COMPUTED_VALUE"""),"Twice a month")</f>
        <v>Twice a month</v>
      </c>
      <c r="I1093" s="258" t="str">
        <f>IFERROR(__xludf.DUMMYFUNCTION("""COMPUTED_VALUE"""),"Once or twice a year")</f>
        <v>Once or twice a year</v>
      </c>
      <c r="J1093" s="260">
        <f>IFERROR(__xludf.DUMMYFUNCTION("""COMPUTED_VALUE"""),0.7)</f>
        <v>0.7</v>
      </c>
      <c r="K1093" s="258" t="str">
        <f>IFERROR(__xludf.DUMMYFUNCTION("""COMPUTED_VALUE"""),"")</f>
        <v/>
      </c>
      <c r="L1093" s="258" t="str">
        <f>IFERROR(__xludf.DUMMYFUNCTION("""COMPUTED_VALUE"""),"")</f>
        <v/>
      </c>
      <c r="M1093" s="261">
        <f>IFERROR(__xludf.DUMMYFUNCTION("""COMPUTED_VALUE"""),187.0)</f>
        <v>187</v>
      </c>
      <c r="N1093" s="262" t="str">
        <f>IFERROR(__xludf.DUMMYFUNCTION("""COMPUTED_VALUE"""),"")</f>
        <v/>
      </c>
      <c r="O1093" s="259" t="str">
        <f>IFERROR(__xludf.DUMMYFUNCTION("""COMPUTED_VALUE"""),"")</f>
        <v/>
      </c>
      <c r="P1093" s="259">
        <f>IFERROR(__xludf.DUMMYFUNCTION("""COMPUTED_VALUE"""),42449.0)</f>
        <v>42449</v>
      </c>
      <c r="Q1093" s="258">
        <f>IFERROR(__xludf.DUMMYFUNCTION("""COMPUTED_VALUE"""),126800.0)</f>
        <v>126800</v>
      </c>
      <c r="R1093" s="261">
        <f>IFERROR(__xludf.DUMMYFUNCTION("""COMPUTED_VALUE"""),372.0)</f>
        <v>372</v>
      </c>
      <c r="S1093" s="258">
        <v>395.0</v>
      </c>
      <c r="T1093" s="263">
        <v>0.9417721518987342</v>
      </c>
      <c r="U1093" s="264">
        <v>78790.0</v>
      </c>
      <c r="V1093" s="265">
        <v>126800.0</v>
      </c>
      <c r="W1093" s="264">
        <v>78790.0</v>
      </c>
      <c r="X1093" s="266"/>
      <c r="Y1093" s="267">
        <v>-0.01</v>
      </c>
      <c r="Z1093" s="267">
        <v>0.940332588536937</v>
      </c>
      <c r="AA1093" s="269"/>
      <c r="AB1093" s="270"/>
      <c r="AC1093" s="270"/>
      <c r="AD1093" s="270"/>
      <c r="AE1093" s="270"/>
    </row>
    <row r="1094">
      <c r="A1094" s="256">
        <f>IFERROR(__xludf.DUMMYFUNCTION("""COMPUTED_VALUE"""),42477.32638888889)</f>
        <v>42477.32639</v>
      </c>
      <c r="B1094" s="257" t="str">
        <f>IFERROR(__xludf.DUMMYFUNCTION("""COMPUTED_VALUE"""),"Nulwoning")</f>
        <v>Nulwoning</v>
      </c>
      <c r="C1094" s="258" t="str">
        <f>IFERROR(__xludf.DUMMYFUNCTION("""COMPUTED_VALUE"""),"Europe (excluding UK) &amp; Asia Pacific")</f>
        <v>Europe (excluding UK) &amp; Asia Pacific</v>
      </c>
      <c r="D1094" s="258" t="str">
        <f>IFERROR(__xludf.DUMMYFUNCTION("""COMPUTED_VALUE"""),"km. My car displays range in kilometres and I will enter all range numbers in kilometres.")</f>
        <v>km. My car displays range in kilometres and I will enter all range numbers in kilometres.</v>
      </c>
      <c r="E1094" s="259">
        <f>IFERROR(__xludf.DUMMYFUNCTION("""COMPUTED_VALUE"""),41598.0)</f>
        <v>41598</v>
      </c>
      <c r="F1094" s="258" t="str">
        <f>IFERROR(__xludf.DUMMYFUNCTION("""COMPUTED_VALUE"""),"Model S 85")</f>
        <v>Model S 85</v>
      </c>
      <c r="G1094" s="258" t="str">
        <f>IFERROR(__xludf.DUMMYFUNCTION("""COMPUTED_VALUE"""),"Twice a week")</f>
        <v>Twice a week</v>
      </c>
      <c r="H1094" s="258" t="str">
        <f>IFERROR(__xludf.DUMMYFUNCTION("""COMPUTED_VALUE"""),"Twice a month")</f>
        <v>Twice a month</v>
      </c>
      <c r="I1094" s="258" t="str">
        <f>IFERROR(__xludf.DUMMYFUNCTION("""COMPUTED_VALUE"""),"Never")</f>
        <v>Never</v>
      </c>
      <c r="J1094" s="260">
        <f>IFERROR(__xludf.DUMMYFUNCTION("""COMPUTED_VALUE"""),0.7)</f>
        <v>0.7</v>
      </c>
      <c r="K1094" s="258" t="str">
        <f>IFERROR(__xludf.DUMMYFUNCTION("""COMPUTED_VALUE"""),"")</f>
        <v/>
      </c>
      <c r="L1094" s="258" t="str">
        <f>IFERROR(__xludf.DUMMYFUNCTION("""COMPUTED_VALUE"""),"")</f>
        <v/>
      </c>
      <c r="M1094" s="261">
        <f>IFERROR(__xludf.DUMMYFUNCTION("""COMPUTED_VALUE"""),187.0)</f>
        <v>187</v>
      </c>
      <c r="N1094" s="262" t="str">
        <f>IFERROR(__xludf.DUMMYFUNCTION("""COMPUTED_VALUE"""),"")</f>
        <v/>
      </c>
      <c r="O1094" s="259" t="str">
        <f>IFERROR(__xludf.DUMMYFUNCTION("""COMPUTED_VALUE"""),"")</f>
        <v/>
      </c>
      <c r="P1094" s="259">
        <f>IFERROR(__xludf.DUMMYFUNCTION("""COMPUTED_VALUE"""),42477.0)</f>
        <v>42477</v>
      </c>
      <c r="Q1094" s="258">
        <f>IFERROR(__xludf.DUMMYFUNCTION("""COMPUTED_VALUE"""),130820.0)</f>
        <v>130820</v>
      </c>
      <c r="R1094" s="261">
        <f>IFERROR(__xludf.DUMMYFUNCTION("""COMPUTED_VALUE"""),377.0)</f>
        <v>377</v>
      </c>
      <c r="S1094" s="258">
        <v>395.0</v>
      </c>
      <c r="T1094" s="263">
        <v>0.9544303797468354</v>
      </c>
      <c r="U1094" s="264">
        <v>81288.0</v>
      </c>
      <c r="V1094" s="265">
        <v>130820.0</v>
      </c>
      <c r="W1094" s="264">
        <v>81288.0</v>
      </c>
      <c r="X1094" s="266"/>
      <c r="Y1094" s="267">
        <v>-0.01</v>
      </c>
      <c r="Z1094" s="267">
        <v>0.9394013998134262</v>
      </c>
      <c r="AA1094" s="269"/>
      <c r="AB1094" s="270"/>
      <c r="AC1094" s="270"/>
      <c r="AD1094" s="270"/>
      <c r="AE1094" s="270"/>
    </row>
    <row r="1095">
      <c r="A1095" s="256">
        <f>IFERROR(__xludf.DUMMYFUNCTION("""COMPUTED_VALUE"""),42537.351388888885)</f>
        <v>42537.35139</v>
      </c>
      <c r="B1095" s="257" t="str">
        <f>IFERROR(__xludf.DUMMYFUNCTION("""COMPUTED_VALUE"""),"Nulwoning")</f>
        <v>Nulwoning</v>
      </c>
      <c r="C1095" s="258" t="str">
        <f>IFERROR(__xludf.DUMMYFUNCTION("""COMPUTED_VALUE"""),"Europe (excluding UK) &amp; Asia Pacific")</f>
        <v>Europe (excluding UK) &amp; Asia Pacific</v>
      </c>
      <c r="D1095" s="258" t="str">
        <f>IFERROR(__xludf.DUMMYFUNCTION("""COMPUTED_VALUE"""),"km. My car displays range in kilometres and I will enter all range numbers in kilometres.")</f>
        <v>km. My car displays range in kilometres and I will enter all range numbers in kilometres.</v>
      </c>
      <c r="E1095" s="259">
        <f>IFERROR(__xludf.DUMMYFUNCTION("""COMPUTED_VALUE"""),41598.0)</f>
        <v>41598</v>
      </c>
      <c r="F1095" s="258" t="str">
        <f>IFERROR(__xludf.DUMMYFUNCTION("""COMPUTED_VALUE"""),"Model S 85")</f>
        <v>Model S 85</v>
      </c>
      <c r="G1095" s="258" t="str">
        <f>IFERROR(__xludf.DUMMYFUNCTION("""COMPUTED_VALUE"""),"Twice a week")</f>
        <v>Twice a week</v>
      </c>
      <c r="H1095" s="258" t="str">
        <f>IFERROR(__xludf.DUMMYFUNCTION("""COMPUTED_VALUE"""),"Twice a month")</f>
        <v>Twice a month</v>
      </c>
      <c r="I1095" s="258" t="str">
        <f>IFERROR(__xludf.DUMMYFUNCTION("""COMPUTED_VALUE"""),"Never")</f>
        <v>Never</v>
      </c>
      <c r="J1095" s="260">
        <f>IFERROR(__xludf.DUMMYFUNCTION("""COMPUTED_VALUE"""),0.7)</f>
        <v>0.7</v>
      </c>
      <c r="K1095" s="258" t="str">
        <f>IFERROR(__xludf.DUMMYFUNCTION("""COMPUTED_VALUE"""),"")</f>
        <v/>
      </c>
      <c r="L1095" s="258" t="str">
        <f>IFERROR(__xludf.DUMMYFUNCTION("""COMPUTED_VALUE"""),"")</f>
        <v/>
      </c>
      <c r="M1095" s="261">
        <f>IFERROR(__xludf.DUMMYFUNCTION("""COMPUTED_VALUE"""),187.0)</f>
        <v>187</v>
      </c>
      <c r="N1095" s="262" t="str">
        <f>IFERROR(__xludf.DUMMYFUNCTION("""COMPUTED_VALUE"""),"")</f>
        <v/>
      </c>
      <c r="O1095" s="259" t="str">
        <f>IFERROR(__xludf.DUMMYFUNCTION("""COMPUTED_VALUE"""),"")</f>
        <v/>
      </c>
      <c r="P1095" s="259">
        <f>IFERROR(__xludf.DUMMYFUNCTION("""COMPUTED_VALUE"""),42537.0)</f>
        <v>42537</v>
      </c>
      <c r="Q1095" s="258">
        <f>IFERROR(__xludf.DUMMYFUNCTION("""COMPUTED_VALUE"""),139100.0)</f>
        <v>139100</v>
      </c>
      <c r="R1095" s="261">
        <f>IFERROR(__xludf.DUMMYFUNCTION("""COMPUTED_VALUE"""),374.0)</f>
        <v>374</v>
      </c>
      <c r="S1095" s="258">
        <v>395.0</v>
      </c>
      <c r="T1095" s="263">
        <v>0.9468354430379747</v>
      </c>
      <c r="U1095" s="264">
        <v>86433.0</v>
      </c>
      <c r="V1095" s="265">
        <v>139100.0</v>
      </c>
      <c r="W1095" s="264">
        <v>86433.0</v>
      </c>
      <c r="X1095" s="266"/>
      <c r="Y1095" s="267">
        <v>-0.01</v>
      </c>
      <c r="Z1095" s="267">
        <v>0.9374858557005714</v>
      </c>
      <c r="AA1095" s="269"/>
      <c r="AB1095" s="270"/>
      <c r="AC1095" s="270"/>
      <c r="AD1095" s="270"/>
      <c r="AE1095" s="270"/>
    </row>
    <row r="1096">
      <c r="A1096" s="256">
        <f>IFERROR(__xludf.DUMMYFUNCTION("""COMPUTED_VALUE"""),42544.35555555555)</f>
        <v>42544.35556</v>
      </c>
      <c r="B1096" s="257" t="str">
        <f>IFERROR(__xludf.DUMMYFUNCTION("""COMPUTED_VALUE"""),"Nulwoning")</f>
        <v>Nulwoning</v>
      </c>
      <c r="C1096" s="258" t="str">
        <f>IFERROR(__xludf.DUMMYFUNCTION("""COMPUTED_VALUE"""),"Europe (excluding UK) &amp; Asia Pacific")</f>
        <v>Europe (excluding UK) &amp; Asia Pacific</v>
      </c>
      <c r="D1096" s="258" t="str">
        <f>IFERROR(__xludf.DUMMYFUNCTION("""COMPUTED_VALUE"""),"km. My car displays range in kilometres and I will enter all range numbers in kilometres.")</f>
        <v>km. My car displays range in kilometres and I will enter all range numbers in kilometres.</v>
      </c>
      <c r="E1096" s="259">
        <f>IFERROR(__xludf.DUMMYFUNCTION("""COMPUTED_VALUE"""),41598.0)</f>
        <v>41598</v>
      </c>
      <c r="F1096" s="258" t="str">
        <f>IFERROR(__xludf.DUMMYFUNCTION("""COMPUTED_VALUE"""),"Model S 85")</f>
        <v>Model S 85</v>
      </c>
      <c r="G1096" s="258" t="str">
        <f>IFERROR(__xludf.DUMMYFUNCTION("""COMPUTED_VALUE"""),"Twice a week")</f>
        <v>Twice a week</v>
      </c>
      <c r="H1096" s="258" t="str">
        <f>IFERROR(__xludf.DUMMYFUNCTION("""COMPUTED_VALUE"""),"Twice a month")</f>
        <v>Twice a month</v>
      </c>
      <c r="I1096" s="258" t="str">
        <f>IFERROR(__xludf.DUMMYFUNCTION("""COMPUTED_VALUE"""),"Never")</f>
        <v>Never</v>
      </c>
      <c r="J1096" s="260">
        <f>IFERROR(__xludf.DUMMYFUNCTION("""COMPUTED_VALUE"""),0.7)</f>
        <v>0.7</v>
      </c>
      <c r="K1096" s="258" t="str">
        <f>IFERROR(__xludf.DUMMYFUNCTION("""COMPUTED_VALUE"""),"")</f>
        <v/>
      </c>
      <c r="L1096" s="258" t="str">
        <f>IFERROR(__xludf.DUMMYFUNCTION("""COMPUTED_VALUE"""),"")</f>
        <v/>
      </c>
      <c r="M1096" s="261">
        <f>IFERROR(__xludf.DUMMYFUNCTION("""COMPUTED_VALUE"""),187.0)</f>
        <v>187</v>
      </c>
      <c r="N1096" s="262" t="str">
        <f>IFERROR(__xludf.DUMMYFUNCTION("""COMPUTED_VALUE"""),"")</f>
        <v/>
      </c>
      <c r="O1096" s="259" t="str">
        <f>IFERROR(__xludf.DUMMYFUNCTION("""COMPUTED_VALUE"""),"")</f>
        <v/>
      </c>
      <c r="P1096" s="259">
        <f>IFERROR(__xludf.DUMMYFUNCTION("""COMPUTED_VALUE"""),42544.0)</f>
        <v>42544</v>
      </c>
      <c r="Q1096" s="258">
        <f>IFERROR(__xludf.DUMMYFUNCTION("""COMPUTED_VALUE"""),140050.0)</f>
        <v>140050</v>
      </c>
      <c r="R1096" s="261">
        <f>IFERROR(__xludf.DUMMYFUNCTION("""COMPUTED_VALUE"""),376.0)</f>
        <v>376</v>
      </c>
      <c r="S1096" s="258">
        <v>395.0</v>
      </c>
      <c r="T1096" s="263">
        <v>0.9518987341772152</v>
      </c>
      <c r="U1096" s="264">
        <v>87023.0</v>
      </c>
      <c r="V1096" s="265">
        <v>140050.0</v>
      </c>
      <c r="W1096" s="264">
        <v>87023.0</v>
      </c>
      <c r="X1096" s="266"/>
      <c r="Y1096" s="267">
        <v>-0.01</v>
      </c>
      <c r="Z1096" s="267">
        <v>0.9372662381430743</v>
      </c>
      <c r="AA1096" s="269"/>
      <c r="AB1096" s="270"/>
      <c r="AC1096" s="270"/>
      <c r="AD1096" s="270"/>
      <c r="AE1096" s="270"/>
    </row>
    <row r="1097">
      <c r="A1097" s="256">
        <f>IFERROR(__xludf.DUMMYFUNCTION("""COMPUTED_VALUE"""),42591.37638888889)</f>
        <v>42591.37639</v>
      </c>
      <c r="B1097" s="257" t="str">
        <f>IFERROR(__xludf.DUMMYFUNCTION("""COMPUTED_VALUE"""),"Nulwoning")</f>
        <v>Nulwoning</v>
      </c>
      <c r="C1097" s="258" t="str">
        <f>IFERROR(__xludf.DUMMYFUNCTION("""COMPUTED_VALUE"""),"Europe (excluding UK) &amp; Asia Pacific")</f>
        <v>Europe (excluding UK) &amp; Asia Pacific</v>
      </c>
      <c r="D1097" s="258" t="str">
        <f>IFERROR(__xludf.DUMMYFUNCTION("""COMPUTED_VALUE"""),"km. My car displays range in kilometres and I will enter all range numbers in kilometres.")</f>
        <v>km. My car displays range in kilometres and I will enter all range numbers in kilometres.</v>
      </c>
      <c r="E1097" s="259">
        <f>IFERROR(__xludf.DUMMYFUNCTION("""COMPUTED_VALUE"""),41598.0)</f>
        <v>41598</v>
      </c>
      <c r="F1097" s="258" t="str">
        <f>IFERROR(__xludf.DUMMYFUNCTION("""COMPUTED_VALUE"""),"Model S 85")</f>
        <v>Model S 85</v>
      </c>
      <c r="G1097" s="258" t="str">
        <f>IFERROR(__xludf.DUMMYFUNCTION("""COMPUTED_VALUE"""),"Twice a week")</f>
        <v>Twice a week</v>
      </c>
      <c r="H1097" s="258" t="str">
        <f>IFERROR(__xludf.DUMMYFUNCTION("""COMPUTED_VALUE"""),"A few times a year")</f>
        <v>A few times a year</v>
      </c>
      <c r="I1097" s="258" t="str">
        <f>IFERROR(__xludf.DUMMYFUNCTION("""COMPUTED_VALUE"""),"Once or twice a year")</f>
        <v>Once or twice a year</v>
      </c>
      <c r="J1097" s="260">
        <f>IFERROR(__xludf.DUMMYFUNCTION("""COMPUTED_VALUE"""),0.8)</f>
        <v>0.8</v>
      </c>
      <c r="K1097" s="258" t="str">
        <f>IFERROR(__xludf.DUMMYFUNCTION("""COMPUTED_VALUE"""),"")</f>
        <v/>
      </c>
      <c r="L1097" s="258" t="str">
        <f>IFERROR(__xludf.DUMMYFUNCTION("""COMPUTED_VALUE"""),"")</f>
        <v/>
      </c>
      <c r="M1097" s="261">
        <f>IFERROR(__xludf.DUMMYFUNCTION("""COMPUTED_VALUE"""),186.0)</f>
        <v>186</v>
      </c>
      <c r="N1097" s="262" t="str">
        <f>IFERROR(__xludf.DUMMYFUNCTION("""COMPUTED_VALUE"""),"")</f>
        <v/>
      </c>
      <c r="O1097" s="259" t="str">
        <f>IFERROR(__xludf.DUMMYFUNCTION("""COMPUTED_VALUE"""),"")</f>
        <v/>
      </c>
      <c r="P1097" s="259">
        <f>IFERROR(__xludf.DUMMYFUNCTION("""COMPUTED_VALUE"""),42591.0)</f>
        <v>42591</v>
      </c>
      <c r="Q1097" s="258">
        <f>IFERROR(__xludf.DUMMYFUNCTION("""COMPUTED_VALUE"""),148150.0)</f>
        <v>148150</v>
      </c>
      <c r="R1097" s="261">
        <f>IFERROR(__xludf.DUMMYFUNCTION("""COMPUTED_VALUE"""),379.0)</f>
        <v>379</v>
      </c>
      <c r="S1097" s="258">
        <v>395.0</v>
      </c>
      <c r="T1097" s="263">
        <v>0.959493670886076</v>
      </c>
      <c r="U1097" s="264">
        <v>92056.0</v>
      </c>
      <c r="V1097" s="265">
        <v>148150.0</v>
      </c>
      <c r="W1097" s="264">
        <v>92056.0</v>
      </c>
      <c r="X1097" s="266"/>
      <c r="Y1097" s="267">
        <v>-0.01</v>
      </c>
      <c r="Z1097" s="267">
        <v>0.9353946712446851</v>
      </c>
      <c r="AA1097" s="269"/>
      <c r="AB1097" s="270"/>
      <c r="AC1097" s="270"/>
      <c r="AD1097" s="270"/>
      <c r="AE1097" s="270"/>
    </row>
    <row r="1098">
      <c r="A1098" s="256">
        <f>IFERROR(__xludf.DUMMYFUNCTION("""COMPUTED_VALUE"""),42619.39375)</f>
        <v>42619.39375</v>
      </c>
      <c r="B1098" s="257" t="str">
        <f>IFERROR(__xludf.DUMMYFUNCTION("""COMPUTED_VALUE"""),"Nulwoning")</f>
        <v>Nulwoning</v>
      </c>
      <c r="C1098" s="258" t="str">
        <f>IFERROR(__xludf.DUMMYFUNCTION("""COMPUTED_VALUE"""),"Europe (excluding UK) &amp; Asia Pacific")</f>
        <v>Europe (excluding UK) &amp; Asia Pacific</v>
      </c>
      <c r="D1098" s="258" t="str">
        <f>IFERROR(__xludf.DUMMYFUNCTION("""COMPUTED_VALUE"""),"km. My car displays range in kilometres and I will enter all range numbers in kilometres.")</f>
        <v>km. My car displays range in kilometres and I will enter all range numbers in kilometres.</v>
      </c>
      <c r="E1098" s="259">
        <f>IFERROR(__xludf.DUMMYFUNCTION("""COMPUTED_VALUE"""),41598.0)</f>
        <v>41598</v>
      </c>
      <c r="F1098" s="258" t="str">
        <f>IFERROR(__xludf.DUMMYFUNCTION("""COMPUTED_VALUE"""),"Model S 85")</f>
        <v>Model S 85</v>
      </c>
      <c r="G1098" s="258" t="str">
        <f>IFERROR(__xludf.DUMMYFUNCTION("""COMPUTED_VALUE"""),"Twice a week")</f>
        <v>Twice a week</v>
      </c>
      <c r="H1098" s="258" t="str">
        <f>IFERROR(__xludf.DUMMYFUNCTION("""COMPUTED_VALUE"""),"A few times a year")</f>
        <v>A few times a year</v>
      </c>
      <c r="I1098" s="258" t="str">
        <f>IFERROR(__xludf.DUMMYFUNCTION("""COMPUTED_VALUE"""),"Once or twice a year")</f>
        <v>Once or twice a year</v>
      </c>
      <c r="J1098" s="260">
        <f>IFERROR(__xludf.DUMMYFUNCTION("""COMPUTED_VALUE"""),0.7)</f>
        <v>0.7</v>
      </c>
      <c r="K1098" s="258" t="str">
        <f>IFERROR(__xludf.DUMMYFUNCTION("""COMPUTED_VALUE"""),"")</f>
        <v/>
      </c>
      <c r="L1098" s="258" t="str">
        <f>IFERROR(__xludf.DUMMYFUNCTION("""COMPUTED_VALUE"""),"")</f>
        <v/>
      </c>
      <c r="M1098" s="261">
        <f>IFERROR(__xludf.DUMMYFUNCTION("""COMPUTED_VALUE"""),185.0)</f>
        <v>185</v>
      </c>
      <c r="N1098" s="262" t="str">
        <f>IFERROR(__xludf.DUMMYFUNCTION("""COMPUTED_VALUE"""),"")</f>
        <v/>
      </c>
      <c r="O1098" s="259" t="str">
        <f>IFERROR(__xludf.DUMMYFUNCTION("""COMPUTED_VALUE"""),"")</f>
        <v/>
      </c>
      <c r="P1098" s="259">
        <f>IFERROR(__xludf.DUMMYFUNCTION("""COMPUTED_VALUE"""),42619.0)</f>
        <v>42619</v>
      </c>
      <c r="Q1098" s="258">
        <f>IFERROR(__xludf.DUMMYFUNCTION("""COMPUTED_VALUE"""),152250.0)</f>
        <v>152250</v>
      </c>
      <c r="R1098" s="261">
        <f>IFERROR(__xludf.DUMMYFUNCTION("""COMPUTED_VALUE"""),382.0)</f>
        <v>382</v>
      </c>
      <c r="S1098" s="258">
        <v>395.0</v>
      </c>
      <c r="T1098" s="263">
        <v>0.9670886075949368</v>
      </c>
      <c r="U1098" s="264">
        <v>94604.0</v>
      </c>
      <c r="V1098" s="265">
        <v>152250.0</v>
      </c>
      <c r="W1098" s="264">
        <v>94604.0</v>
      </c>
      <c r="X1098" s="266"/>
      <c r="Y1098" s="267">
        <v>-0.01</v>
      </c>
      <c r="Z1098" s="267">
        <v>0.9344478456704244</v>
      </c>
      <c r="AA1098" s="269"/>
      <c r="AB1098" s="270"/>
      <c r="AC1098" s="270"/>
      <c r="AD1098" s="270"/>
      <c r="AE1098" s="270"/>
    </row>
    <row r="1099">
      <c r="A1099" s="256">
        <f>IFERROR(__xludf.DUMMYFUNCTION("""COMPUTED_VALUE"""),42639.4125)</f>
        <v>42639.4125</v>
      </c>
      <c r="B1099" s="257" t="str">
        <f>IFERROR(__xludf.DUMMYFUNCTION("""COMPUTED_VALUE"""),"Nulwoning")</f>
        <v>Nulwoning</v>
      </c>
      <c r="C1099" s="258" t="str">
        <f>IFERROR(__xludf.DUMMYFUNCTION("""COMPUTED_VALUE"""),"Europe (excluding UK) &amp; Asia Pacific")</f>
        <v>Europe (excluding UK) &amp; Asia Pacific</v>
      </c>
      <c r="D1099" s="258" t="str">
        <f>IFERROR(__xludf.DUMMYFUNCTION("""COMPUTED_VALUE"""),"km. My car displays range in kilometres and I will enter all range numbers in kilometres.")</f>
        <v>km. My car displays range in kilometres and I will enter all range numbers in kilometres.</v>
      </c>
      <c r="E1099" s="259">
        <f>IFERROR(__xludf.DUMMYFUNCTION("""COMPUTED_VALUE"""),41598.0)</f>
        <v>41598</v>
      </c>
      <c r="F1099" s="258" t="str">
        <f>IFERROR(__xludf.DUMMYFUNCTION("""COMPUTED_VALUE"""),"Model S 85")</f>
        <v>Model S 85</v>
      </c>
      <c r="G1099" s="258" t="str">
        <f>IFERROR(__xludf.DUMMYFUNCTION("""COMPUTED_VALUE"""),"Twice a week")</f>
        <v>Twice a week</v>
      </c>
      <c r="H1099" s="258" t="str">
        <f>IFERROR(__xludf.DUMMYFUNCTION("""COMPUTED_VALUE"""),"A few times a year")</f>
        <v>A few times a year</v>
      </c>
      <c r="I1099" s="258" t="str">
        <f>IFERROR(__xludf.DUMMYFUNCTION("""COMPUTED_VALUE"""),"Once or twice a year")</f>
        <v>Once or twice a year</v>
      </c>
      <c r="J1099" s="260">
        <f>IFERROR(__xludf.DUMMYFUNCTION("""COMPUTED_VALUE"""),0.7)</f>
        <v>0.7</v>
      </c>
      <c r="K1099" s="258" t="str">
        <f>IFERROR(__xludf.DUMMYFUNCTION("""COMPUTED_VALUE"""),"")</f>
        <v/>
      </c>
      <c r="L1099" s="258" t="str">
        <f>IFERROR(__xludf.DUMMYFUNCTION("""COMPUTED_VALUE"""),"")</f>
        <v/>
      </c>
      <c r="M1099" s="261">
        <f>IFERROR(__xludf.DUMMYFUNCTION("""COMPUTED_VALUE"""),185.0)</f>
        <v>185</v>
      </c>
      <c r="N1099" s="262" t="str">
        <f>IFERROR(__xludf.DUMMYFUNCTION("""COMPUTED_VALUE"""),"")</f>
        <v/>
      </c>
      <c r="O1099" s="259" t="str">
        <f>IFERROR(__xludf.DUMMYFUNCTION("""COMPUTED_VALUE"""),"")</f>
        <v/>
      </c>
      <c r="P1099" s="259">
        <f>IFERROR(__xludf.DUMMYFUNCTION("""COMPUTED_VALUE"""),42639.0)</f>
        <v>42639</v>
      </c>
      <c r="Q1099" s="258">
        <f>IFERROR(__xludf.DUMMYFUNCTION("""COMPUTED_VALUE"""),156500.0)</f>
        <v>156500</v>
      </c>
      <c r="R1099" s="261">
        <f>IFERROR(__xludf.DUMMYFUNCTION("""COMPUTED_VALUE"""),376.0)</f>
        <v>376</v>
      </c>
      <c r="S1099" s="258">
        <v>395.0</v>
      </c>
      <c r="T1099" s="263">
        <v>0.9518987341772152</v>
      </c>
      <c r="U1099" s="264">
        <v>97245.0</v>
      </c>
      <c r="V1099" s="265">
        <v>156500.0</v>
      </c>
      <c r="W1099" s="264">
        <v>97245.0</v>
      </c>
      <c r="X1099" s="266"/>
      <c r="Y1099" s="267">
        <v>-0.01</v>
      </c>
      <c r="Z1099" s="267">
        <v>0.9334666419812657</v>
      </c>
      <c r="AA1099" s="269"/>
      <c r="AB1099" s="270"/>
      <c r="AC1099" s="270"/>
      <c r="AD1099" s="270"/>
      <c r="AE1099" s="270"/>
    </row>
    <row r="1100">
      <c r="A1100" s="256">
        <f>IFERROR(__xludf.DUMMYFUNCTION("""COMPUTED_VALUE"""),42745.48958333333)</f>
        <v>42745.48958</v>
      </c>
      <c r="B1100" s="257" t="str">
        <f>IFERROR(__xludf.DUMMYFUNCTION("""COMPUTED_VALUE"""),"Nulwoning")</f>
        <v>Nulwoning</v>
      </c>
      <c r="C1100" s="258" t="str">
        <f>IFERROR(__xludf.DUMMYFUNCTION("""COMPUTED_VALUE"""),"Europe (excluding UK) &amp; Asia Pacific")</f>
        <v>Europe (excluding UK) &amp; Asia Pacific</v>
      </c>
      <c r="D1100" s="258" t="str">
        <f>IFERROR(__xludf.DUMMYFUNCTION("""COMPUTED_VALUE"""),"km. My car displays range in kilometres and I will enter all range numbers in kilometres.")</f>
        <v>km. My car displays range in kilometres and I will enter all range numbers in kilometres.</v>
      </c>
      <c r="E1100" s="259">
        <f>IFERROR(__xludf.DUMMYFUNCTION("""COMPUTED_VALUE"""),41598.0)</f>
        <v>41598</v>
      </c>
      <c r="F1100" s="258" t="str">
        <f>IFERROR(__xludf.DUMMYFUNCTION("""COMPUTED_VALUE"""),"Model S 85")</f>
        <v>Model S 85</v>
      </c>
      <c r="G1100" s="258" t="str">
        <f>IFERROR(__xludf.DUMMYFUNCTION("""COMPUTED_VALUE"""),"Weekly")</f>
        <v>Weekly</v>
      </c>
      <c r="H1100" s="258" t="str">
        <f>IFERROR(__xludf.DUMMYFUNCTION("""COMPUTED_VALUE"""),"Monthly")</f>
        <v>Monthly</v>
      </c>
      <c r="I1100" s="258" t="str">
        <f>IFERROR(__xludf.DUMMYFUNCTION("""COMPUTED_VALUE"""),"Never")</f>
        <v>Never</v>
      </c>
      <c r="J1100" s="260">
        <f>IFERROR(__xludf.DUMMYFUNCTION("""COMPUTED_VALUE"""),0.7)</f>
        <v>0.7</v>
      </c>
      <c r="K1100" s="258" t="str">
        <f>IFERROR(__xludf.DUMMYFUNCTION("""COMPUTED_VALUE"""),"")</f>
        <v/>
      </c>
      <c r="L1100" s="258" t="str">
        <f>IFERROR(__xludf.DUMMYFUNCTION("""COMPUTED_VALUE"""),"")</f>
        <v/>
      </c>
      <c r="M1100" s="261">
        <f>IFERROR(__xludf.DUMMYFUNCTION("""COMPUTED_VALUE"""),185.0)</f>
        <v>185</v>
      </c>
      <c r="N1100" s="262" t="str">
        <f>IFERROR(__xludf.DUMMYFUNCTION("""COMPUTED_VALUE"""),"")</f>
        <v/>
      </c>
      <c r="O1100" s="259" t="str">
        <f>IFERROR(__xludf.DUMMYFUNCTION("""COMPUTED_VALUE"""),"")</f>
        <v/>
      </c>
      <c r="P1100" s="259">
        <f>IFERROR(__xludf.DUMMYFUNCTION("""COMPUTED_VALUE"""),42745.0)</f>
        <v>42745</v>
      </c>
      <c r="Q1100" s="258">
        <f>IFERROR(__xludf.DUMMYFUNCTION("""COMPUTED_VALUE"""),171735.0)</f>
        <v>171735</v>
      </c>
      <c r="R1100" s="261">
        <f>IFERROR(__xludf.DUMMYFUNCTION("""COMPUTED_VALUE"""),365.0)</f>
        <v>365</v>
      </c>
      <c r="S1100" s="258">
        <v>395.0</v>
      </c>
      <c r="T1100" s="263">
        <v>0.9240506329113924</v>
      </c>
      <c r="U1100" s="264">
        <v>106711.0</v>
      </c>
      <c r="V1100" s="265">
        <v>171735.0</v>
      </c>
      <c r="W1100" s="264">
        <v>106711.0</v>
      </c>
      <c r="X1100" s="266"/>
      <c r="Y1100" s="267">
        <v>-0.01</v>
      </c>
      <c r="Z1100" s="267">
        <v>0.9299507350883932</v>
      </c>
      <c r="AA1100" s="269"/>
      <c r="AB1100" s="270"/>
      <c r="AC1100" s="270"/>
      <c r="AD1100" s="270"/>
      <c r="AE1100" s="270"/>
    </row>
    <row r="1101">
      <c r="A1101" s="256">
        <f>IFERROR(__xludf.DUMMYFUNCTION("""COMPUTED_VALUE"""),42786.50069444445)</f>
        <v>42786.50069</v>
      </c>
      <c r="B1101" s="257" t="str">
        <f>IFERROR(__xludf.DUMMYFUNCTION("""COMPUTED_VALUE"""),"Nulwoning")</f>
        <v>Nulwoning</v>
      </c>
      <c r="C1101" s="258" t="str">
        <f>IFERROR(__xludf.DUMMYFUNCTION("""COMPUTED_VALUE"""),"Europe (excluding UK) &amp; Asia Pacific")</f>
        <v>Europe (excluding UK) &amp; Asia Pacific</v>
      </c>
      <c r="D1101" s="258" t="str">
        <f>IFERROR(__xludf.DUMMYFUNCTION("""COMPUTED_VALUE"""),"km. My car displays range in kilometres and I will enter all range numbers in kilometres.")</f>
        <v>km. My car displays range in kilometres and I will enter all range numbers in kilometres.</v>
      </c>
      <c r="E1101" s="259">
        <f>IFERROR(__xludf.DUMMYFUNCTION("""COMPUTED_VALUE"""),41598.0)</f>
        <v>41598</v>
      </c>
      <c r="F1101" s="258" t="str">
        <f>IFERROR(__xludf.DUMMYFUNCTION("""COMPUTED_VALUE"""),"Model S 85")</f>
        <v>Model S 85</v>
      </c>
      <c r="G1101" s="258" t="str">
        <f>IFERROR(__xludf.DUMMYFUNCTION("""COMPUTED_VALUE"""),"Weekly")</f>
        <v>Weekly</v>
      </c>
      <c r="H1101" s="258" t="str">
        <f>IFERROR(__xludf.DUMMYFUNCTION("""COMPUTED_VALUE"""),"Twice a month")</f>
        <v>Twice a month</v>
      </c>
      <c r="I1101" s="258" t="str">
        <f>IFERROR(__xludf.DUMMYFUNCTION("""COMPUTED_VALUE"""),"Never")</f>
        <v>Never</v>
      </c>
      <c r="J1101" s="260">
        <f>IFERROR(__xludf.DUMMYFUNCTION("""COMPUTED_VALUE"""),0.6)</f>
        <v>0.6</v>
      </c>
      <c r="K1101" s="258" t="str">
        <f>IFERROR(__xludf.DUMMYFUNCTION("""COMPUTED_VALUE"""),"")</f>
        <v/>
      </c>
      <c r="L1101" s="258" t="str">
        <f>IFERROR(__xludf.DUMMYFUNCTION("""COMPUTED_VALUE"""),"")</f>
        <v/>
      </c>
      <c r="M1101" s="261">
        <f>IFERROR(__xludf.DUMMYFUNCTION("""COMPUTED_VALUE"""),185.0)</f>
        <v>185</v>
      </c>
      <c r="N1101" s="262" t="str">
        <f>IFERROR(__xludf.DUMMYFUNCTION("""COMPUTED_VALUE"""),"")</f>
        <v/>
      </c>
      <c r="O1101" s="259" t="str">
        <f>IFERROR(__xludf.DUMMYFUNCTION("""COMPUTED_VALUE"""),"")</f>
        <v/>
      </c>
      <c r="P1101" s="259">
        <f>IFERROR(__xludf.DUMMYFUNCTION("""COMPUTED_VALUE"""),42786.0)</f>
        <v>42786</v>
      </c>
      <c r="Q1101" s="258">
        <f>IFERROR(__xludf.DUMMYFUNCTION("""COMPUTED_VALUE"""),176157.0)</f>
        <v>176157</v>
      </c>
      <c r="R1101" s="261">
        <f>IFERROR(__xludf.DUMMYFUNCTION("""COMPUTED_VALUE"""),368.0)</f>
        <v>368</v>
      </c>
      <c r="S1101" s="258">
        <v>395.0</v>
      </c>
      <c r="T1101" s="263">
        <v>0.9316455696202531</v>
      </c>
      <c r="U1101" s="264">
        <v>109459.0</v>
      </c>
      <c r="V1101" s="265">
        <v>176157.0</v>
      </c>
      <c r="W1101" s="264">
        <v>109459.0</v>
      </c>
      <c r="X1101" s="266"/>
      <c r="Y1101" s="267">
        <v>-0.01</v>
      </c>
      <c r="Z1101" s="267">
        <v>0.9289304958328581</v>
      </c>
      <c r="AA1101" s="269"/>
      <c r="AB1101" s="270"/>
      <c r="AC1101" s="270"/>
      <c r="AD1101" s="270"/>
      <c r="AE1101" s="270"/>
    </row>
    <row r="1102">
      <c r="A1102" s="256">
        <f>IFERROR(__xludf.DUMMYFUNCTION("""COMPUTED_VALUE"""),42810.51388888889)</f>
        <v>42810.51389</v>
      </c>
      <c r="B1102" s="257" t="str">
        <f>IFERROR(__xludf.DUMMYFUNCTION("""COMPUTED_VALUE"""),"Nulwoning")</f>
        <v>Nulwoning</v>
      </c>
      <c r="C1102" s="258" t="str">
        <f>IFERROR(__xludf.DUMMYFUNCTION("""COMPUTED_VALUE"""),"Europe (excluding UK) &amp; Asia Pacific")</f>
        <v>Europe (excluding UK) &amp; Asia Pacific</v>
      </c>
      <c r="D1102" s="258" t="str">
        <f>IFERROR(__xludf.DUMMYFUNCTION("""COMPUTED_VALUE"""),"km. My car displays range in kilometres and I will enter all range numbers in kilometres.")</f>
        <v>km. My car displays range in kilometres and I will enter all range numbers in kilometres.</v>
      </c>
      <c r="E1102" s="259">
        <f>IFERROR(__xludf.DUMMYFUNCTION("""COMPUTED_VALUE"""),41598.0)</f>
        <v>41598</v>
      </c>
      <c r="F1102" s="258" t="str">
        <f>IFERROR(__xludf.DUMMYFUNCTION("""COMPUTED_VALUE"""),"Model S 85")</f>
        <v>Model S 85</v>
      </c>
      <c r="G1102" s="258" t="str">
        <f>IFERROR(__xludf.DUMMYFUNCTION("""COMPUTED_VALUE"""),"Twice a week")</f>
        <v>Twice a week</v>
      </c>
      <c r="H1102" s="258" t="str">
        <f>IFERROR(__xludf.DUMMYFUNCTION("""COMPUTED_VALUE"""),"Monthly")</f>
        <v>Monthly</v>
      </c>
      <c r="I1102" s="258" t="str">
        <f>IFERROR(__xludf.DUMMYFUNCTION("""COMPUTED_VALUE"""),"Once or twice a year")</f>
        <v>Once or twice a year</v>
      </c>
      <c r="J1102" s="260">
        <f>IFERROR(__xludf.DUMMYFUNCTION("""COMPUTED_VALUE"""),0.7)</f>
        <v>0.7</v>
      </c>
      <c r="K1102" s="258" t="str">
        <f>IFERROR(__xludf.DUMMYFUNCTION("""COMPUTED_VALUE"""),"")</f>
        <v/>
      </c>
      <c r="L1102" s="258" t="str">
        <f>IFERROR(__xludf.DUMMYFUNCTION("""COMPUTED_VALUE"""),"")</f>
        <v/>
      </c>
      <c r="M1102" s="261">
        <f>IFERROR(__xludf.DUMMYFUNCTION("""COMPUTED_VALUE"""),186.0)</f>
        <v>186</v>
      </c>
      <c r="N1102" s="262" t="str">
        <f>IFERROR(__xludf.DUMMYFUNCTION("""COMPUTED_VALUE"""),"")</f>
        <v/>
      </c>
      <c r="O1102" s="259" t="str">
        <f>IFERROR(__xludf.DUMMYFUNCTION("""COMPUTED_VALUE"""),"")</f>
        <v/>
      </c>
      <c r="P1102" s="259">
        <f>IFERROR(__xludf.DUMMYFUNCTION("""COMPUTED_VALUE"""),42810.0)</f>
        <v>42810</v>
      </c>
      <c r="Q1102" s="258">
        <f>IFERROR(__xludf.DUMMYFUNCTION("""COMPUTED_VALUE"""),180600.0)</f>
        <v>180600</v>
      </c>
      <c r="R1102" s="261">
        <f>IFERROR(__xludf.DUMMYFUNCTION("""COMPUTED_VALUE"""),365.0)</f>
        <v>365</v>
      </c>
      <c r="S1102" s="258">
        <v>395.0</v>
      </c>
      <c r="T1102" s="263">
        <v>0.9240506329113924</v>
      </c>
      <c r="U1102" s="264">
        <v>112220.0</v>
      </c>
      <c r="V1102" s="265">
        <v>180600.0</v>
      </c>
      <c r="W1102" s="264">
        <v>112220.0</v>
      </c>
      <c r="X1102" s="266"/>
      <c r="Y1102" s="267">
        <v>-0.01</v>
      </c>
      <c r="Z1102" s="267">
        <v>0.9279054840959593</v>
      </c>
      <c r="AA1102" s="269"/>
      <c r="AB1102" s="270"/>
      <c r="AC1102" s="270"/>
      <c r="AD1102" s="270"/>
      <c r="AE1102" s="270"/>
    </row>
    <row r="1103">
      <c r="A1103" s="256">
        <f>IFERROR(__xludf.DUMMYFUNCTION("""COMPUTED_VALUE"""),43882.05887784723)</f>
        <v>43882.05888</v>
      </c>
      <c r="B1103" s="257" t="str">
        <f>IFERROR(__xludf.DUMMYFUNCTION("""COMPUTED_VALUE"""),"nvjx")</f>
        <v>nvjx</v>
      </c>
      <c r="C1103" s="258" t="str">
        <f>IFERROR(__xludf.DUMMYFUNCTION("""COMPUTED_VALUE"""),"USA")</f>
        <v>USA</v>
      </c>
      <c r="D1103" s="258" t="str">
        <f>IFERROR(__xludf.DUMMYFUNCTION("""COMPUTED_VALUE"""),"mi. My car displays range in miles and I will enter all range numbers in miles.")</f>
        <v>mi. My car displays range in miles and I will enter all range numbers in miles.</v>
      </c>
      <c r="E1103" s="259">
        <f>IFERROR(__xludf.DUMMYFUNCTION("""COMPUTED_VALUE"""),43107.0)</f>
        <v>43107</v>
      </c>
      <c r="F1103" s="258" t="str">
        <f>IFERROR(__xludf.DUMMYFUNCTION("""COMPUTED_VALUE"""),"Model 3 LR")</f>
        <v>Model 3 LR</v>
      </c>
      <c r="G1103" s="258" t="str">
        <f>IFERROR(__xludf.DUMMYFUNCTION("""COMPUTED_VALUE"""),"Once or twice a year")</f>
        <v>Once or twice a year</v>
      </c>
      <c r="H1103" s="258" t="str">
        <f>IFERROR(__xludf.DUMMYFUNCTION("""COMPUTED_VALUE"""),"Once or twice a year")</f>
        <v>Once or twice a year</v>
      </c>
      <c r="I1103" s="258" t="str">
        <f>IFERROR(__xludf.DUMMYFUNCTION("""COMPUTED_VALUE"""),"Never")</f>
        <v>Never</v>
      </c>
      <c r="J1103" s="260">
        <f>IFERROR(__xludf.DUMMYFUNCTION("""COMPUTED_VALUE"""),0.9)</f>
        <v>0.9</v>
      </c>
      <c r="K1103" s="258">
        <f>IFERROR(__xludf.DUMMYFUNCTION("""COMPUTED_VALUE"""),310.0)</f>
        <v>310</v>
      </c>
      <c r="L1103" s="258" t="str">
        <f>IFERROR(__xludf.DUMMYFUNCTION("""COMPUTED_VALUE"""),"")</f>
        <v/>
      </c>
      <c r="M1103" s="261">
        <f>IFERROR(__xludf.DUMMYFUNCTION("""COMPUTED_VALUE"""),212.0)</f>
        <v>212</v>
      </c>
      <c r="N1103" s="262" t="str">
        <f>IFERROR(__xludf.DUMMYFUNCTION("""COMPUTED_VALUE"""),"")</f>
        <v/>
      </c>
      <c r="O1103" s="259" t="str">
        <f>IFERROR(__xludf.DUMMYFUNCTION("""COMPUTED_VALUE"""),"")</f>
        <v/>
      </c>
      <c r="P1103" s="259">
        <f>IFERROR(__xludf.DUMMYFUNCTION("""COMPUTED_VALUE"""),43881.0)</f>
        <v>43881</v>
      </c>
      <c r="Q1103" s="258">
        <f>IFERROR(__xludf.DUMMYFUNCTION("""COMPUTED_VALUE"""),20900.0)</f>
        <v>20900</v>
      </c>
      <c r="R1103" s="261">
        <f>IFERROR(__xludf.DUMMYFUNCTION("""COMPUTED_VALUE"""),311.0)</f>
        <v>311</v>
      </c>
      <c r="S1103" s="258">
        <v>325.0</v>
      </c>
      <c r="T1103" s="263">
        <v>0.9569230769230769</v>
      </c>
      <c r="U1103" s="264">
        <v>20900.0</v>
      </c>
      <c r="V1103" s="265">
        <v>33635.0</v>
      </c>
      <c r="W1103" s="264">
        <v>20900.0</v>
      </c>
      <c r="X1103" s="266"/>
      <c r="Y1103" s="267">
        <v>-0.01</v>
      </c>
      <c r="Z1103" s="267">
        <v>0.9661087237091163</v>
      </c>
      <c r="AA1103" s="269"/>
      <c r="AB1103" s="270"/>
      <c r="AC1103" s="270"/>
      <c r="AD1103" s="270"/>
      <c r="AE1103" s="270"/>
    </row>
    <row r="1104">
      <c r="A1104" s="256">
        <f>IFERROR(__xludf.DUMMYFUNCTION("""COMPUTED_VALUE"""),42619.39236111111)</f>
        <v>42619.39236</v>
      </c>
      <c r="B1104" s="257" t="str">
        <f>IFERROR(__xludf.DUMMYFUNCTION("""COMPUTED_VALUE"""),"ODE90D")</f>
        <v>ODE90D</v>
      </c>
      <c r="C1104" s="258" t="str">
        <f>IFERROR(__xludf.DUMMYFUNCTION("""COMPUTED_VALUE"""),"Europe (excluding UK) &amp; Asia Pacific")</f>
        <v>Europe (excluding UK) &amp; Asia Pacific</v>
      </c>
      <c r="D1104" s="258" t="str">
        <f>IFERROR(__xludf.DUMMYFUNCTION("""COMPUTED_VALUE"""),"km. My car displays range in kilometres and I will enter all range numbers in kilometres.")</f>
        <v>km. My car displays range in kilometres and I will enter all range numbers in kilometres.</v>
      </c>
      <c r="E1104" s="259">
        <f>IFERROR(__xludf.DUMMYFUNCTION("""COMPUTED_VALUE"""),42347.0)</f>
        <v>42347</v>
      </c>
      <c r="F1104" s="258" t="str">
        <f>IFERROR(__xludf.DUMMYFUNCTION("""COMPUTED_VALUE"""),"Model S 90D")</f>
        <v>Model S 90D</v>
      </c>
      <c r="G1104" s="258" t="str">
        <f>IFERROR(__xludf.DUMMYFUNCTION("""COMPUTED_VALUE"""),"Daily")</f>
        <v>Daily</v>
      </c>
      <c r="H1104" s="258" t="str">
        <f>IFERROR(__xludf.DUMMYFUNCTION("""COMPUTED_VALUE"""),"Monthly")</f>
        <v>Monthly</v>
      </c>
      <c r="I1104" s="258" t="str">
        <f>IFERROR(__xludf.DUMMYFUNCTION("""COMPUTED_VALUE"""),"Twice a month")</f>
        <v>Twice a month</v>
      </c>
      <c r="J1104" s="260">
        <f>IFERROR(__xludf.DUMMYFUNCTION("""COMPUTED_VALUE"""),0.8)</f>
        <v>0.8</v>
      </c>
      <c r="K1104" s="258" t="str">
        <f>IFERROR(__xludf.DUMMYFUNCTION("""COMPUTED_VALUE"""),"")</f>
        <v/>
      </c>
      <c r="L1104" s="258" t="str">
        <f>IFERROR(__xludf.DUMMYFUNCTION("""COMPUTED_VALUE"""),"")</f>
        <v/>
      </c>
      <c r="M1104" s="261">
        <f>IFERROR(__xludf.DUMMYFUNCTION("""COMPUTED_VALUE"""),218.0)</f>
        <v>218</v>
      </c>
      <c r="N1104" s="262" t="str">
        <f>IFERROR(__xludf.DUMMYFUNCTION("""COMPUTED_VALUE"""),"")</f>
        <v/>
      </c>
      <c r="O1104" s="259" t="str">
        <f>IFERROR(__xludf.DUMMYFUNCTION("""COMPUTED_VALUE"""),"")</f>
        <v/>
      </c>
      <c r="P1104" s="259">
        <f>IFERROR(__xludf.DUMMYFUNCTION("""COMPUTED_VALUE"""),42619.0)</f>
        <v>42619</v>
      </c>
      <c r="Q1104" s="258">
        <f>IFERROR(__xludf.DUMMYFUNCTION("""COMPUTED_VALUE"""),48000.0)</f>
        <v>48000</v>
      </c>
      <c r="R1104" s="261">
        <f>IFERROR(__xludf.DUMMYFUNCTION("""COMPUTED_VALUE"""),440.0)</f>
        <v>440</v>
      </c>
      <c r="S1104" s="258">
        <v>447.0</v>
      </c>
      <c r="T1104" s="263">
        <v>0.9843400447427293</v>
      </c>
      <c r="U1104" s="264">
        <v>29826.0</v>
      </c>
      <c r="V1104" s="265">
        <v>48000.0</v>
      </c>
      <c r="W1104" s="264">
        <v>29826.0</v>
      </c>
      <c r="X1104" s="266"/>
      <c r="Y1104" s="267">
        <v>-0.01</v>
      </c>
      <c r="Z1104" s="267">
        <v>0.9603568283812233</v>
      </c>
      <c r="AA1104" s="269"/>
      <c r="AB1104" s="270"/>
      <c r="AC1104" s="270"/>
      <c r="AD1104" s="270"/>
      <c r="AE1104" s="270"/>
    </row>
    <row r="1105">
      <c r="A1105" s="256">
        <f>IFERROR(__xludf.DUMMYFUNCTION("""COMPUTED_VALUE"""),42930.84444444445)</f>
        <v>42930.84444</v>
      </c>
      <c r="B1105" s="257" t="str">
        <f>IFERROR(__xludf.DUMMYFUNCTION("""COMPUTED_VALUE"""),"One2sojournb")</f>
        <v>One2sojournb</v>
      </c>
      <c r="C1105" s="258" t="str">
        <f>IFERROR(__xludf.DUMMYFUNCTION("""COMPUTED_VALUE"""),"USA")</f>
        <v>USA</v>
      </c>
      <c r="D1105" s="258" t="str">
        <f>IFERROR(__xludf.DUMMYFUNCTION("""COMPUTED_VALUE"""),"mi. My car displays range in miles and I will enter all range numbers in miles.")</f>
        <v>mi. My car displays range in miles and I will enter all range numbers in miles.</v>
      </c>
      <c r="E1105" s="259">
        <f>IFERROR(__xludf.DUMMYFUNCTION("""COMPUTED_VALUE"""),42342.0)</f>
        <v>42342</v>
      </c>
      <c r="F1105" s="258" t="str">
        <f>IFERROR(__xludf.DUMMYFUNCTION("""COMPUTED_VALUE"""),"Model S 85")</f>
        <v>Model S 85</v>
      </c>
      <c r="G1105" s="258" t="str">
        <f>IFERROR(__xludf.DUMMYFUNCTION("""COMPUTED_VALUE"""),"Monthly")</f>
        <v>Monthly</v>
      </c>
      <c r="H1105" s="258" t="str">
        <f>IFERROR(__xludf.DUMMYFUNCTION("""COMPUTED_VALUE"""),"Monthly")</f>
        <v>Monthly</v>
      </c>
      <c r="I1105" s="258" t="str">
        <f>IFERROR(__xludf.DUMMYFUNCTION("""COMPUTED_VALUE"""),"Never")</f>
        <v>Never</v>
      </c>
      <c r="J1105" s="260">
        <f>IFERROR(__xludf.DUMMYFUNCTION("""COMPUTED_VALUE"""),0.9)</f>
        <v>0.9</v>
      </c>
      <c r="K1105" s="258">
        <f>IFERROR(__xludf.DUMMYFUNCTION("""COMPUTED_VALUE"""),267.0)</f>
        <v>267</v>
      </c>
      <c r="L1105" s="258" t="str">
        <f>IFERROR(__xludf.DUMMYFUNCTION("""COMPUTED_VALUE"""),"")</f>
        <v/>
      </c>
      <c r="M1105" s="261">
        <f>IFERROR(__xludf.DUMMYFUNCTION("""COMPUTED_VALUE"""),333.0)</f>
        <v>333</v>
      </c>
      <c r="N1105" s="262" t="str">
        <f>IFERROR(__xludf.DUMMYFUNCTION("""COMPUTED_VALUE"""),"")</f>
        <v/>
      </c>
      <c r="O1105" s="259" t="str">
        <f>IFERROR(__xludf.DUMMYFUNCTION("""COMPUTED_VALUE"""),"")</f>
        <v/>
      </c>
      <c r="P1105" s="259">
        <f>IFERROR(__xludf.DUMMYFUNCTION("""COMPUTED_VALUE"""),42930.0)</f>
        <v>42930</v>
      </c>
      <c r="Q1105" s="258">
        <f>IFERROR(__xludf.DUMMYFUNCTION("""COMPUTED_VALUE"""),20500.0)</f>
        <v>20500</v>
      </c>
      <c r="R1105" s="261">
        <f>IFERROR(__xludf.DUMMYFUNCTION("""COMPUTED_VALUE"""),266.0)</f>
        <v>266</v>
      </c>
      <c r="S1105" s="258">
        <v>266.0</v>
      </c>
      <c r="T1105" s="263">
        <v>1.0</v>
      </c>
      <c r="U1105" s="264">
        <v>20500.0</v>
      </c>
      <c r="V1105" s="265">
        <v>32992.0</v>
      </c>
      <c r="W1105" s="264">
        <v>20500.0</v>
      </c>
      <c r="X1105" s="266"/>
      <c r="Y1105" s="267">
        <v>-0.01</v>
      </c>
      <c r="Z1105" s="267">
        <v>0.9664210904010949</v>
      </c>
      <c r="AA1105" s="269"/>
      <c r="AB1105" s="270"/>
      <c r="AC1105" s="270"/>
      <c r="AD1105" s="270"/>
      <c r="AE1105" s="270"/>
    </row>
    <row r="1106">
      <c r="A1106" s="256">
        <f>IFERROR(__xludf.DUMMYFUNCTION("""COMPUTED_VALUE"""),42825.51666666666)</f>
        <v>42825.51667</v>
      </c>
      <c r="B1106" s="257" t="str">
        <f>IFERROR(__xludf.DUMMYFUNCTION("""COMPUTED_VALUE"""),"p666d")</f>
        <v>p666d</v>
      </c>
      <c r="C1106" s="258" t="str">
        <f>IFERROR(__xludf.DUMMYFUNCTION("""COMPUTED_VALUE"""),"Europe (excluding UK) &amp; Asia Pacific")</f>
        <v>Europe (excluding UK) &amp; Asia Pacific</v>
      </c>
      <c r="D1106" s="258" t="str">
        <f>IFERROR(__xludf.DUMMYFUNCTION("""COMPUTED_VALUE"""),"km. My car displays range in kilometres and I will enter all range numbers in kilometres.")</f>
        <v>km. My car displays range in kilometres and I will enter all range numbers in kilometres.</v>
      </c>
      <c r="E1106" s="259">
        <f>IFERROR(__xludf.DUMMYFUNCTION("""COMPUTED_VALUE"""),42139.0)</f>
        <v>42139</v>
      </c>
      <c r="F1106" s="258" t="str">
        <f>IFERROR(__xludf.DUMMYFUNCTION("""COMPUTED_VALUE"""),"Model S P85D")</f>
        <v>Model S P85D</v>
      </c>
      <c r="G1106" s="258" t="str">
        <f>IFERROR(__xludf.DUMMYFUNCTION("""COMPUTED_VALUE"""),"Monthly")</f>
        <v>Monthly</v>
      </c>
      <c r="H1106" s="258" t="str">
        <f>IFERROR(__xludf.DUMMYFUNCTION("""COMPUTED_VALUE"""),"Twice a month")</f>
        <v>Twice a month</v>
      </c>
      <c r="I1106" s="258" t="str">
        <f>IFERROR(__xludf.DUMMYFUNCTION("""COMPUTED_VALUE"""),"Once or twice a year")</f>
        <v>Once or twice a year</v>
      </c>
      <c r="J1106" s="260">
        <f>IFERROR(__xludf.DUMMYFUNCTION("""COMPUTED_VALUE"""),0.9)</f>
        <v>0.9</v>
      </c>
      <c r="K1106" s="258">
        <f>IFERROR(__xludf.DUMMYFUNCTION("""COMPUTED_VALUE"""),403.0)</f>
        <v>403</v>
      </c>
      <c r="L1106" s="258" t="str">
        <f>IFERROR(__xludf.DUMMYFUNCTION("""COMPUTED_VALUE"""),"")</f>
        <v/>
      </c>
      <c r="M1106" s="261">
        <f>IFERROR(__xludf.DUMMYFUNCTION("""COMPUTED_VALUE"""),212.0)</f>
        <v>212</v>
      </c>
      <c r="N1106" s="262" t="str">
        <f>IFERROR(__xludf.DUMMYFUNCTION("""COMPUTED_VALUE"""),"")</f>
        <v/>
      </c>
      <c r="O1106" s="259" t="str">
        <f>IFERROR(__xludf.DUMMYFUNCTION("""COMPUTED_VALUE"""),"")</f>
        <v/>
      </c>
      <c r="P1106" s="259">
        <f>IFERROR(__xludf.DUMMYFUNCTION("""COMPUTED_VALUE"""),42825.0)</f>
        <v>42825</v>
      </c>
      <c r="Q1106" s="258">
        <f>IFERROR(__xludf.DUMMYFUNCTION("""COMPUTED_VALUE"""),51605.0)</f>
        <v>51605</v>
      </c>
      <c r="R1106" s="261">
        <f>IFERROR(__xludf.DUMMYFUNCTION("""COMPUTED_VALUE"""),388.0)</f>
        <v>388</v>
      </c>
      <c r="S1106" s="258">
        <v>403.0</v>
      </c>
      <c r="T1106" s="263">
        <v>0.9627791563275434</v>
      </c>
      <c r="U1106" s="264">
        <v>32066.0</v>
      </c>
      <c r="V1106" s="265">
        <v>51605.0</v>
      </c>
      <c r="W1106" s="264">
        <v>32066.0</v>
      </c>
      <c r="X1106" s="266"/>
      <c r="Y1106" s="267">
        <v>-0.01</v>
      </c>
      <c r="Z1106" s="267">
        <v>0.95917206013252</v>
      </c>
      <c r="AA1106" s="269"/>
      <c r="AB1106" s="270"/>
      <c r="AC1106" s="270"/>
      <c r="AD1106" s="270"/>
      <c r="AE1106" s="270"/>
    </row>
    <row r="1107">
      <c r="A1107" s="256">
        <f>IFERROR(__xludf.DUMMYFUNCTION("""COMPUTED_VALUE"""),43090.65069444444)</f>
        <v>43090.65069</v>
      </c>
      <c r="B1107" s="257" t="str">
        <f>IFERROR(__xludf.DUMMYFUNCTION("""COMPUTED_VALUE"""),"P85-wit")</f>
        <v>P85-wit</v>
      </c>
      <c r="C1107" s="258" t="str">
        <f>IFERROR(__xludf.DUMMYFUNCTION("""COMPUTED_VALUE"""),"Europe (excluding UK) &amp; Asia Pacific")</f>
        <v>Europe (excluding UK) &amp; Asia Pacific</v>
      </c>
      <c r="D1107" s="258" t="str">
        <f>IFERROR(__xludf.DUMMYFUNCTION("""COMPUTED_VALUE"""),"km. My car displays range in kilometres and I will enter all range numbers in kilometres.")</f>
        <v>km. My car displays range in kilometres and I will enter all range numbers in kilometres.</v>
      </c>
      <c r="E1107" s="259">
        <f>IFERROR(__xludf.DUMMYFUNCTION("""COMPUTED_VALUE"""),41618.0)</f>
        <v>41618</v>
      </c>
      <c r="F1107" s="258" t="str">
        <f>IFERROR(__xludf.DUMMYFUNCTION("""COMPUTED_VALUE"""),"Model S P85")</f>
        <v>Model S P85</v>
      </c>
      <c r="G1107" s="258" t="str">
        <f>IFERROR(__xludf.DUMMYFUNCTION("""COMPUTED_VALUE"""),"Twice a week")</f>
        <v>Twice a week</v>
      </c>
      <c r="H1107" s="258" t="str">
        <f>IFERROR(__xludf.DUMMYFUNCTION("""COMPUTED_VALUE"""),"Twice a month")</f>
        <v>Twice a month</v>
      </c>
      <c r="I1107" s="258" t="str">
        <f>IFERROR(__xludf.DUMMYFUNCTION("""COMPUTED_VALUE"""),"Twice a month")</f>
        <v>Twice a month</v>
      </c>
      <c r="J1107" s="260">
        <f>IFERROR(__xludf.DUMMYFUNCTION("""COMPUTED_VALUE"""),0.9)</f>
        <v>0.9</v>
      </c>
      <c r="K1107" s="258">
        <f>IFERROR(__xludf.DUMMYFUNCTION("""COMPUTED_VALUE"""),398.0)</f>
        <v>398</v>
      </c>
      <c r="L1107" s="258" t="str">
        <f>IFERROR(__xludf.DUMMYFUNCTION("""COMPUTED_VALUE"""),"")</f>
        <v/>
      </c>
      <c r="M1107" s="261">
        <f>IFERROR(__xludf.DUMMYFUNCTION("""COMPUTED_VALUE"""),203.0)</f>
        <v>203</v>
      </c>
      <c r="N1107" s="262">
        <f>IFERROR(__xludf.DUMMYFUNCTION("""COMPUTED_VALUE"""),49000.0)</f>
        <v>49000</v>
      </c>
      <c r="O1107" s="259" t="str">
        <f>IFERROR(__xludf.DUMMYFUNCTION("""COMPUTED_VALUE"""),"Increased by 24 km or mi")</f>
        <v>Increased by 24 km or mi</v>
      </c>
      <c r="P1107" s="259">
        <f>IFERROR(__xludf.DUMMYFUNCTION("""COMPUTED_VALUE"""),43090.0)</f>
        <v>43090</v>
      </c>
      <c r="Q1107" s="258">
        <f>IFERROR(__xludf.DUMMYFUNCTION("""COMPUTED_VALUE"""),175896.0)</f>
        <v>175896</v>
      </c>
      <c r="R1107" s="261">
        <f>IFERROR(__xludf.DUMMYFUNCTION("""COMPUTED_VALUE"""),381.0)</f>
        <v>381</v>
      </c>
      <c r="S1107" s="258">
        <v>395.0</v>
      </c>
      <c r="T1107" s="263">
        <v>0.9645569620253165</v>
      </c>
      <c r="U1107" s="264">
        <v>109297.0</v>
      </c>
      <c r="V1107" s="265">
        <v>175896.0</v>
      </c>
      <c r="W1107" s="264">
        <v>109297.0</v>
      </c>
      <c r="X1107" s="266"/>
      <c r="Y1107" s="267">
        <v>-0.01</v>
      </c>
      <c r="Z1107" s="267">
        <v>0.9289907112971686</v>
      </c>
      <c r="AA1107" s="269"/>
      <c r="AB1107" s="270"/>
      <c r="AC1107" s="270"/>
      <c r="AD1107" s="270"/>
      <c r="AE1107" s="270"/>
    </row>
    <row r="1108">
      <c r="A1108" s="256">
        <f>IFERROR(__xludf.DUMMYFUNCTION("""COMPUTED_VALUE"""),43786.35819350695)</f>
        <v>43786.35819</v>
      </c>
      <c r="B1108" s="257" t="str">
        <f>IFERROR(__xludf.DUMMYFUNCTION("""COMPUTED_VALUE"""),"Paosaep")</f>
        <v>Paosaep</v>
      </c>
      <c r="C1108" s="258" t="str">
        <f>IFERROR(__xludf.DUMMYFUNCTION("""COMPUTED_VALUE"""),"Europe (excluding UK) &amp; Asia Pacific")</f>
        <v>Europe (excluding UK) &amp; Asia Pacific</v>
      </c>
      <c r="D1108" s="258" t="str">
        <f>IFERROR(__xludf.DUMMYFUNCTION("""COMPUTED_VALUE"""),"km. My car displays range in kilometres and I will enter all range numbers in kilometres.")</f>
        <v>km. My car displays range in kilometres and I will enter all range numbers in kilometres.</v>
      </c>
      <c r="E1108" s="259">
        <f>IFERROR(__xludf.DUMMYFUNCTION("""COMPUTED_VALUE"""),43556.0)</f>
        <v>43556</v>
      </c>
      <c r="F1108" s="258" t="str">
        <f>IFERROR(__xludf.DUMMYFUNCTION("""COMPUTED_VALUE"""),"Model 3 LR AWD")</f>
        <v>Model 3 LR AWD</v>
      </c>
      <c r="G1108" s="258" t="str">
        <f>IFERROR(__xludf.DUMMYFUNCTION("""COMPUTED_VALUE"""),"Twice a month")</f>
        <v>Twice a month</v>
      </c>
      <c r="H1108" s="258" t="str">
        <f>IFERROR(__xludf.DUMMYFUNCTION("""COMPUTED_VALUE"""),"Monthly")</f>
        <v>Monthly</v>
      </c>
      <c r="I1108" s="258" t="str">
        <f>IFERROR(__xludf.DUMMYFUNCTION("""COMPUTED_VALUE"""),"Never")</f>
        <v>Never</v>
      </c>
      <c r="J1108" s="260">
        <f>IFERROR(__xludf.DUMMYFUNCTION("""COMPUTED_VALUE"""),0.8)</f>
        <v>0.8</v>
      </c>
      <c r="K1108" s="258">
        <f>IFERROR(__xludf.DUMMYFUNCTION("""COMPUTED_VALUE"""),497.0)</f>
        <v>497</v>
      </c>
      <c r="L1108" s="258" t="str">
        <f>IFERROR(__xludf.DUMMYFUNCTION("""COMPUTED_VALUE"""),"")</f>
        <v/>
      </c>
      <c r="M1108" s="261">
        <f>IFERROR(__xludf.DUMMYFUNCTION("""COMPUTED_VALUE"""),161.0)</f>
        <v>161</v>
      </c>
      <c r="N1108" s="262" t="str">
        <f>IFERROR(__xludf.DUMMYFUNCTION("""COMPUTED_VALUE"""),"")</f>
        <v/>
      </c>
      <c r="O1108" s="259" t="str">
        <f>IFERROR(__xludf.DUMMYFUNCTION("""COMPUTED_VALUE"""),"")</f>
        <v/>
      </c>
      <c r="P1108" s="259">
        <f>IFERROR(__xludf.DUMMYFUNCTION("""COMPUTED_VALUE"""),43678.0)</f>
        <v>43678</v>
      </c>
      <c r="Q1108" s="258">
        <f>IFERROR(__xludf.DUMMYFUNCTION("""COMPUTED_VALUE"""),2500.0)</f>
        <v>2500</v>
      </c>
      <c r="R1108" s="261">
        <f>IFERROR(__xludf.DUMMYFUNCTION("""COMPUTED_VALUE"""),497.0)</f>
        <v>497</v>
      </c>
      <c r="S1108" s="258">
        <v>544.0</v>
      </c>
      <c r="T1108" s="263">
        <v>0.9136029411764706</v>
      </c>
      <c r="U1108" s="264">
        <v>1553.0</v>
      </c>
      <c r="V1108" s="265">
        <v>2500.0</v>
      </c>
      <c r="W1108" s="264">
        <v>1553.0</v>
      </c>
      <c r="X1108" s="266"/>
      <c r="Y1108" s="267">
        <v>-0.01</v>
      </c>
      <c r="Z1108" s="267">
        <v>0.995305409197177</v>
      </c>
      <c r="AA1108" s="269"/>
      <c r="AB1108" s="270"/>
      <c r="AC1108" s="270"/>
      <c r="AD1108" s="270"/>
      <c r="AE1108" s="270"/>
    </row>
    <row r="1109">
      <c r="A1109" s="256">
        <f>IFERROR(__xludf.DUMMYFUNCTION("""COMPUTED_VALUE"""),43786.35819350695)</f>
        <v>43786.35819</v>
      </c>
      <c r="B1109" s="257" t="str">
        <f>IFERROR(__xludf.DUMMYFUNCTION("""COMPUTED_VALUE"""),"Paosaep")</f>
        <v>Paosaep</v>
      </c>
      <c r="C1109" s="258" t="str">
        <f>IFERROR(__xludf.DUMMYFUNCTION("""COMPUTED_VALUE"""),"Europe (excluding UK) &amp; Asia Pacific")</f>
        <v>Europe (excluding UK) &amp; Asia Pacific</v>
      </c>
      <c r="D1109" s="258" t="str">
        <f>IFERROR(__xludf.DUMMYFUNCTION("""COMPUTED_VALUE"""),"km. My car displays range in kilometres and I will enter all range numbers in kilometres.")</f>
        <v>km. My car displays range in kilometres and I will enter all range numbers in kilometres.</v>
      </c>
      <c r="E1109" s="259">
        <f>IFERROR(__xludf.DUMMYFUNCTION("""COMPUTED_VALUE"""),43556.0)</f>
        <v>43556</v>
      </c>
      <c r="F1109" s="258" t="str">
        <f>IFERROR(__xludf.DUMMYFUNCTION("""COMPUTED_VALUE"""),"Model 3 LR AWD")</f>
        <v>Model 3 LR AWD</v>
      </c>
      <c r="G1109" s="258" t="str">
        <f>IFERROR(__xludf.DUMMYFUNCTION("""COMPUTED_VALUE"""),"Twice a month")</f>
        <v>Twice a month</v>
      </c>
      <c r="H1109" s="258" t="str">
        <f>IFERROR(__xludf.DUMMYFUNCTION("""COMPUTED_VALUE"""),"Monthly")</f>
        <v>Monthly</v>
      </c>
      <c r="I1109" s="258" t="str">
        <f>IFERROR(__xludf.DUMMYFUNCTION("""COMPUTED_VALUE"""),"Never")</f>
        <v>Never</v>
      </c>
      <c r="J1109" s="260">
        <f>IFERROR(__xludf.DUMMYFUNCTION("""COMPUTED_VALUE"""),0.8)</f>
        <v>0.8</v>
      </c>
      <c r="K1109" s="258">
        <f>IFERROR(__xludf.DUMMYFUNCTION("""COMPUTED_VALUE"""),497.0)</f>
        <v>497</v>
      </c>
      <c r="L1109" s="258" t="str">
        <f>IFERROR(__xludf.DUMMYFUNCTION("""COMPUTED_VALUE"""),"")</f>
        <v/>
      </c>
      <c r="M1109" s="261">
        <f>IFERROR(__xludf.DUMMYFUNCTION("""COMPUTED_VALUE"""),161.0)</f>
        <v>161</v>
      </c>
      <c r="N1109" s="262" t="str">
        <f>IFERROR(__xludf.DUMMYFUNCTION("""COMPUTED_VALUE"""),"")</f>
        <v/>
      </c>
      <c r="O1109" s="259" t="str">
        <f>IFERROR(__xludf.DUMMYFUNCTION("""COMPUTED_VALUE"""),"")</f>
        <v/>
      </c>
      <c r="P1109" s="259">
        <f>IFERROR(__xludf.DUMMYFUNCTION("""COMPUTED_VALUE"""),43770.0)</f>
        <v>43770</v>
      </c>
      <c r="Q1109" s="258">
        <f>IFERROR(__xludf.DUMMYFUNCTION("""COMPUTED_VALUE"""),8800.0)</f>
        <v>8800</v>
      </c>
      <c r="R1109" s="261">
        <f>IFERROR(__xludf.DUMMYFUNCTION("""COMPUTED_VALUE"""),478.0)</f>
        <v>478</v>
      </c>
      <c r="S1109" s="258">
        <v>544.0</v>
      </c>
      <c r="T1109" s="263">
        <v>0.8786764705882353</v>
      </c>
      <c r="U1109" s="264">
        <v>5468.0</v>
      </c>
      <c r="V1109" s="265">
        <v>8800.0</v>
      </c>
      <c r="W1109" s="264">
        <v>5468.0</v>
      </c>
      <c r="X1109" s="266"/>
      <c r="Y1109" s="267">
        <v>-0.01</v>
      </c>
      <c r="Z1109" s="267">
        <v>0.9857794575268798</v>
      </c>
      <c r="AA1109" s="269"/>
      <c r="AB1109" s="270"/>
      <c r="AC1109" s="270"/>
      <c r="AD1109" s="270"/>
      <c r="AE1109" s="270"/>
    </row>
    <row r="1110">
      <c r="A1110" s="256">
        <f>IFERROR(__xludf.DUMMYFUNCTION("""COMPUTED_VALUE"""),42842.89513888889)</f>
        <v>42842.89514</v>
      </c>
      <c r="B1110" s="257" t="str">
        <f>IFERROR(__xludf.DUMMYFUNCTION("""COMPUTED_VALUE"""),"Patrick")</f>
        <v>Patrick</v>
      </c>
      <c r="C1110" s="258" t="str">
        <f>IFERROR(__xludf.DUMMYFUNCTION("""COMPUTED_VALUE"""),"UK")</f>
        <v>UK</v>
      </c>
      <c r="D1110" s="258" t="str">
        <f>IFERROR(__xludf.DUMMYFUNCTION("""COMPUTED_VALUE"""),"mi. My car displays range in miles and I will enter all range numbers in miles.")</f>
        <v>mi. My car displays range in miles and I will enter all range numbers in miles.</v>
      </c>
      <c r="E1110" s="259">
        <f>IFERROR(__xludf.DUMMYFUNCTION("""COMPUTED_VALUE"""),42003.0)</f>
        <v>42003</v>
      </c>
      <c r="F1110" s="258" t="str">
        <f>IFERROR(__xludf.DUMMYFUNCTION("""COMPUTED_VALUE"""),"Model S 85")</f>
        <v>Model S 85</v>
      </c>
      <c r="G1110" s="258" t="str">
        <f>IFERROR(__xludf.DUMMYFUNCTION("""COMPUTED_VALUE"""),"Monthly")</f>
        <v>Monthly</v>
      </c>
      <c r="H1110" s="258" t="str">
        <f>IFERROR(__xludf.DUMMYFUNCTION("""COMPUTED_VALUE"""),"A few times a year")</f>
        <v>A few times a year</v>
      </c>
      <c r="I1110" s="258" t="str">
        <f>IFERROR(__xludf.DUMMYFUNCTION("""COMPUTED_VALUE"""),"Never")</f>
        <v>Never</v>
      </c>
      <c r="J1110" s="260">
        <f>IFERROR(__xludf.DUMMYFUNCTION("""COMPUTED_VALUE"""),0.8)</f>
        <v>0.8</v>
      </c>
      <c r="K1110" s="258">
        <f>IFERROR(__xludf.DUMMYFUNCTION("""COMPUTED_VALUE"""),247.0)</f>
        <v>247</v>
      </c>
      <c r="L1110" s="258" t="str">
        <f>IFERROR(__xludf.DUMMYFUNCTION("""COMPUTED_VALUE"""),"")</f>
        <v/>
      </c>
      <c r="M1110" s="261">
        <f>IFERROR(__xludf.DUMMYFUNCTION("""COMPUTED_VALUE"""),323.0)</f>
        <v>323</v>
      </c>
      <c r="N1110" s="262" t="str">
        <f>IFERROR(__xludf.DUMMYFUNCTION("""COMPUTED_VALUE"""),"")</f>
        <v/>
      </c>
      <c r="O1110" s="259" t="str">
        <f>IFERROR(__xludf.DUMMYFUNCTION("""COMPUTED_VALUE"""),"")</f>
        <v/>
      </c>
      <c r="P1110" s="259">
        <f>IFERROR(__xludf.DUMMYFUNCTION("""COMPUTED_VALUE"""),42842.0)</f>
        <v>42842</v>
      </c>
      <c r="Q1110" s="258">
        <f>IFERROR(__xludf.DUMMYFUNCTION("""COMPUTED_VALUE"""),49900.0)</f>
        <v>49900</v>
      </c>
      <c r="R1110" s="261">
        <f>IFERROR(__xludf.DUMMYFUNCTION("""COMPUTED_VALUE"""),239.0)</f>
        <v>239</v>
      </c>
      <c r="S1110" s="258">
        <v>245.0</v>
      </c>
      <c r="T1110" s="263">
        <v>0.9755102040816327</v>
      </c>
      <c r="U1110" s="264">
        <v>49900.0</v>
      </c>
      <c r="V1110" s="265">
        <v>80306.0</v>
      </c>
      <c r="W1110" s="264">
        <v>49900.0</v>
      </c>
      <c r="X1110" s="266"/>
      <c r="Y1110" s="267">
        <v>-0.01</v>
      </c>
      <c r="Z1110" s="267">
        <v>0.9513227526273618</v>
      </c>
      <c r="AA1110" s="269"/>
      <c r="AB1110" s="270"/>
      <c r="AC1110" s="270"/>
      <c r="AD1110" s="270"/>
      <c r="AE1110" s="270"/>
    </row>
    <row r="1111">
      <c r="A1111" s="256">
        <f>IFERROR(__xludf.DUMMYFUNCTION("""COMPUTED_VALUE"""),41904.009722222225)</f>
        <v>41904.00972</v>
      </c>
      <c r="B1111" s="257" t="str">
        <f>IFERROR(__xludf.DUMMYFUNCTION("""COMPUTED_VALUE"""),"Patrick Claerhout")</f>
        <v>Patrick Claerhout</v>
      </c>
      <c r="C1111" s="258" t="str">
        <f>IFERROR(__xludf.DUMMYFUNCTION("""COMPUTED_VALUE"""),"Europe (excluding UK) &amp; Asia Pacific")</f>
        <v>Europe (excluding UK) &amp; Asia Pacific</v>
      </c>
      <c r="D1111" s="258" t="str">
        <f>IFERROR(__xludf.DUMMYFUNCTION("""COMPUTED_VALUE"""),"km. My car displays range in kilometres and I will enter all range numbers in kilometres.")</f>
        <v>km. My car displays range in kilometres and I will enter all range numbers in kilometres.</v>
      </c>
      <c r="E1111" s="259">
        <f>IFERROR(__xludf.DUMMYFUNCTION("""COMPUTED_VALUE"""),41584.0)</f>
        <v>41584</v>
      </c>
      <c r="F1111" s="258" t="str">
        <f>IFERROR(__xludf.DUMMYFUNCTION("""COMPUTED_VALUE"""),"Model S 85")</f>
        <v>Model S 85</v>
      </c>
      <c r="G1111" s="258" t="str">
        <f>IFERROR(__xludf.DUMMYFUNCTION("""COMPUTED_VALUE"""),"Once or twice a year")</f>
        <v>Once or twice a year</v>
      </c>
      <c r="H1111" s="258" t="str">
        <f>IFERROR(__xludf.DUMMYFUNCTION("""COMPUTED_VALUE"""),"Monthly")</f>
        <v>Monthly</v>
      </c>
      <c r="I1111" s="258" t="str">
        <f>IFERROR(__xludf.DUMMYFUNCTION("""COMPUTED_VALUE"""),"Never")</f>
        <v>Never</v>
      </c>
      <c r="J1111" s="260" t="str">
        <f>IFERROR(__xludf.DUMMYFUNCTION("""COMPUTED_VALUE"""),"")</f>
        <v/>
      </c>
      <c r="K1111" s="258" t="str">
        <f>IFERROR(__xludf.DUMMYFUNCTION("""COMPUTED_VALUE"""),"")</f>
        <v/>
      </c>
      <c r="L1111" s="258" t="str">
        <f>IFERROR(__xludf.DUMMYFUNCTION("""COMPUTED_VALUE"""),"")</f>
        <v/>
      </c>
      <c r="M1111" s="261">
        <f>IFERROR(__xludf.DUMMYFUNCTION("""COMPUTED_VALUE"""),207.0)</f>
        <v>207</v>
      </c>
      <c r="N1111" s="262" t="str">
        <f>IFERROR(__xludf.DUMMYFUNCTION("""COMPUTED_VALUE"""),"")</f>
        <v/>
      </c>
      <c r="O1111" s="259" t="str">
        <f>IFERROR(__xludf.DUMMYFUNCTION("""COMPUTED_VALUE"""),"")</f>
        <v/>
      </c>
      <c r="P1111" s="259">
        <f>IFERROR(__xludf.DUMMYFUNCTION("""COMPUTED_VALUE"""),41904.0)</f>
        <v>41904</v>
      </c>
      <c r="Q1111" s="258">
        <f>IFERROR(__xludf.DUMMYFUNCTION("""COMPUTED_VALUE"""),30650.0)</f>
        <v>30650</v>
      </c>
      <c r="R1111" s="261">
        <f>IFERROR(__xludf.DUMMYFUNCTION("""COMPUTED_VALUE"""),383.0)</f>
        <v>383</v>
      </c>
      <c r="S1111" s="258">
        <v>395.0</v>
      </c>
      <c r="T1111" s="263">
        <v>0.9696202531645569</v>
      </c>
      <c r="U1111" s="264">
        <v>19045.0</v>
      </c>
      <c r="V1111" s="265">
        <v>30650.0</v>
      </c>
      <c r="W1111" s="264">
        <v>19045.0</v>
      </c>
      <c r="X1111" s="266"/>
      <c r="Y1111" s="267">
        <v>-0.01</v>
      </c>
      <c r="Z1111" s="267">
        <v>0.9676134580287303</v>
      </c>
      <c r="AA1111" s="269"/>
      <c r="AB1111" s="270"/>
      <c r="AC1111" s="270"/>
      <c r="AD1111" s="270"/>
      <c r="AE1111" s="270"/>
    </row>
    <row r="1112">
      <c r="A1112" s="256">
        <f>IFERROR(__xludf.DUMMYFUNCTION("""COMPUTED_VALUE"""),42620.39722222222)</f>
        <v>42620.39722</v>
      </c>
      <c r="B1112" s="257" t="str">
        <f>IFERROR(__xludf.DUMMYFUNCTION("""COMPUTED_VALUE"""),"Patrick Claerhout")</f>
        <v>Patrick Claerhout</v>
      </c>
      <c r="C1112" s="258" t="str">
        <f>IFERROR(__xludf.DUMMYFUNCTION("""COMPUTED_VALUE"""),"Europe (excluding UK) &amp; Asia Pacific")</f>
        <v>Europe (excluding UK) &amp; Asia Pacific</v>
      </c>
      <c r="D1112" s="258" t="str">
        <f>IFERROR(__xludf.DUMMYFUNCTION("""COMPUTED_VALUE"""),"km. My car displays range in kilometres and I will enter all range numbers in kilometres.")</f>
        <v>km. My car displays range in kilometres and I will enter all range numbers in kilometres.</v>
      </c>
      <c r="E1112" s="259">
        <f>IFERROR(__xludf.DUMMYFUNCTION("""COMPUTED_VALUE"""),41584.0)</f>
        <v>41584</v>
      </c>
      <c r="F1112" s="258" t="str">
        <f>IFERROR(__xludf.DUMMYFUNCTION("""COMPUTED_VALUE"""),"Model S 85")</f>
        <v>Model S 85</v>
      </c>
      <c r="G1112" s="258" t="str">
        <f>IFERROR(__xludf.DUMMYFUNCTION("""COMPUTED_VALUE"""),"A few times a year")</f>
        <v>A few times a year</v>
      </c>
      <c r="H1112" s="258" t="str">
        <f>IFERROR(__xludf.DUMMYFUNCTION("""COMPUTED_VALUE"""),"A few times a year")</f>
        <v>A few times a year</v>
      </c>
      <c r="I1112" s="258" t="str">
        <f>IFERROR(__xludf.DUMMYFUNCTION("""COMPUTED_VALUE"""),"A few times a year")</f>
        <v>A few times a year</v>
      </c>
      <c r="J1112" s="260">
        <f>IFERROR(__xludf.DUMMYFUNCTION("""COMPUTED_VALUE"""),0.9)</f>
        <v>0.9</v>
      </c>
      <c r="K1112" s="258" t="str">
        <f>IFERROR(__xludf.DUMMYFUNCTION("""COMPUTED_VALUE"""),"")</f>
        <v/>
      </c>
      <c r="L1112" s="258" t="str">
        <f>IFERROR(__xludf.DUMMYFUNCTION("""COMPUTED_VALUE"""),"")</f>
        <v/>
      </c>
      <c r="M1112" s="261">
        <f>IFERROR(__xludf.DUMMYFUNCTION("""COMPUTED_VALUE"""),203.0)</f>
        <v>203</v>
      </c>
      <c r="N1112" s="262" t="str">
        <f>IFERROR(__xludf.DUMMYFUNCTION("""COMPUTED_VALUE"""),"")</f>
        <v/>
      </c>
      <c r="O1112" s="259" t="str">
        <f>IFERROR(__xludf.DUMMYFUNCTION("""COMPUTED_VALUE"""),"")</f>
        <v/>
      </c>
      <c r="P1112" s="259">
        <f>IFERROR(__xludf.DUMMYFUNCTION("""COMPUTED_VALUE"""),42620.0)</f>
        <v>42620</v>
      </c>
      <c r="Q1112" s="258">
        <f>IFERROR(__xludf.DUMMYFUNCTION("""COMPUTED_VALUE"""),100250.0)</f>
        <v>100250</v>
      </c>
      <c r="R1112" s="261">
        <f>IFERROR(__xludf.DUMMYFUNCTION("""COMPUTED_VALUE"""),375.0)</f>
        <v>375</v>
      </c>
      <c r="S1112" s="258">
        <v>395.0</v>
      </c>
      <c r="T1112" s="263">
        <v>0.9493670886075949</v>
      </c>
      <c r="U1112" s="264">
        <v>62292.0</v>
      </c>
      <c r="V1112" s="265">
        <v>100250.0</v>
      </c>
      <c r="W1112" s="264">
        <v>62292.0</v>
      </c>
      <c r="X1112" s="266"/>
      <c r="Y1112" s="267">
        <v>-0.01</v>
      </c>
      <c r="Z1112" s="267">
        <v>0.9465267051311811</v>
      </c>
      <c r="AA1112" s="269"/>
      <c r="AB1112" s="270"/>
      <c r="AC1112" s="270"/>
      <c r="AD1112" s="270"/>
      <c r="AE1112" s="270"/>
    </row>
    <row r="1113">
      <c r="A1113" s="256">
        <f>IFERROR(__xludf.DUMMYFUNCTION("""COMPUTED_VALUE"""),43191.88611111111)</f>
        <v>43191.88611</v>
      </c>
      <c r="B1113" s="257" t="str">
        <f>IFERROR(__xludf.DUMMYFUNCTION("""COMPUTED_VALUE"""),"patrick0101")</f>
        <v>patrick0101</v>
      </c>
      <c r="C1113" s="258" t="str">
        <f>IFERROR(__xludf.DUMMYFUNCTION("""COMPUTED_VALUE"""),"USA")</f>
        <v>USA</v>
      </c>
      <c r="D1113" s="258" t="str">
        <f>IFERROR(__xludf.DUMMYFUNCTION("""COMPUTED_VALUE"""),"mi. My car displays range in miles and I will enter all range numbers in miles.")</f>
        <v>mi. My car displays range in miles and I will enter all range numbers in miles.</v>
      </c>
      <c r="E1113" s="259">
        <f>IFERROR(__xludf.DUMMYFUNCTION("""COMPUTED_VALUE"""),42614.0)</f>
        <v>42614</v>
      </c>
      <c r="F1113" s="258" t="str">
        <f>IFERROR(__xludf.DUMMYFUNCTION("""COMPUTED_VALUE"""),"Model X 90D")</f>
        <v>Model X 90D</v>
      </c>
      <c r="G1113" s="258" t="str">
        <f>IFERROR(__xludf.DUMMYFUNCTION("""COMPUTED_VALUE"""),"Twice a month")</f>
        <v>Twice a month</v>
      </c>
      <c r="H1113" s="258" t="str">
        <f>IFERROR(__xludf.DUMMYFUNCTION("""COMPUTED_VALUE"""),"Once or twice a year")</f>
        <v>Once or twice a year</v>
      </c>
      <c r="I1113" s="258" t="str">
        <f>IFERROR(__xludf.DUMMYFUNCTION("""COMPUTED_VALUE"""),"Never")</f>
        <v>Never</v>
      </c>
      <c r="J1113" s="260">
        <f>IFERROR(__xludf.DUMMYFUNCTION("""COMPUTED_VALUE"""),0.7)</f>
        <v>0.7</v>
      </c>
      <c r="K1113" s="258">
        <f>IFERROR(__xludf.DUMMYFUNCTION("""COMPUTED_VALUE"""),257.0)</f>
        <v>257</v>
      </c>
      <c r="L1113" s="258" t="str">
        <f>IFERROR(__xludf.DUMMYFUNCTION("""COMPUTED_VALUE"""),"")</f>
        <v/>
      </c>
      <c r="M1113" s="261" t="str">
        <f>IFERROR(__xludf.DUMMYFUNCTION("""COMPUTED_VALUE"""),"")</f>
        <v/>
      </c>
      <c r="N1113" s="262" t="str">
        <f>IFERROR(__xludf.DUMMYFUNCTION("""COMPUTED_VALUE"""),"")</f>
        <v/>
      </c>
      <c r="O1113" s="259" t="str">
        <f>IFERROR(__xludf.DUMMYFUNCTION("""COMPUTED_VALUE"""),"")</f>
        <v/>
      </c>
      <c r="P1113" s="259">
        <f>IFERROR(__xludf.DUMMYFUNCTION("""COMPUTED_VALUE"""),43191.0)</f>
        <v>43191</v>
      </c>
      <c r="Q1113" s="258">
        <f>IFERROR(__xludf.DUMMYFUNCTION("""COMPUTED_VALUE"""),17812.0)</f>
        <v>17812</v>
      </c>
      <c r="R1113" s="261">
        <f>IFERROR(__xludf.DUMMYFUNCTION("""COMPUTED_VALUE"""),247.0)</f>
        <v>247</v>
      </c>
      <c r="S1113" s="258">
        <v>257.0</v>
      </c>
      <c r="T1113" s="263">
        <v>0.9610894941634242</v>
      </c>
      <c r="U1113" s="264">
        <v>17812.0</v>
      </c>
      <c r="V1113" s="265">
        <v>28666.0</v>
      </c>
      <c r="W1113" s="264">
        <v>17812.0</v>
      </c>
      <c r="X1113" s="266"/>
      <c r="Y1113" s="267">
        <v>-0.01</v>
      </c>
      <c r="Z1113" s="267">
        <v>0.9686974603500669</v>
      </c>
      <c r="AA1113" s="269"/>
      <c r="AB1113" s="270"/>
      <c r="AC1113" s="270"/>
      <c r="AD1113" s="270"/>
      <c r="AE1113" s="270"/>
    </row>
    <row r="1114">
      <c r="A1114" s="256">
        <f>IFERROR(__xludf.DUMMYFUNCTION("""COMPUTED_VALUE"""),42766.51944444445)</f>
        <v>42766.51944</v>
      </c>
      <c r="B1114" s="257" t="str">
        <f>IFERROR(__xludf.DUMMYFUNCTION("""COMPUTED_VALUE"""),"patrickCH")</f>
        <v>patrickCH</v>
      </c>
      <c r="C1114" s="258" t="str">
        <f>IFERROR(__xludf.DUMMYFUNCTION("""COMPUTED_VALUE"""),"Europe (excluding UK) &amp; Asia Pacific")</f>
        <v>Europe (excluding UK) &amp; Asia Pacific</v>
      </c>
      <c r="D1114" s="258" t="str">
        <f>IFERROR(__xludf.DUMMYFUNCTION("""COMPUTED_VALUE"""),"km. My car displays range in kilometres and I will enter all range numbers in kilometres.")</f>
        <v>km. My car displays range in kilometres and I will enter all range numbers in kilometres.</v>
      </c>
      <c r="E1114" s="259">
        <f>IFERROR(__xludf.DUMMYFUNCTION("""COMPUTED_VALUE"""),41729.0)</f>
        <v>41729</v>
      </c>
      <c r="F1114" s="258" t="str">
        <f>IFERROR(__xludf.DUMMYFUNCTION("""COMPUTED_VALUE"""),"Model S 85")</f>
        <v>Model S 85</v>
      </c>
      <c r="G1114" s="258" t="str">
        <f>IFERROR(__xludf.DUMMYFUNCTION("""COMPUTED_VALUE"""),"A few times a year")</f>
        <v>A few times a year</v>
      </c>
      <c r="H1114" s="258" t="str">
        <f>IFERROR(__xludf.DUMMYFUNCTION("""COMPUTED_VALUE"""),"Once or twice a year")</f>
        <v>Once or twice a year</v>
      </c>
      <c r="I1114" s="258" t="str">
        <f>IFERROR(__xludf.DUMMYFUNCTION("""COMPUTED_VALUE"""),"Never")</f>
        <v>Never</v>
      </c>
      <c r="J1114" s="260">
        <f>IFERROR(__xludf.DUMMYFUNCTION("""COMPUTED_VALUE"""),0.6)</f>
        <v>0.6</v>
      </c>
      <c r="K1114" s="258" t="str">
        <f>IFERROR(__xludf.DUMMYFUNCTION("""COMPUTED_VALUE"""),"")</f>
        <v/>
      </c>
      <c r="L1114" s="258" t="str">
        <f>IFERROR(__xludf.DUMMYFUNCTION("""COMPUTED_VALUE"""),"")</f>
        <v/>
      </c>
      <c r="M1114" s="261">
        <f>IFERROR(__xludf.DUMMYFUNCTION("""COMPUTED_VALUE"""),216.0)</f>
        <v>216</v>
      </c>
      <c r="N1114" s="262" t="str">
        <f>IFERROR(__xludf.DUMMYFUNCTION("""COMPUTED_VALUE"""),"")</f>
        <v/>
      </c>
      <c r="O1114" s="259" t="str">
        <f>IFERROR(__xludf.DUMMYFUNCTION("""COMPUTED_VALUE"""),"")</f>
        <v/>
      </c>
      <c r="P1114" s="259">
        <f>IFERROR(__xludf.DUMMYFUNCTION("""COMPUTED_VALUE"""),42766.0)</f>
        <v>42766</v>
      </c>
      <c r="Q1114" s="258">
        <f>IFERROR(__xludf.DUMMYFUNCTION("""COMPUTED_VALUE"""),65500.0)</f>
        <v>65500</v>
      </c>
      <c r="R1114" s="261">
        <f>IFERROR(__xludf.DUMMYFUNCTION("""COMPUTED_VALUE"""),382.0)</f>
        <v>382</v>
      </c>
      <c r="S1114" s="258">
        <v>395.0</v>
      </c>
      <c r="T1114" s="263">
        <v>0.9670886075949368</v>
      </c>
      <c r="U1114" s="264">
        <v>40700.0</v>
      </c>
      <c r="V1114" s="265">
        <v>65500.0</v>
      </c>
      <c r="W1114" s="264">
        <v>40700.0</v>
      </c>
      <c r="X1114" s="266"/>
      <c r="Y1114" s="267">
        <v>-0.01</v>
      </c>
      <c r="Z1114" s="267">
        <v>0.9551275741805465</v>
      </c>
      <c r="AA1114" s="269"/>
      <c r="AB1114" s="270"/>
      <c r="AC1114" s="270"/>
      <c r="AD1114" s="270"/>
      <c r="AE1114" s="270"/>
    </row>
    <row r="1115">
      <c r="A1115" s="256">
        <f>IFERROR(__xludf.DUMMYFUNCTION("""COMPUTED_VALUE"""),42945.56527777778)</f>
        <v>42945.56528</v>
      </c>
      <c r="B1115" s="257" t="str">
        <f>IFERROR(__xludf.DUMMYFUNCTION("""COMPUTED_VALUE"""),"patrickCH")</f>
        <v>patrickCH</v>
      </c>
      <c r="C1115" s="258" t="str">
        <f>IFERROR(__xludf.DUMMYFUNCTION("""COMPUTED_VALUE"""),"Europe (excluding UK) &amp; Asia Pacific")</f>
        <v>Europe (excluding UK) &amp; Asia Pacific</v>
      </c>
      <c r="D1115" s="258" t="str">
        <f>IFERROR(__xludf.DUMMYFUNCTION("""COMPUTED_VALUE"""),"km. My car displays range in kilometres and I will enter all range numbers in kilometres.")</f>
        <v>km. My car displays range in kilometres and I will enter all range numbers in kilometres.</v>
      </c>
      <c r="E1115" s="259">
        <f>IFERROR(__xludf.DUMMYFUNCTION("""COMPUTED_VALUE"""),41729.0)</f>
        <v>41729</v>
      </c>
      <c r="F1115" s="258" t="str">
        <f>IFERROR(__xludf.DUMMYFUNCTION("""COMPUTED_VALUE"""),"Model S 85")</f>
        <v>Model S 85</v>
      </c>
      <c r="G1115" s="258" t="str">
        <f>IFERROR(__xludf.DUMMYFUNCTION("""COMPUTED_VALUE"""),"A few times a year")</f>
        <v>A few times a year</v>
      </c>
      <c r="H1115" s="258" t="str">
        <f>IFERROR(__xludf.DUMMYFUNCTION("""COMPUTED_VALUE"""),"A few times a year")</f>
        <v>A few times a year</v>
      </c>
      <c r="I1115" s="258" t="str">
        <f>IFERROR(__xludf.DUMMYFUNCTION("""COMPUTED_VALUE"""),"Never")</f>
        <v>Never</v>
      </c>
      <c r="J1115" s="260">
        <f>IFERROR(__xludf.DUMMYFUNCTION("""COMPUTED_VALUE"""),0.7)</f>
        <v>0.7</v>
      </c>
      <c r="K1115" s="258">
        <f>IFERROR(__xludf.DUMMYFUNCTION("""COMPUTED_VALUE"""),404.0)</f>
        <v>404</v>
      </c>
      <c r="L1115" s="258" t="str">
        <f>IFERROR(__xludf.DUMMYFUNCTION("""COMPUTED_VALUE"""),"")</f>
        <v/>
      </c>
      <c r="M1115" s="261">
        <f>IFERROR(__xludf.DUMMYFUNCTION("""COMPUTED_VALUE"""),215.0)</f>
        <v>215</v>
      </c>
      <c r="N1115" s="262" t="str">
        <f>IFERROR(__xludf.DUMMYFUNCTION("""COMPUTED_VALUE"""),"")</f>
        <v/>
      </c>
      <c r="O1115" s="259" t="str">
        <f>IFERROR(__xludf.DUMMYFUNCTION("""COMPUTED_VALUE"""),"")</f>
        <v/>
      </c>
      <c r="P1115" s="259">
        <f>IFERROR(__xludf.DUMMYFUNCTION("""COMPUTED_VALUE"""),42945.0)</f>
        <v>42945</v>
      </c>
      <c r="Q1115" s="258">
        <f>IFERROR(__xludf.DUMMYFUNCTION("""COMPUTED_VALUE"""),78372.0)</f>
        <v>78372</v>
      </c>
      <c r="R1115" s="261">
        <f>IFERROR(__xludf.DUMMYFUNCTION("""COMPUTED_VALUE"""),378.0)</f>
        <v>378</v>
      </c>
      <c r="S1115" s="258">
        <v>395.0</v>
      </c>
      <c r="T1115" s="263">
        <v>0.9569620253164557</v>
      </c>
      <c r="U1115" s="264">
        <v>48698.0</v>
      </c>
      <c r="V1115" s="265">
        <v>78372.0</v>
      </c>
      <c r="W1115" s="264">
        <v>48698.0</v>
      </c>
      <c r="X1115" s="266"/>
      <c r="Y1115" s="267">
        <v>-0.01</v>
      </c>
      <c r="Z1115" s="267">
        <v>0.9518028118479985</v>
      </c>
      <c r="AA1115" s="269"/>
      <c r="AB1115" s="270"/>
      <c r="AC1115" s="270"/>
      <c r="AD1115" s="270"/>
      <c r="AE1115" s="270"/>
    </row>
    <row r="1116">
      <c r="A1116" s="256">
        <f>IFERROR(__xludf.DUMMYFUNCTION("""COMPUTED_VALUE"""),43161.70486111111)</f>
        <v>43161.70486</v>
      </c>
      <c r="B1116" s="257" t="str">
        <f>IFERROR(__xludf.DUMMYFUNCTION("""COMPUTED_VALUE"""),"patrickCH")</f>
        <v>patrickCH</v>
      </c>
      <c r="C1116" s="258" t="str">
        <f>IFERROR(__xludf.DUMMYFUNCTION("""COMPUTED_VALUE"""),"Europe (excluding UK) &amp; Asia Pacific")</f>
        <v>Europe (excluding UK) &amp; Asia Pacific</v>
      </c>
      <c r="D1116" s="258" t="str">
        <f>IFERROR(__xludf.DUMMYFUNCTION("""COMPUTED_VALUE"""),"km. My car displays range in kilometres and I will enter all range numbers in kilometres.")</f>
        <v>km. My car displays range in kilometres and I will enter all range numbers in kilometres.</v>
      </c>
      <c r="E1116" s="259">
        <f>IFERROR(__xludf.DUMMYFUNCTION("""COMPUTED_VALUE"""),41729.0)</f>
        <v>41729</v>
      </c>
      <c r="F1116" s="258" t="str">
        <f>IFERROR(__xludf.DUMMYFUNCTION("""COMPUTED_VALUE"""),"Model S 85")</f>
        <v>Model S 85</v>
      </c>
      <c r="G1116" s="258" t="str">
        <f>IFERROR(__xludf.DUMMYFUNCTION("""COMPUTED_VALUE"""),"A few times a year")</f>
        <v>A few times a year</v>
      </c>
      <c r="H1116" s="258" t="str">
        <f>IFERROR(__xludf.DUMMYFUNCTION("""COMPUTED_VALUE"""),"Once or twice a year")</f>
        <v>Once or twice a year</v>
      </c>
      <c r="I1116" s="258" t="str">
        <f>IFERROR(__xludf.DUMMYFUNCTION("""COMPUTED_VALUE"""),"Never")</f>
        <v>Never</v>
      </c>
      <c r="J1116" s="260">
        <f>IFERROR(__xludf.DUMMYFUNCTION("""COMPUTED_VALUE"""),0.7)</f>
        <v>0.7</v>
      </c>
      <c r="K1116" s="258">
        <f>IFERROR(__xludf.DUMMYFUNCTION("""COMPUTED_VALUE"""),404.0)</f>
        <v>404</v>
      </c>
      <c r="L1116" s="258" t="str">
        <f>IFERROR(__xludf.DUMMYFUNCTION("""COMPUTED_VALUE"""),"")</f>
        <v/>
      </c>
      <c r="M1116" s="261">
        <f>IFERROR(__xludf.DUMMYFUNCTION("""COMPUTED_VALUE"""),218.0)</f>
        <v>218</v>
      </c>
      <c r="N1116" s="262" t="str">
        <f>IFERROR(__xludf.DUMMYFUNCTION("""COMPUTED_VALUE"""),"")</f>
        <v/>
      </c>
      <c r="O1116" s="259" t="str">
        <f>IFERROR(__xludf.DUMMYFUNCTION("""COMPUTED_VALUE"""),"")</f>
        <v/>
      </c>
      <c r="P1116" s="259">
        <f>IFERROR(__xludf.DUMMYFUNCTION("""COMPUTED_VALUE"""),43161.0)</f>
        <v>43161</v>
      </c>
      <c r="Q1116" s="258">
        <f>IFERROR(__xludf.DUMMYFUNCTION("""COMPUTED_VALUE"""),90850.0)</f>
        <v>90850</v>
      </c>
      <c r="R1116" s="261">
        <f>IFERROR(__xludf.DUMMYFUNCTION("""COMPUTED_VALUE"""),377.0)</f>
        <v>377</v>
      </c>
      <c r="S1116" s="258">
        <v>395.0</v>
      </c>
      <c r="T1116" s="263">
        <v>0.9544303797468354</v>
      </c>
      <c r="U1116" s="264">
        <v>56452.0</v>
      </c>
      <c r="V1116" s="265">
        <v>90850.0</v>
      </c>
      <c r="W1116" s="264">
        <v>56452.0</v>
      </c>
      <c r="X1116" s="266"/>
      <c r="Y1116" s="267">
        <v>-0.01</v>
      </c>
      <c r="Z1116" s="267">
        <v>0.9487599252381326</v>
      </c>
      <c r="AA1116" s="269"/>
      <c r="AB1116" s="270"/>
      <c r="AC1116" s="270"/>
      <c r="AD1116" s="270"/>
      <c r="AE1116" s="270"/>
    </row>
    <row r="1117">
      <c r="A1117" s="256">
        <f>IFERROR(__xludf.DUMMYFUNCTION("""COMPUTED_VALUE"""),43731.69764737268)</f>
        <v>43731.69765</v>
      </c>
      <c r="B1117" s="257" t="str">
        <f>IFERROR(__xludf.DUMMYFUNCTION("""COMPUTED_VALUE"""),"patrickmahoney")</f>
        <v>patrickmahoney</v>
      </c>
      <c r="C1117" s="258" t="str">
        <f>IFERROR(__xludf.DUMMYFUNCTION("""COMPUTED_VALUE"""),"USA")</f>
        <v>USA</v>
      </c>
      <c r="D1117" s="258" t="str">
        <f>IFERROR(__xludf.DUMMYFUNCTION("""COMPUTED_VALUE"""),"mi. My car displays range in miles and I will enter all range numbers in miles.")</f>
        <v>mi. My car displays range in miles and I will enter all range numbers in miles.</v>
      </c>
      <c r="E1117" s="259">
        <f>IFERROR(__xludf.DUMMYFUNCTION("""COMPUTED_VALUE"""),43070.0)</f>
        <v>43070</v>
      </c>
      <c r="F1117" s="258" t="str">
        <f>IFERROR(__xludf.DUMMYFUNCTION("""COMPUTED_VALUE"""),"Model 3 LR")</f>
        <v>Model 3 LR</v>
      </c>
      <c r="G1117" s="258" t="str">
        <f>IFERROR(__xludf.DUMMYFUNCTION("""COMPUTED_VALUE"""),"A few times a year")</f>
        <v>A few times a year</v>
      </c>
      <c r="H1117" s="258" t="str">
        <f>IFERROR(__xludf.DUMMYFUNCTION("""COMPUTED_VALUE"""),"A few times a year")</f>
        <v>A few times a year</v>
      </c>
      <c r="I1117" s="258" t="str">
        <f>IFERROR(__xludf.DUMMYFUNCTION("""COMPUTED_VALUE"""),"Never")</f>
        <v>Never</v>
      </c>
      <c r="J1117" s="260">
        <f>IFERROR(__xludf.DUMMYFUNCTION("""COMPUTED_VALUE"""),0.7)</f>
        <v>0.7</v>
      </c>
      <c r="K1117" s="258">
        <f>IFERROR(__xludf.DUMMYFUNCTION("""COMPUTED_VALUE"""),325.0)</f>
        <v>325</v>
      </c>
      <c r="L1117" s="258" t="str">
        <f>IFERROR(__xludf.DUMMYFUNCTION("""COMPUTED_VALUE"""),"")</f>
        <v/>
      </c>
      <c r="M1117" s="261">
        <f>IFERROR(__xludf.DUMMYFUNCTION("""COMPUTED_VALUE"""),321.0)</f>
        <v>321</v>
      </c>
      <c r="N1117" s="262" t="str">
        <f>IFERROR(__xludf.DUMMYFUNCTION("""COMPUTED_VALUE"""),"")</f>
        <v/>
      </c>
      <c r="O1117" s="259" t="str">
        <f>IFERROR(__xludf.DUMMYFUNCTION("""COMPUTED_VALUE"""),"")</f>
        <v/>
      </c>
      <c r="P1117" s="259">
        <f>IFERROR(__xludf.DUMMYFUNCTION("""COMPUTED_VALUE"""),43729.0)</f>
        <v>43729</v>
      </c>
      <c r="Q1117" s="258">
        <f>IFERROR(__xludf.DUMMYFUNCTION("""COMPUTED_VALUE"""),21213.0)</f>
        <v>21213</v>
      </c>
      <c r="R1117" s="261">
        <f>IFERROR(__xludf.DUMMYFUNCTION("""COMPUTED_VALUE"""),219.0)</f>
        <v>219</v>
      </c>
      <c r="S1117" s="258">
        <v>325.0</v>
      </c>
      <c r="T1117" s="263">
        <v>0.6738461538461539</v>
      </c>
      <c r="U1117" s="264">
        <v>21213.0</v>
      </c>
      <c r="V1117" s="265">
        <v>34139.0</v>
      </c>
      <c r="W1117" s="264">
        <v>21213.0</v>
      </c>
      <c r="X1117" s="266"/>
      <c r="Y1117" s="267">
        <v>-0.01</v>
      </c>
      <c r="Z1117" s="267">
        <v>0.9658681024747665</v>
      </c>
      <c r="AA1117" s="269"/>
      <c r="AB1117" s="270"/>
      <c r="AC1117" s="270"/>
      <c r="AD1117" s="270"/>
      <c r="AE1117" s="270"/>
    </row>
    <row r="1118">
      <c r="A1118" s="256">
        <f>IFERROR(__xludf.DUMMYFUNCTION("""COMPUTED_VALUE"""),43214.888194444444)</f>
        <v>43214.88819</v>
      </c>
      <c r="B1118" s="257" t="str">
        <f>IFERROR(__xludf.DUMMYFUNCTION("""COMPUTED_VALUE"""),"PaulT")</f>
        <v>PaulT</v>
      </c>
      <c r="C1118" s="258" t="str">
        <f>IFERROR(__xludf.DUMMYFUNCTION("""COMPUTED_VALUE"""),"USA")</f>
        <v>USA</v>
      </c>
      <c r="D1118" s="258" t="str">
        <f>IFERROR(__xludf.DUMMYFUNCTION("""COMPUTED_VALUE"""),"mi. My car displays range in miles and I will enter all range numbers in miles.")</f>
        <v>mi. My car displays range in miles and I will enter all range numbers in miles.</v>
      </c>
      <c r="E1118" s="259">
        <f>IFERROR(__xludf.DUMMYFUNCTION("""COMPUTED_VALUE"""),42042.0)</f>
        <v>42042</v>
      </c>
      <c r="F1118" s="258" t="str">
        <f>IFERROR(__xludf.DUMMYFUNCTION("""COMPUTED_VALUE"""),"Model S 85D")</f>
        <v>Model S 85D</v>
      </c>
      <c r="G1118" s="258" t="str">
        <f>IFERROR(__xludf.DUMMYFUNCTION("""COMPUTED_VALUE"""),"A few times a year")</f>
        <v>A few times a year</v>
      </c>
      <c r="H1118" s="258" t="str">
        <f>IFERROR(__xludf.DUMMYFUNCTION("""COMPUTED_VALUE"""),"Once or twice a year")</f>
        <v>Once or twice a year</v>
      </c>
      <c r="I1118" s="258" t="str">
        <f>IFERROR(__xludf.DUMMYFUNCTION("""COMPUTED_VALUE"""),"Never")</f>
        <v>Never</v>
      </c>
      <c r="J1118" s="260">
        <f>IFERROR(__xludf.DUMMYFUNCTION("""COMPUTED_VALUE"""),0.7)</f>
        <v>0.7</v>
      </c>
      <c r="K1118" s="258" t="str">
        <f>IFERROR(__xludf.DUMMYFUNCTION("""COMPUTED_VALUE"""),"")</f>
        <v/>
      </c>
      <c r="L1118" s="258" t="str">
        <f>IFERROR(__xludf.DUMMYFUNCTION("""COMPUTED_VALUE"""),"")</f>
        <v/>
      </c>
      <c r="M1118" s="261">
        <f>IFERROR(__xludf.DUMMYFUNCTION("""COMPUTED_VALUE"""),315.0)</f>
        <v>315</v>
      </c>
      <c r="N1118" s="262" t="str">
        <f>IFERROR(__xludf.DUMMYFUNCTION("""COMPUTED_VALUE"""),"")</f>
        <v/>
      </c>
      <c r="O1118" s="259" t="str">
        <f>IFERROR(__xludf.DUMMYFUNCTION("""COMPUTED_VALUE"""),"")</f>
        <v/>
      </c>
      <c r="P1118" s="259">
        <f>IFERROR(__xludf.DUMMYFUNCTION("""COMPUTED_VALUE"""),43214.0)</f>
        <v>43214</v>
      </c>
      <c r="Q1118" s="258">
        <f>IFERROR(__xludf.DUMMYFUNCTION("""COMPUTED_VALUE"""),45259.0)</f>
        <v>45259</v>
      </c>
      <c r="R1118" s="261">
        <f>IFERROR(__xludf.DUMMYFUNCTION("""COMPUTED_VALUE"""),244.0)</f>
        <v>244</v>
      </c>
      <c r="S1118" s="258">
        <v>270.0</v>
      </c>
      <c r="T1118" s="263">
        <v>0.9037037037037037</v>
      </c>
      <c r="U1118" s="264">
        <v>45259.0</v>
      </c>
      <c r="V1118" s="265">
        <v>72837.0</v>
      </c>
      <c r="W1118" s="264">
        <v>45259.0</v>
      </c>
      <c r="X1118" s="266"/>
      <c r="Y1118" s="267">
        <v>-0.01</v>
      </c>
      <c r="Z1118" s="267">
        <v>0.9532007606990476</v>
      </c>
      <c r="AA1118" s="269"/>
      <c r="AB1118" s="270"/>
      <c r="AC1118" s="270"/>
      <c r="AD1118" s="270"/>
      <c r="AE1118" s="270"/>
    </row>
    <row r="1119">
      <c r="A1119" s="256">
        <f>IFERROR(__xludf.DUMMYFUNCTION("""COMPUTED_VALUE"""),43213.88888888889)</f>
        <v>43213.88889</v>
      </c>
      <c r="B1119" s="257" t="str">
        <f>IFERROR(__xludf.DUMMYFUNCTION("""COMPUTED_VALUE"""),"PaulT")</f>
        <v>PaulT</v>
      </c>
      <c r="C1119" s="258" t="str">
        <f>IFERROR(__xludf.DUMMYFUNCTION("""COMPUTED_VALUE"""),"USA")</f>
        <v>USA</v>
      </c>
      <c r="D1119" s="258" t="str">
        <f>IFERROR(__xludf.DUMMYFUNCTION("""COMPUTED_VALUE"""),"mi. My car displays range in miles and I will enter all range numbers in miles.")</f>
        <v>mi. My car displays range in miles and I will enter all range numbers in miles.</v>
      </c>
      <c r="E1119" s="259">
        <f>IFERROR(__xludf.DUMMYFUNCTION("""COMPUTED_VALUE"""),42923.0)</f>
        <v>42923</v>
      </c>
      <c r="F1119" s="258" t="str">
        <f>IFERROR(__xludf.DUMMYFUNCTION("""COMPUTED_VALUE"""),"Model S 100D")</f>
        <v>Model S 100D</v>
      </c>
      <c r="G1119" s="258" t="str">
        <f>IFERROR(__xludf.DUMMYFUNCTION("""COMPUTED_VALUE"""),"A few times a year")</f>
        <v>A few times a year</v>
      </c>
      <c r="H1119" s="258" t="str">
        <f>IFERROR(__xludf.DUMMYFUNCTION("""COMPUTED_VALUE"""),"A few times a year")</f>
        <v>A few times a year</v>
      </c>
      <c r="I1119" s="258" t="str">
        <f>IFERROR(__xludf.DUMMYFUNCTION("""COMPUTED_VALUE"""),"Never")</f>
        <v>Never</v>
      </c>
      <c r="J1119" s="260">
        <f>IFERROR(__xludf.DUMMYFUNCTION("""COMPUTED_VALUE"""),0.7)</f>
        <v>0.7</v>
      </c>
      <c r="K1119" s="258" t="str">
        <f>IFERROR(__xludf.DUMMYFUNCTION("""COMPUTED_VALUE"""),"")</f>
        <v/>
      </c>
      <c r="L1119" s="258" t="str">
        <f>IFERROR(__xludf.DUMMYFUNCTION("""COMPUTED_VALUE"""),"")</f>
        <v/>
      </c>
      <c r="M1119" s="261">
        <f>IFERROR(__xludf.DUMMYFUNCTION("""COMPUTED_VALUE"""),315.0)</f>
        <v>315</v>
      </c>
      <c r="N1119" s="262" t="str">
        <f>IFERROR(__xludf.DUMMYFUNCTION("""COMPUTED_VALUE"""),"")</f>
        <v/>
      </c>
      <c r="O1119" s="259" t="str">
        <f>IFERROR(__xludf.DUMMYFUNCTION("""COMPUTED_VALUE"""),"")</f>
        <v/>
      </c>
      <c r="P1119" s="259">
        <f>IFERROR(__xludf.DUMMYFUNCTION("""COMPUTED_VALUE"""),43213.0)</f>
        <v>43213</v>
      </c>
      <c r="Q1119" s="258">
        <f>IFERROR(__xludf.DUMMYFUNCTION("""COMPUTED_VALUE"""),5923.0)</f>
        <v>5923</v>
      </c>
      <c r="R1119" s="261">
        <f>IFERROR(__xludf.DUMMYFUNCTION("""COMPUTED_VALUE"""),336.0)</f>
        <v>336</v>
      </c>
      <c r="S1119" s="258">
        <v>332.0</v>
      </c>
      <c r="T1119" s="263">
        <v>1.0120481927710843</v>
      </c>
      <c r="U1119" s="264">
        <v>5923.0</v>
      </c>
      <c r="V1119" s="265">
        <v>9532.0</v>
      </c>
      <c r="W1119" s="264">
        <v>5923.0</v>
      </c>
      <c r="X1119" s="266"/>
      <c r="Y1119" s="267">
        <v>-0.01</v>
      </c>
      <c r="Z1119" s="267">
        <v>0.9848502474176944</v>
      </c>
      <c r="AA1119" s="269"/>
      <c r="AB1119" s="270"/>
      <c r="AC1119" s="270"/>
      <c r="AD1119" s="270"/>
      <c r="AE1119" s="270"/>
    </row>
    <row r="1120">
      <c r="A1120" s="256">
        <f>IFERROR(__xludf.DUMMYFUNCTION("""COMPUTED_VALUE"""),41907.01736111111)</f>
        <v>41907.01736</v>
      </c>
      <c r="B1120" s="257" t="str">
        <f>IFERROR(__xludf.DUMMYFUNCTION("""COMPUTED_VALUE"""),"PaulusdB")</f>
        <v>PaulusdB</v>
      </c>
      <c r="C1120" s="258" t="str">
        <f>IFERROR(__xludf.DUMMYFUNCTION("""COMPUTED_VALUE"""),"Europe (excluding UK) &amp; Asia Pacific")</f>
        <v>Europe (excluding UK) &amp; Asia Pacific</v>
      </c>
      <c r="D1120" s="258" t="str">
        <f>IFERROR(__xludf.DUMMYFUNCTION("""COMPUTED_VALUE"""),"km. My car displays range in kilometres and I will enter all range numbers in kilometres.")</f>
        <v>km. My car displays range in kilometres and I will enter all range numbers in kilometres.</v>
      </c>
      <c r="E1120" s="259">
        <f>IFERROR(__xludf.DUMMYFUNCTION("""COMPUTED_VALUE"""),41591.0)</f>
        <v>41591</v>
      </c>
      <c r="F1120" s="258" t="str">
        <f>IFERROR(__xludf.DUMMYFUNCTION("""COMPUTED_VALUE"""),"Model S P85+")</f>
        <v>Model S P85+</v>
      </c>
      <c r="G1120" s="258" t="str">
        <f>IFERROR(__xludf.DUMMYFUNCTION("""COMPUTED_VALUE"""),"Monthly")</f>
        <v>Monthly</v>
      </c>
      <c r="H1120" s="258" t="str">
        <f>IFERROR(__xludf.DUMMYFUNCTION("""COMPUTED_VALUE"""),"Monthly")</f>
        <v>Monthly</v>
      </c>
      <c r="I1120" s="258" t="str">
        <f>IFERROR(__xludf.DUMMYFUNCTION("""COMPUTED_VALUE"""),"A few times a year")</f>
        <v>A few times a year</v>
      </c>
      <c r="J1120" s="260" t="str">
        <f>IFERROR(__xludf.DUMMYFUNCTION("""COMPUTED_VALUE"""),"")</f>
        <v/>
      </c>
      <c r="K1120" s="258" t="str">
        <f>IFERROR(__xludf.DUMMYFUNCTION("""COMPUTED_VALUE"""),"")</f>
        <v/>
      </c>
      <c r="L1120" s="258" t="str">
        <f>IFERROR(__xludf.DUMMYFUNCTION("""COMPUTED_VALUE"""),"")</f>
        <v/>
      </c>
      <c r="M1120" s="261">
        <f>IFERROR(__xludf.DUMMYFUNCTION("""COMPUTED_VALUE"""),225.0)</f>
        <v>225</v>
      </c>
      <c r="N1120" s="262" t="str">
        <f>IFERROR(__xludf.DUMMYFUNCTION("""COMPUTED_VALUE"""),"")</f>
        <v/>
      </c>
      <c r="O1120" s="259" t="str">
        <f>IFERROR(__xludf.DUMMYFUNCTION("""COMPUTED_VALUE"""),"")</f>
        <v/>
      </c>
      <c r="P1120" s="259">
        <f>IFERROR(__xludf.DUMMYFUNCTION("""COMPUTED_VALUE"""),41907.0)</f>
        <v>41907</v>
      </c>
      <c r="Q1120" s="258">
        <f>IFERROR(__xludf.DUMMYFUNCTION("""COMPUTED_VALUE"""),21530.0)</f>
        <v>21530</v>
      </c>
      <c r="R1120" s="261">
        <f>IFERROR(__xludf.DUMMYFUNCTION("""COMPUTED_VALUE"""),388.0)</f>
        <v>388</v>
      </c>
      <c r="S1120" s="258">
        <v>395.0</v>
      </c>
      <c r="T1120" s="263">
        <v>0.9822784810126582</v>
      </c>
      <c r="U1120" s="264">
        <v>13378.0</v>
      </c>
      <c r="V1120" s="265">
        <v>21530.0</v>
      </c>
      <c r="W1120" s="264">
        <v>13378.0</v>
      </c>
      <c r="X1120" s="266"/>
      <c r="Y1120" s="267">
        <v>-0.01</v>
      </c>
      <c r="Z1120" s="267">
        <v>0.973299818023682</v>
      </c>
      <c r="AA1120" s="269"/>
      <c r="AB1120" s="270"/>
      <c r="AC1120" s="270"/>
      <c r="AD1120" s="270"/>
      <c r="AE1120" s="270"/>
    </row>
    <row r="1121">
      <c r="A1121" s="256">
        <f>IFERROR(__xludf.DUMMYFUNCTION("""COMPUTED_VALUE"""),42121.10555555555)</f>
        <v>42121.10556</v>
      </c>
      <c r="B1121" s="257" t="str">
        <f>IFERROR(__xludf.DUMMYFUNCTION("""COMPUTED_VALUE"""),"PaulusdB")</f>
        <v>PaulusdB</v>
      </c>
      <c r="C1121" s="258" t="str">
        <f>IFERROR(__xludf.DUMMYFUNCTION("""COMPUTED_VALUE"""),"Europe (excluding UK) &amp; Asia Pacific")</f>
        <v>Europe (excluding UK) &amp; Asia Pacific</v>
      </c>
      <c r="D1121" s="258" t="str">
        <f>IFERROR(__xludf.DUMMYFUNCTION("""COMPUTED_VALUE"""),"km. My car displays range in kilometres and I will enter all range numbers in kilometres.")</f>
        <v>km. My car displays range in kilometres and I will enter all range numbers in kilometres.</v>
      </c>
      <c r="E1121" s="259">
        <f>IFERROR(__xludf.DUMMYFUNCTION("""COMPUTED_VALUE"""),41591.0)</f>
        <v>41591</v>
      </c>
      <c r="F1121" s="258" t="str">
        <f>IFERROR(__xludf.DUMMYFUNCTION("""COMPUTED_VALUE"""),"Model S P85+")</f>
        <v>Model S P85+</v>
      </c>
      <c r="G1121" s="258" t="str">
        <f>IFERROR(__xludf.DUMMYFUNCTION("""COMPUTED_VALUE"""),"Monthly")</f>
        <v>Monthly</v>
      </c>
      <c r="H1121" s="258" t="str">
        <f>IFERROR(__xludf.DUMMYFUNCTION("""COMPUTED_VALUE"""),"Monthly")</f>
        <v>Monthly</v>
      </c>
      <c r="I1121" s="258" t="str">
        <f>IFERROR(__xludf.DUMMYFUNCTION("""COMPUTED_VALUE"""),"Once or twice a year")</f>
        <v>Once or twice a year</v>
      </c>
      <c r="J1121" s="260" t="str">
        <f>IFERROR(__xludf.DUMMYFUNCTION("""COMPUTED_VALUE"""),"")</f>
        <v/>
      </c>
      <c r="K1121" s="258" t="str">
        <f>IFERROR(__xludf.DUMMYFUNCTION("""COMPUTED_VALUE"""),"")</f>
        <v/>
      </c>
      <c r="L1121" s="258" t="str">
        <f>IFERROR(__xludf.DUMMYFUNCTION("""COMPUTED_VALUE"""),"")</f>
        <v/>
      </c>
      <c r="M1121" s="261">
        <f>IFERROR(__xludf.DUMMYFUNCTION("""COMPUTED_VALUE"""),235.0)</f>
        <v>235</v>
      </c>
      <c r="N1121" s="262" t="str">
        <f>IFERROR(__xludf.DUMMYFUNCTION("""COMPUTED_VALUE"""),"")</f>
        <v/>
      </c>
      <c r="O1121" s="259" t="str">
        <f>IFERROR(__xludf.DUMMYFUNCTION("""COMPUTED_VALUE"""),"")</f>
        <v/>
      </c>
      <c r="P1121" s="259">
        <f>IFERROR(__xludf.DUMMYFUNCTION("""COMPUTED_VALUE"""),42121.0)</f>
        <v>42121</v>
      </c>
      <c r="Q1121" s="258">
        <f>IFERROR(__xludf.DUMMYFUNCTION("""COMPUTED_VALUE"""),31215.0)</f>
        <v>31215</v>
      </c>
      <c r="R1121" s="261">
        <f>IFERROR(__xludf.DUMMYFUNCTION("""COMPUTED_VALUE"""),385.0)</f>
        <v>385</v>
      </c>
      <c r="S1121" s="258">
        <v>395.0</v>
      </c>
      <c r="T1121" s="263">
        <v>0.9746835443037974</v>
      </c>
      <c r="U1121" s="264">
        <v>19396.0</v>
      </c>
      <c r="V1121" s="265">
        <v>31215.0</v>
      </c>
      <c r="W1121" s="264">
        <v>19396.0</v>
      </c>
      <c r="X1121" s="266"/>
      <c r="Y1121" s="267">
        <v>-0.01</v>
      </c>
      <c r="Z1121" s="267">
        <v>0.9673175823743163</v>
      </c>
      <c r="AA1121" s="269"/>
      <c r="AB1121" s="270"/>
      <c r="AC1121" s="270"/>
      <c r="AD1121" s="270"/>
      <c r="AE1121" s="270"/>
    </row>
    <row r="1122">
      <c r="A1122" s="256">
        <f>IFERROR(__xludf.DUMMYFUNCTION("""COMPUTED_VALUE"""),42229.15972222222)</f>
        <v>42229.15972</v>
      </c>
      <c r="B1122" s="257" t="str">
        <f>IFERROR(__xludf.DUMMYFUNCTION("""COMPUTED_VALUE"""),"PaulusdB")</f>
        <v>PaulusdB</v>
      </c>
      <c r="C1122" s="258" t="str">
        <f>IFERROR(__xludf.DUMMYFUNCTION("""COMPUTED_VALUE"""),"Europe (excluding UK) &amp; Asia Pacific")</f>
        <v>Europe (excluding UK) &amp; Asia Pacific</v>
      </c>
      <c r="D1122" s="258" t="str">
        <f>IFERROR(__xludf.DUMMYFUNCTION("""COMPUTED_VALUE"""),"km. My car displays range in kilometres and I will enter all range numbers in kilometres.")</f>
        <v>km. My car displays range in kilometres and I will enter all range numbers in kilometres.</v>
      </c>
      <c r="E1122" s="259">
        <f>IFERROR(__xludf.DUMMYFUNCTION("""COMPUTED_VALUE"""),41591.0)</f>
        <v>41591</v>
      </c>
      <c r="F1122" s="258" t="str">
        <f>IFERROR(__xludf.DUMMYFUNCTION("""COMPUTED_VALUE"""),"Model S P85+")</f>
        <v>Model S P85+</v>
      </c>
      <c r="G1122" s="258" t="str">
        <f>IFERROR(__xludf.DUMMYFUNCTION("""COMPUTED_VALUE"""),"Twice a month")</f>
        <v>Twice a month</v>
      </c>
      <c r="H1122" s="258" t="str">
        <f>IFERROR(__xludf.DUMMYFUNCTION("""COMPUTED_VALUE"""),"A few times a year")</f>
        <v>A few times a year</v>
      </c>
      <c r="I1122" s="258" t="str">
        <f>IFERROR(__xludf.DUMMYFUNCTION("""COMPUTED_VALUE"""),"Once or twice a year")</f>
        <v>Once or twice a year</v>
      </c>
      <c r="J1122" s="260">
        <f>IFERROR(__xludf.DUMMYFUNCTION("""COMPUTED_VALUE"""),0.6)</f>
        <v>0.6</v>
      </c>
      <c r="K1122" s="258">
        <f>IFERROR(__xludf.DUMMYFUNCTION("""COMPUTED_VALUE"""),402.0)</f>
        <v>402</v>
      </c>
      <c r="L1122" s="258" t="str">
        <f>IFERROR(__xludf.DUMMYFUNCTION("""COMPUTED_VALUE"""),"")</f>
        <v/>
      </c>
      <c r="M1122" s="261">
        <f>IFERROR(__xludf.DUMMYFUNCTION("""COMPUTED_VALUE"""),226.0)</f>
        <v>226</v>
      </c>
      <c r="N1122" s="262" t="str">
        <f>IFERROR(__xludf.DUMMYFUNCTION("""COMPUTED_VALUE"""),"")</f>
        <v/>
      </c>
      <c r="O1122" s="259" t="str">
        <f>IFERROR(__xludf.DUMMYFUNCTION("""COMPUTED_VALUE"""),"")</f>
        <v/>
      </c>
      <c r="P1122" s="259">
        <f>IFERROR(__xludf.DUMMYFUNCTION("""COMPUTED_VALUE"""),42229.0)</f>
        <v>42229</v>
      </c>
      <c r="Q1122" s="258">
        <f>IFERROR(__xludf.DUMMYFUNCTION("""COMPUTED_VALUE"""),37900.0)</f>
        <v>37900</v>
      </c>
      <c r="R1122" s="261">
        <f>IFERROR(__xludf.DUMMYFUNCTION("""COMPUTED_VALUE"""),382.0)</f>
        <v>382</v>
      </c>
      <c r="S1122" s="258">
        <v>395.0</v>
      </c>
      <c r="T1122" s="263">
        <v>0.9670886075949368</v>
      </c>
      <c r="U1122" s="264">
        <v>23550.0</v>
      </c>
      <c r="V1122" s="265">
        <v>37900.0</v>
      </c>
      <c r="W1122" s="264">
        <v>23550.0</v>
      </c>
      <c r="X1122" s="266"/>
      <c r="Y1122" s="267">
        <v>-0.01</v>
      </c>
      <c r="Z1122" s="267">
        <v>0.9641791330040663</v>
      </c>
      <c r="AA1122" s="269"/>
      <c r="AB1122" s="270"/>
      <c r="AC1122" s="270"/>
      <c r="AD1122" s="270"/>
      <c r="AE1122" s="270"/>
    </row>
    <row r="1123">
      <c r="A1123" s="256">
        <f>IFERROR(__xludf.DUMMYFUNCTION("""COMPUTED_VALUE"""),42379.27083333333)</f>
        <v>42379.27083</v>
      </c>
      <c r="B1123" s="257" t="str">
        <f>IFERROR(__xludf.DUMMYFUNCTION("""COMPUTED_VALUE"""),"PaulusdB")</f>
        <v>PaulusdB</v>
      </c>
      <c r="C1123" s="258" t="str">
        <f>IFERROR(__xludf.DUMMYFUNCTION("""COMPUTED_VALUE"""),"Europe (excluding UK) &amp; Asia Pacific")</f>
        <v>Europe (excluding UK) &amp; Asia Pacific</v>
      </c>
      <c r="D1123" s="258" t="str">
        <f>IFERROR(__xludf.DUMMYFUNCTION("""COMPUTED_VALUE"""),"km. My car displays range in kilometres and I will enter all range numbers in kilometres.")</f>
        <v>km. My car displays range in kilometres and I will enter all range numbers in kilometres.</v>
      </c>
      <c r="E1123" s="259">
        <f>IFERROR(__xludf.DUMMYFUNCTION("""COMPUTED_VALUE"""),41591.0)</f>
        <v>41591</v>
      </c>
      <c r="F1123" s="258" t="str">
        <f>IFERROR(__xludf.DUMMYFUNCTION("""COMPUTED_VALUE"""),"Model S P85+")</f>
        <v>Model S P85+</v>
      </c>
      <c r="G1123" s="258" t="str">
        <f>IFERROR(__xludf.DUMMYFUNCTION("""COMPUTED_VALUE"""),"Twice a month")</f>
        <v>Twice a month</v>
      </c>
      <c r="H1123" s="258" t="str">
        <f>IFERROR(__xludf.DUMMYFUNCTION("""COMPUTED_VALUE"""),"A few times a year")</f>
        <v>A few times a year</v>
      </c>
      <c r="I1123" s="258" t="str">
        <f>IFERROR(__xludf.DUMMYFUNCTION("""COMPUTED_VALUE"""),"Once or twice a year")</f>
        <v>Once or twice a year</v>
      </c>
      <c r="J1123" s="260">
        <f>IFERROR(__xludf.DUMMYFUNCTION("""COMPUTED_VALUE"""),0.8)</f>
        <v>0.8</v>
      </c>
      <c r="K1123" s="258">
        <f>IFERROR(__xludf.DUMMYFUNCTION("""COMPUTED_VALUE"""),402.0)</f>
        <v>402</v>
      </c>
      <c r="L1123" s="258" t="str">
        <f>IFERROR(__xludf.DUMMYFUNCTION("""COMPUTED_VALUE"""),"")</f>
        <v/>
      </c>
      <c r="M1123" s="261">
        <f>IFERROR(__xludf.DUMMYFUNCTION("""COMPUTED_VALUE"""),224.0)</f>
        <v>224</v>
      </c>
      <c r="N1123" s="262" t="str">
        <f>IFERROR(__xludf.DUMMYFUNCTION("""COMPUTED_VALUE"""),"")</f>
        <v/>
      </c>
      <c r="O1123" s="259" t="str">
        <f>IFERROR(__xludf.DUMMYFUNCTION("""COMPUTED_VALUE"""),"")</f>
        <v/>
      </c>
      <c r="P1123" s="259">
        <f>IFERROR(__xludf.DUMMYFUNCTION("""COMPUTED_VALUE"""),42379.0)</f>
        <v>42379</v>
      </c>
      <c r="Q1123" s="258">
        <f>IFERROR(__xludf.DUMMYFUNCTION("""COMPUTED_VALUE"""),45400.0)</f>
        <v>45400</v>
      </c>
      <c r="R1123" s="261">
        <f>IFERROR(__xludf.DUMMYFUNCTION("""COMPUTED_VALUE"""),381.0)</f>
        <v>381</v>
      </c>
      <c r="S1123" s="258">
        <v>395.0</v>
      </c>
      <c r="T1123" s="263">
        <v>0.9645569620253165</v>
      </c>
      <c r="U1123" s="264">
        <v>28210.0</v>
      </c>
      <c r="V1123" s="265">
        <v>45400.0</v>
      </c>
      <c r="W1123" s="264">
        <v>28210.0</v>
      </c>
      <c r="X1123" s="266"/>
      <c r="Y1123" s="267">
        <v>-0.01</v>
      </c>
      <c r="Z1123" s="267">
        <v>0.9612614054899601</v>
      </c>
      <c r="AA1123" s="269"/>
      <c r="AB1123" s="270"/>
      <c r="AC1123" s="270"/>
      <c r="AD1123" s="270"/>
      <c r="AE1123" s="270"/>
    </row>
    <row r="1124">
      <c r="A1124" s="256">
        <f>IFERROR(__xludf.DUMMYFUNCTION("""COMPUTED_VALUE"""),41905.010416666664)</f>
        <v>41905.01042</v>
      </c>
      <c r="B1124" s="257" t="str">
        <f>IFERROR(__xludf.DUMMYFUNCTION("""COMPUTED_VALUE"""),"PaulW5")</f>
        <v>PaulW5</v>
      </c>
      <c r="C1124" s="258" t="str">
        <f>IFERROR(__xludf.DUMMYFUNCTION("""COMPUTED_VALUE"""),"Europe (excluding UK) &amp; Asia Pacific")</f>
        <v>Europe (excluding UK) &amp; Asia Pacific</v>
      </c>
      <c r="D1124" s="258" t="str">
        <f>IFERROR(__xludf.DUMMYFUNCTION("""COMPUTED_VALUE"""),"km. My car displays range in kilometres and I will enter all range numbers in kilometres.")</f>
        <v>km. My car displays range in kilometres and I will enter all range numbers in kilometres.</v>
      </c>
      <c r="E1124" s="259">
        <f>IFERROR(__xludf.DUMMYFUNCTION("""COMPUTED_VALUE"""),41620.0)</f>
        <v>41620</v>
      </c>
      <c r="F1124" s="258" t="str">
        <f>IFERROR(__xludf.DUMMYFUNCTION("""COMPUTED_VALUE"""),"Unspecified 85 kWh")</f>
        <v>Unspecified 85 kWh</v>
      </c>
      <c r="G1124" s="258" t="str">
        <f>IFERROR(__xludf.DUMMYFUNCTION("""COMPUTED_VALUE"""),"Monthly")</f>
        <v>Monthly</v>
      </c>
      <c r="H1124" s="258" t="str">
        <f>IFERROR(__xludf.DUMMYFUNCTION("""COMPUTED_VALUE"""),"Twice a month")</f>
        <v>Twice a month</v>
      </c>
      <c r="I1124" s="258" t="str">
        <f>IFERROR(__xludf.DUMMYFUNCTION("""COMPUTED_VALUE"""),"Never")</f>
        <v>Never</v>
      </c>
      <c r="J1124" s="260" t="str">
        <f>IFERROR(__xludf.DUMMYFUNCTION("""COMPUTED_VALUE"""),"")</f>
        <v/>
      </c>
      <c r="K1124" s="258" t="str">
        <f>IFERROR(__xludf.DUMMYFUNCTION("""COMPUTED_VALUE"""),"")</f>
        <v/>
      </c>
      <c r="L1124" s="258" t="str">
        <f>IFERROR(__xludf.DUMMYFUNCTION("""COMPUTED_VALUE"""),"")</f>
        <v/>
      </c>
      <c r="M1124" s="261">
        <f>IFERROR(__xludf.DUMMYFUNCTION("""COMPUTED_VALUE"""),249.0)</f>
        <v>249</v>
      </c>
      <c r="N1124" s="262" t="str">
        <f>IFERROR(__xludf.DUMMYFUNCTION("""COMPUTED_VALUE"""),"")</f>
        <v/>
      </c>
      <c r="O1124" s="259" t="str">
        <f>IFERROR(__xludf.DUMMYFUNCTION("""COMPUTED_VALUE"""),"")</f>
        <v/>
      </c>
      <c r="P1124" s="259">
        <f>IFERROR(__xludf.DUMMYFUNCTION("""COMPUTED_VALUE"""),41905.0)</f>
        <v>41905</v>
      </c>
      <c r="Q1124" s="258">
        <f>IFERROR(__xludf.DUMMYFUNCTION("""COMPUTED_VALUE"""),22850.0)</f>
        <v>22850</v>
      </c>
      <c r="R1124" s="261">
        <f>IFERROR(__xludf.DUMMYFUNCTION("""COMPUTED_VALUE"""),385.0)</f>
        <v>385</v>
      </c>
      <c r="S1124" s="258">
        <v>395.0</v>
      </c>
      <c r="T1124" s="263">
        <v>0.9746835443037974</v>
      </c>
      <c r="U1124" s="264">
        <v>14198.0</v>
      </c>
      <c r="V1124" s="265">
        <v>22850.0</v>
      </c>
      <c r="W1124" s="264">
        <v>14198.0</v>
      </c>
      <c r="X1124" s="266"/>
      <c r="Y1124" s="267">
        <v>-0.01</v>
      </c>
      <c r="Z1124" s="267">
        <v>0.9723522121367987</v>
      </c>
      <c r="AA1124" s="269"/>
      <c r="AB1124" s="270"/>
      <c r="AC1124" s="270"/>
      <c r="AD1124" s="270"/>
      <c r="AE1124" s="270"/>
    </row>
    <row r="1125">
      <c r="A1125" s="256">
        <f>IFERROR(__xludf.DUMMYFUNCTION("""COMPUTED_VALUE"""),42371.26597222222)</f>
        <v>42371.26597</v>
      </c>
      <c r="B1125" s="257" t="str">
        <f>IFERROR(__xludf.DUMMYFUNCTION("""COMPUTED_VALUE"""),"pbakk")</f>
        <v>pbakk</v>
      </c>
      <c r="C1125" s="258" t="str">
        <f>IFERROR(__xludf.DUMMYFUNCTION("""COMPUTED_VALUE"""),"Europe (excluding UK) &amp; Asia Pacific")</f>
        <v>Europe (excluding UK) &amp; Asia Pacific</v>
      </c>
      <c r="D1125" s="258" t="str">
        <f>IFERROR(__xludf.DUMMYFUNCTION("""COMPUTED_VALUE"""),"km. My car displays range in kilometres and I will enter all range numbers in kilometres.")</f>
        <v>km. My car displays range in kilometres and I will enter all range numbers in kilometres.</v>
      </c>
      <c r="E1125" s="259">
        <f>IFERROR(__xludf.DUMMYFUNCTION("""COMPUTED_VALUE"""),41509.0)</f>
        <v>41509</v>
      </c>
      <c r="F1125" s="258" t="str">
        <f>IFERROR(__xludf.DUMMYFUNCTION("""COMPUTED_VALUE"""),"Model S P85+")</f>
        <v>Model S P85+</v>
      </c>
      <c r="G1125" s="258" t="str">
        <f>IFERROR(__xludf.DUMMYFUNCTION("""COMPUTED_VALUE"""),"Monthly")</f>
        <v>Monthly</v>
      </c>
      <c r="H1125" s="258" t="str">
        <f>IFERROR(__xludf.DUMMYFUNCTION("""COMPUTED_VALUE"""),"A few times a year")</f>
        <v>A few times a year</v>
      </c>
      <c r="I1125" s="258" t="str">
        <f>IFERROR(__xludf.DUMMYFUNCTION("""COMPUTED_VALUE"""),"Never")</f>
        <v>Never</v>
      </c>
      <c r="J1125" s="260">
        <f>IFERROR(__xludf.DUMMYFUNCTION("""COMPUTED_VALUE"""),0.9)</f>
        <v>0.9</v>
      </c>
      <c r="K1125" s="258" t="str">
        <f>IFERROR(__xludf.DUMMYFUNCTION("""COMPUTED_VALUE"""),"")</f>
        <v/>
      </c>
      <c r="L1125" s="258" t="str">
        <f>IFERROR(__xludf.DUMMYFUNCTION("""COMPUTED_VALUE"""),"")</f>
        <v/>
      </c>
      <c r="M1125" s="261">
        <f>IFERROR(__xludf.DUMMYFUNCTION("""COMPUTED_VALUE"""),211.0)</f>
        <v>211</v>
      </c>
      <c r="N1125" s="262" t="str">
        <f>IFERROR(__xludf.DUMMYFUNCTION("""COMPUTED_VALUE"""),"")</f>
        <v/>
      </c>
      <c r="O1125" s="259" t="str">
        <f>IFERROR(__xludf.DUMMYFUNCTION("""COMPUTED_VALUE"""),"")</f>
        <v/>
      </c>
      <c r="P1125" s="259">
        <f>IFERROR(__xludf.DUMMYFUNCTION("""COMPUTED_VALUE"""),42371.0)</f>
        <v>42371</v>
      </c>
      <c r="Q1125" s="258">
        <f>IFERROR(__xludf.DUMMYFUNCTION("""COMPUTED_VALUE"""),47000.0)</f>
        <v>47000</v>
      </c>
      <c r="R1125" s="261">
        <f>IFERROR(__xludf.DUMMYFUNCTION("""COMPUTED_VALUE"""),371.0)</f>
        <v>371</v>
      </c>
      <c r="S1125" s="258">
        <v>395.0</v>
      </c>
      <c r="T1125" s="263">
        <v>0.9392405063291139</v>
      </c>
      <c r="U1125" s="264">
        <v>29204.0</v>
      </c>
      <c r="V1125" s="265">
        <v>47000.0</v>
      </c>
      <c r="W1125" s="264">
        <v>29204.0</v>
      </c>
      <c r="X1125" s="266"/>
      <c r="Y1125" s="267">
        <v>-0.01</v>
      </c>
      <c r="Z1125" s="267">
        <v>0.9606993225098203</v>
      </c>
      <c r="AA1125" s="269"/>
      <c r="AB1125" s="270"/>
      <c r="AC1125" s="270"/>
      <c r="AD1125" s="270"/>
      <c r="AE1125" s="270"/>
    </row>
    <row r="1126">
      <c r="A1126" s="256">
        <f>IFERROR(__xludf.DUMMYFUNCTION("""COMPUTED_VALUE"""),42567.80069444445)</f>
        <v>42567.80069</v>
      </c>
      <c r="B1126" s="257" t="str">
        <f>IFERROR(__xludf.DUMMYFUNCTION("""COMPUTED_VALUE"""),"PCMc")</f>
        <v>PCMc</v>
      </c>
      <c r="C1126" s="258" t="str">
        <f>IFERROR(__xludf.DUMMYFUNCTION("""COMPUTED_VALUE"""),"USA")</f>
        <v>USA</v>
      </c>
      <c r="D1126" s="258" t="str">
        <f>IFERROR(__xludf.DUMMYFUNCTION("""COMPUTED_VALUE"""),"mi. My car displays range in miles and I will enter all range numbers in miles.")</f>
        <v>mi. My car displays range in miles and I will enter all range numbers in miles.</v>
      </c>
      <c r="E1126" s="259">
        <f>IFERROR(__xludf.DUMMYFUNCTION("""COMPUTED_VALUE"""),42551.0)</f>
        <v>42551</v>
      </c>
      <c r="F1126" s="258" t="str">
        <f>IFERROR(__xludf.DUMMYFUNCTION("""COMPUTED_VALUE"""),"Model S 90D")</f>
        <v>Model S 90D</v>
      </c>
      <c r="G1126" s="258" t="str">
        <f>IFERROR(__xludf.DUMMYFUNCTION("""COMPUTED_VALUE"""),"Once or twice a year")</f>
        <v>Once or twice a year</v>
      </c>
      <c r="H1126" s="258" t="str">
        <f>IFERROR(__xludf.DUMMYFUNCTION("""COMPUTED_VALUE"""),"Never")</f>
        <v>Never</v>
      </c>
      <c r="I1126" s="258" t="str">
        <f>IFERROR(__xludf.DUMMYFUNCTION("""COMPUTED_VALUE"""),"Never")</f>
        <v>Never</v>
      </c>
      <c r="J1126" s="260">
        <f>IFERROR(__xludf.DUMMYFUNCTION("""COMPUTED_VALUE"""),0.7)</f>
        <v>0.7</v>
      </c>
      <c r="K1126" s="258">
        <f>IFERROR(__xludf.DUMMYFUNCTION("""COMPUTED_VALUE"""),295.0)</f>
        <v>295</v>
      </c>
      <c r="L1126" s="258" t="str">
        <f>IFERROR(__xludf.DUMMYFUNCTION("""COMPUTED_VALUE"""),"")</f>
        <v/>
      </c>
      <c r="M1126" s="261">
        <f>IFERROR(__xludf.DUMMYFUNCTION("""COMPUTED_VALUE"""),274.0)</f>
        <v>274</v>
      </c>
      <c r="N1126" s="262" t="str">
        <f>IFERROR(__xludf.DUMMYFUNCTION("""COMPUTED_VALUE"""),"")</f>
        <v/>
      </c>
      <c r="O1126" s="259" t="str">
        <f>IFERROR(__xludf.DUMMYFUNCTION("""COMPUTED_VALUE"""),"")</f>
        <v/>
      </c>
      <c r="P1126" s="259">
        <f>IFERROR(__xludf.DUMMYFUNCTION("""COMPUTED_VALUE"""),42567.0)</f>
        <v>42567</v>
      </c>
      <c r="Q1126" s="258">
        <f>IFERROR(__xludf.DUMMYFUNCTION("""COMPUTED_VALUE"""),812.0)</f>
        <v>812</v>
      </c>
      <c r="R1126" s="261">
        <f>IFERROR(__xludf.DUMMYFUNCTION("""COMPUTED_VALUE"""),294.0)</f>
        <v>294</v>
      </c>
      <c r="S1126" s="258">
        <v>292.0</v>
      </c>
      <c r="T1126" s="263">
        <v>1.0068493150684932</v>
      </c>
      <c r="U1126" s="264">
        <v>812.0</v>
      </c>
      <c r="V1126" s="265">
        <v>1307.0</v>
      </c>
      <c r="W1126" s="264">
        <v>812.0</v>
      </c>
      <c r="X1126" s="266"/>
      <c r="Y1126" s="267">
        <v>-0.01</v>
      </c>
      <c r="Z1126" s="267">
        <v>0.9974711208736672</v>
      </c>
      <c r="AA1126" s="269"/>
      <c r="AB1126" s="270"/>
      <c r="AC1126" s="270"/>
      <c r="AD1126" s="270"/>
      <c r="AE1126" s="270"/>
    </row>
    <row r="1127">
      <c r="A1127" s="256">
        <f>IFERROR(__xludf.DUMMYFUNCTION("""COMPUTED_VALUE"""),42581.80208333333)</f>
        <v>42581.80208</v>
      </c>
      <c r="B1127" s="257" t="str">
        <f>IFERROR(__xludf.DUMMYFUNCTION("""COMPUTED_VALUE"""),"PCMc")</f>
        <v>PCMc</v>
      </c>
      <c r="C1127" s="258" t="str">
        <f>IFERROR(__xludf.DUMMYFUNCTION("""COMPUTED_VALUE"""),"USA")</f>
        <v>USA</v>
      </c>
      <c r="D1127" s="258" t="str">
        <f>IFERROR(__xludf.DUMMYFUNCTION("""COMPUTED_VALUE"""),"mi. My car displays range in miles and I will enter all range numbers in miles.")</f>
        <v>mi. My car displays range in miles and I will enter all range numbers in miles.</v>
      </c>
      <c r="E1127" s="259">
        <f>IFERROR(__xludf.DUMMYFUNCTION("""COMPUTED_VALUE"""),42551.0)</f>
        <v>42551</v>
      </c>
      <c r="F1127" s="258" t="str">
        <f>IFERROR(__xludf.DUMMYFUNCTION("""COMPUTED_VALUE"""),"Model S 90D")</f>
        <v>Model S 90D</v>
      </c>
      <c r="G1127" s="258" t="str">
        <f>IFERROR(__xludf.DUMMYFUNCTION("""COMPUTED_VALUE"""),"Once or twice a year")</f>
        <v>Once or twice a year</v>
      </c>
      <c r="H1127" s="258" t="str">
        <f>IFERROR(__xludf.DUMMYFUNCTION("""COMPUTED_VALUE"""),"Never")</f>
        <v>Never</v>
      </c>
      <c r="I1127" s="258" t="str">
        <f>IFERROR(__xludf.DUMMYFUNCTION("""COMPUTED_VALUE"""),"Never")</f>
        <v>Never</v>
      </c>
      <c r="J1127" s="260">
        <f>IFERROR(__xludf.DUMMYFUNCTION("""COMPUTED_VALUE"""),0.8)</f>
        <v>0.8</v>
      </c>
      <c r="K1127" s="258">
        <f>IFERROR(__xludf.DUMMYFUNCTION("""COMPUTED_VALUE"""),295.0)</f>
        <v>295</v>
      </c>
      <c r="L1127" s="258" t="str">
        <f>IFERROR(__xludf.DUMMYFUNCTION("""COMPUTED_VALUE"""),"")</f>
        <v/>
      </c>
      <c r="M1127" s="261">
        <f>IFERROR(__xludf.DUMMYFUNCTION("""COMPUTED_VALUE"""),275.0)</f>
        <v>275</v>
      </c>
      <c r="N1127" s="262" t="str">
        <f>IFERROR(__xludf.DUMMYFUNCTION("""COMPUTED_VALUE"""),"")</f>
        <v/>
      </c>
      <c r="O1127" s="259" t="str">
        <f>IFERROR(__xludf.DUMMYFUNCTION("""COMPUTED_VALUE"""),"")</f>
        <v/>
      </c>
      <c r="P1127" s="259">
        <f>IFERROR(__xludf.DUMMYFUNCTION("""COMPUTED_VALUE"""),42581.0)</f>
        <v>42581</v>
      </c>
      <c r="Q1127" s="258">
        <f>IFERROR(__xludf.DUMMYFUNCTION("""COMPUTED_VALUE"""),1358.0)</f>
        <v>1358</v>
      </c>
      <c r="R1127" s="261">
        <f>IFERROR(__xludf.DUMMYFUNCTION("""COMPUTED_VALUE"""),294.0)</f>
        <v>294</v>
      </c>
      <c r="S1127" s="258">
        <v>292.0</v>
      </c>
      <c r="T1127" s="263">
        <v>1.0068493150684932</v>
      </c>
      <c r="U1127" s="264">
        <v>1358.0</v>
      </c>
      <c r="V1127" s="265">
        <v>2185.0</v>
      </c>
      <c r="W1127" s="264">
        <v>1358.0</v>
      </c>
      <c r="X1127" s="266"/>
      <c r="Y1127" s="267">
        <v>-0.01</v>
      </c>
      <c r="Z1127" s="267">
        <v>0.9958645739765521</v>
      </c>
      <c r="AA1127" s="269"/>
      <c r="AB1127" s="270"/>
      <c r="AC1127" s="270"/>
      <c r="AD1127" s="270"/>
      <c r="AE1127" s="270"/>
    </row>
    <row r="1128">
      <c r="A1128" s="256">
        <f>IFERROR(__xludf.DUMMYFUNCTION("""COMPUTED_VALUE"""),42654.808333333334)</f>
        <v>42654.80833</v>
      </c>
      <c r="B1128" s="257" t="str">
        <f>IFERROR(__xludf.DUMMYFUNCTION("""COMPUTED_VALUE"""),"PCMc")</f>
        <v>PCMc</v>
      </c>
      <c r="C1128" s="258" t="str">
        <f>IFERROR(__xludf.DUMMYFUNCTION("""COMPUTED_VALUE"""),"USA")</f>
        <v>USA</v>
      </c>
      <c r="D1128" s="258" t="str">
        <f>IFERROR(__xludf.DUMMYFUNCTION("""COMPUTED_VALUE"""),"mi. My car displays range in miles and I will enter all range numbers in miles.")</f>
        <v>mi. My car displays range in miles and I will enter all range numbers in miles.</v>
      </c>
      <c r="E1128" s="259">
        <f>IFERROR(__xludf.DUMMYFUNCTION("""COMPUTED_VALUE"""),42551.0)</f>
        <v>42551</v>
      </c>
      <c r="F1128" s="258" t="str">
        <f>IFERROR(__xludf.DUMMYFUNCTION("""COMPUTED_VALUE"""),"Model S 90D")</f>
        <v>Model S 90D</v>
      </c>
      <c r="G1128" s="258" t="str">
        <f>IFERROR(__xludf.DUMMYFUNCTION("""COMPUTED_VALUE"""),"A few times a year")</f>
        <v>A few times a year</v>
      </c>
      <c r="H1128" s="258" t="str">
        <f>IFERROR(__xludf.DUMMYFUNCTION("""COMPUTED_VALUE"""),"Once or twice a year")</f>
        <v>Once or twice a year</v>
      </c>
      <c r="I1128" s="258" t="str">
        <f>IFERROR(__xludf.DUMMYFUNCTION("""COMPUTED_VALUE"""),"Never")</f>
        <v>Never</v>
      </c>
      <c r="J1128" s="260">
        <f>IFERROR(__xludf.DUMMYFUNCTION("""COMPUTED_VALUE"""),0.8)</f>
        <v>0.8</v>
      </c>
      <c r="K1128" s="258">
        <f>IFERROR(__xludf.DUMMYFUNCTION("""COMPUTED_VALUE"""),295.0)</f>
        <v>295</v>
      </c>
      <c r="L1128" s="258" t="str">
        <f>IFERROR(__xludf.DUMMYFUNCTION("""COMPUTED_VALUE"""),"")</f>
        <v/>
      </c>
      <c r="M1128" s="261">
        <f>IFERROR(__xludf.DUMMYFUNCTION("""COMPUTED_VALUE"""),271.0)</f>
        <v>271</v>
      </c>
      <c r="N1128" s="262" t="str">
        <f>IFERROR(__xludf.DUMMYFUNCTION("""COMPUTED_VALUE"""),"")</f>
        <v/>
      </c>
      <c r="O1128" s="259" t="str">
        <f>IFERROR(__xludf.DUMMYFUNCTION("""COMPUTED_VALUE"""),"")</f>
        <v/>
      </c>
      <c r="P1128" s="259">
        <f>IFERROR(__xludf.DUMMYFUNCTION("""COMPUTED_VALUE"""),42654.0)</f>
        <v>42654</v>
      </c>
      <c r="Q1128" s="258">
        <f>IFERROR(__xludf.DUMMYFUNCTION("""COMPUTED_VALUE"""),4330.0)</f>
        <v>4330</v>
      </c>
      <c r="R1128" s="261">
        <f>IFERROR(__xludf.DUMMYFUNCTION("""COMPUTED_VALUE"""),300.0)</f>
        <v>300</v>
      </c>
      <c r="S1128" s="258">
        <v>292.0</v>
      </c>
      <c r="T1128" s="263">
        <v>1.0273972602739727</v>
      </c>
      <c r="U1128" s="264">
        <v>4330.0</v>
      </c>
      <c r="V1128" s="265">
        <v>6968.0</v>
      </c>
      <c r="W1128" s="264">
        <v>4330.0</v>
      </c>
      <c r="X1128" s="266"/>
      <c r="Y1128" s="267">
        <v>-0.01</v>
      </c>
      <c r="Z1128" s="267">
        <v>0.988253097292263</v>
      </c>
      <c r="AA1128" s="269"/>
      <c r="AB1128" s="270"/>
      <c r="AC1128" s="270"/>
      <c r="AD1128" s="270"/>
      <c r="AE1128" s="270"/>
    </row>
    <row r="1129">
      <c r="A1129" s="256">
        <f>IFERROR(__xludf.DUMMYFUNCTION("""COMPUTED_VALUE"""),42704.816666666666)</f>
        <v>42704.81667</v>
      </c>
      <c r="B1129" s="257" t="str">
        <f>IFERROR(__xludf.DUMMYFUNCTION("""COMPUTED_VALUE"""),"PCMc")</f>
        <v>PCMc</v>
      </c>
      <c r="C1129" s="258" t="str">
        <f>IFERROR(__xludf.DUMMYFUNCTION("""COMPUTED_VALUE"""),"USA")</f>
        <v>USA</v>
      </c>
      <c r="D1129" s="258" t="str">
        <f>IFERROR(__xludf.DUMMYFUNCTION("""COMPUTED_VALUE"""),"mi. My car displays range in miles and I will enter all range numbers in miles.")</f>
        <v>mi. My car displays range in miles and I will enter all range numbers in miles.</v>
      </c>
      <c r="E1129" s="259">
        <f>IFERROR(__xludf.DUMMYFUNCTION("""COMPUTED_VALUE"""),42551.0)</f>
        <v>42551</v>
      </c>
      <c r="F1129" s="258" t="str">
        <f>IFERROR(__xludf.DUMMYFUNCTION("""COMPUTED_VALUE"""),"Model S 90D")</f>
        <v>Model S 90D</v>
      </c>
      <c r="G1129" s="258" t="str">
        <f>IFERROR(__xludf.DUMMYFUNCTION("""COMPUTED_VALUE"""),"A few times a year")</f>
        <v>A few times a year</v>
      </c>
      <c r="H1129" s="258" t="str">
        <f>IFERROR(__xludf.DUMMYFUNCTION("""COMPUTED_VALUE"""),"A few times a year")</f>
        <v>A few times a year</v>
      </c>
      <c r="I1129" s="258" t="str">
        <f>IFERROR(__xludf.DUMMYFUNCTION("""COMPUTED_VALUE"""),"Never")</f>
        <v>Never</v>
      </c>
      <c r="J1129" s="260">
        <f>IFERROR(__xludf.DUMMYFUNCTION("""COMPUTED_VALUE"""),0.8)</f>
        <v>0.8</v>
      </c>
      <c r="K1129" s="258">
        <f>IFERROR(__xludf.DUMMYFUNCTION("""COMPUTED_VALUE"""),295.0)</f>
        <v>295</v>
      </c>
      <c r="L1129" s="258" t="str">
        <f>IFERROR(__xludf.DUMMYFUNCTION("""COMPUTED_VALUE"""),"")</f>
        <v/>
      </c>
      <c r="M1129" s="261">
        <f>IFERROR(__xludf.DUMMYFUNCTION("""COMPUTED_VALUE"""),273.0)</f>
        <v>273</v>
      </c>
      <c r="N1129" s="262" t="str">
        <f>IFERROR(__xludf.DUMMYFUNCTION("""COMPUTED_VALUE"""),"")</f>
        <v/>
      </c>
      <c r="O1129" s="259" t="str">
        <f>IFERROR(__xludf.DUMMYFUNCTION("""COMPUTED_VALUE"""),"")</f>
        <v/>
      </c>
      <c r="P1129" s="259">
        <f>IFERROR(__xludf.DUMMYFUNCTION("""COMPUTED_VALUE"""),42704.0)</f>
        <v>42704</v>
      </c>
      <c r="Q1129" s="258">
        <f>IFERROR(__xludf.DUMMYFUNCTION("""COMPUTED_VALUE"""),5995.0)</f>
        <v>5995</v>
      </c>
      <c r="R1129" s="261">
        <f>IFERROR(__xludf.DUMMYFUNCTION("""COMPUTED_VALUE"""),298.0)</f>
        <v>298</v>
      </c>
      <c r="S1129" s="258">
        <v>292.0</v>
      </c>
      <c r="T1129" s="263">
        <v>1.0205479452054795</v>
      </c>
      <c r="U1129" s="264">
        <v>5995.0</v>
      </c>
      <c r="V1129" s="265">
        <v>9648.0</v>
      </c>
      <c r="W1129" s="264">
        <v>5995.0</v>
      </c>
      <c r="X1129" s="266"/>
      <c r="Y1129" s="267">
        <v>-0.01</v>
      </c>
      <c r="Z1129" s="267">
        <v>0.9847059382652831</v>
      </c>
      <c r="AA1129" s="269"/>
      <c r="AB1129" s="270"/>
      <c r="AC1129" s="270"/>
      <c r="AD1129" s="270"/>
      <c r="AE1129" s="270"/>
    </row>
    <row r="1130">
      <c r="A1130" s="256">
        <f>IFERROR(__xludf.DUMMYFUNCTION("""COMPUTED_VALUE"""),42848.8375)</f>
        <v>42848.8375</v>
      </c>
      <c r="B1130" s="257" t="str">
        <f>IFERROR(__xludf.DUMMYFUNCTION("""COMPUTED_VALUE"""),"PCMc")</f>
        <v>PCMc</v>
      </c>
      <c r="C1130" s="258" t="str">
        <f>IFERROR(__xludf.DUMMYFUNCTION("""COMPUTED_VALUE"""),"USA")</f>
        <v>USA</v>
      </c>
      <c r="D1130" s="258" t="str">
        <f>IFERROR(__xludf.DUMMYFUNCTION("""COMPUTED_VALUE"""),"mi. My car displays range in miles and I will enter all range numbers in miles.")</f>
        <v>mi. My car displays range in miles and I will enter all range numbers in miles.</v>
      </c>
      <c r="E1130" s="259">
        <f>IFERROR(__xludf.DUMMYFUNCTION("""COMPUTED_VALUE"""),42551.0)</f>
        <v>42551</v>
      </c>
      <c r="F1130" s="258" t="str">
        <f>IFERROR(__xludf.DUMMYFUNCTION("""COMPUTED_VALUE"""),"Model S 90D")</f>
        <v>Model S 90D</v>
      </c>
      <c r="G1130" s="258" t="str">
        <f>IFERROR(__xludf.DUMMYFUNCTION("""COMPUTED_VALUE"""),"Monthly")</f>
        <v>Monthly</v>
      </c>
      <c r="H1130" s="258" t="str">
        <f>IFERROR(__xludf.DUMMYFUNCTION("""COMPUTED_VALUE"""),"A few times a year")</f>
        <v>A few times a year</v>
      </c>
      <c r="I1130" s="258" t="str">
        <f>IFERROR(__xludf.DUMMYFUNCTION("""COMPUTED_VALUE"""),"Never")</f>
        <v>Never</v>
      </c>
      <c r="J1130" s="260">
        <f>IFERROR(__xludf.DUMMYFUNCTION("""COMPUTED_VALUE"""),0.8)</f>
        <v>0.8</v>
      </c>
      <c r="K1130" s="258">
        <f>IFERROR(__xludf.DUMMYFUNCTION("""COMPUTED_VALUE"""),295.0)</f>
        <v>295</v>
      </c>
      <c r="L1130" s="258" t="str">
        <f>IFERROR(__xludf.DUMMYFUNCTION("""COMPUTED_VALUE"""),"")</f>
        <v/>
      </c>
      <c r="M1130" s="261">
        <f>IFERROR(__xludf.DUMMYFUNCTION("""COMPUTED_VALUE"""),295.0)</f>
        <v>295</v>
      </c>
      <c r="N1130" s="262" t="str">
        <f>IFERROR(__xludf.DUMMYFUNCTION("""COMPUTED_VALUE"""),"")</f>
        <v/>
      </c>
      <c r="O1130" s="259" t="str">
        <f>IFERROR(__xludf.DUMMYFUNCTION("""COMPUTED_VALUE"""),"")</f>
        <v/>
      </c>
      <c r="P1130" s="259">
        <f>IFERROR(__xludf.DUMMYFUNCTION("""COMPUTED_VALUE"""),42848.0)</f>
        <v>42848</v>
      </c>
      <c r="Q1130" s="258">
        <f>IFERROR(__xludf.DUMMYFUNCTION("""COMPUTED_VALUE"""),12414.0)</f>
        <v>12414</v>
      </c>
      <c r="R1130" s="261">
        <f>IFERROR(__xludf.DUMMYFUNCTION("""COMPUTED_VALUE"""),293.0)</f>
        <v>293</v>
      </c>
      <c r="S1130" s="258">
        <v>292.0</v>
      </c>
      <c r="T1130" s="263">
        <v>1.0034246575342465</v>
      </c>
      <c r="U1130" s="264">
        <v>12414.0</v>
      </c>
      <c r="V1130" s="265">
        <v>19978.0</v>
      </c>
      <c r="W1130" s="264">
        <v>12414.0</v>
      </c>
      <c r="X1130" s="266"/>
      <c r="Y1130" s="267">
        <v>-0.01</v>
      </c>
      <c r="Z1130" s="267">
        <v>0.9744798934270799</v>
      </c>
      <c r="AA1130" s="269"/>
      <c r="AB1130" s="270"/>
      <c r="AC1130" s="270"/>
      <c r="AD1130" s="270"/>
      <c r="AE1130" s="270"/>
    </row>
    <row r="1131">
      <c r="A1131" s="256">
        <f>IFERROR(__xludf.DUMMYFUNCTION("""COMPUTED_VALUE"""),42911.84305555555)</f>
        <v>42911.84306</v>
      </c>
      <c r="B1131" s="257" t="str">
        <f>IFERROR(__xludf.DUMMYFUNCTION("""COMPUTED_VALUE"""),"PCMc")</f>
        <v>PCMc</v>
      </c>
      <c r="C1131" s="258" t="str">
        <f>IFERROR(__xludf.DUMMYFUNCTION("""COMPUTED_VALUE"""),"USA")</f>
        <v>USA</v>
      </c>
      <c r="D1131" s="258" t="str">
        <f>IFERROR(__xludf.DUMMYFUNCTION("""COMPUTED_VALUE"""),"mi. My car displays range in miles and I will enter all range numbers in miles.")</f>
        <v>mi. My car displays range in miles and I will enter all range numbers in miles.</v>
      </c>
      <c r="E1131" s="259">
        <f>IFERROR(__xludf.DUMMYFUNCTION("""COMPUTED_VALUE"""),42551.0)</f>
        <v>42551</v>
      </c>
      <c r="F1131" s="258" t="str">
        <f>IFERROR(__xludf.DUMMYFUNCTION("""COMPUTED_VALUE"""),"Model S 90D")</f>
        <v>Model S 90D</v>
      </c>
      <c r="G1131" s="258" t="str">
        <f>IFERROR(__xludf.DUMMYFUNCTION("""COMPUTED_VALUE"""),"Twice a month")</f>
        <v>Twice a month</v>
      </c>
      <c r="H1131" s="258" t="str">
        <f>IFERROR(__xludf.DUMMYFUNCTION("""COMPUTED_VALUE"""),"A few times a year")</f>
        <v>A few times a year</v>
      </c>
      <c r="I1131" s="258" t="str">
        <f>IFERROR(__xludf.DUMMYFUNCTION("""COMPUTED_VALUE"""),"Never")</f>
        <v>Never</v>
      </c>
      <c r="J1131" s="260">
        <f>IFERROR(__xludf.DUMMYFUNCTION("""COMPUTED_VALUE"""),0.8)</f>
        <v>0.8</v>
      </c>
      <c r="K1131" s="258">
        <f>IFERROR(__xludf.DUMMYFUNCTION("""COMPUTED_VALUE"""),295.0)</f>
        <v>295</v>
      </c>
      <c r="L1131" s="258" t="str">
        <f>IFERROR(__xludf.DUMMYFUNCTION("""COMPUTED_VALUE"""),"")</f>
        <v/>
      </c>
      <c r="M1131" s="261">
        <f>IFERROR(__xludf.DUMMYFUNCTION("""COMPUTED_VALUE"""),290.0)</f>
        <v>290</v>
      </c>
      <c r="N1131" s="262" t="str">
        <f>IFERROR(__xludf.DUMMYFUNCTION("""COMPUTED_VALUE"""),"")</f>
        <v/>
      </c>
      <c r="O1131" s="259" t="str">
        <f>IFERROR(__xludf.DUMMYFUNCTION("""COMPUTED_VALUE"""),"")</f>
        <v/>
      </c>
      <c r="P1131" s="259">
        <f>IFERROR(__xludf.DUMMYFUNCTION("""COMPUTED_VALUE"""),42911.0)</f>
        <v>42911</v>
      </c>
      <c r="Q1131" s="258">
        <f>IFERROR(__xludf.DUMMYFUNCTION("""COMPUTED_VALUE"""),14472.0)</f>
        <v>14472</v>
      </c>
      <c r="R1131" s="261">
        <f>IFERROR(__xludf.DUMMYFUNCTION("""COMPUTED_VALUE"""),291.0)</f>
        <v>291</v>
      </c>
      <c r="S1131" s="258">
        <v>292.0</v>
      </c>
      <c r="T1131" s="263">
        <v>0.9965753424657534</v>
      </c>
      <c r="U1131" s="264">
        <v>14472.0</v>
      </c>
      <c r="V1131" s="265">
        <v>23290.0</v>
      </c>
      <c r="W1131" s="264">
        <v>14472.0</v>
      </c>
      <c r="X1131" s="266"/>
      <c r="Y1131" s="267">
        <v>-0.01</v>
      </c>
      <c r="Z1131" s="267">
        <v>0.972047080549414</v>
      </c>
      <c r="AA1131" s="269"/>
      <c r="AB1131" s="270"/>
      <c r="AC1131" s="270"/>
      <c r="AD1131" s="270"/>
      <c r="AE1131" s="270"/>
    </row>
    <row r="1132">
      <c r="A1132" s="256">
        <f>IFERROR(__xludf.DUMMYFUNCTION("""COMPUTED_VALUE"""),43018.856944444444)</f>
        <v>43018.85694</v>
      </c>
      <c r="B1132" s="257" t="str">
        <f>IFERROR(__xludf.DUMMYFUNCTION("""COMPUTED_VALUE"""),"PCMc")</f>
        <v>PCMc</v>
      </c>
      <c r="C1132" s="258" t="str">
        <f>IFERROR(__xludf.DUMMYFUNCTION("""COMPUTED_VALUE"""),"USA")</f>
        <v>USA</v>
      </c>
      <c r="D1132" s="258" t="str">
        <f>IFERROR(__xludf.DUMMYFUNCTION("""COMPUTED_VALUE"""),"mi. My car displays range in miles and I will enter all range numbers in miles.")</f>
        <v>mi. My car displays range in miles and I will enter all range numbers in miles.</v>
      </c>
      <c r="E1132" s="259">
        <f>IFERROR(__xludf.DUMMYFUNCTION("""COMPUTED_VALUE"""),42551.0)</f>
        <v>42551</v>
      </c>
      <c r="F1132" s="258" t="str">
        <f>IFERROR(__xludf.DUMMYFUNCTION("""COMPUTED_VALUE"""),"Model S 90D")</f>
        <v>Model S 90D</v>
      </c>
      <c r="G1132" s="258" t="str">
        <f>IFERROR(__xludf.DUMMYFUNCTION("""COMPUTED_VALUE"""),"Twice a month")</f>
        <v>Twice a month</v>
      </c>
      <c r="H1132" s="258" t="str">
        <f>IFERROR(__xludf.DUMMYFUNCTION("""COMPUTED_VALUE"""),"A few times a year")</f>
        <v>A few times a year</v>
      </c>
      <c r="I1132" s="258" t="str">
        <f>IFERROR(__xludf.DUMMYFUNCTION("""COMPUTED_VALUE"""),"Never")</f>
        <v>Never</v>
      </c>
      <c r="J1132" s="260">
        <f>IFERROR(__xludf.DUMMYFUNCTION("""COMPUTED_VALUE"""),0.8)</f>
        <v>0.8</v>
      </c>
      <c r="K1132" s="258">
        <f>IFERROR(__xludf.DUMMYFUNCTION("""COMPUTED_VALUE"""),295.0)</f>
        <v>295</v>
      </c>
      <c r="L1132" s="258" t="str">
        <f>IFERROR(__xludf.DUMMYFUNCTION("""COMPUTED_VALUE"""),"")</f>
        <v/>
      </c>
      <c r="M1132" s="261">
        <f>IFERROR(__xludf.DUMMYFUNCTION("""COMPUTED_VALUE"""),279.0)</f>
        <v>279</v>
      </c>
      <c r="N1132" s="262" t="str">
        <f>IFERROR(__xludf.DUMMYFUNCTION("""COMPUTED_VALUE"""),"")</f>
        <v/>
      </c>
      <c r="O1132" s="259" t="str">
        <f>IFERROR(__xludf.DUMMYFUNCTION("""COMPUTED_VALUE"""),"")</f>
        <v/>
      </c>
      <c r="P1132" s="259">
        <f>IFERROR(__xludf.DUMMYFUNCTION("""COMPUTED_VALUE"""),43018.0)</f>
        <v>43018</v>
      </c>
      <c r="Q1132" s="258">
        <f>IFERROR(__xludf.DUMMYFUNCTION("""COMPUTED_VALUE"""),20649.1)</f>
        <v>20649.1</v>
      </c>
      <c r="R1132" s="261">
        <f>IFERROR(__xludf.DUMMYFUNCTION("""COMPUTED_VALUE"""),287.4)</f>
        <v>287.4</v>
      </c>
      <c r="S1132" s="258">
        <v>292.0</v>
      </c>
      <c r="T1132" s="263">
        <v>0.9842465753424656</v>
      </c>
      <c r="U1132" s="264">
        <v>20649.1</v>
      </c>
      <c r="V1132" s="265">
        <v>33232.0</v>
      </c>
      <c r="W1132" s="264">
        <v>20649.1</v>
      </c>
      <c r="X1132" s="266"/>
      <c r="Y1132" s="267">
        <v>-0.01</v>
      </c>
      <c r="Z1132" s="267">
        <v>0.9663037809149572</v>
      </c>
      <c r="AA1132" s="269"/>
      <c r="AB1132" s="270"/>
      <c r="AC1132" s="270"/>
      <c r="AD1132" s="270"/>
      <c r="AE1132" s="270"/>
    </row>
    <row r="1133">
      <c r="A1133" s="256">
        <f>IFERROR(__xludf.DUMMYFUNCTION("""COMPUTED_VALUE"""),43128.870833333334)</f>
        <v>43128.87083</v>
      </c>
      <c r="B1133" s="257" t="str">
        <f>IFERROR(__xludf.DUMMYFUNCTION("""COMPUTED_VALUE"""),"PCMc")</f>
        <v>PCMc</v>
      </c>
      <c r="C1133" s="258" t="str">
        <f>IFERROR(__xludf.DUMMYFUNCTION("""COMPUTED_VALUE"""),"USA")</f>
        <v>USA</v>
      </c>
      <c r="D1133" s="258" t="str">
        <f>IFERROR(__xludf.DUMMYFUNCTION("""COMPUTED_VALUE"""),"mi. My car displays range in miles and I will enter all range numbers in miles.")</f>
        <v>mi. My car displays range in miles and I will enter all range numbers in miles.</v>
      </c>
      <c r="E1133" s="259">
        <f>IFERROR(__xludf.DUMMYFUNCTION("""COMPUTED_VALUE"""),42551.0)</f>
        <v>42551</v>
      </c>
      <c r="F1133" s="258" t="str">
        <f>IFERROR(__xludf.DUMMYFUNCTION("""COMPUTED_VALUE"""),"Model S 90D")</f>
        <v>Model S 90D</v>
      </c>
      <c r="G1133" s="258" t="str">
        <f>IFERROR(__xludf.DUMMYFUNCTION("""COMPUTED_VALUE"""),"Twice a month")</f>
        <v>Twice a month</v>
      </c>
      <c r="H1133" s="258" t="str">
        <f>IFERROR(__xludf.DUMMYFUNCTION("""COMPUTED_VALUE"""),"A few times a year")</f>
        <v>A few times a year</v>
      </c>
      <c r="I1133" s="258" t="str">
        <f>IFERROR(__xludf.DUMMYFUNCTION("""COMPUTED_VALUE"""),"Never")</f>
        <v>Never</v>
      </c>
      <c r="J1133" s="260">
        <f>IFERROR(__xludf.DUMMYFUNCTION("""COMPUTED_VALUE"""),0.8)</f>
        <v>0.8</v>
      </c>
      <c r="K1133" s="258">
        <f>IFERROR(__xludf.DUMMYFUNCTION("""COMPUTED_VALUE"""),295.0)</f>
        <v>295</v>
      </c>
      <c r="L1133" s="258" t="str">
        <f>IFERROR(__xludf.DUMMYFUNCTION("""COMPUTED_VALUE"""),"")</f>
        <v/>
      </c>
      <c r="M1133" s="261">
        <f>IFERROR(__xludf.DUMMYFUNCTION("""COMPUTED_VALUE"""),283.0)</f>
        <v>283</v>
      </c>
      <c r="N1133" s="262" t="str">
        <f>IFERROR(__xludf.DUMMYFUNCTION("""COMPUTED_VALUE"""),"")</f>
        <v/>
      </c>
      <c r="O1133" s="259" t="str">
        <f>IFERROR(__xludf.DUMMYFUNCTION("""COMPUTED_VALUE"""),"")</f>
        <v/>
      </c>
      <c r="P1133" s="259">
        <f>IFERROR(__xludf.DUMMYFUNCTION("""COMPUTED_VALUE"""),43128.0)</f>
        <v>43128</v>
      </c>
      <c r="Q1133" s="258">
        <f>IFERROR(__xludf.DUMMYFUNCTION("""COMPUTED_VALUE"""),24881.0)</f>
        <v>24881</v>
      </c>
      <c r="R1133" s="261">
        <f>IFERROR(__xludf.DUMMYFUNCTION("""COMPUTED_VALUE"""),288.07)</f>
        <v>288.07</v>
      </c>
      <c r="S1133" s="258">
        <v>292.0</v>
      </c>
      <c r="T1133" s="263">
        <v>0.986541095890411</v>
      </c>
      <c r="U1133" s="264">
        <v>24881.0</v>
      </c>
      <c r="V1133" s="265">
        <v>40042.0</v>
      </c>
      <c r="W1133" s="264">
        <v>24881.0</v>
      </c>
      <c r="X1133" s="266"/>
      <c r="Y1133" s="267">
        <v>-0.01</v>
      </c>
      <c r="Z1133" s="267">
        <v>0.9632915205225762</v>
      </c>
      <c r="AA1133" s="269"/>
      <c r="AB1133" s="270"/>
      <c r="AC1133" s="270"/>
      <c r="AD1133" s="270"/>
      <c r="AE1133" s="270"/>
    </row>
    <row r="1134">
      <c r="A1134" s="256">
        <f>IFERROR(__xludf.DUMMYFUNCTION("""COMPUTED_VALUE"""),43159.875)</f>
        <v>43159.875</v>
      </c>
      <c r="B1134" s="257" t="str">
        <f>IFERROR(__xludf.DUMMYFUNCTION("""COMPUTED_VALUE"""),"PCMc")</f>
        <v>PCMc</v>
      </c>
      <c r="C1134" s="258" t="str">
        <f>IFERROR(__xludf.DUMMYFUNCTION("""COMPUTED_VALUE"""),"USA")</f>
        <v>USA</v>
      </c>
      <c r="D1134" s="258" t="str">
        <f>IFERROR(__xludf.DUMMYFUNCTION("""COMPUTED_VALUE"""),"mi. My car displays range in miles and I will enter all range numbers in miles.")</f>
        <v>mi. My car displays range in miles and I will enter all range numbers in miles.</v>
      </c>
      <c r="E1134" s="259">
        <f>IFERROR(__xludf.DUMMYFUNCTION("""COMPUTED_VALUE"""),42551.0)</f>
        <v>42551</v>
      </c>
      <c r="F1134" s="258" t="str">
        <f>IFERROR(__xludf.DUMMYFUNCTION("""COMPUTED_VALUE"""),"Model S 90D")</f>
        <v>Model S 90D</v>
      </c>
      <c r="G1134" s="258" t="str">
        <f>IFERROR(__xludf.DUMMYFUNCTION("""COMPUTED_VALUE"""),"Twice a month")</f>
        <v>Twice a month</v>
      </c>
      <c r="H1134" s="258" t="str">
        <f>IFERROR(__xludf.DUMMYFUNCTION("""COMPUTED_VALUE"""),"A few times a year")</f>
        <v>A few times a year</v>
      </c>
      <c r="I1134" s="258" t="str">
        <f>IFERROR(__xludf.DUMMYFUNCTION("""COMPUTED_VALUE"""),"Never")</f>
        <v>Never</v>
      </c>
      <c r="J1134" s="260">
        <f>IFERROR(__xludf.DUMMYFUNCTION("""COMPUTED_VALUE"""),0.8)</f>
        <v>0.8</v>
      </c>
      <c r="K1134" s="258">
        <f>IFERROR(__xludf.DUMMYFUNCTION("""COMPUTED_VALUE"""),295.0)</f>
        <v>295</v>
      </c>
      <c r="L1134" s="258" t="str">
        <f>IFERROR(__xludf.DUMMYFUNCTION("""COMPUTED_VALUE"""),"")</f>
        <v/>
      </c>
      <c r="M1134" s="261">
        <f>IFERROR(__xludf.DUMMYFUNCTION("""COMPUTED_VALUE"""),284.0)</f>
        <v>284</v>
      </c>
      <c r="N1134" s="262" t="str">
        <f>IFERROR(__xludf.DUMMYFUNCTION("""COMPUTED_VALUE"""),"")</f>
        <v/>
      </c>
      <c r="O1134" s="259" t="str">
        <f>IFERROR(__xludf.DUMMYFUNCTION("""COMPUTED_VALUE"""),"")</f>
        <v/>
      </c>
      <c r="P1134" s="259">
        <f>IFERROR(__xludf.DUMMYFUNCTION("""COMPUTED_VALUE"""),43159.0)</f>
        <v>43159</v>
      </c>
      <c r="Q1134" s="258">
        <f>IFERROR(__xludf.DUMMYFUNCTION("""COMPUTED_VALUE"""),25604.0)</f>
        <v>25604</v>
      </c>
      <c r="R1134" s="261">
        <f>IFERROR(__xludf.DUMMYFUNCTION("""COMPUTED_VALUE"""),288.4)</f>
        <v>288.4</v>
      </c>
      <c r="S1134" s="258">
        <v>292.0</v>
      </c>
      <c r="T1134" s="263">
        <v>0.9876712328767122</v>
      </c>
      <c r="U1134" s="264">
        <v>25604.0</v>
      </c>
      <c r="V1134" s="265">
        <v>41206.0</v>
      </c>
      <c r="W1134" s="264">
        <v>25604.0</v>
      </c>
      <c r="X1134" s="266"/>
      <c r="Y1134" s="267">
        <v>-0.01</v>
      </c>
      <c r="Z1134" s="267">
        <v>0.9628288621350746</v>
      </c>
      <c r="AA1134" s="269"/>
      <c r="AB1134" s="270"/>
      <c r="AC1134" s="270"/>
      <c r="AD1134" s="270"/>
      <c r="AE1134" s="270"/>
    </row>
    <row r="1135">
      <c r="A1135" s="256">
        <f>IFERROR(__xludf.DUMMYFUNCTION("""COMPUTED_VALUE"""),43198.88333333333)</f>
        <v>43198.88333</v>
      </c>
      <c r="B1135" s="257" t="str">
        <f>IFERROR(__xludf.DUMMYFUNCTION("""COMPUTED_VALUE"""),"PCMc")</f>
        <v>PCMc</v>
      </c>
      <c r="C1135" s="258" t="str">
        <f>IFERROR(__xludf.DUMMYFUNCTION("""COMPUTED_VALUE"""),"USA")</f>
        <v>USA</v>
      </c>
      <c r="D1135" s="258" t="str">
        <f>IFERROR(__xludf.DUMMYFUNCTION("""COMPUTED_VALUE"""),"mi. My car displays range in miles and I will enter all range numbers in miles.")</f>
        <v>mi. My car displays range in miles and I will enter all range numbers in miles.</v>
      </c>
      <c r="E1135" s="259">
        <f>IFERROR(__xludf.DUMMYFUNCTION("""COMPUTED_VALUE"""),42551.0)</f>
        <v>42551</v>
      </c>
      <c r="F1135" s="258" t="str">
        <f>IFERROR(__xludf.DUMMYFUNCTION("""COMPUTED_VALUE"""),"Model S 90D")</f>
        <v>Model S 90D</v>
      </c>
      <c r="G1135" s="258" t="str">
        <f>IFERROR(__xludf.DUMMYFUNCTION("""COMPUTED_VALUE"""),"Twice a month")</f>
        <v>Twice a month</v>
      </c>
      <c r="H1135" s="258" t="str">
        <f>IFERROR(__xludf.DUMMYFUNCTION("""COMPUTED_VALUE"""),"A few times a year")</f>
        <v>A few times a year</v>
      </c>
      <c r="I1135" s="258" t="str">
        <f>IFERROR(__xludf.DUMMYFUNCTION("""COMPUTED_VALUE"""),"Never")</f>
        <v>Never</v>
      </c>
      <c r="J1135" s="260">
        <f>IFERROR(__xludf.DUMMYFUNCTION("""COMPUTED_VALUE"""),0.8)</f>
        <v>0.8</v>
      </c>
      <c r="K1135" s="258">
        <f>IFERROR(__xludf.DUMMYFUNCTION("""COMPUTED_VALUE"""),295.0)</f>
        <v>295</v>
      </c>
      <c r="L1135" s="258" t="str">
        <f>IFERROR(__xludf.DUMMYFUNCTION("""COMPUTED_VALUE"""),"")</f>
        <v/>
      </c>
      <c r="M1135" s="261">
        <f>IFERROR(__xludf.DUMMYFUNCTION("""COMPUTED_VALUE"""),285.0)</f>
        <v>285</v>
      </c>
      <c r="N1135" s="262" t="str">
        <f>IFERROR(__xludf.DUMMYFUNCTION("""COMPUTED_VALUE"""),"")</f>
        <v/>
      </c>
      <c r="O1135" s="259" t="str">
        <f>IFERROR(__xludf.DUMMYFUNCTION("""COMPUTED_VALUE"""),"")</f>
        <v/>
      </c>
      <c r="P1135" s="259">
        <f>IFERROR(__xludf.DUMMYFUNCTION("""COMPUTED_VALUE"""),43198.0)</f>
        <v>43198</v>
      </c>
      <c r="Q1135" s="258">
        <f>IFERROR(__xludf.DUMMYFUNCTION("""COMPUTED_VALUE"""),26565.8)</f>
        <v>26565.8</v>
      </c>
      <c r="R1135" s="261">
        <f>IFERROR(__xludf.DUMMYFUNCTION("""COMPUTED_VALUE"""),288.8)</f>
        <v>288.8</v>
      </c>
      <c r="S1135" s="258">
        <v>292.0</v>
      </c>
      <c r="T1135" s="263">
        <v>0.989041095890411</v>
      </c>
      <c r="U1135" s="264">
        <v>26565.8</v>
      </c>
      <c r="V1135" s="265">
        <v>42754.0</v>
      </c>
      <c r="W1135" s="264">
        <v>26565.8</v>
      </c>
      <c r="X1135" s="266"/>
      <c r="Y1135" s="267">
        <v>-0.01</v>
      </c>
      <c r="Z1135" s="267">
        <v>0.9622331167360266</v>
      </c>
      <c r="AA1135" s="269"/>
      <c r="AB1135" s="270"/>
      <c r="AC1135" s="270"/>
      <c r="AD1135" s="270"/>
      <c r="AE1135" s="270"/>
    </row>
    <row r="1136">
      <c r="A1136" s="256">
        <f>IFERROR(__xludf.DUMMYFUNCTION("""COMPUTED_VALUE"""),42350.78402777778)</f>
        <v>42350.78403</v>
      </c>
      <c r="B1136" s="257" t="str">
        <f>IFERROR(__xludf.DUMMYFUNCTION("""COMPUTED_VALUE"""),"pdx4s")</f>
        <v>pdx4s</v>
      </c>
      <c r="C1136" s="258" t="str">
        <f>IFERROR(__xludf.DUMMYFUNCTION("""COMPUTED_VALUE"""),"USA")</f>
        <v>USA</v>
      </c>
      <c r="D1136" s="258" t="str">
        <f>IFERROR(__xludf.DUMMYFUNCTION("""COMPUTED_VALUE"""),"mi. My car displays range in miles and I will enter all range numbers in miles.")</f>
        <v>mi. My car displays range in miles and I will enter all range numbers in miles.</v>
      </c>
      <c r="E1136" s="259">
        <f>IFERROR(__xludf.DUMMYFUNCTION("""COMPUTED_VALUE"""),41506.0)</f>
        <v>41506</v>
      </c>
      <c r="F1136" s="258" t="str">
        <f>IFERROR(__xludf.DUMMYFUNCTION("""COMPUTED_VALUE"""),"Model S P85")</f>
        <v>Model S P85</v>
      </c>
      <c r="G1136" s="258" t="str">
        <f>IFERROR(__xludf.DUMMYFUNCTION("""COMPUTED_VALUE"""),"Monthly")</f>
        <v>Monthly</v>
      </c>
      <c r="H1136" s="258" t="str">
        <f>IFERROR(__xludf.DUMMYFUNCTION("""COMPUTED_VALUE"""),"A few times a year")</f>
        <v>A few times a year</v>
      </c>
      <c r="I1136" s="258" t="str">
        <f>IFERROR(__xludf.DUMMYFUNCTION("""COMPUTED_VALUE"""),"Never")</f>
        <v>Never</v>
      </c>
      <c r="J1136" s="260">
        <f>IFERROR(__xludf.DUMMYFUNCTION("""COMPUTED_VALUE"""),0.7)</f>
        <v>0.7</v>
      </c>
      <c r="K1136" s="258">
        <f>IFERROR(__xludf.DUMMYFUNCTION("""COMPUTED_VALUE"""),268.0)</f>
        <v>268</v>
      </c>
      <c r="L1136" s="258" t="str">
        <f>IFERROR(__xludf.DUMMYFUNCTION("""COMPUTED_VALUE"""),"")</f>
        <v/>
      </c>
      <c r="M1136" s="261">
        <f>IFERROR(__xludf.DUMMYFUNCTION("""COMPUTED_VALUE"""),319.0)</f>
        <v>319</v>
      </c>
      <c r="N1136" s="262" t="str">
        <f>IFERROR(__xludf.DUMMYFUNCTION("""COMPUTED_VALUE"""),"")</f>
        <v/>
      </c>
      <c r="O1136" s="259" t="str">
        <f>IFERROR(__xludf.DUMMYFUNCTION("""COMPUTED_VALUE"""),"")</f>
        <v/>
      </c>
      <c r="P1136" s="259">
        <f>IFERROR(__xludf.DUMMYFUNCTION("""COMPUTED_VALUE"""),42350.0)</f>
        <v>42350</v>
      </c>
      <c r="Q1136" s="258">
        <f>IFERROR(__xludf.DUMMYFUNCTION("""COMPUTED_VALUE"""),30389.0)</f>
        <v>30389</v>
      </c>
      <c r="R1136" s="261">
        <f>IFERROR(__xludf.DUMMYFUNCTION("""COMPUTED_VALUE"""),249.0)</f>
        <v>249</v>
      </c>
      <c r="S1136" s="258">
        <v>266.0</v>
      </c>
      <c r="T1136" s="263">
        <v>0.9360902255639098</v>
      </c>
      <c r="U1136" s="264">
        <v>30389.0</v>
      </c>
      <c r="V1136" s="265">
        <v>48906.0</v>
      </c>
      <c r="W1136" s="264">
        <v>30389.0</v>
      </c>
      <c r="X1136" s="266"/>
      <c r="Y1136" s="267">
        <v>-0.01</v>
      </c>
      <c r="Z1136" s="267">
        <v>0.9600519929918191</v>
      </c>
      <c r="AA1136" s="269"/>
      <c r="AB1136" s="270"/>
      <c r="AC1136" s="270"/>
      <c r="AD1136" s="270"/>
      <c r="AE1136" s="270"/>
    </row>
    <row r="1137">
      <c r="A1137" s="256">
        <f>IFERROR(__xludf.DUMMYFUNCTION("""COMPUTED_VALUE"""),42461.79166666667)</f>
        <v>42461.79167</v>
      </c>
      <c r="B1137" s="257" t="str">
        <f>IFERROR(__xludf.DUMMYFUNCTION("""COMPUTED_VALUE"""),"pdx4s")</f>
        <v>pdx4s</v>
      </c>
      <c r="C1137" s="258" t="str">
        <f>IFERROR(__xludf.DUMMYFUNCTION("""COMPUTED_VALUE"""),"USA")</f>
        <v>USA</v>
      </c>
      <c r="D1137" s="258" t="str">
        <f>IFERROR(__xludf.DUMMYFUNCTION("""COMPUTED_VALUE"""),"mi. My car displays range in miles and I will enter all range numbers in miles.")</f>
        <v>mi. My car displays range in miles and I will enter all range numbers in miles.</v>
      </c>
      <c r="E1137" s="259">
        <f>IFERROR(__xludf.DUMMYFUNCTION("""COMPUTED_VALUE"""),41506.0)</f>
        <v>41506</v>
      </c>
      <c r="F1137" s="258" t="str">
        <f>IFERROR(__xludf.DUMMYFUNCTION("""COMPUTED_VALUE"""),"Model S P85")</f>
        <v>Model S P85</v>
      </c>
      <c r="G1137" s="258" t="str">
        <f>IFERROR(__xludf.DUMMYFUNCTION("""COMPUTED_VALUE"""),"A few times a year")</f>
        <v>A few times a year</v>
      </c>
      <c r="H1137" s="258" t="str">
        <f>IFERROR(__xludf.DUMMYFUNCTION("""COMPUTED_VALUE"""),"A few times a year")</f>
        <v>A few times a year</v>
      </c>
      <c r="I1137" s="258" t="str">
        <f>IFERROR(__xludf.DUMMYFUNCTION("""COMPUTED_VALUE"""),"Never")</f>
        <v>Never</v>
      </c>
      <c r="J1137" s="260">
        <f>IFERROR(__xludf.DUMMYFUNCTION("""COMPUTED_VALUE"""),0.9)</f>
        <v>0.9</v>
      </c>
      <c r="K1137" s="258">
        <f>IFERROR(__xludf.DUMMYFUNCTION("""COMPUTED_VALUE"""),265.0)</f>
        <v>265</v>
      </c>
      <c r="L1137" s="258" t="str">
        <f>IFERROR(__xludf.DUMMYFUNCTION("""COMPUTED_VALUE"""),"")</f>
        <v/>
      </c>
      <c r="M1137" s="261">
        <f>IFERROR(__xludf.DUMMYFUNCTION("""COMPUTED_VALUE"""),322.0)</f>
        <v>322</v>
      </c>
      <c r="N1137" s="262" t="str">
        <f>IFERROR(__xludf.DUMMYFUNCTION("""COMPUTED_VALUE"""),"")</f>
        <v/>
      </c>
      <c r="O1137" s="259" t="str">
        <f>IFERROR(__xludf.DUMMYFUNCTION("""COMPUTED_VALUE"""),"")</f>
        <v/>
      </c>
      <c r="P1137" s="259">
        <f>IFERROR(__xludf.DUMMYFUNCTION("""COMPUTED_VALUE"""),42461.0)</f>
        <v>42461</v>
      </c>
      <c r="Q1137" s="258">
        <f>IFERROR(__xludf.DUMMYFUNCTION("""COMPUTED_VALUE"""),32750.0)</f>
        <v>32750</v>
      </c>
      <c r="R1137" s="261">
        <f>IFERROR(__xludf.DUMMYFUNCTION("""COMPUTED_VALUE"""),255.0)</f>
        <v>255</v>
      </c>
      <c r="S1137" s="258">
        <v>266.0</v>
      </c>
      <c r="T1137" s="263">
        <v>0.9586466165413534</v>
      </c>
      <c r="U1137" s="264">
        <v>32750.0</v>
      </c>
      <c r="V1137" s="265">
        <v>52706.0</v>
      </c>
      <c r="W1137" s="264">
        <v>32750.0</v>
      </c>
      <c r="X1137" s="266"/>
      <c r="Y1137" s="267">
        <v>-0.01</v>
      </c>
      <c r="Z1137" s="267">
        <v>0.9588241724395615</v>
      </c>
      <c r="AA1137" s="269"/>
      <c r="AB1137" s="270"/>
      <c r="AC1137" s="270"/>
      <c r="AD1137" s="270"/>
      <c r="AE1137" s="270"/>
    </row>
    <row r="1138">
      <c r="A1138" s="256">
        <f>IFERROR(__xludf.DUMMYFUNCTION("""COMPUTED_VALUE"""),42433.299305555556)</f>
        <v>42433.29931</v>
      </c>
      <c r="B1138" s="257" t="str">
        <f>IFERROR(__xludf.DUMMYFUNCTION("""COMPUTED_VALUE"""),"Pebe")</f>
        <v>Pebe</v>
      </c>
      <c r="C1138" s="258" t="str">
        <f>IFERROR(__xludf.DUMMYFUNCTION("""COMPUTED_VALUE"""),"Europe (excluding UK) &amp; Asia Pacific")</f>
        <v>Europe (excluding UK) &amp; Asia Pacific</v>
      </c>
      <c r="D1138" s="258" t="str">
        <f>IFERROR(__xludf.DUMMYFUNCTION("""COMPUTED_VALUE"""),"km. My car displays range in kilometres and I will enter all range numbers in kilometres.")</f>
        <v>km. My car displays range in kilometres and I will enter all range numbers in kilometres.</v>
      </c>
      <c r="E1138" s="259">
        <f>IFERROR(__xludf.DUMMYFUNCTION("""COMPUTED_VALUE"""),42376.0)</f>
        <v>42376</v>
      </c>
      <c r="F1138" s="258" t="str">
        <f>IFERROR(__xludf.DUMMYFUNCTION("""COMPUTED_VALUE"""),"Model S 85D")</f>
        <v>Model S 85D</v>
      </c>
      <c r="G1138" s="258" t="str">
        <f>IFERROR(__xludf.DUMMYFUNCTION("""COMPUTED_VALUE"""),"")</f>
        <v/>
      </c>
      <c r="H1138" s="258" t="str">
        <f>IFERROR(__xludf.DUMMYFUNCTION("""COMPUTED_VALUE"""),"")</f>
        <v/>
      </c>
      <c r="I1138" s="258" t="str">
        <f>IFERROR(__xludf.DUMMYFUNCTION("""COMPUTED_VALUE"""),"")</f>
        <v/>
      </c>
      <c r="J1138" s="260">
        <f>IFERROR(__xludf.DUMMYFUNCTION("""COMPUTED_VALUE"""),0.9)</f>
        <v>0.9</v>
      </c>
      <c r="K1138" s="258">
        <f>IFERROR(__xludf.DUMMYFUNCTION("""COMPUTED_VALUE"""),426.0)</f>
        <v>426</v>
      </c>
      <c r="L1138" s="258" t="str">
        <f>IFERROR(__xludf.DUMMYFUNCTION("""COMPUTED_VALUE"""),"")</f>
        <v/>
      </c>
      <c r="M1138" s="261">
        <f>IFERROR(__xludf.DUMMYFUNCTION("""COMPUTED_VALUE"""),248.0)</f>
        <v>248</v>
      </c>
      <c r="N1138" s="262" t="str">
        <f>IFERROR(__xludf.DUMMYFUNCTION("""COMPUTED_VALUE"""),"")</f>
        <v/>
      </c>
      <c r="O1138" s="259" t="str">
        <f>IFERROR(__xludf.DUMMYFUNCTION("""COMPUTED_VALUE"""),"")</f>
        <v/>
      </c>
      <c r="P1138" s="259">
        <f>IFERROR(__xludf.DUMMYFUNCTION("""COMPUTED_VALUE"""),42433.0)</f>
        <v>42433</v>
      </c>
      <c r="Q1138" s="258">
        <f>IFERROR(__xludf.DUMMYFUNCTION("""COMPUTED_VALUE"""),370.0)</f>
        <v>370</v>
      </c>
      <c r="R1138" s="261">
        <f>IFERROR(__xludf.DUMMYFUNCTION("""COMPUTED_VALUE"""),426.0)</f>
        <v>426</v>
      </c>
      <c r="S1138" s="258">
        <v>425.0</v>
      </c>
      <c r="T1138" s="263">
        <v>1.0023529411764707</v>
      </c>
      <c r="U1138" s="264">
        <v>230.0</v>
      </c>
      <c r="V1138" s="265">
        <v>370.0</v>
      </c>
      <c r="W1138" s="264">
        <v>230.0</v>
      </c>
      <c r="X1138" s="266"/>
      <c r="Y1138" s="267">
        <v>-0.01</v>
      </c>
      <c r="Z1138" s="267">
        <v>0.9992668287562216</v>
      </c>
      <c r="AA1138" s="269"/>
      <c r="AB1138" s="270"/>
      <c r="AC1138" s="270"/>
      <c r="AD1138" s="270"/>
      <c r="AE1138" s="270"/>
    </row>
    <row r="1139">
      <c r="A1139" s="256">
        <f>IFERROR(__xludf.DUMMYFUNCTION("""COMPUTED_VALUE"""),42624.399305555555)</f>
        <v>42624.39931</v>
      </c>
      <c r="B1139" s="257" t="str">
        <f>IFERROR(__xludf.DUMMYFUNCTION("""COMPUTED_VALUE"""),"Pebe")</f>
        <v>Pebe</v>
      </c>
      <c r="C1139" s="258" t="str">
        <f>IFERROR(__xludf.DUMMYFUNCTION("""COMPUTED_VALUE"""),"Europe (excluding UK) &amp; Asia Pacific")</f>
        <v>Europe (excluding UK) &amp; Asia Pacific</v>
      </c>
      <c r="D1139" s="258" t="str">
        <f>IFERROR(__xludf.DUMMYFUNCTION("""COMPUTED_VALUE"""),"km. My car displays range in kilometres and I will enter all range numbers in kilometres.")</f>
        <v>km. My car displays range in kilometres and I will enter all range numbers in kilometres.</v>
      </c>
      <c r="E1139" s="259">
        <f>IFERROR(__xludf.DUMMYFUNCTION("""COMPUTED_VALUE"""),42432.0)</f>
        <v>42432</v>
      </c>
      <c r="F1139" s="258" t="str">
        <f>IFERROR(__xludf.DUMMYFUNCTION("""COMPUTED_VALUE"""),"Model S 85D")</f>
        <v>Model S 85D</v>
      </c>
      <c r="G1139" s="258" t="str">
        <f>IFERROR(__xludf.DUMMYFUNCTION("""COMPUTED_VALUE"""),"Monthly")</f>
        <v>Monthly</v>
      </c>
      <c r="H1139" s="258" t="str">
        <f>IFERROR(__xludf.DUMMYFUNCTION("""COMPUTED_VALUE"""),"A few times a year")</f>
        <v>A few times a year</v>
      </c>
      <c r="I1139" s="258" t="str">
        <f>IFERROR(__xludf.DUMMYFUNCTION("""COMPUTED_VALUE"""),"Once or twice a year")</f>
        <v>Once or twice a year</v>
      </c>
      <c r="J1139" s="260">
        <f>IFERROR(__xludf.DUMMYFUNCTION("""COMPUTED_VALUE"""),0.9)</f>
        <v>0.9</v>
      </c>
      <c r="K1139" s="258" t="str">
        <f>IFERROR(__xludf.DUMMYFUNCTION("""COMPUTED_VALUE"""),"")</f>
        <v/>
      </c>
      <c r="L1139" s="258" t="str">
        <f>IFERROR(__xludf.DUMMYFUNCTION("""COMPUTED_VALUE"""),"")</f>
        <v/>
      </c>
      <c r="M1139" s="261">
        <f>IFERROR(__xludf.DUMMYFUNCTION("""COMPUTED_VALUE"""),220.0)</f>
        <v>220</v>
      </c>
      <c r="N1139" s="262" t="str">
        <f>IFERROR(__xludf.DUMMYFUNCTION("""COMPUTED_VALUE"""),"")</f>
        <v/>
      </c>
      <c r="O1139" s="259" t="str">
        <f>IFERROR(__xludf.DUMMYFUNCTION("""COMPUTED_VALUE"""),"")</f>
        <v/>
      </c>
      <c r="P1139" s="259">
        <f>IFERROR(__xludf.DUMMYFUNCTION("""COMPUTED_VALUE"""),42624.0)</f>
        <v>42624</v>
      </c>
      <c r="Q1139" s="258">
        <f>IFERROR(__xludf.DUMMYFUNCTION("""COMPUTED_VALUE"""),20147.0)</f>
        <v>20147</v>
      </c>
      <c r="R1139" s="261">
        <f>IFERROR(__xludf.DUMMYFUNCTION("""COMPUTED_VALUE"""),428.0)</f>
        <v>428</v>
      </c>
      <c r="S1139" s="258">
        <v>425.0</v>
      </c>
      <c r="T1139" s="263">
        <v>1.0070588235294118</v>
      </c>
      <c r="U1139" s="264">
        <v>12519.0</v>
      </c>
      <c r="V1139" s="265">
        <v>20147.0</v>
      </c>
      <c r="W1139" s="264">
        <v>12519.0</v>
      </c>
      <c r="X1139" s="266"/>
      <c r="Y1139" s="267">
        <v>-0.01</v>
      </c>
      <c r="Z1139" s="267">
        <v>0.9743477517928965</v>
      </c>
      <c r="AA1139" s="269"/>
      <c r="AB1139" s="270"/>
      <c r="AC1139" s="270"/>
      <c r="AD1139" s="270"/>
      <c r="AE1139" s="270"/>
    </row>
    <row r="1140">
      <c r="A1140" s="256">
        <f>IFERROR(__xludf.DUMMYFUNCTION("""COMPUTED_VALUE"""),42875.54027777778)</f>
        <v>42875.54028</v>
      </c>
      <c r="B1140" s="257" t="str">
        <f>IFERROR(__xludf.DUMMYFUNCTION("""COMPUTED_VALUE"""),"peters25")</f>
        <v>peters25</v>
      </c>
      <c r="C1140" s="258" t="str">
        <f>IFERROR(__xludf.DUMMYFUNCTION("""COMPUTED_VALUE"""),"Europe (excluding UK) &amp; Asia Pacific")</f>
        <v>Europe (excluding UK) &amp; Asia Pacific</v>
      </c>
      <c r="D1140" s="258" t="str">
        <f>IFERROR(__xludf.DUMMYFUNCTION("""COMPUTED_VALUE"""),"km. My car displays range in kilometres and I will enter all range numbers in kilometres.")</f>
        <v>km. My car displays range in kilometres and I will enter all range numbers in kilometres.</v>
      </c>
      <c r="E1140" s="259">
        <f>IFERROR(__xludf.DUMMYFUNCTION("""COMPUTED_VALUE"""),42789.0)</f>
        <v>42789</v>
      </c>
      <c r="F1140" s="258" t="str">
        <f>IFERROR(__xludf.DUMMYFUNCTION("""COMPUTED_VALUE"""),"Model S 90D")</f>
        <v>Model S 90D</v>
      </c>
      <c r="G1140" s="258" t="str">
        <f>IFERROR(__xludf.DUMMYFUNCTION("""COMPUTED_VALUE"""),"Twice a month")</f>
        <v>Twice a month</v>
      </c>
      <c r="H1140" s="258" t="str">
        <f>IFERROR(__xludf.DUMMYFUNCTION("""COMPUTED_VALUE"""),"Twice a month")</f>
        <v>Twice a month</v>
      </c>
      <c r="I1140" s="258" t="str">
        <f>IFERROR(__xludf.DUMMYFUNCTION("""COMPUTED_VALUE"""),"Once or twice a year")</f>
        <v>Once or twice a year</v>
      </c>
      <c r="J1140" s="260">
        <f>IFERROR(__xludf.DUMMYFUNCTION("""COMPUTED_VALUE"""),0.9)</f>
        <v>0.9</v>
      </c>
      <c r="K1140" s="258">
        <f>IFERROR(__xludf.DUMMYFUNCTION("""COMPUTED_VALUE"""),460.0)</f>
        <v>460</v>
      </c>
      <c r="L1140" s="258" t="str">
        <f>IFERROR(__xludf.DUMMYFUNCTION("""COMPUTED_VALUE"""),"")</f>
        <v/>
      </c>
      <c r="M1140" s="261">
        <f>IFERROR(__xludf.DUMMYFUNCTION("""COMPUTED_VALUE"""),214.0)</f>
        <v>214</v>
      </c>
      <c r="N1140" s="262" t="str">
        <f>IFERROR(__xludf.DUMMYFUNCTION("""COMPUTED_VALUE"""),"")</f>
        <v/>
      </c>
      <c r="O1140" s="259" t="str">
        <f>IFERROR(__xludf.DUMMYFUNCTION("""COMPUTED_VALUE"""),"")</f>
        <v/>
      </c>
      <c r="P1140" s="259">
        <f>IFERROR(__xludf.DUMMYFUNCTION("""COMPUTED_VALUE"""),42875.0)</f>
        <v>42875</v>
      </c>
      <c r="Q1140" s="258">
        <f>IFERROR(__xludf.DUMMYFUNCTION("""COMPUTED_VALUE"""),8600.0)</f>
        <v>8600</v>
      </c>
      <c r="R1140" s="261">
        <f>IFERROR(__xludf.DUMMYFUNCTION("""COMPUTED_VALUE"""),455.0)</f>
        <v>455</v>
      </c>
      <c r="S1140" s="258">
        <v>447.0</v>
      </c>
      <c r="T1140" s="263">
        <v>1.0178970917225951</v>
      </c>
      <c r="U1140" s="264">
        <v>5344.0</v>
      </c>
      <c r="V1140" s="265">
        <v>8600.0</v>
      </c>
      <c r="W1140" s="264">
        <v>5344.0</v>
      </c>
      <c r="X1140" s="266"/>
      <c r="Y1140" s="267">
        <v>-0.01</v>
      </c>
      <c r="Z1140" s="267">
        <v>0.9860390307674075</v>
      </c>
      <c r="AA1140" s="269"/>
      <c r="AB1140" s="270"/>
      <c r="AC1140" s="270"/>
      <c r="AD1140" s="270"/>
      <c r="AE1140" s="270"/>
    </row>
    <row r="1141">
      <c r="A1141" s="256">
        <f>IFERROR(__xludf.DUMMYFUNCTION("""COMPUTED_VALUE"""),42936.56319444445)</f>
        <v>42936.56319</v>
      </c>
      <c r="B1141" s="257" t="str">
        <f>IFERROR(__xludf.DUMMYFUNCTION("""COMPUTED_VALUE"""),"peters25")</f>
        <v>peters25</v>
      </c>
      <c r="C1141" s="258" t="str">
        <f>IFERROR(__xludf.DUMMYFUNCTION("""COMPUTED_VALUE"""),"Europe (excluding UK) &amp; Asia Pacific")</f>
        <v>Europe (excluding UK) &amp; Asia Pacific</v>
      </c>
      <c r="D1141" s="258" t="str">
        <f>IFERROR(__xludf.DUMMYFUNCTION("""COMPUTED_VALUE"""),"km. My car displays range in kilometres and I will enter all range numbers in kilometres.")</f>
        <v>km. My car displays range in kilometres and I will enter all range numbers in kilometres.</v>
      </c>
      <c r="E1141" s="259">
        <f>IFERROR(__xludf.DUMMYFUNCTION("""COMPUTED_VALUE"""),42789.0)</f>
        <v>42789</v>
      </c>
      <c r="F1141" s="258" t="str">
        <f>IFERROR(__xludf.DUMMYFUNCTION("""COMPUTED_VALUE"""),"Model S 90D")</f>
        <v>Model S 90D</v>
      </c>
      <c r="G1141" s="258" t="str">
        <f>IFERROR(__xludf.DUMMYFUNCTION("""COMPUTED_VALUE"""),"Twice a month")</f>
        <v>Twice a month</v>
      </c>
      <c r="H1141" s="258" t="str">
        <f>IFERROR(__xludf.DUMMYFUNCTION("""COMPUTED_VALUE"""),"Monthly")</f>
        <v>Monthly</v>
      </c>
      <c r="I1141" s="258" t="str">
        <f>IFERROR(__xludf.DUMMYFUNCTION("""COMPUTED_VALUE"""),"A few times a year")</f>
        <v>A few times a year</v>
      </c>
      <c r="J1141" s="260">
        <f>IFERROR(__xludf.DUMMYFUNCTION("""COMPUTED_VALUE"""),0.9)</f>
        <v>0.9</v>
      </c>
      <c r="K1141" s="258">
        <f>IFERROR(__xludf.DUMMYFUNCTION("""COMPUTED_VALUE"""),460.0)</f>
        <v>460</v>
      </c>
      <c r="L1141" s="258" t="str">
        <f>IFERROR(__xludf.DUMMYFUNCTION("""COMPUTED_VALUE"""),"")</f>
        <v/>
      </c>
      <c r="M1141" s="261">
        <f>IFERROR(__xludf.DUMMYFUNCTION("""COMPUTED_VALUE"""),207.0)</f>
        <v>207</v>
      </c>
      <c r="N1141" s="262" t="str">
        <f>IFERROR(__xludf.DUMMYFUNCTION("""COMPUTED_VALUE"""),"")</f>
        <v/>
      </c>
      <c r="O1141" s="259" t="str">
        <f>IFERROR(__xludf.DUMMYFUNCTION("""COMPUTED_VALUE"""),"")</f>
        <v/>
      </c>
      <c r="P1141" s="259">
        <f>IFERROR(__xludf.DUMMYFUNCTION("""COMPUTED_VALUE"""),42936.0)</f>
        <v>42936</v>
      </c>
      <c r="Q1141" s="258">
        <f>IFERROR(__xludf.DUMMYFUNCTION("""COMPUTED_VALUE"""),13977.0)</f>
        <v>13977</v>
      </c>
      <c r="R1141" s="261">
        <f>IFERROR(__xludf.DUMMYFUNCTION("""COMPUTED_VALUE"""),453.0)</f>
        <v>453</v>
      </c>
      <c r="S1141" s="258">
        <v>447.0</v>
      </c>
      <c r="T1141" s="263">
        <v>1.0134228187919463</v>
      </c>
      <c r="U1141" s="264">
        <v>8685.0</v>
      </c>
      <c r="V1141" s="265">
        <v>13977.0</v>
      </c>
      <c r="W1141" s="264">
        <v>8685.0</v>
      </c>
      <c r="X1141" s="266"/>
      <c r="Y1141" s="267">
        <v>-0.01</v>
      </c>
      <c r="Z1141" s="267">
        <v>0.9798420640247758</v>
      </c>
      <c r="AA1141" s="269"/>
      <c r="AB1141" s="270"/>
      <c r="AC1141" s="270"/>
      <c r="AD1141" s="270"/>
      <c r="AE1141" s="270"/>
    </row>
    <row r="1142">
      <c r="A1142" s="256">
        <f>IFERROR(__xludf.DUMMYFUNCTION("""COMPUTED_VALUE"""),42968.58333333333)</f>
        <v>42968.58333</v>
      </c>
      <c r="B1142" s="257" t="str">
        <f>IFERROR(__xludf.DUMMYFUNCTION("""COMPUTED_VALUE"""),"Phil V")</f>
        <v>Phil V</v>
      </c>
      <c r="C1142" s="258" t="str">
        <f>IFERROR(__xludf.DUMMYFUNCTION("""COMPUTED_VALUE"""),"Europe (excluding UK) &amp; Asia Pacific")</f>
        <v>Europe (excluding UK) &amp; Asia Pacific</v>
      </c>
      <c r="D1142" s="258" t="str">
        <f>IFERROR(__xludf.DUMMYFUNCTION("""COMPUTED_VALUE"""),"km. My car displays range in kilometres and I will enter all range numbers in kilometres.")</f>
        <v>km. My car displays range in kilometres and I will enter all range numbers in kilometres.</v>
      </c>
      <c r="E1142" s="259">
        <f>IFERROR(__xludf.DUMMYFUNCTION("""COMPUTED_VALUE"""),42551.0)</f>
        <v>42551</v>
      </c>
      <c r="F1142" s="258" t="str">
        <f>IFERROR(__xludf.DUMMYFUNCTION("""COMPUTED_VALUE"""),"Model S 90D")</f>
        <v>Model S 90D</v>
      </c>
      <c r="G1142" s="258" t="str">
        <f>IFERROR(__xludf.DUMMYFUNCTION("""COMPUTED_VALUE"""),"Twice a week")</f>
        <v>Twice a week</v>
      </c>
      <c r="H1142" s="258" t="str">
        <f>IFERROR(__xludf.DUMMYFUNCTION("""COMPUTED_VALUE"""),"A few times a year")</f>
        <v>A few times a year</v>
      </c>
      <c r="I1142" s="258" t="str">
        <f>IFERROR(__xludf.DUMMYFUNCTION("""COMPUTED_VALUE"""),"Twice a month")</f>
        <v>Twice a month</v>
      </c>
      <c r="J1142" s="260">
        <f>IFERROR(__xludf.DUMMYFUNCTION("""COMPUTED_VALUE"""),0.6)</f>
        <v>0.6</v>
      </c>
      <c r="K1142" s="258" t="str">
        <f>IFERROR(__xludf.DUMMYFUNCTION("""COMPUTED_VALUE"""),"")</f>
        <v/>
      </c>
      <c r="L1142" s="258" t="str">
        <f>IFERROR(__xludf.DUMMYFUNCTION("""COMPUTED_VALUE"""),"")</f>
        <v/>
      </c>
      <c r="M1142" s="261">
        <f>IFERROR(__xludf.DUMMYFUNCTION("""COMPUTED_VALUE"""),216.0)</f>
        <v>216</v>
      </c>
      <c r="N1142" s="262" t="str">
        <f>IFERROR(__xludf.DUMMYFUNCTION("""COMPUTED_VALUE"""),"")</f>
        <v/>
      </c>
      <c r="O1142" s="259" t="str">
        <f>IFERROR(__xludf.DUMMYFUNCTION("""COMPUTED_VALUE"""),"")</f>
        <v/>
      </c>
      <c r="P1142" s="259">
        <f>IFERROR(__xludf.DUMMYFUNCTION("""COMPUTED_VALUE"""),42968.0)</f>
        <v>42968</v>
      </c>
      <c r="Q1142" s="258">
        <f>IFERROR(__xludf.DUMMYFUNCTION("""COMPUTED_VALUE"""),45389.0)</f>
        <v>45389</v>
      </c>
      <c r="R1142" s="261">
        <f>IFERROR(__xludf.DUMMYFUNCTION("""COMPUTED_VALUE"""),425.0)</f>
        <v>425</v>
      </c>
      <c r="S1142" s="258">
        <v>447.0</v>
      </c>
      <c r="T1142" s="263">
        <v>0.9507829977628636</v>
      </c>
      <c r="U1142" s="264">
        <v>28203.0</v>
      </c>
      <c r="V1142" s="265">
        <v>45389.0</v>
      </c>
      <c r="W1142" s="264">
        <v>28203.0</v>
      </c>
      <c r="X1142" s="266"/>
      <c r="Y1142" s="267">
        <v>-0.01</v>
      </c>
      <c r="Z1142" s="267">
        <v>0.9612653329422961</v>
      </c>
      <c r="AA1142" s="269"/>
      <c r="AB1142" s="270"/>
      <c r="AC1142" s="270"/>
      <c r="AD1142" s="270"/>
      <c r="AE1142" s="270"/>
    </row>
    <row r="1143">
      <c r="A1143" s="256">
        <f>IFERROR(__xludf.DUMMYFUNCTION("""COMPUTED_VALUE"""),43201.71875)</f>
        <v>43201.71875</v>
      </c>
      <c r="B1143" s="257" t="str">
        <f>IFERROR(__xludf.DUMMYFUNCTION("""COMPUTED_VALUE"""),"Phil V")</f>
        <v>Phil V</v>
      </c>
      <c r="C1143" s="258" t="str">
        <f>IFERROR(__xludf.DUMMYFUNCTION("""COMPUTED_VALUE"""),"Europe (excluding UK) &amp; Asia Pacific")</f>
        <v>Europe (excluding UK) &amp; Asia Pacific</v>
      </c>
      <c r="D1143" s="258" t="str">
        <f>IFERROR(__xludf.DUMMYFUNCTION("""COMPUTED_VALUE"""),"km. My car displays range in kilometres and I will enter all range numbers in kilometres.")</f>
        <v>km. My car displays range in kilometres and I will enter all range numbers in kilometres.</v>
      </c>
      <c r="E1143" s="259">
        <f>IFERROR(__xludf.DUMMYFUNCTION("""COMPUTED_VALUE"""),42551.0)</f>
        <v>42551</v>
      </c>
      <c r="F1143" s="258" t="str">
        <f>IFERROR(__xludf.DUMMYFUNCTION("""COMPUTED_VALUE"""),"Model S 90D")</f>
        <v>Model S 90D</v>
      </c>
      <c r="G1143" s="258" t="str">
        <f>IFERROR(__xludf.DUMMYFUNCTION("""COMPUTED_VALUE"""),"Daily")</f>
        <v>Daily</v>
      </c>
      <c r="H1143" s="258" t="str">
        <f>IFERROR(__xludf.DUMMYFUNCTION("""COMPUTED_VALUE"""),"Once or twice a year")</f>
        <v>Once or twice a year</v>
      </c>
      <c r="I1143" s="258" t="str">
        <f>IFERROR(__xludf.DUMMYFUNCTION("""COMPUTED_VALUE"""),"A few times a year")</f>
        <v>A few times a year</v>
      </c>
      <c r="J1143" s="260">
        <f>IFERROR(__xludf.DUMMYFUNCTION("""COMPUTED_VALUE"""),0.6)</f>
        <v>0.6</v>
      </c>
      <c r="K1143" s="258" t="str">
        <f>IFERROR(__xludf.DUMMYFUNCTION("""COMPUTED_VALUE"""),"")</f>
        <v/>
      </c>
      <c r="L1143" s="258" t="str">
        <f>IFERROR(__xludf.DUMMYFUNCTION("""COMPUTED_VALUE"""),"")</f>
        <v/>
      </c>
      <c r="M1143" s="261">
        <f>IFERROR(__xludf.DUMMYFUNCTION("""COMPUTED_VALUE"""),217.0)</f>
        <v>217</v>
      </c>
      <c r="N1143" s="262" t="str">
        <f>IFERROR(__xludf.DUMMYFUNCTION("""COMPUTED_VALUE"""),"")</f>
        <v/>
      </c>
      <c r="O1143" s="259" t="str">
        <f>IFERROR(__xludf.DUMMYFUNCTION("""COMPUTED_VALUE"""),"")</f>
        <v/>
      </c>
      <c r="P1143" s="259">
        <f>IFERROR(__xludf.DUMMYFUNCTION("""COMPUTED_VALUE"""),43201.0)</f>
        <v>43201</v>
      </c>
      <c r="Q1143" s="258">
        <f>IFERROR(__xludf.DUMMYFUNCTION("""COMPUTED_VALUE"""),74117.0)</f>
        <v>74117</v>
      </c>
      <c r="R1143" s="261">
        <f>IFERROR(__xludf.DUMMYFUNCTION("""COMPUTED_VALUE"""),422.0)</f>
        <v>422</v>
      </c>
      <c r="S1143" s="258">
        <v>447.0</v>
      </c>
      <c r="T1143" s="263">
        <v>0.9440715883668904</v>
      </c>
      <c r="U1143" s="264">
        <v>46054.0</v>
      </c>
      <c r="V1143" s="265">
        <v>74117.0</v>
      </c>
      <c r="W1143" s="264">
        <v>46054.0</v>
      </c>
      <c r="X1143" s="266"/>
      <c r="Y1143" s="267">
        <v>-0.01</v>
      </c>
      <c r="Z1143" s="267">
        <v>0.9528739124488977</v>
      </c>
      <c r="AA1143" s="269"/>
      <c r="AB1143" s="270"/>
      <c r="AC1143" s="270"/>
      <c r="AD1143" s="270"/>
      <c r="AE1143" s="270"/>
    </row>
    <row r="1144">
      <c r="A1144" s="256">
        <f>IFERROR(__xludf.DUMMYFUNCTION("""COMPUTED_VALUE"""),43794.51601541666)</f>
        <v>43794.51602</v>
      </c>
      <c r="B1144" s="257" t="str">
        <f>IFERROR(__xludf.DUMMYFUNCTION("""COMPUTED_VALUE"""),"Phil V")</f>
        <v>Phil V</v>
      </c>
      <c r="C1144" s="258" t="str">
        <f>IFERROR(__xludf.DUMMYFUNCTION("""COMPUTED_VALUE"""),"Europe (excluding UK) &amp; Asia Pacific")</f>
        <v>Europe (excluding UK) &amp; Asia Pacific</v>
      </c>
      <c r="D1144" s="258" t="str">
        <f>IFERROR(__xludf.DUMMYFUNCTION("""COMPUTED_VALUE"""),"km. My car displays range in kilometres and I will enter all range numbers in kilometres.")</f>
        <v>km. My car displays range in kilometres and I will enter all range numbers in kilometres.</v>
      </c>
      <c r="E1144" s="259">
        <f>IFERROR(__xludf.DUMMYFUNCTION("""COMPUTED_VALUE"""),42551.0)</f>
        <v>42551</v>
      </c>
      <c r="F1144" s="258" t="str">
        <f>IFERROR(__xludf.DUMMYFUNCTION("""COMPUTED_VALUE"""),"Model S 90D")</f>
        <v>Model S 90D</v>
      </c>
      <c r="G1144" s="258" t="str">
        <f>IFERROR(__xludf.DUMMYFUNCTION("""COMPUTED_VALUE"""),"Twice a week")</f>
        <v>Twice a week</v>
      </c>
      <c r="H1144" s="258" t="str">
        <f>IFERROR(__xludf.DUMMYFUNCTION("""COMPUTED_VALUE"""),"A few times a year")</f>
        <v>A few times a year</v>
      </c>
      <c r="I1144" s="258" t="str">
        <f>IFERROR(__xludf.DUMMYFUNCTION("""COMPUTED_VALUE"""),"A few times a year")</f>
        <v>A few times a year</v>
      </c>
      <c r="J1144" s="260">
        <f>IFERROR(__xludf.DUMMYFUNCTION("""COMPUTED_VALUE"""),0.8)</f>
        <v>0.8</v>
      </c>
      <c r="K1144" s="258" t="str">
        <f>IFERROR(__xludf.DUMMYFUNCTION("""COMPUTED_VALUE"""),"")</f>
        <v/>
      </c>
      <c r="L1144" s="258" t="str">
        <f>IFERROR(__xludf.DUMMYFUNCTION("""COMPUTED_VALUE"""),"")</f>
        <v/>
      </c>
      <c r="M1144" s="261">
        <f>IFERROR(__xludf.DUMMYFUNCTION("""COMPUTED_VALUE"""),211.0)</f>
        <v>211</v>
      </c>
      <c r="N1144" s="262" t="str">
        <f>IFERROR(__xludf.DUMMYFUNCTION("""COMPUTED_VALUE"""),"")</f>
        <v/>
      </c>
      <c r="O1144" s="259" t="str">
        <f>IFERROR(__xludf.DUMMYFUNCTION("""COMPUTED_VALUE"""),"")</f>
        <v/>
      </c>
      <c r="P1144" s="259">
        <f>IFERROR(__xludf.DUMMYFUNCTION("""COMPUTED_VALUE"""),43596.0)</f>
        <v>43596</v>
      </c>
      <c r="Q1144" s="258">
        <f>IFERROR(__xludf.DUMMYFUNCTION("""COMPUTED_VALUE"""),120500.0)</f>
        <v>120500</v>
      </c>
      <c r="R1144" s="261">
        <f>IFERROR(__xludf.DUMMYFUNCTION("""COMPUTED_VALUE"""),413.0)</f>
        <v>413</v>
      </c>
      <c r="S1144" s="258">
        <v>447.0</v>
      </c>
      <c r="T1144" s="263">
        <v>0.9239373601789709</v>
      </c>
      <c r="U1144" s="264">
        <v>74875.0</v>
      </c>
      <c r="V1144" s="265">
        <v>120500.0</v>
      </c>
      <c r="W1144" s="264">
        <v>74875.0</v>
      </c>
      <c r="X1144" s="266"/>
      <c r="Y1144" s="267">
        <v>-0.01</v>
      </c>
      <c r="Z1144" s="267">
        <v>0.941794128526865</v>
      </c>
      <c r="AA1144" s="269"/>
      <c r="AB1144" s="270"/>
      <c r="AC1144" s="270"/>
      <c r="AD1144" s="270"/>
      <c r="AE1144" s="270"/>
    </row>
    <row r="1145">
      <c r="A1145" s="256">
        <f>IFERROR(__xludf.DUMMYFUNCTION("""COMPUTED_VALUE"""),43794.51601541666)</f>
        <v>43794.51602</v>
      </c>
      <c r="B1145" s="257" t="str">
        <f>IFERROR(__xludf.DUMMYFUNCTION("""COMPUTED_VALUE"""),"Phil V")</f>
        <v>Phil V</v>
      </c>
      <c r="C1145" s="258" t="str">
        <f>IFERROR(__xludf.DUMMYFUNCTION("""COMPUTED_VALUE"""),"Europe (excluding UK) &amp; Asia Pacific")</f>
        <v>Europe (excluding UK) &amp; Asia Pacific</v>
      </c>
      <c r="D1145" s="258" t="str">
        <f>IFERROR(__xludf.DUMMYFUNCTION("""COMPUTED_VALUE"""),"km. My car displays range in kilometres and I will enter all range numbers in kilometres.")</f>
        <v>km. My car displays range in kilometres and I will enter all range numbers in kilometres.</v>
      </c>
      <c r="E1145" s="259">
        <f>IFERROR(__xludf.DUMMYFUNCTION("""COMPUTED_VALUE"""),42551.0)</f>
        <v>42551</v>
      </c>
      <c r="F1145" s="258" t="str">
        <f>IFERROR(__xludf.DUMMYFUNCTION("""COMPUTED_VALUE"""),"Model S 90D")</f>
        <v>Model S 90D</v>
      </c>
      <c r="G1145" s="258" t="str">
        <f>IFERROR(__xludf.DUMMYFUNCTION("""COMPUTED_VALUE"""),"Twice a week")</f>
        <v>Twice a week</v>
      </c>
      <c r="H1145" s="258" t="str">
        <f>IFERROR(__xludf.DUMMYFUNCTION("""COMPUTED_VALUE"""),"A few times a year")</f>
        <v>A few times a year</v>
      </c>
      <c r="I1145" s="258" t="str">
        <f>IFERROR(__xludf.DUMMYFUNCTION("""COMPUTED_VALUE"""),"A few times a year")</f>
        <v>A few times a year</v>
      </c>
      <c r="J1145" s="260">
        <f>IFERROR(__xludf.DUMMYFUNCTION("""COMPUTED_VALUE"""),0.8)</f>
        <v>0.8</v>
      </c>
      <c r="K1145" s="258" t="str">
        <f>IFERROR(__xludf.DUMMYFUNCTION("""COMPUTED_VALUE"""),"")</f>
        <v/>
      </c>
      <c r="L1145" s="258" t="str">
        <f>IFERROR(__xludf.DUMMYFUNCTION("""COMPUTED_VALUE"""),"")</f>
        <v/>
      </c>
      <c r="M1145" s="261">
        <f>IFERROR(__xludf.DUMMYFUNCTION("""COMPUTED_VALUE"""),211.0)</f>
        <v>211</v>
      </c>
      <c r="N1145" s="262" t="str">
        <f>IFERROR(__xludf.DUMMYFUNCTION("""COMPUTED_VALUE"""),"")</f>
        <v/>
      </c>
      <c r="O1145" s="259" t="str">
        <f>IFERROR(__xludf.DUMMYFUNCTION("""COMPUTED_VALUE"""),"")</f>
        <v/>
      </c>
      <c r="P1145" s="259">
        <f>IFERROR(__xludf.DUMMYFUNCTION("""COMPUTED_VALUE"""),43045.0)</f>
        <v>43045</v>
      </c>
      <c r="Q1145" s="258">
        <f>IFERROR(__xludf.DUMMYFUNCTION("""COMPUTED_VALUE"""),55961.0)</f>
        <v>55961</v>
      </c>
      <c r="R1145" s="261">
        <f>IFERROR(__xludf.DUMMYFUNCTION("""COMPUTED_VALUE"""),424.0)</f>
        <v>424</v>
      </c>
      <c r="S1145" s="258">
        <v>447.0</v>
      </c>
      <c r="T1145" s="263">
        <v>0.9485458612975392</v>
      </c>
      <c r="U1145" s="264">
        <v>34773.0</v>
      </c>
      <c r="V1145" s="265">
        <v>55961.0</v>
      </c>
      <c r="W1145" s="264">
        <v>34773.0</v>
      </c>
      <c r="X1145" s="266"/>
      <c r="Y1145" s="267">
        <v>-0.01</v>
      </c>
      <c r="Z1145" s="267">
        <v>0.9578283866700813</v>
      </c>
      <c r="AA1145" s="269"/>
      <c r="AB1145" s="270"/>
      <c r="AC1145" s="270"/>
      <c r="AD1145" s="270"/>
      <c r="AE1145" s="270"/>
    </row>
    <row r="1146">
      <c r="A1146" s="256">
        <f>IFERROR(__xludf.DUMMYFUNCTION("""COMPUTED_VALUE"""),43794.51601541666)</f>
        <v>43794.51602</v>
      </c>
      <c r="B1146" s="257" t="str">
        <f>IFERROR(__xludf.DUMMYFUNCTION("""COMPUTED_VALUE"""),"Phil V")</f>
        <v>Phil V</v>
      </c>
      <c r="C1146" s="258" t="str">
        <f>IFERROR(__xludf.DUMMYFUNCTION("""COMPUTED_VALUE"""),"Europe (excluding UK) &amp; Asia Pacific")</f>
        <v>Europe (excluding UK) &amp; Asia Pacific</v>
      </c>
      <c r="D1146" s="258" t="str">
        <f>IFERROR(__xludf.DUMMYFUNCTION("""COMPUTED_VALUE"""),"km. My car displays range in kilometres and I will enter all range numbers in kilometres.")</f>
        <v>km. My car displays range in kilometres and I will enter all range numbers in kilometres.</v>
      </c>
      <c r="E1146" s="259">
        <f>IFERROR(__xludf.DUMMYFUNCTION("""COMPUTED_VALUE"""),42551.0)</f>
        <v>42551</v>
      </c>
      <c r="F1146" s="258" t="str">
        <f>IFERROR(__xludf.DUMMYFUNCTION("""COMPUTED_VALUE"""),"Model S 90D")</f>
        <v>Model S 90D</v>
      </c>
      <c r="G1146" s="258" t="str">
        <f>IFERROR(__xludf.DUMMYFUNCTION("""COMPUTED_VALUE"""),"Twice a week")</f>
        <v>Twice a week</v>
      </c>
      <c r="H1146" s="258" t="str">
        <f>IFERROR(__xludf.DUMMYFUNCTION("""COMPUTED_VALUE"""),"A few times a year")</f>
        <v>A few times a year</v>
      </c>
      <c r="I1146" s="258" t="str">
        <f>IFERROR(__xludf.DUMMYFUNCTION("""COMPUTED_VALUE"""),"A few times a year")</f>
        <v>A few times a year</v>
      </c>
      <c r="J1146" s="260">
        <f>IFERROR(__xludf.DUMMYFUNCTION("""COMPUTED_VALUE"""),0.8)</f>
        <v>0.8</v>
      </c>
      <c r="K1146" s="258" t="str">
        <f>IFERROR(__xludf.DUMMYFUNCTION("""COMPUTED_VALUE"""),"")</f>
        <v/>
      </c>
      <c r="L1146" s="258" t="str">
        <f>IFERROR(__xludf.DUMMYFUNCTION("""COMPUTED_VALUE"""),"")</f>
        <v/>
      </c>
      <c r="M1146" s="261">
        <f>IFERROR(__xludf.DUMMYFUNCTION("""COMPUTED_VALUE"""),211.0)</f>
        <v>211</v>
      </c>
      <c r="N1146" s="262" t="str">
        <f>IFERROR(__xludf.DUMMYFUNCTION("""COMPUTED_VALUE"""),"")</f>
        <v/>
      </c>
      <c r="O1146" s="259" t="str">
        <f>IFERROR(__xludf.DUMMYFUNCTION("""COMPUTED_VALUE"""),"")</f>
        <v/>
      </c>
      <c r="P1146" s="259">
        <f>IFERROR(__xludf.DUMMYFUNCTION("""COMPUTED_VALUE"""),43672.0)</f>
        <v>43672</v>
      </c>
      <c r="Q1146" s="258">
        <f>IFERROR(__xludf.DUMMYFUNCTION("""COMPUTED_VALUE"""),127000.0)</f>
        <v>127000</v>
      </c>
      <c r="R1146" s="261">
        <f>IFERROR(__xludf.DUMMYFUNCTION("""COMPUTED_VALUE"""),417.0)</f>
        <v>417</v>
      </c>
      <c r="S1146" s="258">
        <v>447.0</v>
      </c>
      <c r="T1146" s="263">
        <v>0.9328859060402684</v>
      </c>
      <c r="U1146" s="264">
        <v>78914.0</v>
      </c>
      <c r="V1146" s="265">
        <v>127000.0</v>
      </c>
      <c r="W1146" s="264">
        <v>78914.0</v>
      </c>
      <c r="X1146" s="266"/>
      <c r="Y1146" s="267">
        <v>-0.01</v>
      </c>
      <c r="Z1146" s="267">
        <v>0.9402862379414435</v>
      </c>
      <c r="AA1146" s="269"/>
      <c r="AB1146" s="270"/>
      <c r="AC1146" s="270"/>
      <c r="AD1146" s="270"/>
      <c r="AE1146" s="270"/>
    </row>
    <row r="1147">
      <c r="A1147" s="256">
        <f>IFERROR(__xludf.DUMMYFUNCTION("""COMPUTED_VALUE"""),43794.51601541666)</f>
        <v>43794.51602</v>
      </c>
      <c r="B1147" s="257" t="str">
        <f>IFERROR(__xludf.DUMMYFUNCTION("""COMPUTED_VALUE"""),"Phil V")</f>
        <v>Phil V</v>
      </c>
      <c r="C1147" s="258" t="str">
        <f>IFERROR(__xludf.DUMMYFUNCTION("""COMPUTED_VALUE"""),"Europe (excluding UK) &amp; Asia Pacific")</f>
        <v>Europe (excluding UK) &amp; Asia Pacific</v>
      </c>
      <c r="D1147" s="258" t="str">
        <f>IFERROR(__xludf.DUMMYFUNCTION("""COMPUTED_VALUE"""),"km. My car displays range in kilometres and I will enter all range numbers in kilometres.")</f>
        <v>km. My car displays range in kilometres and I will enter all range numbers in kilometres.</v>
      </c>
      <c r="E1147" s="259">
        <f>IFERROR(__xludf.DUMMYFUNCTION("""COMPUTED_VALUE"""),42551.0)</f>
        <v>42551</v>
      </c>
      <c r="F1147" s="258" t="str">
        <f>IFERROR(__xludf.DUMMYFUNCTION("""COMPUTED_VALUE"""),"Model S 90D")</f>
        <v>Model S 90D</v>
      </c>
      <c r="G1147" s="258" t="str">
        <f>IFERROR(__xludf.DUMMYFUNCTION("""COMPUTED_VALUE"""),"Twice a week")</f>
        <v>Twice a week</v>
      </c>
      <c r="H1147" s="258" t="str">
        <f>IFERROR(__xludf.DUMMYFUNCTION("""COMPUTED_VALUE"""),"A few times a year")</f>
        <v>A few times a year</v>
      </c>
      <c r="I1147" s="258" t="str">
        <f>IFERROR(__xludf.DUMMYFUNCTION("""COMPUTED_VALUE"""),"A few times a year")</f>
        <v>A few times a year</v>
      </c>
      <c r="J1147" s="260">
        <f>IFERROR(__xludf.DUMMYFUNCTION("""COMPUTED_VALUE"""),0.8)</f>
        <v>0.8</v>
      </c>
      <c r="K1147" s="258" t="str">
        <f>IFERROR(__xludf.DUMMYFUNCTION("""COMPUTED_VALUE"""),"")</f>
        <v/>
      </c>
      <c r="L1147" s="258" t="str">
        <f>IFERROR(__xludf.DUMMYFUNCTION("""COMPUTED_VALUE"""),"")</f>
        <v/>
      </c>
      <c r="M1147" s="261">
        <f>IFERROR(__xludf.DUMMYFUNCTION("""COMPUTED_VALUE"""),211.0)</f>
        <v>211</v>
      </c>
      <c r="N1147" s="262" t="str">
        <f>IFERROR(__xludf.DUMMYFUNCTION("""COMPUTED_VALUE"""),"")</f>
        <v/>
      </c>
      <c r="O1147" s="259" t="str">
        <f>IFERROR(__xludf.DUMMYFUNCTION("""COMPUTED_VALUE"""),"")</f>
        <v/>
      </c>
      <c r="P1147" s="259">
        <f>IFERROR(__xludf.DUMMYFUNCTION("""COMPUTED_VALUE"""),43790.0)</f>
        <v>43790</v>
      </c>
      <c r="Q1147" s="258">
        <f>IFERROR(__xludf.DUMMYFUNCTION("""COMPUTED_VALUE"""),142900.0)</f>
        <v>142900</v>
      </c>
      <c r="R1147" s="261">
        <f>IFERROR(__xludf.DUMMYFUNCTION("""COMPUTED_VALUE"""),413.0)</f>
        <v>413</v>
      </c>
      <c r="S1147" s="258">
        <v>447.0</v>
      </c>
      <c r="T1147" s="263">
        <v>0.9239373601789709</v>
      </c>
      <c r="U1147" s="264">
        <v>88794.0</v>
      </c>
      <c r="V1147" s="265">
        <v>142900.0</v>
      </c>
      <c r="W1147" s="264">
        <v>88794.0</v>
      </c>
      <c r="X1147" s="266"/>
      <c r="Y1147" s="267">
        <v>-0.01</v>
      </c>
      <c r="Z1147" s="267">
        <v>0.9366075418788065</v>
      </c>
      <c r="AA1147" s="269"/>
      <c r="AB1147" s="270"/>
      <c r="AC1147" s="270"/>
      <c r="AD1147" s="270"/>
      <c r="AE1147" s="270"/>
    </row>
    <row r="1148">
      <c r="A1148" s="256">
        <f>IFERROR(__xludf.DUMMYFUNCTION("""COMPUTED_VALUE"""),42359.25833333333)</f>
        <v>42359.25833</v>
      </c>
      <c r="B1148" s="257" t="str">
        <f>IFERROR(__xludf.DUMMYFUNCTION("""COMPUTED_VALUE"""),"Phil_BE")</f>
        <v>Phil_BE</v>
      </c>
      <c r="C1148" s="258" t="str">
        <f>IFERROR(__xludf.DUMMYFUNCTION("""COMPUTED_VALUE"""),"Europe (excluding UK) &amp; Asia Pacific")</f>
        <v>Europe (excluding UK) &amp; Asia Pacific</v>
      </c>
      <c r="D1148" s="258" t="str">
        <f>IFERROR(__xludf.DUMMYFUNCTION("""COMPUTED_VALUE"""),"km. My car displays range in kilometres and I will enter all range numbers in kilometres.")</f>
        <v>km. My car displays range in kilometres and I will enter all range numbers in kilometres.</v>
      </c>
      <c r="E1148" s="259">
        <f>IFERROR(__xludf.DUMMYFUNCTION("""COMPUTED_VALUE"""),42271.0)</f>
        <v>42271</v>
      </c>
      <c r="F1148" s="258" t="str">
        <f>IFERROR(__xludf.DUMMYFUNCTION("""COMPUTED_VALUE"""),"Model S 70D")</f>
        <v>Model S 70D</v>
      </c>
      <c r="G1148" s="258" t="str">
        <f>IFERROR(__xludf.DUMMYFUNCTION("""COMPUTED_VALUE"""),"A few times a year")</f>
        <v>A few times a year</v>
      </c>
      <c r="H1148" s="258" t="str">
        <f>IFERROR(__xludf.DUMMYFUNCTION("""COMPUTED_VALUE"""),"Monthly")</f>
        <v>Monthly</v>
      </c>
      <c r="I1148" s="258" t="str">
        <f>IFERROR(__xludf.DUMMYFUNCTION("""COMPUTED_VALUE"""),"A few times a year")</f>
        <v>A few times a year</v>
      </c>
      <c r="J1148" s="260">
        <f>IFERROR(__xludf.DUMMYFUNCTION("""COMPUTED_VALUE"""),0.9)</f>
        <v>0.9</v>
      </c>
      <c r="K1148" s="258">
        <f>IFERROR(__xludf.DUMMYFUNCTION("""COMPUTED_VALUE"""),365.0)</f>
        <v>365</v>
      </c>
      <c r="L1148" s="258" t="str">
        <f>IFERROR(__xludf.DUMMYFUNCTION("""COMPUTED_VALUE"""),"")</f>
        <v/>
      </c>
      <c r="M1148" s="261">
        <f>IFERROR(__xludf.DUMMYFUNCTION("""COMPUTED_VALUE"""),233.0)</f>
        <v>233</v>
      </c>
      <c r="N1148" s="262" t="str">
        <f>IFERROR(__xludf.DUMMYFUNCTION("""COMPUTED_VALUE"""),"")</f>
        <v/>
      </c>
      <c r="O1148" s="259" t="str">
        <f>IFERROR(__xludf.DUMMYFUNCTION("""COMPUTED_VALUE"""),"")</f>
        <v/>
      </c>
      <c r="P1148" s="259">
        <f>IFERROR(__xludf.DUMMYFUNCTION("""COMPUTED_VALUE"""),42359.0)</f>
        <v>42359</v>
      </c>
      <c r="Q1148" s="258">
        <f>IFERROR(__xludf.DUMMYFUNCTION("""COMPUTED_VALUE"""),3000.0)</f>
        <v>3000</v>
      </c>
      <c r="R1148" s="261">
        <f>IFERROR(__xludf.DUMMYFUNCTION("""COMPUTED_VALUE"""),368.0)</f>
        <v>368</v>
      </c>
      <c r="S1148" s="258">
        <v>360.0</v>
      </c>
      <c r="T1148" s="263">
        <v>1.0222222222222221</v>
      </c>
      <c r="U1148" s="264">
        <v>1864.0</v>
      </c>
      <c r="V1148" s="265">
        <v>3000.0</v>
      </c>
      <c r="W1148" s="264">
        <v>1864.0</v>
      </c>
      <c r="X1148" s="266"/>
      <c r="Y1148" s="267">
        <v>-0.01</v>
      </c>
      <c r="Z1148" s="267">
        <v>0.994435910804903</v>
      </c>
      <c r="AA1148" s="269"/>
      <c r="AB1148" s="270"/>
      <c r="AC1148" s="270"/>
      <c r="AD1148" s="270"/>
      <c r="AE1148" s="270"/>
    </row>
    <row r="1149">
      <c r="A1149" s="256">
        <f>IFERROR(__xludf.DUMMYFUNCTION("""COMPUTED_VALUE"""),42359.325)</f>
        <v>42359.325</v>
      </c>
      <c r="B1149" s="257" t="str">
        <f>IFERROR(__xludf.DUMMYFUNCTION("""COMPUTED_VALUE"""),"Phil_BE")</f>
        <v>Phil_BE</v>
      </c>
      <c r="C1149" s="258" t="str">
        <f>IFERROR(__xludf.DUMMYFUNCTION("""COMPUTED_VALUE"""),"Europe (excluding UK) &amp; Asia Pacific")</f>
        <v>Europe (excluding UK) &amp; Asia Pacific</v>
      </c>
      <c r="D1149" s="258" t="str">
        <f>IFERROR(__xludf.DUMMYFUNCTION("""COMPUTED_VALUE"""),"km. My car displays range in kilometres and I will enter all range numbers in kilometres.")</f>
        <v>km. My car displays range in kilometres and I will enter all range numbers in kilometres.</v>
      </c>
      <c r="E1149" s="259">
        <f>IFERROR(__xludf.DUMMYFUNCTION("""COMPUTED_VALUE"""),42271.0)</f>
        <v>42271</v>
      </c>
      <c r="F1149" s="258" t="str">
        <f>IFERROR(__xludf.DUMMYFUNCTION("""COMPUTED_VALUE"""),"Model S 70D")</f>
        <v>Model S 70D</v>
      </c>
      <c r="G1149" s="258" t="str">
        <f>IFERROR(__xludf.DUMMYFUNCTION("""COMPUTED_VALUE"""),"A few times a year")</f>
        <v>A few times a year</v>
      </c>
      <c r="H1149" s="258" t="str">
        <f>IFERROR(__xludf.DUMMYFUNCTION("""COMPUTED_VALUE"""),"Monthly")</f>
        <v>Monthly</v>
      </c>
      <c r="I1149" s="258" t="str">
        <f>IFERROR(__xludf.DUMMYFUNCTION("""COMPUTED_VALUE"""),"A few times a year")</f>
        <v>A few times a year</v>
      </c>
      <c r="J1149" s="260">
        <f>IFERROR(__xludf.DUMMYFUNCTION("""COMPUTED_VALUE"""),0.9)</f>
        <v>0.9</v>
      </c>
      <c r="K1149" s="258">
        <f>IFERROR(__xludf.DUMMYFUNCTION("""COMPUTED_VALUE"""),365.0)</f>
        <v>365</v>
      </c>
      <c r="L1149" s="258" t="str">
        <f>IFERROR(__xludf.DUMMYFUNCTION("""COMPUTED_VALUE"""),"")</f>
        <v/>
      </c>
      <c r="M1149" s="261">
        <f>IFERROR(__xludf.DUMMYFUNCTION("""COMPUTED_VALUE"""),220.0)</f>
        <v>220</v>
      </c>
      <c r="N1149" s="262" t="str">
        <f>IFERROR(__xludf.DUMMYFUNCTION("""COMPUTED_VALUE"""),"")</f>
        <v/>
      </c>
      <c r="O1149" s="259" t="str">
        <f>IFERROR(__xludf.DUMMYFUNCTION("""COMPUTED_VALUE"""),"")</f>
        <v/>
      </c>
      <c r="P1149" s="259">
        <f>IFERROR(__xludf.DUMMYFUNCTION("""COMPUTED_VALUE"""),42359.0)</f>
        <v>42359</v>
      </c>
      <c r="Q1149" s="258">
        <f>IFERROR(__xludf.DUMMYFUNCTION("""COMPUTED_VALUE"""),7800.0)</f>
        <v>7800</v>
      </c>
      <c r="R1149" s="261">
        <f>IFERROR(__xludf.DUMMYFUNCTION("""COMPUTED_VALUE"""),358.0)</f>
        <v>358</v>
      </c>
      <c r="S1149" s="258">
        <v>360.0</v>
      </c>
      <c r="T1149" s="263">
        <v>0.9944444444444445</v>
      </c>
      <c r="U1149" s="264">
        <v>4847.0</v>
      </c>
      <c r="V1149" s="265">
        <v>7800.0</v>
      </c>
      <c r="W1149" s="264">
        <v>4847.0</v>
      </c>
      <c r="X1149" s="266"/>
      <c r="Y1149" s="267">
        <v>-0.01</v>
      </c>
      <c r="Z1149" s="267">
        <v>0.9871025813218355</v>
      </c>
      <c r="AA1149" s="269"/>
      <c r="AB1149" s="270"/>
      <c r="AC1149" s="270"/>
      <c r="AD1149" s="270"/>
      <c r="AE1149" s="270"/>
    </row>
    <row r="1150">
      <c r="A1150" s="256">
        <f>IFERROR(__xludf.DUMMYFUNCTION("""COMPUTED_VALUE"""),43045.631944444445)</f>
        <v>43045.63194</v>
      </c>
      <c r="B1150" s="257" t="str">
        <f>IFERROR(__xludf.DUMMYFUNCTION("""COMPUTED_VALUE"""),"Phil_BE")</f>
        <v>Phil_BE</v>
      </c>
      <c r="C1150" s="258" t="str">
        <f>IFERROR(__xludf.DUMMYFUNCTION("""COMPUTED_VALUE"""),"Europe (excluding UK) &amp; Asia Pacific")</f>
        <v>Europe (excluding UK) &amp; Asia Pacific</v>
      </c>
      <c r="D1150" s="258" t="str">
        <f>IFERROR(__xludf.DUMMYFUNCTION("""COMPUTED_VALUE"""),"km. My car displays range in kilometres and I will enter all range numbers in kilometres.")</f>
        <v>km. My car displays range in kilometres and I will enter all range numbers in kilometres.</v>
      </c>
      <c r="E1150" s="259">
        <f>IFERROR(__xludf.DUMMYFUNCTION("""COMPUTED_VALUE"""),42551.0)</f>
        <v>42551</v>
      </c>
      <c r="F1150" s="258" t="str">
        <f>IFERROR(__xludf.DUMMYFUNCTION("""COMPUTED_VALUE"""),"Model S 90D")</f>
        <v>Model S 90D</v>
      </c>
      <c r="G1150" s="258" t="str">
        <f>IFERROR(__xludf.DUMMYFUNCTION("""COMPUTED_VALUE"""),"Twice a week")</f>
        <v>Twice a week</v>
      </c>
      <c r="H1150" s="258" t="str">
        <f>IFERROR(__xludf.DUMMYFUNCTION("""COMPUTED_VALUE"""),"A few times a year")</f>
        <v>A few times a year</v>
      </c>
      <c r="I1150" s="258" t="str">
        <f>IFERROR(__xludf.DUMMYFUNCTION("""COMPUTED_VALUE"""),"Weekly")</f>
        <v>Weekly</v>
      </c>
      <c r="J1150" s="260">
        <f>IFERROR(__xludf.DUMMYFUNCTION("""COMPUTED_VALUE"""),0.5)</f>
        <v>0.5</v>
      </c>
      <c r="K1150" s="258" t="str">
        <f>IFERROR(__xludf.DUMMYFUNCTION("""COMPUTED_VALUE"""),"")</f>
        <v/>
      </c>
      <c r="L1150" s="258" t="str">
        <f>IFERROR(__xludf.DUMMYFUNCTION("""COMPUTED_VALUE"""),"")</f>
        <v/>
      </c>
      <c r="M1150" s="261">
        <f>IFERROR(__xludf.DUMMYFUNCTION("""COMPUTED_VALUE"""),213.0)</f>
        <v>213</v>
      </c>
      <c r="N1150" s="262" t="str">
        <f>IFERROR(__xludf.DUMMYFUNCTION("""COMPUTED_VALUE"""),"")</f>
        <v/>
      </c>
      <c r="O1150" s="259" t="str">
        <f>IFERROR(__xludf.DUMMYFUNCTION("""COMPUTED_VALUE"""),"")</f>
        <v/>
      </c>
      <c r="P1150" s="259">
        <f>IFERROR(__xludf.DUMMYFUNCTION("""COMPUTED_VALUE"""),43045.0)</f>
        <v>43045</v>
      </c>
      <c r="Q1150" s="258">
        <f>IFERROR(__xludf.DUMMYFUNCTION("""COMPUTED_VALUE"""),55961.0)</f>
        <v>55961</v>
      </c>
      <c r="R1150" s="261">
        <f>IFERROR(__xludf.DUMMYFUNCTION("""COMPUTED_VALUE"""),424.0)</f>
        <v>424</v>
      </c>
      <c r="S1150" s="258">
        <v>447.0</v>
      </c>
      <c r="T1150" s="263">
        <v>0.9485458612975392</v>
      </c>
      <c r="U1150" s="264">
        <v>34773.0</v>
      </c>
      <c r="V1150" s="265">
        <v>55961.0</v>
      </c>
      <c r="W1150" s="264">
        <v>34773.0</v>
      </c>
      <c r="X1150" s="266"/>
      <c r="Y1150" s="267">
        <v>-0.01</v>
      </c>
      <c r="Z1150" s="267">
        <v>0.9578283866700813</v>
      </c>
      <c r="AA1150" s="269"/>
      <c r="AB1150" s="270"/>
      <c r="AC1150" s="270"/>
      <c r="AD1150" s="270"/>
      <c r="AE1150" s="270"/>
    </row>
    <row r="1151">
      <c r="A1151" s="256">
        <f>IFERROR(__xludf.DUMMYFUNCTION("""COMPUTED_VALUE"""),43655.759340069446)</f>
        <v>43655.75934</v>
      </c>
      <c r="B1151" s="257" t="str">
        <f>IFERROR(__xludf.DUMMYFUNCTION("""COMPUTED_VALUE"""),"Phil_BE")</f>
        <v>Phil_BE</v>
      </c>
      <c r="C1151" s="258" t="str">
        <f>IFERROR(__xludf.DUMMYFUNCTION("""COMPUTED_VALUE"""),"Europe (excluding UK) &amp; Asia Pacific")</f>
        <v>Europe (excluding UK) &amp; Asia Pacific</v>
      </c>
      <c r="D1151" s="258" t="str">
        <f>IFERROR(__xludf.DUMMYFUNCTION("""COMPUTED_VALUE"""),"km. My car displays range in kilometres and I will enter all range numbers in kilometres.")</f>
        <v>km. My car displays range in kilometres and I will enter all range numbers in kilometres.</v>
      </c>
      <c r="E1151" s="259">
        <f>IFERROR(__xludf.DUMMYFUNCTION("""COMPUTED_VALUE"""),43686.0)</f>
        <v>43686</v>
      </c>
      <c r="F1151" s="258" t="str">
        <f>IFERROR(__xludf.DUMMYFUNCTION("""COMPUTED_VALUE"""),"Model S 70D")</f>
        <v>Model S 70D</v>
      </c>
      <c r="G1151" s="258" t="str">
        <f>IFERROR(__xludf.DUMMYFUNCTION("""COMPUTED_VALUE"""),"Twice a month")</f>
        <v>Twice a month</v>
      </c>
      <c r="H1151" s="258" t="str">
        <f>IFERROR(__xludf.DUMMYFUNCTION("""COMPUTED_VALUE"""),"A few times a year")</f>
        <v>A few times a year</v>
      </c>
      <c r="I1151" s="258" t="str">
        <f>IFERROR(__xludf.DUMMYFUNCTION("""COMPUTED_VALUE"""),"A few times a year")</f>
        <v>A few times a year</v>
      </c>
      <c r="J1151" s="260" t="str">
        <f>IFERROR(__xludf.DUMMYFUNCTION("""COMPUTED_VALUE"""),"")</f>
        <v/>
      </c>
      <c r="K1151" s="258">
        <f>IFERROR(__xludf.DUMMYFUNCTION("""COMPUTED_VALUE"""),369.0)</f>
        <v>369</v>
      </c>
      <c r="L1151" s="258" t="str">
        <f>IFERROR(__xludf.DUMMYFUNCTION("""COMPUTED_VALUE"""),"")</f>
        <v/>
      </c>
      <c r="M1151" s="261">
        <f>IFERROR(__xludf.DUMMYFUNCTION("""COMPUTED_VALUE"""),202.0)</f>
        <v>202</v>
      </c>
      <c r="N1151" s="262" t="str">
        <f>IFERROR(__xludf.DUMMYFUNCTION("""COMPUTED_VALUE"""),"")</f>
        <v/>
      </c>
      <c r="O1151" s="259" t="str">
        <f>IFERROR(__xludf.DUMMYFUNCTION("""COMPUTED_VALUE"""),"")</f>
        <v/>
      </c>
      <c r="P1151" s="259">
        <f>IFERROR(__xludf.DUMMYFUNCTION("""COMPUTED_VALUE"""),42404.0)</f>
        <v>42404</v>
      </c>
      <c r="Q1151" s="258">
        <f>IFERROR(__xludf.DUMMYFUNCTION("""COMPUTED_VALUE"""),3000.0)</f>
        <v>3000</v>
      </c>
      <c r="R1151" s="261">
        <f>IFERROR(__xludf.DUMMYFUNCTION("""COMPUTED_VALUE"""),362.0)</f>
        <v>362</v>
      </c>
      <c r="S1151" s="258">
        <v>360.0</v>
      </c>
      <c r="T1151" s="263">
        <v>1.0055555555555555</v>
      </c>
      <c r="U1151" s="264">
        <v>1864.0</v>
      </c>
      <c r="V1151" s="265">
        <v>3000.0</v>
      </c>
      <c r="W1151" s="264">
        <v>1864.0</v>
      </c>
      <c r="X1151" s="266"/>
      <c r="Y1151" s="267">
        <v>-0.01</v>
      </c>
      <c r="Z1151" s="267">
        <v>0.994435910804903</v>
      </c>
      <c r="AA1151" s="269"/>
      <c r="AB1151" s="270"/>
      <c r="AC1151" s="270"/>
      <c r="AD1151" s="270"/>
      <c r="AE1151" s="270"/>
    </row>
    <row r="1152">
      <c r="A1152" s="256">
        <f>IFERROR(__xludf.DUMMYFUNCTION("""COMPUTED_VALUE"""),43655.759340069446)</f>
        <v>43655.75934</v>
      </c>
      <c r="B1152" s="257" t="str">
        <f>IFERROR(__xludf.DUMMYFUNCTION("""COMPUTED_VALUE"""),"Phil_BE")</f>
        <v>Phil_BE</v>
      </c>
      <c r="C1152" s="258" t="str">
        <f>IFERROR(__xludf.DUMMYFUNCTION("""COMPUTED_VALUE"""),"Europe (excluding UK) &amp; Asia Pacific")</f>
        <v>Europe (excluding UK) &amp; Asia Pacific</v>
      </c>
      <c r="D1152" s="258" t="str">
        <f>IFERROR(__xludf.DUMMYFUNCTION("""COMPUTED_VALUE"""),"km. My car displays range in kilometres and I will enter all range numbers in kilometres.")</f>
        <v>km. My car displays range in kilometres and I will enter all range numbers in kilometres.</v>
      </c>
      <c r="E1152" s="259">
        <f>IFERROR(__xludf.DUMMYFUNCTION("""COMPUTED_VALUE"""),43686.0)</f>
        <v>43686</v>
      </c>
      <c r="F1152" s="258" t="str">
        <f>IFERROR(__xludf.DUMMYFUNCTION("""COMPUTED_VALUE"""),"Model S 70D")</f>
        <v>Model S 70D</v>
      </c>
      <c r="G1152" s="258" t="str">
        <f>IFERROR(__xludf.DUMMYFUNCTION("""COMPUTED_VALUE"""),"Twice a month")</f>
        <v>Twice a month</v>
      </c>
      <c r="H1152" s="258" t="str">
        <f>IFERROR(__xludf.DUMMYFUNCTION("""COMPUTED_VALUE"""),"A few times a year")</f>
        <v>A few times a year</v>
      </c>
      <c r="I1152" s="258" t="str">
        <f>IFERROR(__xludf.DUMMYFUNCTION("""COMPUTED_VALUE"""),"A few times a year")</f>
        <v>A few times a year</v>
      </c>
      <c r="J1152" s="260" t="str">
        <f>IFERROR(__xludf.DUMMYFUNCTION("""COMPUTED_VALUE"""),"")</f>
        <v/>
      </c>
      <c r="K1152" s="258">
        <f>IFERROR(__xludf.DUMMYFUNCTION("""COMPUTED_VALUE"""),369.0)</f>
        <v>369</v>
      </c>
      <c r="L1152" s="258" t="str">
        <f>IFERROR(__xludf.DUMMYFUNCTION("""COMPUTED_VALUE"""),"")</f>
        <v/>
      </c>
      <c r="M1152" s="261">
        <f>IFERROR(__xludf.DUMMYFUNCTION("""COMPUTED_VALUE"""),202.0)</f>
        <v>202</v>
      </c>
      <c r="N1152" s="262" t="str">
        <f>IFERROR(__xludf.DUMMYFUNCTION("""COMPUTED_VALUE"""),"")</f>
        <v/>
      </c>
      <c r="O1152" s="259" t="str">
        <f>IFERROR(__xludf.DUMMYFUNCTION("""COMPUTED_VALUE"""),"")</f>
        <v/>
      </c>
      <c r="P1152" s="259">
        <f>IFERROR(__xludf.DUMMYFUNCTION("""COMPUTED_VALUE"""),42548.0)</f>
        <v>42548</v>
      </c>
      <c r="Q1152" s="258">
        <f>IFERROR(__xludf.DUMMYFUNCTION("""COMPUTED_VALUE"""),12000.0)</f>
        <v>12000</v>
      </c>
      <c r="R1152" s="261">
        <f>IFERROR(__xludf.DUMMYFUNCTION("""COMPUTED_VALUE"""),358.0)</f>
        <v>358</v>
      </c>
      <c r="S1152" s="258">
        <v>360.0</v>
      </c>
      <c r="T1152" s="263">
        <v>0.9944444444444445</v>
      </c>
      <c r="U1152" s="264">
        <v>7456.0</v>
      </c>
      <c r="V1152" s="265">
        <v>12000.0</v>
      </c>
      <c r="W1152" s="264">
        <v>7456.0</v>
      </c>
      <c r="X1152" s="266"/>
      <c r="Y1152" s="267">
        <v>-0.01</v>
      </c>
      <c r="Z1152" s="267">
        <v>0.9819432340176522</v>
      </c>
      <c r="AA1152" s="269"/>
      <c r="AB1152" s="270"/>
      <c r="AC1152" s="270"/>
      <c r="AD1152" s="270"/>
      <c r="AE1152" s="270"/>
    </row>
    <row r="1153">
      <c r="A1153" s="256">
        <f>IFERROR(__xludf.DUMMYFUNCTION("""COMPUTED_VALUE"""),43655.759340069446)</f>
        <v>43655.75934</v>
      </c>
      <c r="B1153" s="257" t="str">
        <f>IFERROR(__xludf.DUMMYFUNCTION("""COMPUTED_VALUE"""),"Phil_BE")</f>
        <v>Phil_BE</v>
      </c>
      <c r="C1153" s="258" t="str">
        <f>IFERROR(__xludf.DUMMYFUNCTION("""COMPUTED_VALUE"""),"Europe (excluding UK) &amp; Asia Pacific")</f>
        <v>Europe (excluding UK) &amp; Asia Pacific</v>
      </c>
      <c r="D1153" s="258" t="str">
        <f>IFERROR(__xludf.DUMMYFUNCTION("""COMPUTED_VALUE"""),"km. My car displays range in kilometres and I will enter all range numbers in kilometres.")</f>
        <v>km. My car displays range in kilometres and I will enter all range numbers in kilometres.</v>
      </c>
      <c r="E1153" s="259">
        <f>IFERROR(__xludf.DUMMYFUNCTION("""COMPUTED_VALUE"""),43686.0)</f>
        <v>43686</v>
      </c>
      <c r="F1153" s="258" t="str">
        <f>IFERROR(__xludf.DUMMYFUNCTION("""COMPUTED_VALUE"""),"Model S 70D")</f>
        <v>Model S 70D</v>
      </c>
      <c r="G1153" s="258" t="str">
        <f>IFERROR(__xludf.DUMMYFUNCTION("""COMPUTED_VALUE"""),"Twice a month")</f>
        <v>Twice a month</v>
      </c>
      <c r="H1153" s="258" t="str">
        <f>IFERROR(__xludf.DUMMYFUNCTION("""COMPUTED_VALUE"""),"A few times a year")</f>
        <v>A few times a year</v>
      </c>
      <c r="I1153" s="258" t="str">
        <f>IFERROR(__xludf.DUMMYFUNCTION("""COMPUTED_VALUE"""),"A few times a year")</f>
        <v>A few times a year</v>
      </c>
      <c r="J1153" s="260" t="str">
        <f>IFERROR(__xludf.DUMMYFUNCTION("""COMPUTED_VALUE"""),"")</f>
        <v/>
      </c>
      <c r="K1153" s="258">
        <f>IFERROR(__xludf.DUMMYFUNCTION("""COMPUTED_VALUE"""),369.0)</f>
        <v>369</v>
      </c>
      <c r="L1153" s="258" t="str">
        <f>IFERROR(__xludf.DUMMYFUNCTION("""COMPUTED_VALUE"""),"")</f>
        <v/>
      </c>
      <c r="M1153" s="261">
        <f>IFERROR(__xludf.DUMMYFUNCTION("""COMPUTED_VALUE"""),202.0)</f>
        <v>202</v>
      </c>
      <c r="N1153" s="262" t="str">
        <f>IFERROR(__xludf.DUMMYFUNCTION("""COMPUTED_VALUE"""),"")</f>
        <v/>
      </c>
      <c r="O1153" s="259" t="str">
        <f>IFERROR(__xludf.DUMMYFUNCTION("""COMPUTED_VALUE"""),"")</f>
        <v/>
      </c>
      <c r="P1153" s="259">
        <f>IFERROR(__xludf.DUMMYFUNCTION("""COMPUTED_VALUE"""),43655.0)</f>
        <v>43655</v>
      </c>
      <c r="Q1153" s="258">
        <f>IFERROR(__xludf.DUMMYFUNCTION("""COMPUTED_VALUE"""),105800.0)</f>
        <v>105800</v>
      </c>
      <c r="R1153" s="261">
        <f>IFERROR(__xludf.DUMMYFUNCTION("""COMPUTED_VALUE"""),343.0)</f>
        <v>343</v>
      </c>
      <c r="S1153" s="258">
        <v>360.0</v>
      </c>
      <c r="T1153" s="263">
        <v>0.9527777777777777</v>
      </c>
      <c r="U1153" s="264">
        <v>65741.0</v>
      </c>
      <c r="V1153" s="265">
        <v>105800.0</v>
      </c>
      <c r="W1153" s="264">
        <v>65741.0</v>
      </c>
      <c r="X1153" s="266"/>
      <c r="Y1153" s="267">
        <v>-0.01</v>
      </c>
      <c r="Z1153" s="267">
        <v>0.9452219111610849</v>
      </c>
      <c r="AA1153" s="269"/>
      <c r="AB1153" s="270"/>
      <c r="AC1153" s="270"/>
      <c r="AD1153" s="270"/>
      <c r="AE1153" s="270"/>
    </row>
    <row r="1154">
      <c r="A1154" s="256">
        <f>IFERROR(__xludf.DUMMYFUNCTION("""COMPUTED_VALUE"""),41908.020833333336)</f>
        <v>41908.02083</v>
      </c>
      <c r="B1154" s="257" t="str">
        <f>IFERROR(__xludf.DUMMYFUNCTION("""COMPUTED_VALUE"""),"philhill")</f>
        <v>philhill</v>
      </c>
      <c r="C1154" s="258" t="str">
        <f>IFERROR(__xludf.DUMMYFUNCTION("""COMPUTED_VALUE"""),"Europe (excluding UK) &amp; Asia Pacific")</f>
        <v>Europe (excluding UK) &amp; Asia Pacific</v>
      </c>
      <c r="D1154" s="258" t="str">
        <f>IFERROR(__xludf.DUMMYFUNCTION("""COMPUTED_VALUE"""),"km. My car displays range in kilometres and I will enter all range numbers in kilometres.")</f>
        <v>km. My car displays range in kilometres and I will enter all range numbers in kilometres.</v>
      </c>
      <c r="E1154" s="259">
        <f>IFERROR(__xludf.DUMMYFUNCTION("""COMPUTED_VALUE"""),41794.0)</f>
        <v>41794</v>
      </c>
      <c r="F1154" s="258" t="str">
        <f>IFERROR(__xludf.DUMMYFUNCTION("""COMPUTED_VALUE"""),"Model S P85")</f>
        <v>Model S P85</v>
      </c>
      <c r="G1154" s="258" t="str">
        <f>IFERROR(__xludf.DUMMYFUNCTION("""COMPUTED_VALUE"""),"Once or twice a year")</f>
        <v>Once or twice a year</v>
      </c>
      <c r="H1154" s="258" t="str">
        <f>IFERROR(__xludf.DUMMYFUNCTION("""COMPUTED_VALUE"""),"Monthly")</f>
        <v>Monthly</v>
      </c>
      <c r="I1154" s="258" t="str">
        <f>IFERROR(__xludf.DUMMYFUNCTION("""COMPUTED_VALUE"""),"Once or twice a year")</f>
        <v>Once or twice a year</v>
      </c>
      <c r="J1154" s="260" t="str">
        <f>IFERROR(__xludf.DUMMYFUNCTION("""COMPUTED_VALUE"""),"")</f>
        <v/>
      </c>
      <c r="K1154" s="258" t="str">
        <f>IFERROR(__xludf.DUMMYFUNCTION("""COMPUTED_VALUE"""),"")</f>
        <v/>
      </c>
      <c r="L1154" s="258" t="str">
        <f>IFERROR(__xludf.DUMMYFUNCTION("""COMPUTED_VALUE"""),"")</f>
        <v/>
      </c>
      <c r="M1154" s="261">
        <f>IFERROR(__xludf.DUMMYFUNCTION("""COMPUTED_VALUE"""),247.0)</f>
        <v>247</v>
      </c>
      <c r="N1154" s="262" t="str">
        <f>IFERROR(__xludf.DUMMYFUNCTION("""COMPUTED_VALUE"""),"")</f>
        <v/>
      </c>
      <c r="O1154" s="259" t="str">
        <f>IFERROR(__xludf.DUMMYFUNCTION("""COMPUTED_VALUE"""),"")</f>
        <v/>
      </c>
      <c r="P1154" s="259">
        <f>IFERROR(__xludf.DUMMYFUNCTION("""COMPUTED_VALUE"""),41908.0)</f>
        <v>41908</v>
      </c>
      <c r="Q1154" s="258">
        <f>IFERROR(__xludf.DUMMYFUNCTION("""COMPUTED_VALUE"""),6548.0)</f>
        <v>6548</v>
      </c>
      <c r="R1154" s="261">
        <f>IFERROR(__xludf.DUMMYFUNCTION("""COMPUTED_VALUE"""),385.0)</f>
        <v>385</v>
      </c>
      <c r="S1154" s="258">
        <v>395.0</v>
      </c>
      <c r="T1154" s="263">
        <v>0.9746835443037974</v>
      </c>
      <c r="U1154" s="264">
        <v>4069.0</v>
      </c>
      <c r="V1154" s="265">
        <v>6548.0</v>
      </c>
      <c r="W1154" s="264">
        <v>4069.0</v>
      </c>
      <c r="X1154" s="266"/>
      <c r="Y1154" s="267">
        <v>-0.01</v>
      </c>
      <c r="Z1154" s="267">
        <v>0.9888517869233052</v>
      </c>
      <c r="AA1154" s="269"/>
      <c r="AB1154" s="270"/>
      <c r="AC1154" s="270"/>
      <c r="AD1154" s="270"/>
      <c r="AE1154" s="270"/>
    </row>
    <row r="1155">
      <c r="A1155" s="256">
        <f>IFERROR(__xludf.DUMMYFUNCTION("""COMPUTED_VALUE"""),42124.10902777778)</f>
        <v>42124.10903</v>
      </c>
      <c r="B1155" s="257" t="str">
        <f>IFERROR(__xludf.DUMMYFUNCTION("""COMPUTED_VALUE"""),"philhill")</f>
        <v>philhill</v>
      </c>
      <c r="C1155" s="258" t="str">
        <f>IFERROR(__xludf.DUMMYFUNCTION("""COMPUTED_VALUE"""),"Europe (excluding UK) &amp; Asia Pacific")</f>
        <v>Europe (excluding UK) &amp; Asia Pacific</v>
      </c>
      <c r="D1155" s="258" t="str">
        <f>IFERROR(__xludf.DUMMYFUNCTION("""COMPUTED_VALUE"""),"km. My car displays range in kilometres and I will enter all range numbers in kilometres.")</f>
        <v>km. My car displays range in kilometres and I will enter all range numbers in kilometres.</v>
      </c>
      <c r="E1155" s="259">
        <f>IFERROR(__xludf.DUMMYFUNCTION("""COMPUTED_VALUE"""),41794.0)</f>
        <v>41794</v>
      </c>
      <c r="F1155" s="258" t="str">
        <f>IFERROR(__xludf.DUMMYFUNCTION("""COMPUTED_VALUE"""),"Model S P85")</f>
        <v>Model S P85</v>
      </c>
      <c r="G1155" s="258" t="str">
        <f>IFERROR(__xludf.DUMMYFUNCTION("""COMPUTED_VALUE"""),"Monthly")</f>
        <v>Monthly</v>
      </c>
      <c r="H1155" s="258" t="str">
        <f>IFERROR(__xludf.DUMMYFUNCTION("""COMPUTED_VALUE"""),"Monthly")</f>
        <v>Monthly</v>
      </c>
      <c r="I1155" s="258" t="str">
        <f>IFERROR(__xludf.DUMMYFUNCTION("""COMPUTED_VALUE"""),"A few times a year")</f>
        <v>A few times a year</v>
      </c>
      <c r="J1155" s="260" t="str">
        <f>IFERROR(__xludf.DUMMYFUNCTION("""COMPUTED_VALUE"""),"")</f>
        <v/>
      </c>
      <c r="K1155" s="258" t="str">
        <f>IFERROR(__xludf.DUMMYFUNCTION("""COMPUTED_VALUE"""),"")</f>
        <v/>
      </c>
      <c r="L1155" s="258" t="str">
        <f>IFERROR(__xludf.DUMMYFUNCTION("""COMPUTED_VALUE"""),"")</f>
        <v/>
      </c>
      <c r="M1155" s="261">
        <f>IFERROR(__xludf.DUMMYFUNCTION("""COMPUTED_VALUE"""),273.0)</f>
        <v>273</v>
      </c>
      <c r="N1155" s="262" t="str">
        <f>IFERROR(__xludf.DUMMYFUNCTION("""COMPUTED_VALUE"""),"")</f>
        <v/>
      </c>
      <c r="O1155" s="259" t="str">
        <f>IFERROR(__xludf.DUMMYFUNCTION("""COMPUTED_VALUE"""),"")</f>
        <v/>
      </c>
      <c r="P1155" s="259">
        <f>IFERROR(__xludf.DUMMYFUNCTION("""COMPUTED_VALUE"""),42124.0)</f>
        <v>42124</v>
      </c>
      <c r="Q1155" s="258">
        <f>IFERROR(__xludf.DUMMYFUNCTION("""COMPUTED_VALUE"""),16011.0)</f>
        <v>16011</v>
      </c>
      <c r="R1155" s="261">
        <f>IFERROR(__xludf.DUMMYFUNCTION("""COMPUTED_VALUE"""),383.0)</f>
        <v>383</v>
      </c>
      <c r="S1155" s="258">
        <v>395.0</v>
      </c>
      <c r="T1155" s="263">
        <v>0.9696202531645569</v>
      </c>
      <c r="U1155" s="264">
        <v>9949.0</v>
      </c>
      <c r="V1155" s="265">
        <v>16011.0</v>
      </c>
      <c r="W1155" s="264">
        <v>9949.0</v>
      </c>
      <c r="X1155" s="266"/>
      <c r="Y1155" s="267">
        <v>-0.01</v>
      </c>
      <c r="Z1155" s="267">
        <v>0.9778665510074551</v>
      </c>
      <c r="AA1155" s="269"/>
      <c r="AB1155" s="270"/>
      <c r="AC1155" s="270"/>
      <c r="AD1155" s="270"/>
      <c r="AE1155" s="270"/>
    </row>
    <row r="1156">
      <c r="A1156" s="256">
        <f>IFERROR(__xludf.DUMMYFUNCTION("""COMPUTED_VALUE"""),42302.77083333333)</f>
        <v>42302.77083</v>
      </c>
      <c r="B1156" s="257" t="str">
        <f>IFERROR(__xludf.DUMMYFUNCTION("""COMPUTED_VALUE"""),"Pilot_51")</f>
        <v>Pilot_51</v>
      </c>
      <c r="C1156" s="258" t="str">
        <f>IFERROR(__xludf.DUMMYFUNCTION("""COMPUTED_VALUE"""),"USA")</f>
        <v>USA</v>
      </c>
      <c r="D1156" s="258" t="str">
        <f>IFERROR(__xludf.DUMMYFUNCTION("""COMPUTED_VALUE"""),"mi. My car displays range in miles and I will enter all range numbers in miles.")</f>
        <v>mi. My car displays range in miles and I will enter all range numbers in miles.</v>
      </c>
      <c r="E1156" s="259">
        <f>IFERROR(__xludf.DUMMYFUNCTION("""COMPUTED_VALUE"""),41801.0)</f>
        <v>41801</v>
      </c>
      <c r="F1156" s="258" t="str">
        <f>IFERROR(__xludf.DUMMYFUNCTION("""COMPUTED_VALUE"""),"Model S 60")</f>
        <v>Model S 60</v>
      </c>
      <c r="G1156" s="258" t="str">
        <f>IFERROR(__xludf.DUMMYFUNCTION("""COMPUTED_VALUE"""),"Never")</f>
        <v>Never</v>
      </c>
      <c r="H1156" s="258" t="str">
        <f>IFERROR(__xludf.DUMMYFUNCTION("""COMPUTED_VALUE"""),"Once or twice a year")</f>
        <v>Once or twice a year</v>
      </c>
      <c r="I1156" s="258" t="str">
        <f>IFERROR(__xludf.DUMMYFUNCTION("""COMPUTED_VALUE"""),"Never")</f>
        <v>Never</v>
      </c>
      <c r="J1156" s="260">
        <f>IFERROR(__xludf.DUMMYFUNCTION("""COMPUTED_VALUE"""),0.8)</f>
        <v>0.8</v>
      </c>
      <c r="K1156" s="258" t="str">
        <f>IFERROR(__xludf.DUMMYFUNCTION("""COMPUTED_VALUE"""),"")</f>
        <v/>
      </c>
      <c r="L1156" s="258" t="str">
        <f>IFERROR(__xludf.DUMMYFUNCTION("""COMPUTED_VALUE"""),"")</f>
        <v/>
      </c>
      <c r="M1156" s="261">
        <f>IFERROR(__xludf.DUMMYFUNCTION("""COMPUTED_VALUE"""),323.0)</f>
        <v>323</v>
      </c>
      <c r="N1156" s="262" t="str">
        <f>IFERROR(__xludf.DUMMYFUNCTION("""COMPUTED_VALUE"""),"")</f>
        <v/>
      </c>
      <c r="O1156" s="259" t="str">
        <f>IFERROR(__xludf.DUMMYFUNCTION("""COMPUTED_VALUE"""),"")</f>
        <v/>
      </c>
      <c r="P1156" s="259">
        <f>IFERROR(__xludf.DUMMYFUNCTION("""COMPUTED_VALUE"""),42302.0)</f>
        <v>42302</v>
      </c>
      <c r="Q1156" s="258">
        <f>IFERROR(__xludf.DUMMYFUNCTION("""COMPUTED_VALUE"""),16217.0)</f>
        <v>16217</v>
      </c>
      <c r="R1156" s="261">
        <f>IFERROR(__xludf.DUMMYFUNCTION("""COMPUTED_VALUE"""),174.0)</f>
        <v>174</v>
      </c>
      <c r="S1156" s="258">
        <v>207.0</v>
      </c>
      <c r="T1156" s="263">
        <v>0.8405797101449275</v>
      </c>
      <c r="U1156" s="264">
        <v>16217.0</v>
      </c>
      <c r="V1156" s="265">
        <v>26099.0</v>
      </c>
      <c r="W1156" s="264">
        <v>16217.0</v>
      </c>
      <c r="X1156" s="266"/>
      <c r="Y1156" s="267">
        <v>-0.01</v>
      </c>
      <c r="Z1156" s="267">
        <v>0.9702149811033626</v>
      </c>
      <c r="AA1156" s="269"/>
      <c r="AB1156" s="270"/>
      <c r="AC1156" s="270"/>
      <c r="AD1156" s="270"/>
      <c r="AE1156" s="270"/>
    </row>
    <row r="1157">
      <c r="A1157" s="256">
        <f>IFERROR(__xludf.DUMMYFUNCTION("""COMPUTED_VALUE"""),42347.777083333334)</f>
        <v>42347.77708</v>
      </c>
      <c r="B1157" s="257" t="str">
        <f>IFERROR(__xludf.DUMMYFUNCTION("""COMPUTED_VALUE"""),"Pilot_51")</f>
        <v>Pilot_51</v>
      </c>
      <c r="C1157" s="258" t="str">
        <f>IFERROR(__xludf.DUMMYFUNCTION("""COMPUTED_VALUE"""),"USA")</f>
        <v>USA</v>
      </c>
      <c r="D1157" s="258" t="str">
        <f>IFERROR(__xludf.DUMMYFUNCTION("""COMPUTED_VALUE"""),"mi. My car displays range in miles and I will enter all range numbers in miles.")</f>
        <v>mi. My car displays range in miles and I will enter all range numbers in miles.</v>
      </c>
      <c r="E1157" s="259">
        <f>IFERROR(__xludf.DUMMYFUNCTION("""COMPUTED_VALUE"""),41801.0)</f>
        <v>41801</v>
      </c>
      <c r="F1157" s="258" t="str">
        <f>IFERROR(__xludf.DUMMYFUNCTION("""COMPUTED_VALUE"""),"Model S 60")</f>
        <v>Model S 60</v>
      </c>
      <c r="G1157" s="258" t="str">
        <f>IFERROR(__xludf.DUMMYFUNCTION("""COMPUTED_VALUE"""),"Never")</f>
        <v>Never</v>
      </c>
      <c r="H1157" s="258" t="str">
        <f>IFERROR(__xludf.DUMMYFUNCTION("""COMPUTED_VALUE"""),"Once or twice a year")</f>
        <v>Once or twice a year</v>
      </c>
      <c r="I1157" s="258" t="str">
        <f>IFERROR(__xludf.DUMMYFUNCTION("""COMPUTED_VALUE"""),"Once or twice a year")</f>
        <v>Once or twice a year</v>
      </c>
      <c r="J1157" s="260">
        <f>IFERROR(__xludf.DUMMYFUNCTION("""COMPUTED_VALUE"""),0.9)</f>
        <v>0.9</v>
      </c>
      <c r="K1157" s="258" t="str">
        <f>IFERROR(__xludf.DUMMYFUNCTION("""COMPUTED_VALUE"""),"")</f>
        <v/>
      </c>
      <c r="L1157" s="258" t="str">
        <f>IFERROR(__xludf.DUMMYFUNCTION("""COMPUTED_VALUE"""),"")</f>
        <v/>
      </c>
      <c r="M1157" s="261">
        <f>IFERROR(__xludf.DUMMYFUNCTION("""COMPUTED_VALUE"""),323.0)</f>
        <v>323</v>
      </c>
      <c r="N1157" s="262" t="str">
        <f>IFERROR(__xludf.DUMMYFUNCTION("""COMPUTED_VALUE"""),"")</f>
        <v/>
      </c>
      <c r="O1157" s="259" t="str">
        <f>IFERROR(__xludf.DUMMYFUNCTION("""COMPUTED_VALUE"""),"")</f>
        <v/>
      </c>
      <c r="P1157" s="259">
        <f>IFERROR(__xludf.DUMMYFUNCTION("""COMPUTED_VALUE"""),42347.0)</f>
        <v>42347</v>
      </c>
      <c r="Q1157" s="258">
        <f>IFERROR(__xludf.DUMMYFUNCTION("""COMPUTED_VALUE"""),17679.0)</f>
        <v>17679</v>
      </c>
      <c r="R1157" s="261">
        <f>IFERROR(__xludf.DUMMYFUNCTION("""COMPUTED_VALUE"""),178.0)</f>
        <v>178</v>
      </c>
      <c r="S1157" s="258">
        <v>207.0</v>
      </c>
      <c r="T1157" s="263">
        <v>0.8599033816425121</v>
      </c>
      <c r="U1157" s="264">
        <v>17679.0</v>
      </c>
      <c r="V1157" s="265">
        <v>28452.0</v>
      </c>
      <c r="W1157" s="264">
        <v>17679.0</v>
      </c>
      <c r="X1157" s="266"/>
      <c r="Y1157" s="267">
        <v>-0.01</v>
      </c>
      <c r="Z1157" s="267">
        <v>0.9688188025453267</v>
      </c>
      <c r="AA1157" s="269"/>
      <c r="AB1157" s="270"/>
      <c r="AC1157" s="270"/>
      <c r="AD1157" s="270"/>
      <c r="AE1157" s="270"/>
    </row>
    <row r="1158">
      <c r="A1158" s="256">
        <f>IFERROR(__xludf.DUMMYFUNCTION("""COMPUTED_VALUE"""),42290.19652777778)</f>
        <v>42290.19653</v>
      </c>
      <c r="B1158" s="257" t="str">
        <f>IFERROR(__xludf.DUMMYFUNCTION("""COMPUTED_VALUE"""),"PimEffting")</f>
        <v>PimEffting</v>
      </c>
      <c r="C1158" s="258" t="str">
        <f>IFERROR(__xludf.DUMMYFUNCTION("""COMPUTED_VALUE"""),"Europe (excluding UK) &amp; Asia Pacific")</f>
        <v>Europe (excluding UK) &amp; Asia Pacific</v>
      </c>
      <c r="D1158" s="258" t="str">
        <f>IFERROR(__xludf.DUMMYFUNCTION("""COMPUTED_VALUE"""),"km. My car displays range in kilometres and I will enter all range numbers in kilometres.")</f>
        <v>km. My car displays range in kilometres and I will enter all range numbers in kilometres.</v>
      </c>
      <c r="E1158" s="259">
        <f>IFERROR(__xludf.DUMMYFUNCTION("""COMPUTED_VALUE"""),42037.0)</f>
        <v>42037</v>
      </c>
      <c r="F1158" s="258" t="str">
        <f>IFERROR(__xludf.DUMMYFUNCTION("""COMPUTED_VALUE"""),"Model S 85")</f>
        <v>Model S 85</v>
      </c>
      <c r="G1158" s="258" t="str">
        <f>IFERROR(__xludf.DUMMYFUNCTION("""COMPUTED_VALUE"""),"Twice a month")</f>
        <v>Twice a month</v>
      </c>
      <c r="H1158" s="258" t="str">
        <f>IFERROR(__xludf.DUMMYFUNCTION("""COMPUTED_VALUE"""),"A few times a year")</f>
        <v>A few times a year</v>
      </c>
      <c r="I1158" s="258" t="str">
        <f>IFERROR(__xludf.DUMMYFUNCTION("""COMPUTED_VALUE"""),"Never")</f>
        <v>Never</v>
      </c>
      <c r="J1158" s="260">
        <f>IFERROR(__xludf.DUMMYFUNCTION("""COMPUTED_VALUE"""),0.9)</f>
        <v>0.9</v>
      </c>
      <c r="K1158" s="258">
        <f>IFERROR(__xludf.DUMMYFUNCTION("""COMPUTED_VALUE"""),398.0)</f>
        <v>398</v>
      </c>
      <c r="L1158" s="258" t="str">
        <f>IFERROR(__xludf.DUMMYFUNCTION("""COMPUTED_VALUE"""),"")</f>
        <v/>
      </c>
      <c r="M1158" s="261">
        <f>IFERROR(__xludf.DUMMYFUNCTION("""COMPUTED_VALUE"""),203.0)</f>
        <v>203</v>
      </c>
      <c r="N1158" s="262" t="str">
        <f>IFERROR(__xludf.DUMMYFUNCTION("""COMPUTED_VALUE"""),"")</f>
        <v/>
      </c>
      <c r="O1158" s="259" t="str">
        <f>IFERROR(__xludf.DUMMYFUNCTION("""COMPUTED_VALUE"""),"")</f>
        <v/>
      </c>
      <c r="P1158" s="259">
        <f>IFERROR(__xludf.DUMMYFUNCTION("""COMPUTED_VALUE"""),42290.0)</f>
        <v>42290</v>
      </c>
      <c r="Q1158" s="258">
        <f>IFERROR(__xludf.DUMMYFUNCTION("""COMPUTED_VALUE"""),23000.0)</f>
        <v>23000</v>
      </c>
      <c r="R1158" s="261">
        <f>IFERROR(__xludf.DUMMYFUNCTION("""COMPUTED_VALUE"""),389.0)</f>
        <v>389</v>
      </c>
      <c r="S1158" s="258">
        <v>395.0</v>
      </c>
      <c r="T1158" s="263">
        <v>0.9848101265822785</v>
      </c>
      <c r="U1158" s="264">
        <v>14292.0</v>
      </c>
      <c r="V1158" s="265">
        <v>23000.0</v>
      </c>
      <c r="W1158" s="264">
        <v>14292.0</v>
      </c>
      <c r="X1158" s="266"/>
      <c r="Y1158" s="267">
        <v>-0.01</v>
      </c>
      <c r="Z1158" s="267">
        <v>0.9722476039483793</v>
      </c>
      <c r="AA1158" s="269"/>
      <c r="AB1158" s="270"/>
      <c r="AC1158" s="270"/>
      <c r="AD1158" s="270"/>
      <c r="AE1158" s="270"/>
    </row>
    <row r="1159">
      <c r="A1159" s="256">
        <f>IFERROR(__xludf.DUMMYFUNCTION("""COMPUTED_VALUE"""),41908.021527777775)</f>
        <v>41908.02153</v>
      </c>
      <c r="B1159" s="257" t="str">
        <f>IFERROR(__xludf.DUMMYFUNCTION("""COMPUTED_VALUE"""),"pjhartog")</f>
        <v>pjhartog</v>
      </c>
      <c r="C1159" s="258" t="str">
        <f>IFERROR(__xludf.DUMMYFUNCTION("""COMPUTED_VALUE"""),"Europe (excluding UK) &amp; Asia Pacific")</f>
        <v>Europe (excluding UK) &amp; Asia Pacific</v>
      </c>
      <c r="D1159" s="258" t="str">
        <f>IFERROR(__xludf.DUMMYFUNCTION("""COMPUTED_VALUE"""),"km. My car displays range in kilometres and I will enter all range numbers in kilometres.")</f>
        <v>km. My car displays range in kilometres and I will enter all range numbers in kilometres.</v>
      </c>
      <c r="E1159" s="259">
        <f>IFERROR(__xludf.DUMMYFUNCTION("""COMPUTED_VALUE"""),41536.0)</f>
        <v>41536</v>
      </c>
      <c r="F1159" s="258" t="str">
        <f>IFERROR(__xludf.DUMMYFUNCTION("""COMPUTED_VALUE"""),"Unspecified 85 kWh")</f>
        <v>Unspecified 85 kWh</v>
      </c>
      <c r="G1159" s="258" t="str">
        <f>IFERROR(__xludf.DUMMYFUNCTION("""COMPUTED_VALUE"""),"Monthly")</f>
        <v>Monthly</v>
      </c>
      <c r="H1159" s="258" t="str">
        <f>IFERROR(__xludf.DUMMYFUNCTION("""COMPUTED_VALUE"""),"Monthly")</f>
        <v>Monthly</v>
      </c>
      <c r="I1159" s="258" t="str">
        <f>IFERROR(__xludf.DUMMYFUNCTION("""COMPUTED_VALUE"""),"Never")</f>
        <v>Never</v>
      </c>
      <c r="J1159" s="260" t="str">
        <f>IFERROR(__xludf.DUMMYFUNCTION("""COMPUTED_VALUE"""),"")</f>
        <v/>
      </c>
      <c r="K1159" s="258" t="str">
        <f>IFERROR(__xludf.DUMMYFUNCTION("""COMPUTED_VALUE"""),"")</f>
        <v/>
      </c>
      <c r="L1159" s="258" t="str">
        <f>IFERROR(__xludf.DUMMYFUNCTION("""COMPUTED_VALUE"""),"")</f>
        <v/>
      </c>
      <c r="M1159" s="261">
        <f>IFERROR(__xludf.DUMMYFUNCTION("""COMPUTED_VALUE"""),218.0)</f>
        <v>218</v>
      </c>
      <c r="N1159" s="262" t="str">
        <f>IFERROR(__xludf.DUMMYFUNCTION("""COMPUTED_VALUE"""),"")</f>
        <v/>
      </c>
      <c r="O1159" s="259" t="str">
        <f>IFERROR(__xludf.DUMMYFUNCTION("""COMPUTED_VALUE"""),"")</f>
        <v/>
      </c>
      <c r="P1159" s="259">
        <f>IFERROR(__xludf.DUMMYFUNCTION("""COMPUTED_VALUE"""),41908.0)</f>
        <v>41908</v>
      </c>
      <c r="Q1159" s="258">
        <f>IFERROR(__xludf.DUMMYFUNCTION("""COMPUTED_VALUE"""),26000.0)</f>
        <v>26000</v>
      </c>
      <c r="R1159" s="261">
        <f>IFERROR(__xludf.DUMMYFUNCTION("""COMPUTED_VALUE"""),388.0)</f>
        <v>388</v>
      </c>
      <c r="S1159" s="258">
        <v>395.0</v>
      </c>
      <c r="T1159" s="263">
        <v>0.9822784810126582</v>
      </c>
      <c r="U1159" s="264">
        <v>16156.0</v>
      </c>
      <c r="V1159" s="265">
        <v>26000.0</v>
      </c>
      <c r="W1159" s="264">
        <v>16156.0</v>
      </c>
      <c r="X1159" s="266"/>
      <c r="Y1159" s="267">
        <v>-0.01</v>
      </c>
      <c r="Z1159" s="267">
        <v>0.9702763468126842</v>
      </c>
      <c r="AA1159" s="269"/>
      <c r="AB1159" s="270"/>
      <c r="AC1159" s="270"/>
      <c r="AD1159" s="270"/>
      <c r="AE1159" s="270"/>
    </row>
    <row r="1160">
      <c r="A1160" s="256">
        <f>IFERROR(__xludf.DUMMYFUNCTION("""COMPUTED_VALUE"""),42449.31041666667)</f>
        <v>42449.31042</v>
      </c>
      <c r="B1160" s="257" t="str">
        <f>IFERROR(__xludf.DUMMYFUNCTION("""COMPUTED_VALUE"""),"pjw65")</f>
        <v>pjw65</v>
      </c>
      <c r="C1160" s="258" t="str">
        <f>IFERROR(__xludf.DUMMYFUNCTION("""COMPUTED_VALUE"""),"Europe (excluding UK) &amp; Asia Pacific")</f>
        <v>Europe (excluding UK) &amp; Asia Pacific</v>
      </c>
      <c r="D1160" s="258" t="str">
        <f>IFERROR(__xludf.DUMMYFUNCTION("""COMPUTED_VALUE"""),"km. My car displays range in kilometres and I will enter all range numbers in kilometres.")</f>
        <v>km. My car displays range in kilometres and I will enter all range numbers in kilometres.</v>
      </c>
      <c r="E1160" s="259">
        <f>IFERROR(__xludf.DUMMYFUNCTION("""COMPUTED_VALUE"""),42137.0)</f>
        <v>42137</v>
      </c>
      <c r="F1160" s="258" t="str">
        <f>IFERROR(__xludf.DUMMYFUNCTION("""COMPUTED_VALUE"""),"Model S 85")</f>
        <v>Model S 85</v>
      </c>
      <c r="G1160" s="258" t="str">
        <f>IFERROR(__xludf.DUMMYFUNCTION("""COMPUTED_VALUE"""),"Weekly")</f>
        <v>Weekly</v>
      </c>
      <c r="H1160" s="258" t="str">
        <f>IFERROR(__xludf.DUMMYFUNCTION("""COMPUTED_VALUE"""),"Monthly")</f>
        <v>Monthly</v>
      </c>
      <c r="I1160" s="258" t="str">
        <f>IFERROR(__xludf.DUMMYFUNCTION("""COMPUTED_VALUE"""),"A few times a year")</f>
        <v>A few times a year</v>
      </c>
      <c r="J1160" s="260">
        <f>IFERROR(__xludf.DUMMYFUNCTION("""COMPUTED_VALUE"""),0.8)</f>
        <v>0.8</v>
      </c>
      <c r="K1160" s="258" t="str">
        <f>IFERROR(__xludf.DUMMYFUNCTION("""COMPUTED_VALUE"""),"")</f>
        <v/>
      </c>
      <c r="L1160" s="258" t="str">
        <f>IFERROR(__xludf.DUMMYFUNCTION("""COMPUTED_VALUE"""),"")</f>
        <v/>
      </c>
      <c r="M1160" s="261">
        <f>IFERROR(__xludf.DUMMYFUNCTION("""COMPUTED_VALUE"""),212.0)</f>
        <v>212</v>
      </c>
      <c r="N1160" s="262" t="str">
        <f>IFERROR(__xludf.DUMMYFUNCTION("""COMPUTED_VALUE"""),"")</f>
        <v/>
      </c>
      <c r="O1160" s="259" t="str">
        <f>IFERROR(__xludf.DUMMYFUNCTION("""COMPUTED_VALUE"""),"")</f>
        <v/>
      </c>
      <c r="P1160" s="259">
        <f>IFERROR(__xludf.DUMMYFUNCTION("""COMPUTED_VALUE"""),42449.0)</f>
        <v>42449</v>
      </c>
      <c r="Q1160" s="258">
        <f>IFERROR(__xludf.DUMMYFUNCTION("""COMPUTED_VALUE"""),28479.0)</f>
        <v>28479</v>
      </c>
      <c r="R1160" s="261">
        <f>IFERROR(__xludf.DUMMYFUNCTION("""COMPUTED_VALUE"""),381.0)</f>
        <v>381</v>
      </c>
      <c r="S1160" s="258">
        <v>395.0</v>
      </c>
      <c r="T1160" s="263">
        <v>0.9645569620253165</v>
      </c>
      <c r="U1160" s="264">
        <v>17696.0</v>
      </c>
      <c r="V1160" s="265">
        <v>28479.0</v>
      </c>
      <c r="W1160" s="264">
        <v>17696.0</v>
      </c>
      <c r="X1160" s="266"/>
      <c r="Y1160" s="267">
        <v>-0.01</v>
      </c>
      <c r="Z1160" s="267">
        <v>0.9688034435690448</v>
      </c>
      <c r="AA1160" s="269"/>
      <c r="AB1160" s="270"/>
      <c r="AC1160" s="270"/>
      <c r="AD1160" s="270"/>
      <c r="AE1160" s="270"/>
    </row>
    <row r="1161">
      <c r="A1161" s="256">
        <f>IFERROR(__xludf.DUMMYFUNCTION("""COMPUTED_VALUE"""),42460.31805555556)</f>
        <v>42460.31806</v>
      </c>
      <c r="B1161" s="257" t="str">
        <f>IFERROR(__xludf.DUMMYFUNCTION("""COMPUTED_VALUE"""),"pjw65")</f>
        <v>pjw65</v>
      </c>
      <c r="C1161" s="258" t="str">
        <f>IFERROR(__xludf.DUMMYFUNCTION("""COMPUTED_VALUE"""),"Europe (excluding UK) &amp; Asia Pacific")</f>
        <v>Europe (excluding UK) &amp; Asia Pacific</v>
      </c>
      <c r="D1161" s="258" t="str">
        <f>IFERROR(__xludf.DUMMYFUNCTION("""COMPUTED_VALUE"""),"km. My car displays range in kilometres and I will enter all range numbers in kilometres.")</f>
        <v>km. My car displays range in kilometres and I will enter all range numbers in kilometres.</v>
      </c>
      <c r="E1161" s="259">
        <f>IFERROR(__xludf.DUMMYFUNCTION("""COMPUTED_VALUE"""),42137.0)</f>
        <v>42137</v>
      </c>
      <c r="F1161" s="258" t="str">
        <f>IFERROR(__xludf.DUMMYFUNCTION("""COMPUTED_VALUE"""),"Model S 85")</f>
        <v>Model S 85</v>
      </c>
      <c r="G1161" s="258" t="str">
        <f>IFERROR(__xludf.DUMMYFUNCTION("""COMPUTED_VALUE"""),"")</f>
        <v/>
      </c>
      <c r="H1161" s="258" t="str">
        <f>IFERROR(__xludf.DUMMYFUNCTION("""COMPUTED_VALUE"""),"")</f>
        <v/>
      </c>
      <c r="I1161" s="258" t="str">
        <f>IFERROR(__xludf.DUMMYFUNCTION("""COMPUTED_VALUE"""),"")</f>
        <v/>
      </c>
      <c r="J1161" s="260" t="str">
        <f>IFERROR(__xludf.DUMMYFUNCTION("""COMPUTED_VALUE"""),"")</f>
        <v/>
      </c>
      <c r="K1161" s="258" t="str">
        <f>IFERROR(__xludf.DUMMYFUNCTION("""COMPUTED_VALUE"""),"")</f>
        <v/>
      </c>
      <c r="L1161" s="258" t="str">
        <f>IFERROR(__xludf.DUMMYFUNCTION("""COMPUTED_VALUE"""),"")</f>
        <v/>
      </c>
      <c r="M1161" s="261">
        <f>IFERROR(__xludf.DUMMYFUNCTION("""COMPUTED_VALUE"""),210.0)</f>
        <v>210</v>
      </c>
      <c r="N1161" s="262" t="str">
        <f>IFERROR(__xludf.DUMMYFUNCTION("""COMPUTED_VALUE"""),"")</f>
        <v/>
      </c>
      <c r="O1161" s="259" t="str">
        <f>IFERROR(__xludf.DUMMYFUNCTION("""COMPUTED_VALUE"""),"")</f>
        <v/>
      </c>
      <c r="P1161" s="259">
        <f>IFERROR(__xludf.DUMMYFUNCTION("""COMPUTED_VALUE"""),42460.0)</f>
        <v>42460</v>
      </c>
      <c r="Q1161" s="258">
        <f>IFERROR(__xludf.DUMMYFUNCTION("""COMPUTED_VALUE"""),30311.0)</f>
        <v>30311</v>
      </c>
      <c r="R1161" s="261">
        <f>IFERROR(__xludf.DUMMYFUNCTION("""COMPUTED_VALUE"""),388.0)</f>
        <v>388</v>
      </c>
      <c r="S1161" s="258">
        <v>395.0</v>
      </c>
      <c r="T1161" s="263">
        <v>0.9822784810126582</v>
      </c>
      <c r="U1161" s="264">
        <v>18834.0</v>
      </c>
      <c r="V1161" s="265">
        <v>30311.0</v>
      </c>
      <c r="W1161" s="264">
        <v>18834.0</v>
      </c>
      <c r="X1161" s="266"/>
      <c r="Y1161" s="267">
        <v>-0.01</v>
      </c>
      <c r="Z1161" s="267">
        <v>0.9677936255487921</v>
      </c>
      <c r="AA1161" s="269"/>
      <c r="AB1161" s="270"/>
      <c r="AC1161" s="270"/>
      <c r="AD1161" s="270"/>
      <c r="AE1161" s="270"/>
    </row>
    <row r="1162">
      <c r="A1162" s="256">
        <f>IFERROR(__xludf.DUMMYFUNCTION("""COMPUTED_VALUE"""),42526.34166666667)</f>
        <v>42526.34167</v>
      </c>
      <c r="B1162" s="257" t="str">
        <f>IFERROR(__xludf.DUMMYFUNCTION("""COMPUTED_VALUE"""),"pjw65")</f>
        <v>pjw65</v>
      </c>
      <c r="C1162" s="258" t="str">
        <f>IFERROR(__xludf.DUMMYFUNCTION("""COMPUTED_VALUE"""),"Europe (excluding UK) &amp; Asia Pacific")</f>
        <v>Europe (excluding UK) &amp; Asia Pacific</v>
      </c>
      <c r="D1162" s="258" t="str">
        <f>IFERROR(__xludf.DUMMYFUNCTION("""COMPUTED_VALUE"""),"km. My car displays range in kilometres and I will enter all range numbers in kilometres.")</f>
        <v>km. My car displays range in kilometres and I will enter all range numbers in kilometres.</v>
      </c>
      <c r="E1162" s="259">
        <f>IFERROR(__xludf.DUMMYFUNCTION("""COMPUTED_VALUE"""),42137.0)</f>
        <v>42137</v>
      </c>
      <c r="F1162" s="258" t="str">
        <f>IFERROR(__xludf.DUMMYFUNCTION("""COMPUTED_VALUE"""),"Model S 85")</f>
        <v>Model S 85</v>
      </c>
      <c r="G1162" s="258" t="str">
        <f>IFERROR(__xludf.DUMMYFUNCTION("""COMPUTED_VALUE"""),"Twice a week")</f>
        <v>Twice a week</v>
      </c>
      <c r="H1162" s="258" t="str">
        <f>IFERROR(__xludf.DUMMYFUNCTION("""COMPUTED_VALUE"""),"Monthly")</f>
        <v>Monthly</v>
      </c>
      <c r="I1162" s="258" t="str">
        <f>IFERROR(__xludf.DUMMYFUNCTION("""COMPUTED_VALUE"""),"Monthly")</f>
        <v>Monthly</v>
      </c>
      <c r="J1162" s="260">
        <f>IFERROR(__xludf.DUMMYFUNCTION("""COMPUTED_VALUE"""),0.8)</f>
        <v>0.8</v>
      </c>
      <c r="K1162" s="258" t="str">
        <f>IFERROR(__xludf.DUMMYFUNCTION("""COMPUTED_VALUE"""),"")</f>
        <v/>
      </c>
      <c r="L1162" s="258" t="str">
        <f>IFERROR(__xludf.DUMMYFUNCTION("""COMPUTED_VALUE"""),"")</f>
        <v/>
      </c>
      <c r="M1162" s="261">
        <f>IFERROR(__xludf.DUMMYFUNCTION("""COMPUTED_VALUE"""),190.0)</f>
        <v>190</v>
      </c>
      <c r="N1162" s="262" t="str">
        <f>IFERROR(__xludf.DUMMYFUNCTION("""COMPUTED_VALUE"""),"")</f>
        <v/>
      </c>
      <c r="O1162" s="259" t="str">
        <f>IFERROR(__xludf.DUMMYFUNCTION("""COMPUTED_VALUE"""),"")</f>
        <v/>
      </c>
      <c r="P1162" s="259">
        <f>IFERROR(__xludf.DUMMYFUNCTION("""COMPUTED_VALUE"""),42526.0)</f>
        <v>42526</v>
      </c>
      <c r="Q1162" s="258">
        <f>IFERROR(__xludf.DUMMYFUNCTION("""COMPUTED_VALUE"""),43806.0)</f>
        <v>43806</v>
      </c>
      <c r="R1162" s="261">
        <f>IFERROR(__xludf.DUMMYFUNCTION("""COMPUTED_VALUE"""),383.0)</f>
        <v>383</v>
      </c>
      <c r="S1162" s="258">
        <v>395.0</v>
      </c>
      <c r="T1162" s="263">
        <v>0.9696202531645569</v>
      </c>
      <c r="U1162" s="264">
        <v>27220.0</v>
      </c>
      <c r="V1162" s="265">
        <v>43806.0</v>
      </c>
      <c r="W1162" s="264">
        <v>27220.0</v>
      </c>
      <c r="X1162" s="266"/>
      <c r="Y1162" s="267">
        <v>-0.01</v>
      </c>
      <c r="Z1162" s="267">
        <v>0.9618400924005533</v>
      </c>
      <c r="AA1162" s="269"/>
      <c r="AB1162" s="270"/>
      <c r="AC1162" s="270"/>
      <c r="AD1162" s="270"/>
      <c r="AE1162" s="270"/>
    </row>
    <row r="1163">
      <c r="A1163" s="256">
        <f>IFERROR(__xludf.DUMMYFUNCTION("""COMPUTED_VALUE"""),42595.37986111111)</f>
        <v>42595.37986</v>
      </c>
      <c r="B1163" s="257" t="str">
        <f>IFERROR(__xludf.DUMMYFUNCTION("""COMPUTED_VALUE"""),"pjw65")</f>
        <v>pjw65</v>
      </c>
      <c r="C1163" s="258" t="str">
        <f>IFERROR(__xludf.DUMMYFUNCTION("""COMPUTED_VALUE"""),"Europe (excluding UK) &amp; Asia Pacific")</f>
        <v>Europe (excluding UK) &amp; Asia Pacific</v>
      </c>
      <c r="D1163" s="258" t="str">
        <f>IFERROR(__xludf.DUMMYFUNCTION("""COMPUTED_VALUE"""),"km. My car displays range in kilometres and I will enter all range numbers in kilometres.")</f>
        <v>km. My car displays range in kilometres and I will enter all range numbers in kilometres.</v>
      </c>
      <c r="E1163" s="259">
        <f>IFERROR(__xludf.DUMMYFUNCTION("""COMPUTED_VALUE"""),42137.0)</f>
        <v>42137</v>
      </c>
      <c r="F1163" s="258" t="str">
        <f>IFERROR(__xludf.DUMMYFUNCTION("""COMPUTED_VALUE"""),"Model S 85")</f>
        <v>Model S 85</v>
      </c>
      <c r="G1163" s="258" t="str">
        <f>IFERROR(__xludf.DUMMYFUNCTION("""COMPUTED_VALUE"""),"")</f>
        <v/>
      </c>
      <c r="H1163" s="258" t="str">
        <f>IFERROR(__xludf.DUMMYFUNCTION("""COMPUTED_VALUE"""),"")</f>
        <v/>
      </c>
      <c r="I1163" s="258" t="str">
        <f>IFERROR(__xludf.DUMMYFUNCTION("""COMPUTED_VALUE"""),"")</f>
        <v/>
      </c>
      <c r="J1163" s="260" t="str">
        <f>IFERROR(__xludf.DUMMYFUNCTION("""COMPUTED_VALUE"""),"")</f>
        <v/>
      </c>
      <c r="K1163" s="258" t="str">
        <f>IFERROR(__xludf.DUMMYFUNCTION("""COMPUTED_VALUE"""),"")</f>
        <v/>
      </c>
      <c r="L1163" s="258" t="str">
        <f>IFERROR(__xludf.DUMMYFUNCTION("""COMPUTED_VALUE"""),"")</f>
        <v/>
      </c>
      <c r="M1163" s="261">
        <f>IFERROR(__xludf.DUMMYFUNCTION("""COMPUTED_VALUE"""),200.0)</f>
        <v>200</v>
      </c>
      <c r="N1163" s="262" t="str">
        <f>IFERROR(__xludf.DUMMYFUNCTION("""COMPUTED_VALUE"""),"")</f>
        <v/>
      </c>
      <c r="O1163" s="259" t="str">
        <f>IFERROR(__xludf.DUMMYFUNCTION("""COMPUTED_VALUE"""),"")</f>
        <v/>
      </c>
      <c r="P1163" s="259">
        <f>IFERROR(__xludf.DUMMYFUNCTION("""COMPUTED_VALUE"""),42595.0)</f>
        <v>42595</v>
      </c>
      <c r="Q1163" s="258">
        <f>IFERROR(__xludf.DUMMYFUNCTION("""COMPUTED_VALUE"""),60700.0)</f>
        <v>60700</v>
      </c>
      <c r="R1163" s="261">
        <f>IFERROR(__xludf.DUMMYFUNCTION("""COMPUTED_VALUE"""),382.0)</f>
        <v>382</v>
      </c>
      <c r="S1163" s="258">
        <v>395.0</v>
      </c>
      <c r="T1163" s="263">
        <v>0.9670886075949368</v>
      </c>
      <c r="U1163" s="264">
        <v>37717.0</v>
      </c>
      <c r="V1163" s="265">
        <v>60700.0</v>
      </c>
      <c r="W1163" s="264">
        <v>37717.0</v>
      </c>
      <c r="X1163" s="266"/>
      <c r="Y1163" s="267">
        <v>-0.01</v>
      </c>
      <c r="Z1163" s="267">
        <v>0.9564521092248033</v>
      </c>
      <c r="AA1163" s="269"/>
      <c r="AB1163" s="270"/>
      <c r="AC1163" s="270"/>
      <c r="AD1163" s="270"/>
      <c r="AE1163" s="270"/>
    </row>
    <row r="1164">
      <c r="A1164" s="256">
        <f>IFERROR(__xludf.DUMMYFUNCTION("""COMPUTED_VALUE"""),43023.625)</f>
        <v>43023.625</v>
      </c>
      <c r="B1164" s="257" t="str">
        <f>IFERROR(__xludf.DUMMYFUNCTION("""COMPUTED_VALUE"""),"pjw65")</f>
        <v>pjw65</v>
      </c>
      <c r="C1164" s="258" t="str">
        <f>IFERROR(__xludf.DUMMYFUNCTION("""COMPUTED_VALUE"""),"Europe (excluding UK) &amp; Asia Pacific")</f>
        <v>Europe (excluding UK) &amp; Asia Pacific</v>
      </c>
      <c r="D1164" s="258" t="str">
        <f>IFERROR(__xludf.DUMMYFUNCTION("""COMPUTED_VALUE"""),"km. My car displays range in kilometres and I will enter all range numbers in kilometres.")</f>
        <v>km. My car displays range in kilometres and I will enter all range numbers in kilometres.</v>
      </c>
      <c r="E1164" s="259">
        <f>IFERROR(__xludf.DUMMYFUNCTION("""COMPUTED_VALUE"""),42137.0)</f>
        <v>42137</v>
      </c>
      <c r="F1164" s="258" t="str">
        <f>IFERROR(__xludf.DUMMYFUNCTION("""COMPUTED_VALUE"""),"Model S 85")</f>
        <v>Model S 85</v>
      </c>
      <c r="G1164" s="258" t="str">
        <f>IFERROR(__xludf.DUMMYFUNCTION("""COMPUTED_VALUE"""),"Weekly")</f>
        <v>Weekly</v>
      </c>
      <c r="H1164" s="258" t="str">
        <f>IFERROR(__xludf.DUMMYFUNCTION("""COMPUTED_VALUE"""),"Monthly")</f>
        <v>Monthly</v>
      </c>
      <c r="I1164" s="258" t="str">
        <f>IFERROR(__xludf.DUMMYFUNCTION("""COMPUTED_VALUE"""),"A few times a year")</f>
        <v>A few times a year</v>
      </c>
      <c r="J1164" s="260">
        <f>IFERROR(__xludf.DUMMYFUNCTION("""COMPUTED_VALUE"""),0.8)</f>
        <v>0.8</v>
      </c>
      <c r="K1164" s="258" t="str">
        <f>IFERROR(__xludf.DUMMYFUNCTION("""COMPUTED_VALUE"""),"")</f>
        <v/>
      </c>
      <c r="L1164" s="258" t="str">
        <f>IFERROR(__xludf.DUMMYFUNCTION("""COMPUTED_VALUE"""),"")</f>
        <v/>
      </c>
      <c r="M1164" s="261">
        <f>IFERROR(__xludf.DUMMYFUNCTION("""COMPUTED_VALUE"""),185.0)</f>
        <v>185</v>
      </c>
      <c r="N1164" s="262" t="str">
        <f>IFERROR(__xludf.DUMMYFUNCTION("""COMPUTED_VALUE"""),"")</f>
        <v/>
      </c>
      <c r="O1164" s="259" t="str">
        <f>IFERROR(__xludf.DUMMYFUNCTION("""COMPUTED_VALUE"""),"")</f>
        <v/>
      </c>
      <c r="P1164" s="259">
        <f>IFERROR(__xludf.DUMMYFUNCTION("""COMPUTED_VALUE"""),43023.0)</f>
        <v>43023</v>
      </c>
      <c r="Q1164" s="258">
        <f>IFERROR(__xludf.DUMMYFUNCTION("""COMPUTED_VALUE"""),117055.0)</f>
        <v>117055</v>
      </c>
      <c r="R1164" s="261">
        <f>IFERROR(__xludf.DUMMYFUNCTION("""COMPUTED_VALUE"""),375.0)</f>
        <v>375</v>
      </c>
      <c r="S1164" s="258">
        <v>395.0</v>
      </c>
      <c r="T1164" s="263">
        <v>0.9493670886075949</v>
      </c>
      <c r="U1164" s="264">
        <v>72735.0</v>
      </c>
      <c r="V1164" s="265">
        <v>117055.0</v>
      </c>
      <c r="W1164" s="264">
        <v>72735.0</v>
      </c>
      <c r="X1164" s="266"/>
      <c r="Y1164" s="267">
        <v>-0.01</v>
      </c>
      <c r="Z1164" s="267">
        <v>0.9425948273862984</v>
      </c>
      <c r="AA1164" s="269"/>
      <c r="AB1164" s="270"/>
      <c r="AC1164" s="270"/>
      <c r="AD1164" s="270"/>
      <c r="AE1164" s="270"/>
    </row>
    <row r="1165">
      <c r="A1165" s="256">
        <f>IFERROR(__xludf.DUMMYFUNCTION("""COMPUTED_VALUE"""),42240.76041666667)</f>
        <v>42240.76042</v>
      </c>
      <c r="B1165" s="257" t="str">
        <f>IFERROR(__xludf.DUMMYFUNCTION("""COMPUTED_VALUE"""),"Poison Dart Brew")</f>
        <v>Poison Dart Brew</v>
      </c>
      <c r="C1165" s="258" t="str">
        <f>IFERROR(__xludf.DUMMYFUNCTION("""COMPUTED_VALUE"""),"USA")</f>
        <v>USA</v>
      </c>
      <c r="D1165" s="258" t="str">
        <f>IFERROR(__xludf.DUMMYFUNCTION("""COMPUTED_VALUE"""),"mi. My car displays range in miles and I will enter all range numbers in miles.")</f>
        <v>mi. My car displays range in miles and I will enter all range numbers in miles.</v>
      </c>
      <c r="E1165" s="259">
        <f>IFERROR(__xludf.DUMMYFUNCTION("""COMPUTED_VALUE"""),42228.0)</f>
        <v>42228</v>
      </c>
      <c r="F1165" s="258" t="str">
        <f>IFERROR(__xludf.DUMMYFUNCTION("""COMPUTED_VALUE"""),"Model S 90D 2015")</f>
        <v>Model S 90D 2015</v>
      </c>
      <c r="G1165" s="258" t="str">
        <f>IFERROR(__xludf.DUMMYFUNCTION("""COMPUTED_VALUE"""),"")</f>
        <v/>
      </c>
      <c r="H1165" s="258" t="str">
        <f>IFERROR(__xludf.DUMMYFUNCTION("""COMPUTED_VALUE"""),"")</f>
        <v/>
      </c>
      <c r="I1165" s="258" t="str">
        <f>IFERROR(__xludf.DUMMYFUNCTION("""COMPUTED_VALUE"""),"")</f>
        <v/>
      </c>
      <c r="J1165" s="260" t="str">
        <f>IFERROR(__xludf.DUMMYFUNCTION("""COMPUTED_VALUE"""),"")</f>
        <v/>
      </c>
      <c r="K1165" s="258" t="str">
        <f>IFERROR(__xludf.DUMMYFUNCTION("""COMPUTED_VALUE"""),"")</f>
        <v/>
      </c>
      <c r="L1165" s="258" t="str">
        <f>IFERROR(__xludf.DUMMYFUNCTION("""COMPUTED_VALUE"""),"")</f>
        <v/>
      </c>
      <c r="M1165" s="261">
        <f>IFERROR(__xludf.DUMMYFUNCTION("""COMPUTED_VALUE"""),318.0)</f>
        <v>318</v>
      </c>
      <c r="N1165" s="262" t="str">
        <f>IFERROR(__xludf.DUMMYFUNCTION("""COMPUTED_VALUE"""),"")</f>
        <v/>
      </c>
      <c r="O1165" s="259" t="str">
        <f>IFERROR(__xludf.DUMMYFUNCTION("""COMPUTED_VALUE"""),"")</f>
        <v/>
      </c>
      <c r="P1165" s="259">
        <f>IFERROR(__xludf.DUMMYFUNCTION("""COMPUTED_VALUE"""),42240.0)</f>
        <v>42240</v>
      </c>
      <c r="Q1165" s="258">
        <f>IFERROR(__xludf.DUMMYFUNCTION("""COMPUTED_VALUE"""),864.0)</f>
        <v>864</v>
      </c>
      <c r="R1165" s="261">
        <f>IFERROR(__xludf.DUMMYFUNCTION("""COMPUTED_VALUE"""),283.0)</f>
        <v>283</v>
      </c>
      <c r="S1165" s="258">
        <v>277.0</v>
      </c>
      <c r="T1165" s="263">
        <v>1.0216606498194947</v>
      </c>
      <c r="U1165" s="264">
        <v>864.0</v>
      </c>
      <c r="V1165" s="265">
        <v>1390.0</v>
      </c>
      <c r="W1165" s="264">
        <v>864.0</v>
      </c>
      <c r="X1165" s="266"/>
      <c r="Y1165" s="267">
        <v>-0.01</v>
      </c>
      <c r="Z1165" s="267">
        <v>0.9973161606168875</v>
      </c>
      <c r="AA1165" s="269"/>
      <c r="AB1165" s="270"/>
      <c r="AC1165" s="270"/>
      <c r="AD1165" s="270"/>
      <c r="AE1165" s="270"/>
    </row>
    <row r="1166">
      <c r="A1166" s="256">
        <f>IFERROR(__xludf.DUMMYFUNCTION("""COMPUTED_VALUE"""),42310.77013888889)</f>
        <v>42310.77014</v>
      </c>
      <c r="B1166" s="257" t="str">
        <f>IFERROR(__xludf.DUMMYFUNCTION("""COMPUTED_VALUE"""),"Poison Dart Brew")</f>
        <v>Poison Dart Brew</v>
      </c>
      <c r="C1166" s="258" t="str">
        <f>IFERROR(__xludf.DUMMYFUNCTION("""COMPUTED_VALUE"""),"USA")</f>
        <v>USA</v>
      </c>
      <c r="D1166" s="258" t="str">
        <f>IFERROR(__xludf.DUMMYFUNCTION("""COMPUTED_VALUE"""),"mi. My car displays range in miles and I will enter all range numbers in miles.")</f>
        <v>mi. My car displays range in miles and I will enter all range numbers in miles.</v>
      </c>
      <c r="E1166" s="259">
        <f>IFERROR(__xludf.DUMMYFUNCTION("""COMPUTED_VALUE"""),42228.0)</f>
        <v>42228</v>
      </c>
      <c r="F1166" s="258" t="str">
        <f>IFERROR(__xludf.DUMMYFUNCTION("""COMPUTED_VALUE"""),"Model S 90D 2015")</f>
        <v>Model S 90D 2015</v>
      </c>
      <c r="G1166" s="258" t="str">
        <f>IFERROR(__xludf.DUMMYFUNCTION("""COMPUTED_VALUE"""),"Daily")</f>
        <v>Daily</v>
      </c>
      <c r="H1166" s="258" t="str">
        <f>IFERROR(__xludf.DUMMYFUNCTION("""COMPUTED_VALUE"""),"Twice a month")</f>
        <v>Twice a month</v>
      </c>
      <c r="I1166" s="258" t="str">
        <f>IFERROR(__xludf.DUMMYFUNCTION("""COMPUTED_VALUE"""),"Once or twice a year")</f>
        <v>Once or twice a year</v>
      </c>
      <c r="J1166" s="260">
        <f>IFERROR(__xludf.DUMMYFUNCTION("""COMPUTED_VALUE"""),0.9)</f>
        <v>0.9</v>
      </c>
      <c r="K1166" s="258">
        <f>IFERROR(__xludf.DUMMYFUNCTION("""COMPUTED_VALUE"""),283.0)</f>
        <v>283</v>
      </c>
      <c r="L1166" s="258" t="str">
        <f>IFERROR(__xludf.DUMMYFUNCTION("""COMPUTED_VALUE"""),"")</f>
        <v/>
      </c>
      <c r="M1166" s="261">
        <f>IFERROR(__xludf.DUMMYFUNCTION("""COMPUTED_VALUE"""),316.0)</f>
        <v>316</v>
      </c>
      <c r="N1166" s="262" t="str">
        <f>IFERROR(__xludf.DUMMYFUNCTION("""COMPUTED_VALUE"""),"")</f>
        <v/>
      </c>
      <c r="O1166" s="259" t="str">
        <f>IFERROR(__xludf.DUMMYFUNCTION("""COMPUTED_VALUE"""),"")</f>
        <v/>
      </c>
      <c r="P1166" s="259">
        <f>IFERROR(__xludf.DUMMYFUNCTION("""COMPUTED_VALUE"""),42310.0)</f>
        <v>42310</v>
      </c>
      <c r="Q1166" s="258">
        <f>IFERROR(__xludf.DUMMYFUNCTION("""COMPUTED_VALUE"""),4696.0)</f>
        <v>4696</v>
      </c>
      <c r="R1166" s="261">
        <f>IFERROR(__xludf.DUMMYFUNCTION("""COMPUTED_VALUE"""),268.0)</f>
        <v>268</v>
      </c>
      <c r="S1166" s="258">
        <v>277.0</v>
      </c>
      <c r="T1166" s="263">
        <v>0.9675090252707581</v>
      </c>
      <c r="U1166" s="264">
        <v>4696.0</v>
      </c>
      <c r="V1166" s="265">
        <v>7557.0</v>
      </c>
      <c r="W1166" s="264">
        <v>4696.0</v>
      </c>
      <c r="X1166" s="266"/>
      <c r="Y1166" s="267">
        <v>-0.01</v>
      </c>
      <c r="Z1166" s="267">
        <v>0.9874338318298158</v>
      </c>
      <c r="AA1166" s="269"/>
      <c r="AB1166" s="270"/>
      <c r="AC1166" s="270"/>
      <c r="AD1166" s="270"/>
      <c r="AE1166" s="270"/>
    </row>
    <row r="1167">
      <c r="A1167" s="256">
        <f>IFERROR(__xludf.DUMMYFUNCTION("""COMPUTED_VALUE"""),42348.78194444445)</f>
        <v>42348.78194</v>
      </c>
      <c r="B1167" s="257" t="str">
        <f>IFERROR(__xludf.DUMMYFUNCTION("""COMPUTED_VALUE"""),"Poison Dart Brew")</f>
        <v>Poison Dart Brew</v>
      </c>
      <c r="C1167" s="258" t="str">
        <f>IFERROR(__xludf.DUMMYFUNCTION("""COMPUTED_VALUE"""),"USA")</f>
        <v>USA</v>
      </c>
      <c r="D1167" s="258" t="str">
        <f>IFERROR(__xludf.DUMMYFUNCTION("""COMPUTED_VALUE"""),"mi. My car displays range in miles and I will enter all range numbers in miles.")</f>
        <v>mi. My car displays range in miles and I will enter all range numbers in miles.</v>
      </c>
      <c r="E1167" s="259">
        <f>IFERROR(__xludf.DUMMYFUNCTION("""COMPUTED_VALUE"""),42228.0)</f>
        <v>42228</v>
      </c>
      <c r="F1167" s="258" t="str">
        <f>IFERROR(__xludf.DUMMYFUNCTION("""COMPUTED_VALUE"""),"Model S 90D 2015")</f>
        <v>Model S 90D 2015</v>
      </c>
      <c r="G1167" s="258" t="str">
        <f>IFERROR(__xludf.DUMMYFUNCTION("""COMPUTED_VALUE"""),"")</f>
        <v/>
      </c>
      <c r="H1167" s="258" t="str">
        <f>IFERROR(__xludf.DUMMYFUNCTION("""COMPUTED_VALUE"""),"")</f>
        <v/>
      </c>
      <c r="I1167" s="258" t="str">
        <f>IFERROR(__xludf.DUMMYFUNCTION("""COMPUTED_VALUE"""),"")</f>
        <v/>
      </c>
      <c r="J1167" s="260" t="str">
        <f>IFERROR(__xludf.DUMMYFUNCTION("""COMPUTED_VALUE"""),"")</f>
        <v/>
      </c>
      <c r="K1167" s="258" t="str">
        <f>IFERROR(__xludf.DUMMYFUNCTION("""COMPUTED_VALUE"""),"")</f>
        <v/>
      </c>
      <c r="L1167" s="258" t="str">
        <f>IFERROR(__xludf.DUMMYFUNCTION("""COMPUTED_VALUE"""),"")</f>
        <v/>
      </c>
      <c r="M1167" s="261">
        <f>IFERROR(__xludf.DUMMYFUNCTION("""COMPUTED_VALUE"""),318.0)</f>
        <v>318</v>
      </c>
      <c r="N1167" s="262" t="str">
        <f>IFERROR(__xludf.DUMMYFUNCTION("""COMPUTED_VALUE"""),"")</f>
        <v/>
      </c>
      <c r="O1167" s="259" t="str">
        <f>IFERROR(__xludf.DUMMYFUNCTION("""COMPUTED_VALUE"""),"")</f>
        <v/>
      </c>
      <c r="P1167" s="259">
        <f>IFERROR(__xludf.DUMMYFUNCTION("""COMPUTED_VALUE"""),42348.0)</f>
        <v>42348</v>
      </c>
      <c r="Q1167" s="258">
        <f>IFERROR(__xludf.DUMMYFUNCTION("""COMPUTED_VALUE"""),8122.0)</f>
        <v>8122</v>
      </c>
      <c r="R1167" s="261">
        <f>IFERROR(__xludf.DUMMYFUNCTION("""COMPUTED_VALUE"""),269.0)</f>
        <v>269</v>
      </c>
      <c r="S1167" s="258">
        <v>277.0</v>
      </c>
      <c r="T1167" s="263">
        <v>0.9711191335740073</v>
      </c>
      <c r="U1167" s="264">
        <v>8122.0</v>
      </c>
      <c r="V1167" s="265">
        <v>13071.0</v>
      </c>
      <c r="W1167" s="264">
        <v>8122.0</v>
      </c>
      <c r="X1167" s="266"/>
      <c r="Y1167" s="267">
        <v>-0.01</v>
      </c>
      <c r="Z1167" s="267">
        <v>0.9807815384786234</v>
      </c>
      <c r="AA1167" s="269"/>
      <c r="AB1167" s="270"/>
      <c r="AC1167" s="270"/>
      <c r="AD1167" s="270"/>
      <c r="AE1167" s="270"/>
    </row>
    <row r="1168">
      <c r="A1168" s="256">
        <f>IFERROR(__xludf.DUMMYFUNCTION("""COMPUTED_VALUE"""),42268.18402777778)</f>
        <v>42268.18403</v>
      </c>
      <c r="B1168" s="257" t="str">
        <f>IFERROR(__xludf.DUMMYFUNCTION("""COMPUTED_VALUE"""),"Poko")</f>
        <v>Poko</v>
      </c>
      <c r="C1168" s="258" t="str">
        <f>IFERROR(__xludf.DUMMYFUNCTION("""COMPUTED_VALUE"""),"Europe (excluding UK) &amp; Asia Pacific")</f>
        <v>Europe (excluding UK) &amp; Asia Pacific</v>
      </c>
      <c r="D1168" s="258" t="str">
        <f>IFERROR(__xludf.DUMMYFUNCTION("""COMPUTED_VALUE"""),"km. My car displays range in kilometres and I will enter all range numbers in kilometres.")</f>
        <v>km. My car displays range in kilometres and I will enter all range numbers in kilometres.</v>
      </c>
      <c r="E1168" s="259">
        <f>IFERROR(__xludf.DUMMYFUNCTION("""COMPUTED_VALUE"""),41701.0)</f>
        <v>41701</v>
      </c>
      <c r="F1168" s="258" t="str">
        <f>IFERROR(__xludf.DUMMYFUNCTION("""COMPUTED_VALUE"""),"Model S P85+")</f>
        <v>Model S P85+</v>
      </c>
      <c r="G1168" s="258" t="str">
        <f>IFERROR(__xludf.DUMMYFUNCTION("""COMPUTED_VALUE"""),"Monthly")</f>
        <v>Monthly</v>
      </c>
      <c r="H1168" s="258" t="str">
        <f>IFERROR(__xludf.DUMMYFUNCTION("""COMPUTED_VALUE"""),"A few times a year")</f>
        <v>A few times a year</v>
      </c>
      <c r="I1168" s="258" t="str">
        <f>IFERROR(__xludf.DUMMYFUNCTION("""COMPUTED_VALUE"""),"Once or twice a year")</f>
        <v>Once or twice a year</v>
      </c>
      <c r="J1168" s="260">
        <f>IFERROR(__xludf.DUMMYFUNCTION("""COMPUTED_VALUE"""),0.8)</f>
        <v>0.8</v>
      </c>
      <c r="K1168" s="258" t="str">
        <f>IFERROR(__xludf.DUMMYFUNCTION("""COMPUTED_VALUE"""),"")</f>
        <v/>
      </c>
      <c r="L1168" s="258" t="str">
        <f>IFERROR(__xludf.DUMMYFUNCTION("""COMPUTED_VALUE"""),"")</f>
        <v/>
      </c>
      <c r="M1168" s="261">
        <f>IFERROR(__xludf.DUMMYFUNCTION("""COMPUTED_VALUE"""),239.0)</f>
        <v>239</v>
      </c>
      <c r="N1168" s="262" t="str">
        <f>IFERROR(__xludf.DUMMYFUNCTION("""COMPUTED_VALUE"""),"")</f>
        <v/>
      </c>
      <c r="O1168" s="259" t="str">
        <f>IFERROR(__xludf.DUMMYFUNCTION("""COMPUTED_VALUE"""),"")</f>
        <v/>
      </c>
      <c r="P1168" s="259">
        <f>IFERROR(__xludf.DUMMYFUNCTION("""COMPUTED_VALUE"""),42268.0)</f>
        <v>42268</v>
      </c>
      <c r="Q1168" s="258">
        <f>IFERROR(__xludf.DUMMYFUNCTION("""COMPUTED_VALUE"""),55125.0)</f>
        <v>55125</v>
      </c>
      <c r="R1168" s="261">
        <f>IFERROR(__xludf.DUMMYFUNCTION("""COMPUTED_VALUE"""),365.0)</f>
        <v>365</v>
      </c>
      <c r="S1168" s="258">
        <v>395.0</v>
      </c>
      <c r="T1168" s="263">
        <v>0.9240506329113924</v>
      </c>
      <c r="U1168" s="264">
        <v>34253.0</v>
      </c>
      <c r="V1168" s="265">
        <v>55125.0</v>
      </c>
      <c r="W1168" s="264">
        <v>34253.0</v>
      </c>
      <c r="X1168" s="266"/>
      <c r="Y1168" s="267">
        <v>-0.01</v>
      </c>
      <c r="Z1168" s="267">
        <v>0.9580797848901645</v>
      </c>
      <c r="AA1168" s="269"/>
      <c r="AB1168" s="270"/>
      <c r="AC1168" s="270"/>
      <c r="AD1168" s="270"/>
      <c r="AE1168" s="270"/>
    </row>
    <row r="1169">
      <c r="A1169" s="256">
        <f>IFERROR(__xludf.DUMMYFUNCTION("""COMPUTED_VALUE"""),42281.77222222222)</f>
        <v>42281.77222</v>
      </c>
      <c r="B1169" s="257" t="str">
        <f>IFERROR(__xludf.DUMMYFUNCTION("""COMPUTED_VALUE"""),"Polly Wog")</f>
        <v>Polly Wog</v>
      </c>
      <c r="C1169" s="258" t="str">
        <f>IFERROR(__xludf.DUMMYFUNCTION("""COMPUTED_VALUE"""),"USA")</f>
        <v>USA</v>
      </c>
      <c r="D1169" s="258" t="str">
        <f>IFERROR(__xludf.DUMMYFUNCTION("""COMPUTED_VALUE"""),"mi. My car displays range in miles and I will enter all range numbers in miles.")</f>
        <v>mi. My car displays range in miles and I will enter all range numbers in miles.</v>
      </c>
      <c r="E1169" s="259">
        <f>IFERROR(__xludf.DUMMYFUNCTION("""COMPUTED_VALUE"""),41673.0)</f>
        <v>41673</v>
      </c>
      <c r="F1169" s="258" t="str">
        <f>IFERROR(__xludf.DUMMYFUNCTION("""COMPUTED_VALUE"""),"Model S 85")</f>
        <v>Model S 85</v>
      </c>
      <c r="G1169" s="258" t="str">
        <f>IFERROR(__xludf.DUMMYFUNCTION("""COMPUTED_VALUE"""),"A few times a year")</f>
        <v>A few times a year</v>
      </c>
      <c r="H1169" s="258" t="str">
        <f>IFERROR(__xludf.DUMMYFUNCTION("""COMPUTED_VALUE"""),"A few times a year")</f>
        <v>A few times a year</v>
      </c>
      <c r="I1169" s="258" t="str">
        <f>IFERROR(__xludf.DUMMYFUNCTION("""COMPUTED_VALUE"""),"Never")</f>
        <v>Never</v>
      </c>
      <c r="J1169" s="260">
        <f>IFERROR(__xludf.DUMMYFUNCTION("""COMPUTED_VALUE"""),0.9)</f>
        <v>0.9</v>
      </c>
      <c r="K1169" s="258">
        <f>IFERROR(__xludf.DUMMYFUNCTION("""COMPUTED_VALUE"""),265.0)</f>
        <v>265</v>
      </c>
      <c r="L1169" s="258" t="str">
        <f>IFERROR(__xludf.DUMMYFUNCTION("""COMPUTED_VALUE"""),"")</f>
        <v/>
      </c>
      <c r="M1169" s="261">
        <f>IFERROR(__xludf.DUMMYFUNCTION("""COMPUTED_VALUE"""),291.0)</f>
        <v>291</v>
      </c>
      <c r="N1169" s="262" t="str">
        <f>IFERROR(__xludf.DUMMYFUNCTION("""COMPUTED_VALUE"""),"")</f>
        <v/>
      </c>
      <c r="O1169" s="259" t="str">
        <f>IFERROR(__xludf.DUMMYFUNCTION("""COMPUTED_VALUE"""),"")</f>
        <v/>
      </c>
      <c r="P1169" s="259">
        <f>IFERROR(__xludf.DUMMYFUNCTION("""COMPUTED_VALUE"""),42281.0)</f>
        <v>42281</v>
      </c>
      <c r="Q1169" s="258">
        <f>IFERROR(__xludf.DUMMYFUNCTION("""COMPUTED_VALUE"""),22300.0)</f>
        <v>22300</v>
      </c>
      <c r="R1169" s="261">
        <f>IFERROR(__xludf.DUMMYFUNCTION("""COMPUTED_VALUE"""),264.0)</f>
        <v>264</v>
      </c>
      <c r="S1169" s="258">
        <v>266.0</v>
      </c>
      <c r="T1169" s="263">
        <v>0.9924812030075187</v>
      </c>
      <c r="U1169" s="264">
        <v>22300.0</v>
      </c>
      <c r="V1169" s="265">
        <v>35888.0</v>
      </c>
      <c r="W1169" s="264">
        <v>22300.0</v>
      </c>
      <c r="X1169" s="266"/>
      <c r="Y1169" s="267">
        <v>-0.01</v>
      </c>
      <c r="Z1169" s="267">
        <v>0.9650602920024718</v>
      </c>
      <c r="AA1169" s="269"/>
      <c r="AB1169" s="270"/>
      <c r="AC1169" s="270"/>
      <c r="AD1169" s="270"/>
      <c r="AE1169" s="270"/>
    </row>
    <row r="1170">
      <c r="A1170" s="256">
        <f>IFERROR(__xludf.DUMMYFUNCTION("""COMPUTED_VALUE"""),43125.67916666667)</f>
        <v>43125.67917</v>
      </c>
      <c r="B1170" s="257" t="str">
        <f>IFERROR(__xludf.DUMMYFUNCTION("""COMPUTED_VALUE"""),"pott pat")</f>
        <v>pott pat</v>
      </c>
      <c r="C1170" s="258" t="str">
        <f>IFERROR(__xludf.DUMMYFUNCTION("""COMPUTED_VALUE"""),"Europe (excluding UK) &amp; Asia Pacific")</f>
        <v>Europe (excluding UK) &amp; Asia Pacific</v>
      </c>
      <c r="D1170" s="258" t="str">
        <f>IFERROR(__xludf.DUMMYFUNCTION("""COMPUTED_VALUE"""),"km. My car displays range in kilometres and I will enter all range numbers in kilometres.")</f>
        <v>km. My car displays range in kilometres and I will enter all range numbers in kilometres.</v>
      </c>
      <c r="E1170" s="259">
        <f>IFERROR(__xludf.DUMMYFUNCTION("""COMPUTED_VALUE"""),42716.0)</f>
        <v>42716</v>
      </c>
      <c r="F1170" s="258" t="str">
        <f>IFERROR(__xludf.DUMMYFUNCTION("""COMPUTED_VALUE"""),"Model S 75")</f>
        <v>Model S 75</v>
      </c>
      <c r="G1170" s="258" t="str">
        <f>IFERROR(__xludf.DUMMYFUNCTION("""COMPUTED_VALUE"""),"Twice a week")</f>
        <v>Twice a week</v>
      </c>
      <c r="H1170" s="258" t="str">
        <f>IFERROR(__xludf.DUMMYFUNCTION("""COMPUTED_VALUE"""),"Twice a month")</f>
        <v>Twice a month</v>
      </c>
      <c r="I1170" s="258" t="str">
        <f>IFERROR(__xludf.DUMMYFUNCTION("""COMPUTED_VALUE"""),"Twice a month")</f>
        <v>Twice a month</v>
      </c>
      <c r="J1170" s="260">
        <f>IFERROR(__xludf.DUMMYFUNCTION("""COMPUTED_VALUE"""),0.9)</f>
        <v>0.9</v>
      </c>
      <c r="K1170" s="258">
        <f>IFERROR(__xludf.DUMMYFUNCTION("""COMPUTED_VALUE"""),380.0)</f>
        <v>380</v>
      </c>
      <c r="L1170" s="258" t="str">
        <f>IFERROR(__xludf.DUMMYFUNCTION("""COMPUTED_VALUE"""),"")</f>
        <v/>
      </c>
      <c r="M1170" s="261">
        <f>IFERROR(__xludf.DUMMYFUNCTION("""COMPUTED_VALUE"""),206.0)</f>
        <v>206</v>
      </c>
      <c r="N1170" s="262" t="str">
        <f>IFERROR(__xludf.DUMMYFUNCTION("""COMPUTED_VALUE"""),"")</f>
        <v/>
      </c>
      <c r="O1170" s="259" t="str">
        <f>IFERROR(__xludf.DUMMYFUNCTION("""COMPUTED_VALUE"""),"")</f>
        <v/>
      </c>
      <c r="P1170" s="259">
        <f>IFERROR(__xludf.DUMMYFUNCTION("""COMPUTED_VALUE"""),43125.0)</f>
        <v>43125</v>
      </c>
      <c r="Q1170" s="258">
        <f>IFERROR(__xludf.DUMMYFUNCTION("""COMPUTED_VALUE"""),56000.0)</f>
        <v>56000</v>
      </c>
      <c r="R1170" s="261">
        <f>IFERROR(__xludf.DUMMYFUNCTION("""COMPUTED_VALUE"""),370.0)</f>
        <v>370</v>
      </c>
      <c r="S1170" s="258">
        <v>375.0</v>
      </c>
      <c r="T1170" s="263">
        <v>0.9866666666666667</v>
      </c>
      <c r="U1170" s="264">
        <v>34797.0</v>
      </c>
      <c r="V1170" s="265">
        <v>56000.0</v>
      </c>
      <c r="W1170" s="264">
        <v>34797.0</v>
      </c>
      <c r="X1170" s="266"/>
      <c r="Y1170" s="267">
        <v>-0.01</v>
      </c>
      <c r="Z1170" s="267">
        <v>0.9578167276561874</v>
      </c>
      <c r="AA1170" s="269"/>
      <c r="AB1170" s="270"/>
      <c r="AC1170" s="270"/>
      <c r="AD1170" s="270"/>
      <c r="AE1170" s="270"/>
    </row>
    <row r="1171">
      <c r="A1171" s="256">
        <f>IFERROR(__xludf.DUMMYFUNCTION("""COMPUTED_VALUE"""),43135.69027777778)</f>
        <v>43135.69028</v>
      </c>
      <c r="B1171" s="257" t="str">
        <f>IFERROR(__xludf.DUMMYFUNCTION("""COMPUTED_VALUE"""),"Prc")</f>
        <v>Prc</v>
      </c>
      <c r="C1171" s="258" t="str">
        <f>IFERROR(__xludf.DUMMYFUNCTION("""COMPUTED_VALUE"""),"Europe (excluding UK) &amp; Asia Pacific")</f>
        <v>Europe (excluding UK) &amp; Asia Pacific</v>
      </c>
      <c r="D1171" s="258" t="str">
        <f>IFERROR(__xludf.DUMMYFUNCTION("""COMPUTED_VALUE"""),"km. My car displays range in kilometres and I will enter all range numbers in kilometres.")</f>
        <v>km. My car displays range in kilometres and I will enter all range numbers in kilometres.</v>
      </c>
      <c r="E1171" s="259">
        <f>IFERROR(__xludf.DUMMYFUNCTION("""COMPUTED_VALUE"""),42181.0)</f>
        <v>42181</v>
      </c>
      <c r="F1171" s="258" t="str">
        <f>IFERROR(__xludf.DUMMYFUNCTION("""COMPUTED_VALUE"""),"Model S P85D")</f>
        <v>Model S P85D</v>
      </c>
      <c r="G1171" s="258" t="str">
        <f>IFERROR(__xludf.DUMMYFUNCTION("""COMPUTED_VALUE"""),"Twice a week")</f>
        <v>Twice a week</v>
      </c>
      <c r="H1171" s="258" t="str">
        <f>IFERROR(__xludf.DUMMYFUNCTION("""COMPUTED_VALUE"""),"A few times a year")</f>
        <v>A few times a year</v>
      </c>
      <c r="I1171" s="258" t="str">
        <f>IFERROR(__xludf.DUMMYFUNCTION("""COMPUTED_VALUE"""),"A few times a year")</f>
        <v>A few times a year</v>
      </c>
      <c r="J1171" s="260">
        <f>IFERROR(__xludf.DUMMYFUNCTION("""COMPUTED_VALUE"""),0.8)</f>
        <v>0.8</v>
      </c>
      <c r="K1171" s="258" t="str">
        <f>IFERROR(__xludf.DUMMYFUNCTION("""COMPUTED_VALUE"""),"")</f>
        <v/>
      </c>
      <c r="L1171" s="258" t="str">
        <f>IFERROR(__xludf.DUMMYFUNCTION("""COMPUTED_VALUE"""),"")</f>
        <v/>
      </c>
      <c r="M1171" s="261">
        <f>IFERROR(__xludf.DUMMYFUNCTION("""COMPUTED_VALUE"""),234.0)</f>
        <v>234</v>
      </c>
      <c r="N1171" s="262" t="str">
        <f>IFERROR(__xludf.DUMMYFUNCTION("""COMPUTED_VALUE"""),"")</f>
        <v/>
      </c>
      <c r="O1171" s="259" t="str">
        <f>IFERROR(__xludf.DUMMYFUNCTION("""COMPUTED_VALUE"""),"")</f>
        <v/>
      </c>
      <c r="P1171" s="259">
        <f>IFERROR(__xludf.DUMMYFUNCTION("""COMPUTED_VALUE"""),43135.0)</f>
        <v>43135</v>
      </c>
      <c r="Q1171" s="258">
        <f>IFERROR(__xludf.DUMMYFUNCTION("""COMPUTED_VALUE"""),112572.0)</f>
        <v>112572</v>
      </c>
      <c r="R1171" s="261">
        <f>IFERROR(__xludf.DUMMYFUNCTION("""COMPUTED_VALUE"""),373.0)</f>
        <v>373</v>
      </c>
      <c r="S1171" s="258">
        <v>403.0</v>
      </c>
      <c r="T1171" s="263">
        <v>0.9255583126550868</v>
      </c>
      <c r="U1171" s="264">
        <v>69949.0</v>
      </c>
      <c r="V1171" s="265">
        <v>112572.0</v>
      </c>
      <c r="W1171" s="264">
        <v>69949.0</v>
      </c>
      <c r="X1171" s="266"/>
      <c r="Y1171" s="267">
        <v>-0.01</v>
      </c>
      <c r="Z1171" s="267">
        <v>0.943638857547552</v>
      </c>
      <c r="AA1171" s="269"/>
      <c r="AB1171" s="270"/>
      <c r="AC1171" s="270"/>
      <c r="AD1171" s="270"/>
      <c r="AE1171" s="270"/>
    </row>
    <row r="1172">
      <c r="A1172" s="256">
        <f>IFERROR(__xludf.DUMMYFUNCTION("""COMPUTED_VALUE"""),42881.834027777775)</f>
        <v>42881.83403</v>
      </c>
      <c r="B1172" s="257" t="str">
        <f>IFERROR(__xludf.DUMMYFUNCTION("""COMPUTED_VALUE"""),"ptindle")</f>
        <v>ptindle</v>
      </c>
      <c r="C1172" s="258" t="str">
        <f>IFERROR(__xludf.DUMMYFUNCTION("""COMPUTED_VALUE"""),"USA")</f>
        <v>USA</v>
      </c>
      <c r="D1172" s="258" t="str">
        <f>IFERROR(__xludf.DUMMYFUNCTION("""COMPUTED_VALUE"""),"mi. My car displays range in miles and I will enter all range numbers in miles.")</f>
        <v>mi. My car displays range in miles and I will enter all range numbers in miles.</v>
      </c>
      <c r="E1172" s="259">
        <f>IFERROR(__xludf.DUMMYFUNCTION("""COMPUTED_VALUE"""),42088.0)</f>
        <v>42088</v>
      </c>
      <c r="F1172" s="258" t="str">
        <f>IFERROR(__xludf.DUMMYFUNCTION("""COMPUTED_VALUE"""),"Model S 85D")</f>
        <v>Model S 85D</v>
      </c>
      <c r="G1172" s="258" t="str">
        <f>IFERROR(__xludf.DUMMYFUNCTION("""COMPUTED_VALUE"""),"")</f>
        <v/>
      </c>
      <c r="H1172" s="258" t="str">
        <f>IFERROR(__xludf.DUMMYFUNCTION("""COMPUTED_VALUE"""),"")</f>
        <v/>
      </c>
      <c r="I1172" s="258" t="str">
        <f>IFERROR(__xludf.DUMMYFUNCTION("""COMPUTED_VALUE"""),"")</f>
        <v/>
      </c>
      <c r="J1172" s="260" t="str">
        <f>IFERROR(__xludf.DUMMYFUNCTION("""COMPUTED_VALUE"""),"")</f>
        <v/>
      </c>
      <c r="K1172" s="258" t="str">
        <f>IFERROR(__xludf.DUMMYFUNCTION("""COMPUTED_VALUE"""),"")</f>
        <v/>
      </c>
      <c r="L1172" s="258" t="str">
        <f>IFERROR(__xludf.DUMMYFUNCTION("""COMPUTED_VALUE"""),"")</f>
        <v/>
      </c>
      <c r="M1172" s="261">
        <f>IFERROR(__xludf.DUMMYFUNCTION("""COMPUTED_VALUE"""),318.0)</f>
        <v>318</v>
      </c>
      <c r="N1172" s="262" t="str">
        <f>IFERROR(__xludf.DUMMYFUNCTION("""COMPUTED_VALUE"""),"")</f>
        <v/>
      </c>
      <c r="O1172" s="259" t="str">
        <f>IFERROR(__xludf.DUMMYFUNCTION("""COMPUTED_VALUE"""),"")</f>
        <v/>
      </c>
      <c r="P1172" s="259">
        <f>IFERROR(__xludf.DUMMYFUNCTION("""COMPUTED_VALUE"""),42881.0)</f>
        <v>42881</v>
      </c>
      <c r="Q1172" s="258">
        <f>IFERROR(__xludf.DUMMYFUNCTION("""COMPUTED_VALUE"""),32123.0)</f>
        <v>32123</v>
      </c>
      <c r="R1172" s="261">
        <f>IFERROR(__xludf.DUMMYFUNCTION("""COMPUTED_VALUE"""),265.0)</f>
        <v>265</v>
      </c>
      <c r="S1172" s="258">
        <v>270.0</v>
      </c>
      <c r="T1172" s="263">
        <v>0.9814814814814815</v>
      </c>
      <c r="U1172" s="264">
        <v>32123.0</v>
      </c>
      <c r="V1172" s="265">
        <v>51697.0</v>
      </c>
      <c r="W1172" s="264">
        <v>32123.0</v>
      </c>
      <c r="X1172" s="266"/>
      <c r="Y1172" s="267">
        <v>-0.01</v>
      </c>
      <c r="Z1172" s="267">
        <v>0.9591427582034288</v>
      </c>
      <c r="AA1172" s="269"/>
      <c r="AB1172" s="270"/>
      <c r="AC1172" s="270"/>
      <c r="AD1172" s="270"/>
      <c r="AE1172" s="270"/>
    </row>
    <row r="1173">
      <c r="A1173" s="256">
        <f>IFERROR(__xludf.DUMMYFUNCTION("""COMPUTED_VALUE"""),41902.006944444445)</f>
        <v>41902.00694</v>
      </c>
      <c r="B1173" s="257" t="str">
        <f>IFERROR(__xludf.DUMMYFUNCTION("""COMPUTED_VALUE"""),"pvandamcom")</f>
        <v>pvandamcom</v>
      </c>
      <c r="C1173" s="258" t="str">
        <f>IFERROR(__xludf.DUMMYFUNCTION("""COMPUTED_VALUE"""),"Europe (excluding UK) &amp; Asia Pacific")</f>
        <v>Europe (excluding UK) &amp; Asia Pacific</v>
      </c>
      <c r="D1173" s="258" t="str">
        <f>IFERROR(__xludf.DUMMYFUNCTION("""COMPUTED_VALUE"""),"km. My car displays range in kilometres and I will enter all range numbers in kilometres.")</f>
        <v>km. My car displays range in kilometres and I will enter all range numbers in kilometres.</v>
      </c>
      <c r="E1173" s="259">
        <f>IFERROR(__xludf.DUMMYFUNCTION("""COMPUTED_VALUE"""),41867.0)</f>
        <v>41867</v>
      </c>
      <c r="F1173" s="258" t="str">
        <f>IFERROR(__xludf.DUMMYFUNCTION("""COMPUTED_VALUE"""),"Model S P85")</f>
        <v>Model S P85</v>
      </c>
      <c r="G1173" s="258" t="str">
        <f>IFERROR(__xludf.DUMMYFUNCTION("""COMPUTED_VALUE"""),"Never")</f>
        <v>Never</v>
      </c>
      <c r="H1173" s="258" t="str">
        <f>IFERROR(__xludf.DUMMYFUNCTION("""COMPUTED_VALUE"""),"Weekly")</f>
        <v>Weekly</v>
      </c>
      <c r="I1173" s="258" t="str">
        <f>IFERROR(__xludf.DUMMYFUNCTION("""COMPUTED_VALUE"""),"Never")</f>
        <v>Never</v>
      </c>
      <c r="J1173" s="260" t="str">
        <f>IFERROR(__xludf.DUMMYFUNCTION("""COMPUTED_VALUE"""),"")</f>
        <v/>
      </c>
      <c r="K1173" s="258" t="str">
        <f>IFERROR(__xludf.DUMMYFUNCTION("""COMPUTED_VALUE"""),"")</f>
        <v/>
      </c>
      <c r="L1173" s="258" t="str">
        <f>IFERROR(__xludf.DUMMYFUNCTION("""COMPUTED_VALUE"""),"")</f>
        <v/>
      </c>
      <c r="M1173" s="261">
        <f>IFERROR(__xludf.DUMMYFUNCTION("""COMPUTED_VALUE"""),224.0)</f>
        <v>224</v>
      </c>
      <c r="N1173" s="262" t="str">
        <f>IFERROR(__xludf.DUMMYFUNCTION("""COMPUTED_VALUE"""),"")</f>
        <v/>
      </c>
      <c r="O1173" s="259" t="str">
        <f>IFERROR(__xludf.DUMMYFUNCTION("""COMPUTED_VALUE"""),"")</f>
        <v/>
      </c>
      <c r="P1173" s="259">
        <f>IFERROR(__xludf.DUMMYFUNCTION("""COMPUTED_VALUE"""),41902.0)</f>
        <v>41902</v>
      </c>
      <c r="Q1173" s="258">
        <f>IFERROR(__xludf.DUMMYFUNCTION("""COMPUTED_VALUE"""),3434.0)</f>
        <v>3434</v>
      </c>
      <c r="R1173" s="261">
        <f>IFERROR(__xludf.DUMMYFUNCTION("""COMPUTED_VALUE"""),394.0)</f>
        <v>394</v>
      </c>
      <c r="S1173" s="258">
        <v>395.0</v>
      </c>
      <c r="T1173" s="263">
        <v>0.9974683544303797</v>
      </c>
      <c r="U1173" s="264">
        <v>2134.0</v>
      </c>
      <c r="V1173" s="265">
        <v>3434.0</v>
      </c>
      <c r="W1173" s="264">
        <v>2134.0</v>
      </c>
      <c r="X1173" s="266"/>
      <c r="Y1173" s="267">
        <v>-0.01</v>
      </c>
      <c r="Z1173" s="267">
        <v>0.9936987264083449</v>
      </c>
      <c r="AA1173" s="269"/>
      <c r="AB1173" s="270"/>
      <c r="AC1173" s="270"/>
      <c r="AD1173" s="270"/>
      <c r="AE1173" s="270"/>
    </row>
    <row r="1174">
      <c r="A1174" s="256">
        <f>IFERROR(__xludf.DUMMYFUNCTION("""COMPUTED_VALUE"""),41957.038194444445)</f>
        <v>41957.03819</v>
      </c>
      <c r="B1174" s="257" t="str">
        <f>IFERROR(__xludf.DUMMYFUNCTION("""COMPUTED_VALUE"""),"pvandamcom")</f>
        <v>pvandamcom</v>
      </c>
      <c r="C1174" s="258" t="str">
        <f>IFERROR(__xludf.DUMMYFUNCTION("""COMPUTED_VALUE"""),"Europe (excluding UK) &amp; Asia Pacific")</f>
        <v>Europe (excluding UK) &amp; Asia Pacific</v>
      </c>
      <c r="D1174" s="258" t="str">
        <f>IFERROR(__xludf.DUMMYFUNCTION("""COMPUTED_VALUE"""),"km. My car displays range in kilometres and I will enter all range numbers in kilometres.")</f>
        <v>km. My car displays range in kilometres and I will enter all range numbers in kilometres.</v>
      </c>
      <c r="E1174" s="259">
        <f>IFERROR(__xludf.DUMMYFUNCTION("""COMPUTED_VALUE"""),41867.0)</f>
        <v>41867</v>
      </c>
      <c r="F1174" s="258" t="str">
        <f>IFERROR(__xludf.DUMMYFUNCTION("""COMPUTED_VALUE"""),"Model S P85")</f>
        <v>Model S P85</v>
      </c>
      <c r="G1174" s="258" t="str">
        <f>IFERROR(__xludf.DUMMYFUNCTION("""COMPUTED_VALUE"""),"Twice a month")</f>
        <v>Twice a month</v>
      </c>
      <c r="H1174" s="258" t="str">
        <f>IFERROR(__xludf.DUMMYFUNCTION("""COMPUTED_VALUE"""),"Weekly")</f>
        <v>Weekly</v>
      </c>
      <c r="I1174" s="258" t="str">
        <f>IFERROR(__xludf.DUMMYFUNCTION("""COMPUTED_VALUE"""),"Monthly")</f>
        <v>Monthly</v>
      </c>
      <c r="J1174" s="260" t="str">
        <f>IFERROR(__xludf.DUMMYFUNCTION("""COMPUTED_VALUE"""),"")</f>
        <v/>
      </c>
      <c r="K1174" s="258" t="str">
        <f>IFERROR(__xludf.DUMMYFUNCTION("""COMPUTED_VALUE"""),"")</f>
        <v/>
      </c>
      <c r="L1174" s="258" t="str">
        <f>IFERROR(__xludf.DUMMYFUNCTION("""COMPUTED_VALUE"""),"")</f>
        <v/>
      </c>
      <c r="M1174" s="261">
        <f>IFERROR(__xludf.DUMMYFUNCTION("""COMPUTED_VALUE"""),229.0)</f>
        <v>229</v>
      </c>
      <c r="N1174" s="262" t="str">
        <f>IFERROR(__xludf.DUMMYFUNCTION("""COMPUTED_VALUE"""),"")</f>
        <v/>
      </c>
      <c r="O1174" s="259" t="str">
        <f>IFERROR(__xludf.DUMMYFUNCTION("""COMPUTED_VALUE"""),"")</f>
        <v/>
      </c>
      <c r="P1174" s="259">
        <f>IFERROR(__xludf.DUMMYFUNCTION("""COMPUTED_VALUE"""),41957.0)</f>
        <v>41957</v>
      </c>
      <c r="Q1174" s="258">
        <f>IFERROR(__xludf.DUMMYFUNCTION("""COMPUTED_VALUE"""),8000.0)</f>
        <v>8000</v>
      </c>
      <c r="R1174" s="261">
        <f>IFERROR(__xludf.DUMMYFUNCTION("""COMPUTED_VALUE"""),388.0)</f>
        <v>388</v>
      </c>
      <c r="S1174" s="258">
        <v>395.0</v>
      </c>
      <c r="T1174" s="263">
        <v>0.9822784810126582</v>
      </c>
      <c r="U1174" s="264">
        <v>4971.0</v>
      </c>
      <c r="V1174" s="265">
        <v>8000.0</v>
      </c>
      <c r="W1174" s="264">
        <v>4971.0</v>
      </c>
      <c r="X1174" s="266"/>
      <c r="Y1174" s="267">
        <v>-0.01</v>
      </c>
      <c r="Z1174" s="267">
        <v>0.9868328459645701</v>
      </c>
      <c r="AA1174" s="269"/>
      <c r="AB1174" s="270"/>
      <c r="AC1174" s="270"/>
      <c r="AD1174" s="270"/>
      <c r="AE1174" s="270"/>
    </row>
    <row r="1175">
      <c r="A1175" s="256">
        <f>IFERROR(__xludf.DUMMYFUNCTION("""COMPUTED_VALUE"""),42121.106944444444)</f>
        <v>42121.10694</v>
      </c>
      <c r="B1175" s="257" t="str">
        <f>IFERROR(__xludf.DUMMYFUNCTION("""COMPUTED_VALUE"""),"pvandamcom")</f>
        <v>pvandamcom</v>
      </c>
      <c r="C1175" s="258" t="str">
        <f>IFERROR(__xludf.DUMMYFUNCTION("""COMPUTED_VALUE"""),"Europe (excluding UK) &amp; Asia Pacific")</f>
        <v>Europe (excluding UK) &amp; Asia Pacific</v>
      </c>
      <c r="D1175" s="258" t="str">
        <f>IFERROR(__xludf.DUMMYFUNCTION("""COMPUTED_VALUE"""),"km. My car displays range in kilometres and I will enter all range numbers in kilometres.")</f>
        <v>km. My car displays range in kilometres and I will enter all range numbers in kilometres.</v>
      </c>
      <c r="E1175" s="259">
        <f>IFERROR(__xludf.DUMMYFUNCTION("""COMPUTED_VALUE"""),41867.0)</f>
        <v>41867</v>
      </c>
      <c r="F1175" s="258" t="str">
        <f>IFERROR(__xludf.DUMMYFUNCTION("""COMPUTED_VALUE"""),"Model S P85")</f>
        <v>Model S P85</v>
      </c>
      <c r="G1175" s="258" t="str">
        <f>IFERROR(__xludf.DUMMYFUNCTION("""COMPUTED_VALUE"""),"Twice a month")</f>
        <v>Twice a month</v>
      </c>
      <c r="H1175" s="258" t="str">
        <f>IFERROR(__xludf.DUMMYFUNCTION("""COMPUTED_VALUE"""),"Twice a month")</f>
        <v>Twice a month</v>
      </c>
      <c r="I1175" s="258" t="str">
        <f>IFERROR(__xludf.DUMMYFUNCTION("""COMPUTED_VALUE"""),"A few times a year")</f>
        <v>A few times a year</v>
      </c>
      <c r="J1175" s="260" t="str">
        <f>IFERROR(__xludf.DUMMYFUNCTION("""COMPUTED_VALUE"""),"")</f>
        <v/>
      </c>
      <c r="K1175" s="258" t="str">
        <f>IFERROR(__xludf.DUMMYFUNCTION("""COMPUTED_VALUE"""),"")</f>
        <v/>
      </c>
      <c r="L1175" s="258" t="str">
        <f>IFERROR(__xludf.DUMMYFUNCTION("""COMPUTED_VALUE"""),"")</f>
        <v/>
      </c>
      <c r="M1175" s="261">
        <f>IFERROR(__xludf.DUMMYFUNCTION("""COMPUTED_VALUE"""),244.0)</f>
        <v>244</v>
      </c>
      <c r="N1175" s="262" t="str">
        <f>IFERROR(__xludf.DUMMYFUNCTION("""COMPUTED_VALUE"""),"")</f>
        <v/>
      </c>
      <c r="O1175" s="259" t="str">
        <f>IFERROR(__xludf.DUMMYFUNCTION("""COMPUTED_VALUE"""),"")</f>
        <v/>
      </c>
      <c r="P1175" s="259">
        <f>IFERROR(__xludf.DUMMYFUNCTION("""COMPUTED_VALUE"""),42121.0)</f>
        <v>42121</v>
      </c>
      <c r="Q1175" s="258">
        <f>IFERROR(__xludf.DUMMYFUNCTION("""COMPUTED_VALUE"""),20539.0)</f>
        <v>20539</v>
      </c>
      <c r="R1175" s="261">
        <f>IFERROR(__xludf.DUMMYFUNCTION("""COMPUTED_VALUE"""),378.0)</f>
        <v>378</v>
      </c>
      <c r="S1175" s="258">
        <v>395.0</v>
      </c>
      <c r="T1175" s="263">
        <v>0.9569620253164557</v>
      </c>
      <c r="U1175" s="264">
        <v>12762.0</v>
      </c>
      <c r="V1175" s="265">
        <v>20539.0</v>
      </c>
      <c r="W1175" s="264">
        <v>12762.0</v>
      </c>
      <c r="X1175" s="266"/>
      <c r="Y1175" s="267">
        <v>-0.01</v>
      </c>
      <c r="Z1175" s="267">
        <v>0.9740447374932059</v>
      </c>
      <c r="AA1175" s="269"/>
      <c r="AB1175" s="270"/>
      <c r="AC1175" s="270"/>
      <c r="AD1175" s="270"/>
      <c r="AE1175" s="270"/>
    </row>
    <row r="1176">
      <c r="A1176" s="256">
        <f>IFERROR(__xludf.DUMMYFUNCTION("""COMPUTED_VALUE"""),41901.00625)</f>
        <v>41901.00625</v>
      </c>
      <c r="B1176" s="257" t="str">
        <f>IFERROR(__xludf.DUMMYFUNCTION("""COMPUTED_VALUE"""),"pvh")</f>
        <v>pvh</v>
      </c>
      <c r="C1176" s="258" t="str">
        <f>IFERROR(__xludf.DUMMYFUNCTION("""COMPUTED_VALUE"""),"Europe (excluding UK) &amp; Asia Pacific")</f>
        <v>Europe (excluding UK) &amp; Asia Pacific</v>
      </c>
      <c r="D1176" s="258" t="str">
        <f>IFERROR(__xludf.DUMMYFUNCTION("""COMPUTED_VALUE"""),"km. My car displays range in kilometres and I will enter all range numbers in kilometres.")</f>
        <v>km. My car displays range in kilometres and I will enter all range numbers in kilometres.</v>
      </c>
      <c r="E1176" s="259">
        <f>IFERROR(__xludf.DUMMYFUNCTION("""COMPUTED_VALUE"""),41711.0)</f>
        <v>41711</v>
      </c>
      <c r="F1176" s="258" t="str">
        <f>IFERROR(__xludf.DUMMYFUNCTION("""COMPUTED_VALUE"""),"Model S P85+")</f>
        <v>Model S P85+</v>
      </c>
      <c r="G1176" s="258" t="str">
        <f>IFERROR(__xludf.DUMMYFUNCTION("""COMPUTED_VALUE"""),"Twice a month")</f>
        <v>Twice a month</v>
      </c>
      <c r="H1176" s="258" t="str">
        <f>IFERROR(__xludf.DUMMYFUNCTION("""COMPUTED_VALUE"""),"Twice a month")</f>
        <v>Twice a month</v>
      </c>
      <c r="I1176" s="258" t="str">
        <f>IFERROR(__xludf.DUMMYFUNCTION("""COMPUTED_VALUE"""),"A few times a year")</f>
        <v>A few times a year</v>
      </c>
      <c r="J1176" s="260" t="str">
        <f>IFERROR(__xludf.DUMMYFUNCTION("""COMPUTED_VALUE"""),"")</f>
        <v/>
      </c>
      <c r="K1176" s="258" t="str">
        <f>IFERROR(__xludf.DUMMYFUNCTION("""COMPUTED_VALUE"""),"")</f>
        <v/>
      </c>
      <c r="L1176" s="258" t="str">
        <f>IFERROR(__xludf.DUMMYFUNCTION("""COMPUTED_VALUE"""),"")</f>
        <v/>
      </c>
      <c r="M1176" s="261">
        <f>IFERROR(__xludf.DUMMYFUNCTION("""COMPUTED_VALUE"""),245.0)</f>
        <v>245</v>
      </c>
      <c r="N1176" s="262" t="str">
        <f>IFERROR(__xludf.DUMMYFUNCTION("""COMPUTED_VALUE"""),"")</f>
        <v/>
      </c>
      <c r="O1176" s="259" t="str">
        <f>IFERROR(__xludf.DUMMYFUNCTION("""COMPUTED_VALUE"""),"")</f>
        <v/>
      </c>
      <c r="P1176" s="259">
        <f>IFERROR(__xludf.DUMMYFUNCTION("""COMPUTED_VALUE"""),41901.0)</f>
        <v>41901</v>
      </c>
      <c r="Q1176" s="258">
        <f>IFERROR(__xludf.DUMMYFUNCTION("""COMPUTED_VALUE"""),14977.0)</f>
        <v>14977</v>
      </c>
      <c r="R1176" s="261">
        <f>IFERROR(__xludf.DUMMYFUNCTION("""COMPUTED_VALUE"""),395.0)</f>
        <v>395</v>
      </c>
      <c r="S1176" s="258">
        <v>395.0</v>
      </c>
      <c r="T1176" s="263">
        <v>1.0</v>
      </c>
      <c r="U1176" s="264">
        <v>9306.0</v>
      </c>
      <c r="V1176" s="265">
        <v>14977.0</v>
      </c>
      <c r="W1176" s="264">
        <v>9306.0</v>
      </c>
      <c r="X1176" s="266"/>
      <c r="Y1176" s="267">
        <v>-0.01</v>
      </c>
      <c r="Z1176" s="267">
        <v>0.9788485568294774</v>
      </c>
      <c r="AA1176" s="269"/>
      <c r="AB1176" s="270"/>
      <c r="AC1176" s="270"/>
      <c r="AD1176" s="270"/>
      <c r="AE1176" s="270"/>
    </row>
    <row r="1177">
      <c r="A1177" s="256">
        <f>IFERROR(__xludf.DUMMYFUNCTION("""COMPUTED_VALUE"""),42024.06180555555)</f>
        <v>42024.06181</v>
      </c>
      <c r="B1177" s="257" t="str">
        <f>IFERROR(__xludf.DUMMYFUNCTION("""COMPUTED_VALUE"""),"pvh")</f>
        <v>pvh</v>
      </c>
      <c r="C1177" s="258" t="str">
        <f>IFERROR(__xludf.DUMMYFUNCTION("""COMPUTED_VALUE"""),"Europe (excluding UK) &amp; Asia Pacific")</f>
        <v>Europe (excluding UK) &amp; Asia Pacific</v>
      </c>
      <c r="D1177" s="258" t="str">
        <f>IFERROR(__xludf.DUMMYFUNCTION("""COMPUTED_VALUE"""),"km. My car displays range in kilometres and I will enter all range numbers in kilometres.")</f>
        <v>km. My car displays range in kilometres and I will enter all range numbers in kilometres.</v>
      </c>
      <c r="E1177" s="259">
        <f>IFERROR(__xludf.DUMMYFUNCTION("""COMPUTED_VALUE"""),41711.0)</f>
        <v>41711</v>
      </c>
      <c r="F1177" s="258" t="str">
        <f>IFERROR(__xludf.DUMMYFUNCTION("""COMPUTED_VALUE"""),"Model S P85+")</f>
        <v>Model S P85+</v>
      </c>
      <c r="G1177" s="258" t="str">
        <f>IFERROR(__xludf.DUMMYFUNCTION("""COMPUTED_VALUE"""),"Twice a month")</f>
        <v>Twice a month</v>
      </c>
      <c r="H1177" s="258" t="str">
        <f>IFERROR(__xludf.DUMMYFUNCTION("""COMPUTED_VALUE"""),"Monthly")</f>
        <v>Monthly</v>
      </c>
      <c r="I1177" s="258" t="str">
        <f>IFERROR(__xludf.DUMMYFUNCTION("""COMPUTED_VALUE"""),"Once or twice a year")</f>
        <v>Once or twice a year</v>
      </c>
      <c r="J1177" s="260" t="str">
        <f>IFERROR(__xludf.DUMMYFUNCTION("""COMPUTED_VALUE"""),"")</f>
        <v/>
      </c>
      <c r="K1177" s="258" t="str">
        <f>IFERROR(__xludf.DUMMYFUNCTION("""COMPUTED_VALUE"""),"")</f>
        <v/>
      </c>
      <c r="L1177" s="258" t="str">
        <f>IFERROR(__xludf.DUMMYFUNCTION("""COMPUTED_VALUE"""),"")</f>
        <v/>
      </c>
      <c r="M1177" s="261">
        <f>IFERROR(__xludf.DUMMYFUNCTION("""COMPUTED_VALUE"""),248.0)</f>
        <v>248</v>
      </c>
      <c r="N1177" s="262" t="str">
        <f>IFERROR(__xludf.DUMMYFUNCTION("""COMPUTED_VALUE"""),"")</f>
        <v/>
      </c>
      <c r="O1177" s="259" t="str">
        <f>IFERROR(__xludf.DUMMYFUNCTION("""COMPUTED_VALUE"""),"")</f>
        <v/>
      </c>
      <c r="P1177" s="259">
        <f>IFERROR(__xludf.DUMMYFUNCTION("""COMPUTED_VALUE"""),42024.0)</f>
        <v>42024</v>
      </c>
      <c r="Q1177" s="258">
        <f>IFERROR(__xludf.DUMMYFUNCTION("""COMPUTED_VALUE"""),23056.0)</f>
        <v>23056</v>
      </c>
      <c r="R1177" s="261">
        <f>IFERROR(__xludf.DUMMYFUNCTION("""COMPUTED_VALUE"""),384.0)</f>
        <v>384</v>
      </c>
      <c r="S1177" s="258">
        <v>395.0</v>
      </c>
      <c r="T1177" s="263">
        <v>0.9721518987341772</v>
      </c>
      <c r="U1177" s="264">
        <v>14326.0</v>
      </c>
      <c r="V1177" s="265">
        <v>23056.0</v>
      </c>
      <c r="W1177" s="264">
        <v>14326.0</v>
      </c>
      <c r="X1177" s="266"/>
      <c r="Y1177" s="267">
        <v>-0.01</v>
      </c>
      <c r="Z1177" s="267">
        <v>0.9722087063488635</v>
      </c>
      <c r="AA1177" s="269"/>
      <c r="AB1177" s="270"/>
      <c r="AC1177" s="270"/>
      <c r="AD1177" s="270"/>
      <c r="AE1177" s="270"/>
    </row>
    <row r="1178">
      <c r="A1178" s="256">
        <f>IFERROR(__xludf.DUMMYFUNCTION("""COMPUTED_VALUE"""),42988.606944444444)</f>
        <v>42988.60694</v>
      </c>
      <c r="B1178" s="257" t="str">
        <f>IFERROR(__xludf.DUMMYFUNCTION("""COMPUTED_VALUE"""),"pvkeep")</f>
        <v>pvkeep</v>
      </c>
      <c r="C1178" s="258" t="str">
        <f>IFERROR(__xludf.DUMMYFUNCTION("""COMPUTED_VALUE"""),"Europe (excluding UK) &amp; Asia Pacific")</f>
        <v>Europe (excluding UK) &amp; Asia Pacific</v>
      </c>
      <c r="D1178" s="258" t="str">
        <f>IFERROR(__xludf.DUMMYFUNCTION("""COMPUTED_VALUE"""),"km. My car displays range in kilometres and I will enter all range numbers in kilometres.")</f>
        <v>km. My car displays range in kilometres and I will enter all range numbers in kilometres.</v>
      </c>
      <c r="E1178" s="259">
        <f>IFERROR(__xludf.DUMMYFUNCTION("""COMPUTED_VALUE"""),42361.0)</f>
        <v>42361</v>
      </c>
      <c r="F1178" s="258" t="str">
        <f>IFERROR(__xludf.DUMMYFUNCTION("""COMPUTED_VALUE"""),"Model S 90D")</f>
        <v>Model S 90D</v>
      </c>
      <c r="G1178" s="258" t="str">
        <f>IFERROR(__xludf.DUMMYFUNCTION("""COMPUTED_VALUE"""),"Weekly")</f>
        <v>Weekly</v>
      </c>
      <c r="H1178" s="258" t="str">
        <f>IFERROR(__xludf.DUMMYFUNCTION("""COMPUTED_VALUE"""),"A few times a year")</f>
        <v>A few times a year</v>
      </c>
      <c r="I1178" s="258" t="str">
        <f>IFERROR(__xludf.DUMMYFUNCTION("""COMPUTED_VALUE"""),"A few times a year")</f>
        <v>A few times a year</v>
      </c>
      <c r="J1178" s="260">
        <f>IFERROR(__xludf.DUMMYFUNCTION("""COMPUTED_VALUE"""),0.8)</f>
        <v>0.8</v>
      </c>
      <c r="K1178" s="258" t="str">
        <f>IFERROR(__xludf.DUMMYFUNCTION("""COMPUTED_VALUE"""),"")</f>
        <v/>
      </c>
      <c r="L1178" s="258" t="str">
        <f>IFERROR(__xludf.DUMMYFUNCTION("""COMPUTED_VALUE"""),"")</f>
        <v/>
      </c>
      <c r="M1178" s="261">
        <f>IFERROR(__xludf.DUMMYFUNCTION("""COMPUTED_VALUE"""),214.0)</f>
        <v>214</v>
      </c>
      <c r="N1178" s="262" t="str">
        <f>IFERROR(__xludf.DUMMYFUNCTION("""COMPUTED_VALUE"""),"")</f>
        <v/>
      </c>
      <c r="O1178" s="259" t="str">
        <f>IFERROR(__xludf.DUMMYFUNCTION("""COMPUTED_VALUE"""),"")</f>
        <v/>
      </c>
      <c r="P1178" s="259">
        <f>IFERROR(__xludf.DUMMYFUNCTION("""COMPUTED_VALUE"""),42988.0)</f>
        <v>42988</v>
      </c>
      <c r="Q1178" s="258">
        <f>IFERROR(__xludf.DUMMYFUNCTION("""COMPUTED_VALUE"""),45500.0)</f>
        <v>45500</v>
      </c>
      <c r="R1178" s="261">
        <f>IFERROR(__xludf.DUMMYFUNCTION("""COMPUTED_VALUE"""),433.0)</f>
        <v>433</v>
      </c>
      <c r="S1178" s="258">
        <v>447.0</v>
      </c>
      <c r="T1178" s="263">
        <v>0.9686800894854586</v>
      </c>
      <c r="U1178" s="264">
        <v>28272.0</v>
      </c>
      <c r="V1178" s="265">
        <v>45500.0</v>
      </c>
      <c r="W1178" s="264">
        <v>28272.0</v>
      </c>
      <c r="X1178" s="266"/>
      <c r="Y1178" s="267">
        <v>-0.01</v>
      </c>
      <c r="Z1178" s="267">
        <v>0.9612257420787022</v>
      </c>
      <c r="AA1178" s="269"/>
      <c r="AB1178" s="270"/>
      <c r="AC1178" s="270"/>
      <c r="AD1178" s="270"/>
      <c r="AE1178" s="270"/>
    </row>
    <row r="1179">
      <c r="A1179" s="256">
        <f>IFERROR(__xludf.DUMMYFUNCTION("""COMPUTED_VALUE"""),43175.709027777775)</f>
        <v>43175.70903</v>
      </c>
      <c r="B1179" s="257" t="str">
        <f>IFERROR(__xludf.DUMMYFUNCTION("""COMPUTED_VALUE"""),"PW01")</f>
        <v>PW01</v>
      </c>
      <c r="C1179" s="258" t="str">
        <f>IFERROR(__xludf.DUMMYFUNCTION("""COMPUTED_VALUE"""),"Europe (excluding UK) &amp; Asia Pacific")</f>
        <v>Europe (excluding UK) &amp; Asia Pacific</v>
      </c>
      <c r="D1179" s="258" t="str">
        <f>IFERROR(__xludf.DUMMYFUNCTION("""COMPUTED_VALUE"""),"km. My car displays range in kilometres and I will enter all range numbers in kilometres.")</f>
        <v>km. My car displays range in kilometres and I will enter all range numbers in kilometres.</v>
      </c>
      <c r="E1179" s="259">
        <f>IFERROR(__xludf.DUMMYFUNCTION("""COMPUTED_VALUE"""),42967.0)</f>
        <v>42967</v>
      </c>
      <c r="F1179" s="258" t="str">
        <f>IFERROR(__xludf.DUMMYFUNCTION("""COMPUTED_VALUE"""),"Model S 100D")</f>
        <v>Model S 100D</v>
      </c>
      <c r="G1179" s="258" t="str">
        <f>IFERROR(__xludf.DUMMYFUNCTION("""COMPUTED_VALUE"""),"Twice a month")</f>
        <v>Twice a month</v>
      </c>
      <c r="H1179" s="258" t="str">
        <f>IFERROR(__xludf.DUMMYFUNCTION("""COMPUTED_VALUE"""),"Monthly")</f>
        <v>Monthly</v>
      </c>
      <c r="I1179" s="258" t="str">
        <f>IFERROR(__xludf.DUMMYFUNCTION("""COMPUTED_VALUE"""),"A few times a year")</f>
        <v>A few times a year</v>
      </c>
      <c r="J1179" s="260">
        <f>IFERROR(__xludf.DUMMYFUNCTION("""COMPUTED_VALUE"""),0.9)</f>
        <v>0.9</v>
      </c>
      <c r="K1179" s="258">
        <f>IFERROR(__xludf.DUMMYFUNCTION("""COMPUTED_VALUE"""),501.0)</f>
        <v>501</v>
      </c>
      <c r="L1179" s="258" t="str">
        <f>IFERROR(__xludf.DUMMYFUNCTION("""COMPUTED_VALUE"""),"")</f>
        <v/>
      </c>
      <c r="M1179" s="261">
        <f>IFERROR(__xludf.DUMMYFUNCTION("""COMPUTED_VALUE"""),260.0)</f>
        <v>260</v>
      </c>
      <c r="N1179" s="262" t="str">
        <f>IFERROR(__xludf.DUMMYFUNCTION("""COMPUTED_VALUE"""),"")</f>
        <v/>
      </c>
      <c r="O1179" s="259" t="str">
        <f>IFERROR(__xludf.DUMMYFUNCTION("""COMPUTED_VALUE"""),"")</f>
        <v/>
      </c>
      <c r="P1179" s="259">
        <f>IFERROR(__xludf.DUMMYFUNCTION("""COMPUTED_VALUE"""),43175.0)</f>
        <v>43175</v>
      </c>
      <c r="Q1179" s="258">
        <f>IFERROR(__xludf.DUMMYFUNCTION("""COMPUTED_VALUE"""),16000.0)</f>
        <v>16000</v>
      </c>
      <c r="R1179" s="261">
        <f>IFERROR(__xludf.DUMMYFUNCTION("""COMPUTED_VALUE"""),490.0)</f>
        <v>490</v>
      </c>
      <c r="S1179" s="258">
        <v>510.0</v>
      </c>
      <c r="T1179" s="263">
        <v>0.9607843137254902</v>
      </c>
      <c r="U1179" s="264">
        <v>9942.0</v>
      </c>
      <c r="V1179" s="265">
        <v>16000.0</v>
      </c>
      <c r="W1179" s="264">
        <v>9942.0</v>
      </c>
      <c r="X1179" s="266"/>
      <c r="Y1179" s="267">
        <v>-0.01</v>
      </c>
      <c r="Z1179" s="267">
        <v>0.9778767649619632</v>
      </c>
      <c r="AA1179" s="269"/>
      <c r="AB1179" s="270"/>
      <c r="AC1179" s="270"/>
      <c r="AD1179" s="270"/>
      <c r="AE1179" s="270"/>
    </row>
    <row r="1180">
      <c r="A1180" s="256">
        <f>IFERROR(__xludf.DUMMYFUNCTION("""COMPUTED_VALUE"""),43584.42923789352)</f>
        <v>43584.42924</v>
      </c>
      <c r="B1180" s="257" t="str">
        <f>IFERROR(__xludf.DUMMYFUNCTION("""COMPUTED_VALUE"""),"PW01")</f>
        <v>PW01</v>
      </c>
      <c r="C1180" s="258" t="str">
        <f>IFERROR(__xludf.DUMMYFUNCTION("""COMPUTED_VALUE"""),"Europe (excluding UK) &amp; Asia Pacific")</f>
        <v>Europe (excluding UK) &amp; Asia Pacific</v>
      </c>
      <c r="D1180" s="258" t="str">
        <f>IFERROR(__xludf.DUMMYFUNCTION("""COMPUTED_VALUE"""),"km. My car displays range in kilometres and I will enter all range numbers in kilometres.")</f>
        <v>km. My car displays range in kilometres and I will enter all range numbers in kilometres.</v>
      </c>
      <c r="E1180" s="259">
        <f>IFERROR(__xludf.DUMMYFUNCTION("""COMPUTED_VALUE"""),42967.0)</f>
        <v>42967</v>
      </c>
      <c r="F1180" s="258" t="str">
        <f>IFERROR(__xludf.DUMMYFUNCTION("""COMPUTED_VALUE"""),"Model S 100D")</f>
        <v>Model S 100D</v>
      </c>
      <c r="G1180" s="258" t="str">
        <f>IFERROR(__xludf.DUMMYFUNCTION("""COMPUTED_VALUE"""),"Twice a month")</f>
        <v>Twice a month</v>
      </c>
      <c r="H1180" s="258" t="str">
        <f>IFERROR(__xludf.DUMMYFUNCTION("""COMPUTED_VALUE"""),"Monthly")</f>
        <v>Monthly</v>
      </c>
      <c r="I1180" s="258" t="str">
        <f>IFERROR(__xludf.DUMMYFUNCTION("""COMPUTED_VALUE"""),"Monthly")</f>
        <v>Monthly</v>
      </c>
      <c r="J1180" s="260">
        <f>IFERROR(__xludf.DUMMYFUNCTION("""COMPUTED_VALUE"""),0.9)</f>
        <v>0.9</v>
      </c>
      <c r="K1180" s="258" t="str">
        <f>IFERROR(__xludf.DUMMYFUNCTION("""COMPUTED_VALUE"""),"")</f>
        <v/>
      </c>
      <c r="L1180" s="258" t="str">
        <f>IFERROR(__xludf.DUMMYFUNCTION("""COMPUTED_VALUE"""),"")</f>
        <v/>
      </c>
      <c r="M1180" s="261">
        <f>IFERROR(__xludf.DUMMYFUNCTION("""COMPUTED_VALUE"""),230.0)</f>
        <v>230</v>
      </c>
      <c r="N1180" s="262" t="str">
        <f>IFERROR(__xludf.DUMMYFUNCTION("""COMPUTED_VALUE"""),"")</f>
        <v/>
      </c>
      <c r="O1180" s="259" t="str">
        <f>IFERROR(__xludf.DUMMYFUNCTION("""COMPUTED_VALUE"""),"")</f>
        <v/>
      </c>
      <c r="P1180" s="259">
        <f>IFERROR(__xludf.DUMMYFUNCTION("""COMPUTED_VALUE"""),43580.0)</f>
        <v>43580</v>
      </c>
      <c r="Q1180" s="258">
        <f>IFERROR(__xludf.DUMMYFUNCTION("""COMPUTED_VALUE"""),67000.0)</f>
        <v>67000</v>
      </c>
      <c r="R1180" s="261">
        <f>IFERROR(__xludf.DUMMYFUNCTION("""COMPUTED_VALUE"""),482.0)</f>
        <v>482</v>
      </c>
      <c r="S1180" s="258">
        <v>510.0</v>
      </c>
      <c r="T1180" s="263">
        <v>0.9450980392156862</v>
      </c>
      <c r="U1180" s="264">
        <v>41632.0</v>
      </c>
      <c r="V1180" s="265">
        <v>67000.0</v>
      </c>
      <c r="W1180" s="264">
        <v>41632.0</v>
      </c>
      <c r="X1180" s="266"/>
      <c r="Y1180" s="267">
        <v>-0.01</v>
      </c>
      <c r="Z1180" s="267">
        <v>0.9547251930235957</v>
      </c>
      <c r="AA1180" s="269"/>
      <c r="AB1180" s="270"/>
      <c r="AC1180" s="270"/>
      <c r="AD1180" s="270"/>
      <c r="AE1180" s="270"/>
    </row>
    <row r="1181">
      <c r="A1181" s="256">
        <f>IFERROR(__xludf.DUMMYFUNCTION("""COMPUTED_VALUE"""),41944.03402777778)</f>
        <v>41944.03403</v>
      </c>
      <c r="B1181" s="257" t="str">
        <f>IFERROR(__xludf.DUMMYFUNCTION("""COMPUTED_VALUE"""),"QueenieEye")</f>
        <v>QueenieEye</v>
      </c>
      <c r="C1181" s="258" t="str">
        <f>IFERROR(__xludf.DUMMYFUNCTION("""COMPUTED_VALUE"""),"Europe (excluding UK) &amp; Asia Pacific")</f>
        <v>Europe (excluding UK) &amp; Asia Pacific</v>
      </c>
      <c r="D1181" s="258" t="str">
        <f>IFERROR(__xludf.DUMMYFUNCTION("""COMPUTED_VALUE"""),"km. My car displays range in kilometres and I will enter all range numbers in kilometres.")</f>
        <v>km. My car displays range in kilometres and I will enter all range numbers in kilometres.</v>
      </c>
      <c r="E1181" s="259">
        <f>IFERROR(__xludf.DUMMYFUNCTION("""COMPUTED_VALUE"""),41600.0)</f>
        <v>41600</v>
      </c>
      <c r="F1181" s="258" t="str">
        <f>IFERROR(__xludf.DUMMYFUNCTION("""COMPUTED_VALUE"""),"Model S 85")</f>
        <v>Model S 85</v>
      </c>
      <c r="G1181" s="258" t="str">
        <f>IFERROR(__xludf.DUMMYFUNCTION("""COMPUTED_VALUE"""),"A few times a year")</f>
        <v>A few times a year</v>
      </c>
      <c r="H1181" s="258" t="str">
        <f>IFERROR(__xludf.DUMMYFUNCTION("""COMPUTED_VALUE"""),"A few times a year")</f>
        <v>A few times a year</v>
      </c>
      <c r="I1181" s="258" t="str">
        <f>IFERROR(__xludf.DUMMYFUNCTION("""COMPUTED_VALUE"""),"Never")</f>
        <v>Never</v>
      </c>
      <c r="J1181" s="260" t="str">
        <f>IFERROR(__xludf.DUMMYFUNCTION("""COMPUTED_VALUE"""),"")</f>
        <v/>
      </c>
      <c r="K1181" s="258" t="str">
        <f>IFERROR(__xludf.DUMMYFUNCTION("""COMPUTED_VALUE"""),"")</f>
        <v/>
      </c>
      <c r="L1181" s="258" t="str">
        <f>IFERROR(__xludf.DUMMYFUNCTION("""COMPUTED_VALUE"""),"")</f>
        <v/>
      </c>
      <c r="M1181" s="261">
        <f>IFERROR(__xludf.DUMMYFUNCTION("""COMPUTED_VALUE"""),202.0)</f>
        <v>202</v>
      </c>
      <c r="N1181" s="262" t="str">
        <f>IFERROR(__xludf.DUMMYFUNCTION("""COMPUTED_VALUE"""),"")</f>
        <v/>
      </c>
      <c r="O1181" s="259" t="str">
        <f>IFERROR(__xludf.DUMMYFUNCTION("""COMPUTED_VALUE"""),"")</f>
        <v/>
      </c>
      <c r="P1181" s="259">
        <f>IFERROR(__xludf.DUMMYFUNCTION("""COMPUTED_VALUE"""),41944.0)</f>
        <v>41944</v>
      </c>
      <c r="Q1181" s="258">
        <f>IFERROR(__xludf.DUMMYFUNCTION("""COMPUTED_VALUE"""),39000.0)</f>
        <v>39000</v>
      </c>
      <c r="R1181" s="261">
        <f>IFERROR(__xludf.DUMMYFUNCTION("""COMPUTED_VALUE"""),377.0)</f>
        <v>377</v>
      </c>
      <c r="S1181" s="258">
        <v>395.0</v>
      </c>
      <c r="T1181" s="263">
        <v>0.9544303797468354</v>
      </c>
      <c r="U1181" s="264">
        <v>24233.0</v>
      </c>
      <c r="V1181" s="265">
        <v>39000.0</v>
      </c>
      <c r="W1181" s="264">
        <v>24233.0</v>
      </c>
      <c r="X1181" s="266"/>
      <c r="Y1181" s="267">
        <v>-0.01</v>
      </c>
      <c r="Z1181" s="267">
        <v>0.9637171929117925</v>
      </c>
      <c r="AA1181" s="269"/>
      <c r="AB1181" s="270"/>
      <c r="AC1181" s="270"/>
      <c r="AD1181" s="270"/>
      <c r="AE1181" s="270"/>
    </row>
    <row r="1182">
      <c r="A1182" s="256">
        <f>IFERROR(__xludf.DUMMYFUNCTION("""COMPUTED_VALUE"""),42192.14444444445)</f>
        <v>42192.14444</v>
      </c>
      <c r="B1182" s="257" t="str">
        <f>IFERROR(__xludf.DUMMYFUNCTION("""COMPUTED_VALUE"""),"QueenieEye")</f>
        <v>QueenieEye</v>
      </c>
      <c r="C1182" s="258" t="str">
        <f>IFERROR(__xludf.DUMMYFUNCTION("""COMPUTED_VALUE"""),"Europe (excluding UK) &amp; Asia Pacific")</f>
        <v>Europe (excluding UK) &amp; Asia Pacific</v>
      </c>
      <c r="D1182" s="258" t="str">
        <f>IFERROR(__xludf.DUMMYFUNCTION("""COMPUTED_VALUE"""),"km. My car displays range in kilometres and I will enter all range numbers in kilometres.")</f>
        <v>km. My car displays range in kilometres and I will enter all range numbers in kilometres.</v>
      </c>
      <c r="E1182" s="259">
        <f>IFERROR(__xludf.DUMMYFUNCTION("""COMPUTED_VALUE"""),41600.0)</f>
        <v>41600</v>
      </c>
      <c r="F1182" s="258" t="str">
        <f>IFERROR(__xludf.DUMMYFUNCTION("""COMPUTED_VALUE"""),"Model S 85")</f>
        <v>Model S 85</v>
      </c>
      <c r="G1182" s="258" t="str">
        <f>IFERROR(__xludf.DUMMYFUNCTION("""COMPUTED_VALUE"""),"A few times a year")</f>
        <v>A few times a year</v>
      </c>
      <c r="H1182" s="258" t="str">
        <f>IFERROR(__xludf.DUMMYFUNCTION("""COMPUTED_VALUE"""),"A few times a year")</f>
        <v>A few times a year</v>
      </c>
      <c r="I1182" s="258" t="str">
        <f>IFERROR(__xludf.DUMMYFUNCTION("""COMPUTED_VALUE"""),"Never")</f>
        <v>Never</v>
      </c>
      <c r="J1182" s="260">
        <f>IFERROR(__xludf.DUMMYFUNCTION("""COMPUTED_VALUE"""),0.9)</f>
        <v>0.9</v>
      </c>
      <c r="K1182" s="258">
        <f>IFERROR(__xludf.DUMMYFUNCTION("""COMPUTED_VALUE"""),383.0)</f>
        <v>383</v>
      </c>
      <c r="L1182" s="258" t="str">
        <f>IFERROR(__xludf.DUMMYFUNCTION("""COMPUTED_VALUE"""),"")</f>
        <v/>
      </c>
      <c r="M1182" s="261">
        <f>IFERROR(__xludf.DUMMYFUNCTION("""COMPUTED_VALUE"""),203.0)</f>
        <v>203</v>
      </c>
      <c r="N1182" s="262" t="str">
        <f>IFERROR(__xludf.DUMMYFUNCTION("""COMPUTED_VALUE"""),"")</f>
        <v/>
      </c>
      <c r="O1182" s="259" t="str">
        <f>IFERROR(__xludf.DUMMYFUNCTION("""COMPUTED_VALUE"""),"")</f>
        <v/>
      </c>
      <c r="P1182" s="259">
        <f>IFERROR(__xludf.DUMMYFUNCTION("""COMPUTED_VALUE"""),42192.0)</f>
        <v>42192</v>
      </c>
      <c r="Q1182" s="258">
        <f>IFERROR(__xludf.DUMMYFUNCTION("""COMPUTED_VALUE"""),63372.0)</f>
        <v>63372</v>
      </c>
      <c r="R1182" s="261">
        <f>IFERROR(__xludf.DUMMYFUNCTION("""COMPUTED_VALUE"""),375.0)</f>
        <v>375</v>
      </c>
      <c r="S1182" s="258">
        <v>395.0</v>
      </c>
      <c r="T1182" s="263">
        <v>0.9493670886075949</v>
      </c>
      <c r="U1182" s="264">
        <v>39378.0</v>
      </c>
      <c r="V1182" s="265">
        <v>63372.0</v>
      </c>
      <c r="W1182" s="264">
        <v>39378.0</v>
      </c>
      <c r="X1182" s="266"/>
      <c r="Y1182" s="267">
        <v>-0.01</v>
      </c>
      <c r="Z1182" s="267">
        <v>0.9557073487406685</v>
      </c>
      <c r="AA1182" s="269"/>
      <c r="AB1182" s="270"/>
      <c r="AC1182" s="270"/>
      <c r="AD1182" s="270"/>
      <c r="AE1182" s="270"/>
    </row>
    <row r="1183">
      <c r="A1183" s="256">
        <f>IFERROR(__xludf.DUMMYFUNCTION("""COMPUTED_VALUE"""),42263.180555555555)</f>
        <v>42263.18056</v>
      </c>
      <c r="B1183" s="257" t="str">
        <f>IFERROR(__xludf.DUMMYFUNCTION("""COMPUTED_VALUE"""),"QueenieEye")</f>
        <v>QueenieEye</v>
      </c>
      <c r="C1183" s="258" t="str">
        <f>IFERROR(__xludf.DUMMYFUNCTION("""COMPUTED_VALUE"""),"Europe (excluding UK) &amp; Asia Pacific")</f>
        <v>Europe (excluding UK) &amp; Asia Pacific</v>
      </c>
      <c r="D1183" s="258" t="str">
        <f>IFERROR(__xludf.DUMMYFUNCTION("""COMPUTED_VALUE"""),"km. My car displays range in kilometres and I will enter all range numbers in kilometres.")</f>
        <v>km. My car displays range in kilometres and I will enter all range numbers in kilometres.</v>
      </c>
      <c r="E1183" s="259">
        <f>IFERROR(__xludf.DUMMYFUNCTION("""COMPUTED_VALUE"""),41600.0)</f>
        <v>41600</v>
      </c>
      <c r="F1183" s="258" t="str">
        <f>IFERROR(__xludf.DUMMYFUNCTION("""COMPUTED_VALUE"""),"Model S 85")</f>
        <v>Model S 85</v>
      </c>
      <c r="G1183" s="258" t="str">
        <f>IFERROR(__xludf.DUMMYFUNCTION("""COMPUTED_VALUE"""),"A few times a year")</f>
        <v>A few times a year</v>
      </c>
      <c r="H1183" s="258" t="str">
        <f>IFERROR(__xludf.DUMMYFUNCTION("""COMPUTED_VALUE"""),"A few times a year")</f>
        <v>A few times a year</v>
      </c>
      <c r="I1183" s="258" t="str">
        <f>IFERROR(__xludf.DUMMYFUNCTION("""COMPUTED_VALUE"""),"Never")</f>
        <v>Never</v>
      </c>
      <c r="J1183" s="260">
        <f>IFERROR(__xludf.DUMMYFUNCTION("""COMPUTED_VALUE"""),0.9)</f>
        <v>0.9</v>
      </c>
      <c r="K1183" s="258">
        <f>IFERROR(__xludf.DUMMYFUNCTION("""COMPUTED_VALUE"""),383.0)</f>
        <v>383</v>
      </c>
      <c r="L1183" s="258" t="str">
        <f>IFERROR(__xludf.DUMMYFUNCTION("""COMPUTED_VALUE"""),"")</f>
        <v/>
      </c>
      <c r="M1183" s="261">
        <f>IFERROR(__xludf.DUMMYFUNCTION("""COMPUTED_VALUE"""),202.0)</f>
        <v>202</v>
      </c>
      <c r="N1183" s="262" t="str">
        <f>IFERROR(__xludf.DUMMYFUNCTION("""COMPUTED_VALUE"""),"")</f>
        <v/>
      </c>
      <c r="O1183" s="259" t="str">
        <f>IFERROR(__xludf.DUMMYFUNCTION("""COMPUTED_VALUE"""),"")</f>
        <v/>
      </c>
      <c r="P1183" s="259">
        <f>IFERROR(__xludf.DUMMYFUNCTION("""COMPUTED_VALUE"""),42263.0)</f>
        <v>42263</v>
      </c>
      <c r="Q1183" s="258">
        <f>IFERROR(__xludf.DUMMYFUNCTION("""COMPUTED_VALUE"""),69161.0)</f>
        <v>69161</v>
      </c>
      <c r="R1183" s="261">
        <f>IFERROR(__xludf.DUMMYFUNCTION("""COMPUTED_VALUE"""),366.0)</f>
        <v>366</v>
      </c>
      <c r="S1183" s="258">
        <v>395.0</v>
      </c>
      <c r="T1183" s="263">
        <v>0.9265822784810127</v>
      </c>
      <c r="U1183" s="264">
        <v>42975.0</v>
      </c>
      <c r="V1183" s="265">
        <v>69161.0</v>
      </c>
      <c r="W1183" s="264">
        <v>42975.0</v>
      </c>
      <c r="X1183" s="266"/>
      <c r="Y1183" s="267">
        <v>-0.01</v>
      </c>
      <c r="Z1183" s="267">
        <v>0.9541536756692267</v>
      </c>
      <c r="AA1183" s="269"/>
      <c r="AB1183" s="270"/>
      <c r="AC1183" s="270"/>
      <c r="AD1183" s="270"/>
      <c r="AE1183" s="270"/>
    </row>
    <row r="1184">
      <c r="A1184" s="256">
        <f>IFERROR(__xludf.DUMMYFUNCTION("""COMPUTED_VALUE"""),42383.273611111115)</f>
        <v>42383.27361</v>
      </c>
      <c r="B1184" s="257" t="str">
        <f>IFERROR(__xludf.DUMMYFUNCTION("""COMPUTED_VALUE"""),"QueenieEye")</f>
        <v>QueenieEye</v>
      </c>
      <c r="C1184" s="258" t="str">
        <f>IFERROR(__xludf.DUMMYFUNCTION("""COMPUTED_VALUE"""),"Europe (excluding UK) &amp; Asia Pacific")</f>
        <v>Europe (excluding UK) &amp; Asia Pacific</v>
      </c>
      <c r="D1184" s="258" t="str">
        <f>IFERROR(__xludf.DUMMYFUNCTION("""COMPUTED_VALUE"""),"km. My car displays range in kilometres and I will enter all range numbers in kilometres.")</f>
        <v>km. My car displays range in kilometres and I will enter all range numbers in kilometres.</v>
      </c>
      <c r="E1184" s="259">
        <f>IFERROR(__xludf.DUMMYFUNCTION("""COMPUTED_VALUE"""),41600.0)</f>
        <v>41600</v>
      </c>
      <c r="F1184" s="258" t="str">
        <f>IFERROR(__xludf.DUMMYFUNCTION("""COMPUTED_VALUE"""),"Model S 85")</f>
        <v>Model S 85</v>
      </c>
      <c r="G1184" s="258" t="str">
        <f>IFERROR(__xludf.DUMMYFUNCTION("""COMPUTED_VALUE"""),"Monthly")</f>
        <v>Monthly</v>
      </c>
      <c r="H1184" s="258" t="str">
        <f>IFERROR(__xludf.DUMMYFUNCTION("""COMPUTED_VALUE"""),"Monthly")</f>
        <v>Monthly</v>
      </c>
      <c r="I1184" s="258" t="str">
        <f>IFERROR(__xludf.DUMMYFUNCTION("""COMPUTED_VALUE"""),"Never")</f>
        <v>Never</v>
      </c>
      <c r="J1184" s="260">
        <f>IFERROR(__xludf.DUMMYFUNCTION("""COMPUTED_VALUE"""),0.9)</f>
        <v>0.9</v>
      </c>
      <c r="K1184" s="258">
        <f>IFERROR(__xludf.DUMMYFUNCTION("""COMPUTED_VALUE"""),383.0)</f>
        <v>383</v>
      </c>
      <c r="L1184" s="258" t="str">
        <f>IFERROR(__xludf.DUMMYFUNCTION("""COMPUTED_VALUE"""),"")</f>
        <v/>
      </c>
      <c r="M1184" s="261">
        <f>IFERROR(__xludf.DUMMYFUNCTION("""COMPUTED_VALUE"""),201.0)</f>
        <v>201</v>
      </c>
      <c r="N1184" s="262" t="str">
        <f>IFERROR(__xludf.DUMMYFUNCTION("""COMPUTED_VALUE"""),"")</f>
        <v/>
      </c>
      <c r="O1184" s="259" t="str">
        <f>IFERROR(__xludf.DUMMYFUNCTION("""COMPUTED_VALUE"""),"")</f>
        <v/>
      </c>
      <c r="P1184" s="259">
        <f>IFERROR(__xludf.DUMMYFUNCTION("""COMPUTED_VALUE"""),42383.0)</f>
        <v>42383</v>
      </c>
      <c r="Q1184" s="258">
        <f>IFERROR(__xludf.DUMMYFUNCTION("""COMPUTED_VALUE"""),83000.0)</f>
        <v>83000</v>
      </c>
      <c r="R1184" s="261">
        <f>IFERROR(__xludf.DUMMYFUNCTION("""COMPUTED_VALUE"""),365.0)</f>
        <v>365</v>
      </c>
      <c r="S1184" s="258">
        <v>395.0</v>
      </c>
      <c r="T1184" s="263">
        <v>0.9240506329113924</v>
      </c>
      <c r="U1184" s="264">
        <v>51574.0</v>
      </c>
      <c r="V1184" s="265">
        <v>83000.0</v>
      </c>
      <c r="W1184" s="264">
        <v>51574.0</v>
      </c>
      <c r="X1184" s="266"/>
      <c r="Y1184" s="267">
        <v>-0.01</v>
      </c>
      <c r="Z1184" s="267">
        <v>0.950659984579507</v>
      </c>
      <c r="AA1184" s="269"/>
      <c r="AB1184" s="270"/>
      <c r="AC1184" s="270"/>
      <c r="AD1184" s="270"/>
      <c r="AE1184" s="270"/>
    </row>
    <row r="1185">
      <c r="A1185" s="256">
        <f>IFERROR(__xludf.DUMMYFUNCTION("""COMPUTED_VALUE"""),42479.32916666666)</f>
        <v>42479.32917</v>
      </c>
      <c r="B1185" s="257" t="str">
        <f>IFERROR(__xludf.DUMMYFUNCTION("""COMPUTED_VALUE"""),"QueenieEye")</f>
        <v>QueenieEye</v>
      </c>
      <c r="C1185" s="258" t="str">
        <f>IFERROR(__xludf.DUMMYFUNCTION("""COMPUTED_VALUE"""),"Europe (excluding UK) &amp; Asia Pacific")</f>
        <v>Europe (excluding UK) &amp; Asia Pacific</v>
      </c>
      <c r="D1185" s="258" t="str">
        <f>IFERROR(__xludf.DUMMYFUNCTION("""COMPUTED_VALUE"""),"km. My car displays range in kilometres and I will enter all range numbers in kilometres.")</f>
        <v>km. My car displays range in kilometres and I will enter all range numbers in kilometres.</v>
      </c>
      <c r="E1185" s="259">
        <f>IFERROR(__xludf.DUMMYFUNCTION("""COMPUTED_VALUE"""),41600.0)</f>
        <v>41600</v>
      </c>
      <c r="F1185" s="258" t="str">
        <f>IFERROR(__xludf.DUMMYFUNCTION("""COMPUTED_VALUE"""),"Model S 85")</f>
        <v>Model S 85</v>
      </c>
      <c r="G1185" s="258" t="str">
        <f>IFERROR(__xludf.DUMMYFUNCTION("""COMPUTED_VALUE"""),"A few times a year")</f>
        <v>A few times a year</v>
      </c>
      <c r="H1185" s="258" t="str">
        <f>IFERROR(__xludf.DUMMYFUNCTION("""COMPUTED_VALUE"""),"Monthly")</f>
        <v>Monthly</v>
      </c>
      <c r="I1185" s="258" t="str">
        <f>IFERROR(__xludf.DUMMYFUNCTION("""COMPUTED_VALUE"""),"Never")</f>
        <v>Never</v>
      </c>
      <c r="J1185" s="260">
        <f>IFERROR(__xludf.DUMMYFUNCTION("""COMPUTED_VALUE"""),0.9)</f>
        <v>0.9</v>
      </c>
      <c r="K1185" s="258">
        <f>IFERROR(__xludf.DUMMYFUNCTION("""COMPUTED_VALUE"""),383.0)</f>
        <v>383</v>
      </c>
      <c r="L1185" s="258" t="str">
        <f>IFERROR(__xludf.DUMMYFUNCTION("""COMPUTED_VALUE"""),"")</f>
        <v/>
      </c>
      <c r="M1185" s="261">
        <f>IFERROR(__xludf.DUMMYFUNCTION("""COMPUTED_VALUE"""),202.0)</f>
        <v>202</v>
      </c>
      <c r="N1185" s="262" t="str">
        <f>IFERROR(__xludf.DUMMYFUNCTION("""COMPUTED_VALUE"""),"")</f>
        <v/>
      </c>
      <c r="O1185" s="259" t="str">
        <f>IFERROR(__xludf.DUMMYFUNCTION("""COMPUTED_VALUE"""),"")</f>
        <v/>
      </c>
      <c r="P1185" s="259">
        <f>IFERROR(__xludf.DUMMYFUNCTION("""COMPUTED_VALUE"""),42479.0)</f>
        <v>42479</v>
      </c>
      <c r="Q1185" s="258">
        <f>IFERROR(__xludf.DUMMYFUNCTION("""COMPUTED_VALUE"""),93400.0)</f>
        <v>93400</v>
      </c>
      <c r="R1185" s="261">
        <f>IFERROR(__xludf.DUMMYFUNCTION("""COMPUTED_VALUE"""),369.0)</f>
        <v>369</v>
      </c>
      <c r="S1185" s="258">
        <v>395.0</v>
      </c>
      <c r="T1185" s="263">
        <v>0.9341772151898734</v>
      </c>
      <c r="U1185" s="264">
        <v>58036.0</v>
      </c>
      <c r="V1185" s="265">
        <v>93400.0</v>
      </c>
      <c r="W1185" s="264">
        <v>58036.0</v>
      </c>
      <c r="X1185" s="266"/>
      <c r="Y1185" s="267">
        <v>-0.01</v>
      </c>
      <c r="Z1185" s="267">
        <v>0.9481504579424576</v>
      </c>
      <c r="AA1185" s="269"/>
      <c r="AB1185" s="270"/>
      <c r="AC1185" s="270"/>
      <c r="AD1185" s="270"/>
      <c r="AE1185" s="270"/>
    </row>
    <row r="1186">
      <c r="A1186" s="256">
        <f>IFERROR(__xludf.DUMMYFUNCTION("""COMPUTED_VALUE"""),42593.37777777778)</f>
        <v>42593.37778</v>
      </c>
      <c r="B1186" s="257" t="str">
        <f>IFERROR(__xludf.DUMMYFUNCTION("""COMPUTED_VALUE"""),"QueenieEye")</f>
        <v>QueenieEye</v>
      </c>
      <c r="C1186" s="258" t="str">
        <f>IFERROR(__xludf.DUMMYFUNCTION("""COMPUTED_VALUE"""),"Europe (excluding UK) &amp; Asia Pacific")</f>
        <v>Europe (excluding UK) &amp; Asia Pacific</v>
      </c>
      <c r="D1186" s="258" t="str">
        <f>IFERROR(__xludf.DUMMYFUNCTION("""COMPUTED_VALUE"""),"km. My car displays range in kilometres and I will enter all range numbers in kilometres.")</f>
        <v>km. My car displays range in kilometres and I will enter all range numbers in kilometres.</v>
      </c>
      <c r="E1186" s="259">
        <f>IFERROR(__xludf.DUMMYFUNCTION("""COMPUTED_VALUE"""),41600.0)</f>
        <v>41600</v>
      </c>
      <c r="F1186" s="258" t="str">
        <f>IFERROR(__xludf.DUMMYFUNCTION("""COMPUTED_VALUE"""),"Model S 85")</f>
        <v>Model S 85</v>
      </c>
      <c r="G1186" s="258" t="str">
        <f>IFERROR(__xludf.DUMMYFUNCTION("""COMPUTED_VALUE"""),"Monthly")</f>
        <v>Monthly</v>
      </c>
      <c r="H1186" s="258" t="str">
        <f>IFERROR(__xludf.DUMMYFUNCTION("""COMPUTED_VALUE"""),"Monthly")</f>
        <v>Monthly</v>
      </c>
      <c r="I1186" s="258" t="str">
        <f>IFERROR(__xludf.DUMMYFUNCTION("""COMPUTED_VALUE"""),"Never")</f>
        <v>Never</v>
      </c>
      <c r="J1186" s="260">
        <f>IFERROR(__xludf.DUMMYFUNCTION("""COMPUTED_VALUE"""),0.9)</f>
        <v>0.9</v>
      </c>
      <c r="K1186" s="258">
        <f>IFERROR(__xludf.DUMMYFUNCTION("""COMPUTED_VALUE"""),383.0)</f>
        <v>383</v>
      </c>
      <c r="L1186" s="258" t="str">
        <f>IFERROR(__xludf.DUMMYFUNCTION("""COMPUTED_VALUE"""),"")</f>
        <v/>
      </c>
      <c r="M1186" s="261">
        <f>IFERROR(__xludf.DUMMYFUNCTION("""COMPUTED_VALUE"""),200.0)</f>
        <v>200</v>
      </c>
      <c r="N1186" s="262" t="str">
        <f>IFERROR(__xludf.DUMMYFUNCTION("""COMPUTED_VALUE"""),"")</f>
        <v/>
      </c>
      <c r="O1186" s="259" t="str">
        <f>IFERROR(__xludf.DUMMYFUNCTION("""COMPUTED_VALUE"""),"")</f>
        <v/>
      </c>
      <c r="P1186" s="259">
        <f>IFERROR(__xludf.DUMMYFUNCTION("""COMPUTED_VALUE"""),42593.0)</f>
        <v>42593</v>
      </c>
      <c r="Q1186" s="258">
        <f>IFERROR(__xludf.DUMMYFUNCTION("""COMPUTED_VALUE"""),106563.0)</f>
        <v>106563</v>
      </c>
      <c r="R1186" s="261">
        <f>IFERROR(__xludf.DUMMYFUNCTION("""COMPUTED_VALUE"""),369.0)</f>
        <v>369</v>
      </c>
      <c r="S1186" s="258">
        <v>395.0</v>
      </c>
      <c r="T1186" s="263">
        <v>0.9341772151898734</v>
      </c>
      <c r="U1186" s="264">
        <v>66215.0</v>
      </c>
      <c r="V1186" s="265">
        <v>106563.0</v>
      </c>
      <c r="W1186" s="264">
        <v>66215.0</v>
      </c>
      <c r="X1186" s="266"/>
      <c r="Y1186" s="267">
        <v>-0.01</v>
      </c>
      <c r="Z1186" s="267">
        <v>0.9450431127739612</v>
      </c>
      <c r="AA1186" s="269"/>
      <c r="AB1186" s="270"/>
      <c r="AC1186" s="270"/>
      <c r="AD1186" s="270"/>
      <c r="AE1186" s="270"/>
    </row>
    <row r="1187">
      <c r="A1187" s="256">
        <f>IFERROR(__xludf.DUMMYFUNCTION("""COMPUTED_VALUE"""),42625.40069444444)</f>
        <v>42625.40069</v>
      </c>
      <c r="B1187" s="257" t="str">
        <f>IFERROR(__xludf.DUMMYFUNCTION("""COMPUTED_VALUE"""),"QueenieEye")</f>
        <v>QueenieEye</v>
      </c>
      <c r="C1187" s="258" t="str">
        <f>IFERROR(__xludf.DUMMYFUNCTION("""COMPUTED_VALUE"""),"Europe (excluding UK) &amp; Asia Pacific")</f>
        <v>Europe (excluding UK) &amp; Asia Pacific</v>
      </c>
      <c r="D1187" s="258" t="str">
        <f>IFERROR(__xludf.DUMMYFUNCTION("""COMPUTED_VALUE"""),"km. My car displays range in kilometres and I will enter all range numbers in kilometres.")</f>
        <v>km. My car displays range in kilometres and I will enter all range numbers in kilometres.</v>
      </c>
      <c r="E1187" s="259">
        <f>IFERROR(__xludf.DUMMYFUNCTION("""COMPUTED_VALUE"""),41600.0)</f>
        <v>41600</v>
      </c>
      <c r="F1187" s="258" t="str">
        <f>IFERROR(__xludf.DUMMYFUNCTION("""COMPUTED_VALUE"""),"Model S 85")</f>
        <v>Model S 85</v>
      </c>
      <c r="G1187" s="258" t="str">
        <f>IFERROR(__xludf.DUMMYFUNCTION("""COMPUTED_VALUE"""),"Monthly")</f>
        <v>Monthly</v>
      </c>
      <c r="H1187" s="258" t="str">
        <f>IFERROR(__xludf.DUMMYFUNCTION("""COMPUTED_VALUE"""),"Monthly")</f>
        <v>Monthly</v>
      </c>
      <c r="I1187" s="258" t="str">
        <f>IFERROR(__xludf.DUMMYFUNCTION("""COMPUTED_VALUE"""),"Never")</f>
        <v>Never</v>
      </c>
      <c r="J1187" s="260">
        <f>IFERROR(__xludf.DUMMYFUNCTION("""COMPUTED_VALUE"""),0.9)</f>
        <v>0.9</v>
      </c>
      <c r="K1187" s="258">
        <f>IFERROR(__xludf.DUMMYFUNCTION("""COMPUTED_VALUE"""),383.0)</f>
        <v>383</v>
      </c>
      <c r="L1187" s="258" t="str">
        <f>IFERROR(__xludf.DUMMYFUNCTION("""COMPUTED_VALUE"""),"")</f>
        <v/>
      </c>
      <c r="M1187" s="261">
        <f>IFERROR(__xludf.DUMMYFUNCTION("""COMPUTED_VALUE"""),200.0)</f>
        <v>200</v>
      </c>
      <c r="N1187" s="262" t="str">
        <f>IFERROR(__xludf.DUMMYFUNCTION("""COMPUTED_VALUE"""),"")</f>
        <v/>
      </c>
      <c r="O1187" s="259" t="str">
        <f>IFERROR(__xludf.DUMMYFUNCTION("""COMPUTED_VALUE"""),"")</f>
        <v/>
      </c>
      <c r="P1187" s="259">
        <f>IFERROR(__xludf.DUMMYFUNCTION("""COMPUTED_VALUE"""),42625.0)</f>
        <v>42625</v>
      </c>
      <c r="Q1187" s="258">
        <f>IFERROR(__xludf.DUMMYFUNCTION("""COMPUTED_VALUE"""),109248.0)</f>
        <v>109248</v>
      </c>
      <c r="R1187" s="261">
        <f>IFERROR(__xludf.DUMMYFUNCTION("""COMPUTED_VALUE"""),373.0)</f>
        <v>373</v>
      </c>
      <c r="S1187" s="258">
        <v>395.0</v>
      </c>
      <c r="T1187" s="263">
        <v>0.9443037974683545</v>
      </c>
      <c r="U1187" s="264">
        <v>67884.0</v>
      </c>
      <c r="V1187" s="265">
        <v>109248.0</v>
      </c>
      <c r="W1187" s="264">
        <v>67884.0</v>
      </c>
      <c r="X1187" s="266"/>
      <c r="Y1187" s="267">
        <v>-0.01</v>
      </c>
      <c r="Z1187" s="267">
        <v>0.9444148568507279</v>
      </c>
      <c r="AA1187" s="269"/>
      <c r="AB1187" s="270"/>
      <c r="AC1187" s="270"/>
      <c r="AD1187" s="270"/>
      <c r="AE1187" s="270"/>
    </row>
    <row r="1188">
      <c r="A1188" s="256">
        <f>IFERROR(__xludf.DUMMYFUNCTION("""COMPUTED_VALUE"""),42713.47083333333)</f>
        <v>42713.47083</v>
      </c>
      <c r="B1188" s="257" t="str">
        <f>IFERROR(__xludf.DUMMYFUNCTION("""COMPUTED_VALUE"""),"QueenieEye")</f>
        <v>QueenieEye</v>
      </c>
      <c r="C1188" s="258" t="str">
        <f>IFERROR(__xludf.DUMMYFUNCTION("""COMPUTED_VALUE"""),"Europe (excluding UK) &amp; Asia Pacific")</f>
        <v>Europe (excluding UK) &amp; Asia Pacific</v>
      </c>
      <c r="D1188" s="258" t="str">
        <f>IFERROR(__xludf.DUMMYFUNCTION("""COMPUTED_VALUE"""),"km. My car displays range in kilometres and I will enter all range numbers in kilometres.")</f>
        <v>km. My car displays range in kilometres and I will enter all range numbers in kilometres.</v>
      </c>
      <c r="E1188" s="259">
        <f>IFERROR(__xludf.DUMMYFUNCTION("""COMPUTED_VALUE"""),41600.0)</f>
        <v>41600</v>
      </c>
      <c r="F1188" s="258" t="str">
        <f>IFERROR(__xludf.DUMMYFUNCTION("""COMPUTED_VALUE"""),"Model S 85")</f>
        <v>Model S 85</v>
      </c>
      <c r="G1188" s="258" t="str">
        <f>IFERROR(__xludf.DUMMYFUNCTION("""COMPUTED_VALUE"""),"Monthly")</f>
        <v>Monthly</v>
      </c>
      <c r="H1188" s="258" t="str">
        <f>IFERROR(__xludf.DUMMYFUNCTION("""COMPUTED_VALUE"""),"Monthly")</f>
        <v>Monthly</v>
      </c>
      <c r="I1188" s="258" t="str">
        <f>IFERROR(__xludf.DUMMYFUNCTION("""COMPUTED_VALUE"""),"Never")</f>
        <v>Never</v>
      </c>
      <c r="J1188" s="260">
        <f>IFERROR(__xludf.DUMMYFUNCTION("""COMPUTED_VALUE"""),0.9)</f>
        <v>0.9</v>
      </c>
      <c r="K1188" s="258">
        <f>IFERROR(__xludf.DUMMYFUNCTION("""COMPUTED_VALUE"""),383.0)</f>
        <v>383</v>
      </c>
      <c r="L1188" s="258" t="str">
        <f>IFERROR(__xludf.DUMMYFUNCTION("""COMPUTED_VALUE"""),"")</f>
        <v/>
      </c>
      <c r="M1188" s="261">
        <f>IFERROR(__xludf.DUMMYFUNCTION("""COMPUTED_VALUE"""),200.0)</f>
        <v>200</v>
      </c>
      <c r="N1188" s="262" t="str">
        <f>IFERROR(__xludf.DUMMYFUNCTION("""COMPUTED_VALUE"""),"")</f>
        <v/>
      </c>
      <c r="O1188" s="259" t="str">
        <f>IFERROR(__xludf.DUMMYFUNCTION("""COMPUTED_VALUE"""),"")</f>
        <v/>
      </c>
      <c r="P1188" s="259">
        <f>IFERROR(__xludf.DUMMYFUNCTION("""COMPUTED_VALUE"""),42713.0)</f>
        <v>42713</v>
      </c>
      <c r="Q1188" s="258">
        <f>IFERROR(__xludf.DUMMYFUNCTION("""COMPUTED_VALUE"""),119000.0)</f>
        <v>119000</v>
      </c>
      <c r="R1188" s="261">
        <f>IFERROR(__xludf.DUMMYFUNCTION("""COMPUTED_VALUE"""),375.0)</f>
        <v>375</v>
      </c>
      <c r="S1188" s="258">
        <v>395.0</v>
      </c>
      <c r="T1188" s="263">
        <v>0.9493670886075949</v>
      </c>
      <c r="U1188" s="264">
        <v>73943.0</v>
      </c>
      <c r="V1188" s="265">
        <v>119000.0</v>
      </c>
      <c r="W1188" s="264">
        <v>73943.0</v>
      </c>
      <c r="X1188" s="266"/>
      <c r="Y1188" s="267">
        <v>-0.01</v>
      </c>
      <c r="Z1188" s="267">
        <v>0.9421426138433802</v>
      </c>
      <c r="AA1188" s="269"/>
      <c r="AB1188" s="270"/>
      <c r="AC1188" s="270"/>
      <c r="AD1188" s="270"/>
      <c r="AE1188" s="270"/>
    </row>
    <row r="1189">
      <c r="A1189" s="256">
        <f>IFERROR(__xludf.DUMMYFUNCTION("""COMPUTED_VALUE"""),43018.62222222222)</f>
        <v>43018.62222</v>
      </c>
      <c r="B1189" s="257" t="str">
        <f>IFERROR(__xludf.DUMMYFUNCTION("""COMPUTED_VALUE"""),"Quenbo")</f>
        <v>Quenbo</v>
      </c>
      <c r="C1189" s="258" t="str">
        <f>IFERROR(__xludf.DUMMYFUNCTION("""COMPUTED_VALUE"""),"Europe (excluding UK) &amp; Asia Pacific")</f>
        <v>Europe (excluding UK) &amp; Asia Pacific</v>
      </c>
      <c r="D1189" s="258" t="str">
        <f>IFERROR(__xludf.DUMMYFUNCTION("""COMPUTED_VALUE"""),"km. My car displays range in kilometres and I will enter all range numbers in kilometres.")</f>
        <v>km. My car displays range in kilometres and I will enter all range numbers in kilometres.</v>
      </c>
      <c r="E1189" s="259">
        <f>IFERROR(__xludf.DUMMYFUNCTION("""COMPUTED_VALUE"""),42887.0)</f>
        <v>42887</v>
      </c>
      <c r="F1189" s="258" t="str">
        <f>IFERROR(__xludf.DUMMYFUNCTION("""COMPUTED_VALUE"""),"Model S P100D")</f>
        <v>Model S P100D</v>
      </c>
      <c r="G1189" s="258" t="str">
        <f>IFERROR(__xludf.DUMMYFUNCTION("""COMPUTED_VALUE"""),"Twice a month")</f>
        <v>Twice a month</v>
      </c>
      <c r="H1189" s="258" t="str">
        <f>IFERROR(__xludf.DUMMYFUNCTION("""COMPUTED_VALUE"""),"Monthly")</f>
        <v>Monthly</v>
      </c>
      <c r="I1189" s="258" t="str">
        <f>IFERROR(__xludf.DUMMYFUNCTION("""COMPUTED_VALUE"""),"Monthly")</f>
        <v>Monthly</v>
      </c>
      <c r="J1189" s="260">
        <f>IFERROR(__xludf.DUMMYFUNCTION("""COMPUTED_VALUE"""),0.9)</f>
        <v>0.9</v>
      </c>
      <c r="K1189" s="258" t="str">
        <f>IFERROR(__xludf.DUMMYFUNCTION("""COMPUTED_VALUE"""),"")</f>
        <v/>
      </c>
      <c r="L1189" s="258" t="str">
        <f>IFERROR(__xludf.DUMMYFUNCTION("""COMPUTED_VALUE"""),"")</f>
        <v/>
      </c>
      <c r="M1189" s="261">
        <f>IFERROR(__xludf.DUMMYFUNCTION("""COMPUTED_VALUE"""),267.0)</f>
        <v>267</v>
      </c>
      <c r="N1189" s="262" t="str">
        <f>IFERROR(__xludf.DUMMYFUNCTION("""COMPUTED_VALUE"""),"")</f>
        <v/>
      </c>
      <c r="O1189" s="259" t="str">
        <f>IFERROR(__xludf.DUMMYFUNCTION("""COMPUTED_VALUE"""),"")</f>
        <v/>
      </c>
      <c r="P1189" s="259">
        <f>IFERROR(__xludf.DUMMYFUNCTION("""COMPUTED_VALUE"""),43018.0)</f>
        <v>43018</v>
      </c>
      <c r="Q1189" s="258">
        <f>IFERROR(__xludf.DUMMYFUNCTION("""COMPUTED_VALUE"""),4781.0)</f>
        <v>4781</v>
      </c>
      <c r="R1189" s="261">
        <f>IFERROR(__xludf.DUMMYFUNCTION("""COMPUTED_VALUE"""),482.0)</f>
        <v>482</v>
      </c>
      <c r="S1189" s="258">
        <v>483.0</v>
      </c>
      <c r="T1189" s="263">
        <v>0.9979296066252588</v>
      </c>
      <c r="U1189" s="264">
        <v>2971.0</v>
      </c>
      <c r="V1189" s="265">
        <v>4781.0</v>
      </c>
      <c r="W1189" s="264">
        <v>2971.0</v>
      </c>
      <c r="X1189" s="266"/>
      <c r="Y1189" s="267">
        <v>-0.01</v>
      </c>
      <c r="Z1189" s="267">
        <v>0.9915100737911803</v>
      </c>
      <c r="AA1189" s="269"/>
      <c r="AB1189" s="270"/>
      <c r="AC1189" s="270"/>
      <c r="AD1189" s="270"/>
      <c r="AE1189" s="270"/>
    </row>
    <row r="1190">
      <c r="A1190" s="256">
        <f>IFERROR(__xludf.DUMMYFUNCTION("""COMPUTED_VALUE"""),43035.629166666666)</f>
        <v>43035.62917</v>
      </c>
      <c r="B1190" s="257" t="str">
        <f>IFERROR(__xludf.DUMMYFUNCTION("""COMPUTED_VALUE"""),"Quenbo")</f>
        <v>Quenbo</v>
      </c>
      <c r="C1190" s="258" t="str">
        <f>IFERROR(__xludf.DUMMYFUNCTION("""COMPUTED_VALUE"""),"Europe (excluding UK) &amp; Asia Pacific")</f>
        <v>Europe (excluding UK) &amp; Asia Pacific</v>
      </c>
      <c r="D1190" s="258" t="str">
        <f>IFERROR(__xludf.DUMMYFUNCTION("""COMPUTED_VALUE"""),"km. My car displays range in kilometres and I will enter all range numbers in kilometres.")</f>
        <v>km. My car displays range in kilometres and I will enter all range numbers in kilometres.</v>
      </c>
      <c r="E1190" s="259">
        <f>IFERROR(__xludf.DUMMYFUNCTION("""COMPUTED_VALUE"""),42887.0)</f>
        <v>42887</v>
      </c>
      <c r="F1190" s="258" t="str">
        <f>IFERROR(__xludf.DUMMYFUNCTION("""COMPUTED_VALUE"""),"Model S P100D")</f>
        <v>Model S P100D</v>
      </c>
      <c r="G1190" s="258" t="str">
        <f>IFERROR(__xludf.DUMMYFUNCTION("""COMPUTED_VALUE"""),"Twice a month")</f>
        <v>Twice a month</v>
      </c>
      <c r="H1190" s="258" t="str">
        <f>IFERROR(__xludf.DUMMYFUNCTION("""COMPUTED_VALUE"""),"Twice a month")</f>
        <v>Twice a month</v>
      </c>
      <c r="I1190" s="258" t="str">
        <f>IFERROR(__xludf.DUMMYFUNCTION("""COMPUTED_VALUE"""),"A few times a year")</f>
        <v>A few times a year</v>
      </c>
      <c r="J1190" s="260">
        <f>IFERROR(__xludf.DUMMYFUNCTION("""COMPUTED_VALUE"""),0.9)</f>
        <v>0.9</v>
      </c>
      <c r="K1190" s="258" t="str">
        <f>IFERROR(__xludf.DUMMYFUNCTION("""COMPUTED_VALUE"""),"")</f>
        <v/>
      </c>
      <c r="L1190" s="258" t="str">
        <f>IFERROR(__xludf.DUMMYFUNCTION("""COMPUTED_VALUE"""),"")</f>
        <v/>
      </c>
      <c r="M1190" s="261">
        <f>IFERROR(__xludf.DUMMYFUNCTION("""COMPUTED_VALUE"""),260.0)</f>
        <v>260</v>
      </c>
      <c r="N1190" s="262" t="str">
        <f>IFERROR(__xludf.DUMMYFUNCTION("""COMPUTED_VALUE"""),"")</f>
        <v/>
      </c>
      <c r="O1190" s="259" t="str">
        <f>IFERROR(__xludf.DUMMYFUNCTION("""COMPUTED_VALUE"""),"")</f>
        <v/>
      </c>
      <c r="P1190" s="259">
        <f>IFERROR(__xludf.DUMMYFUNCTION("""COMPUTED_VALUE"""),43035.0)</f>
        <v>43035</v>
      </c>
      <c r="Q1190" s="258">
        <f>IFERROR(__xludf.DUMMYFUNCTION("""COMPUTED_VALUE"""),6472.0)</f>
        <v>6472</v>
      </c>
      <c r="R1190" s="261">
        <f>IFERROR(__xludf.DUMMYFUNCTION("""COMPUTED_VALUE"""),478.0)</f>
        <v>478</v>
      </c>
      <c r="S1190" s="258">
        <v>483.0</v>
      </c>
      <c r="T1190" s="263">
        <v>0.989648033126294</v>
      </c>
      <c r="U1190" s="264">
        <v>4022.0</v>
      </c>
      <c r="V1190" s="265">
        <v>6472.0</v>
      </c>
      <c r="W1190" s="264">
        <v>4022.0</v>
      </c>
      <c r="X1190" s="266"/>
      <c r="Y1190" s="267">
        <v>-0.01</v>
      </c>
      <c r="Z1190" s="267">
        <v>0.9889614377916837</v>
      </c>
      <c r="AA1190" s="269"/>
      <c r="AB1190" s="270"/>
      <c r="AC1190" s="270"/>
      <c r="AD1190" s="270"/>
      <c r="AE1190" s="270"/>
    </row>
    <row r="1191">
      <c r="A1191" s="256">
        <f>IFERROR(__xludf.DUMMYFUNCTION("""COMPUTED_VALUE"""),43132.68888888889)</f>
        <v>43132.68889</v>
      </c>
      <c r="B1191" s="257" t="str">
        <f>IFERROR(__xludf.DUMMYFUNCTION("""COMPUTED_VALUE"""),"Quenbo")</f>
        <v>Quenbo</v>
      </c>
      <c r="C1191" s="258" t="str">
        <f>IFERROR(__xludf.DUMMYFUNCTION("""COMPUTED_VALUE"""),"Europe (excluding UK) &amp; Asia Pacific")</f>
        <v>Europe (excluding UK) &amp; Asia Pacific</v>
      </c>
      <c r="D1191" s="258" t="str">
        <f>IFERROR(__xludf.DUMMYFUNCTION("""COMPUTED_VALUE"""),"km. My car displays range in kilometres and I will enter all range numbers in kilometres.")</f>
        <v>km. My car displays range in kilometres and I will enter all range numbers in kilometres.</v>
      </c>
      <c r="E1191" s="259">
        <f>IFERROR(__xludf.DUMMYFUNCTION("""COMPUTED_VALUE"""),42887.0)</f>
        <v>42887</v>
      </c>
      <c r="F1191" s="258" t="str">
        <f>IFERROR(__xludf.DUMMYFUNCTION("""COMPUTED_VALUE"""),"Model S P100D")</f>
        <v>Model S P100D</v>
      </c>
      <c r="G1191" s="258" t="str">
        <f>IFERROR(__xludf.DUMMYFUNCTION("""COMPUTED_VALUE"""),"Twice a month")</f>
        <v>Twice a month</v>
      </c>
      <c r="H1191" s="258" t="str">
        <f>IFERROR(__xludf.DUMMYFUNCTION("""COMPUTED_VALUE"""),"A few times a year")</f>
        <v>A few times a year</v>
      </c>
      <c r="I1191" s="258" t="str">
        <f>IFERROR(__xludf.DUMMYFUNCTION("""COMPUTED_VALUE"""),"A few times a year")</f>
        <v>A few times a year</v>
      </c>
      <c r="J1191" s="260">
        <f>IFERROR(__xludf.DUMMYFUNCTION("""COMPUTED_VALUE"""),0.9)</f>
        <v>0.9</v>
      </c>
      <c r="K1191" s="258" t="str">
        <f>IFERROR(__xludf.DUMMYFUNCTION("""COMPUTED_VALUE"""),"")</f>
        <v/>
      </c>
      <c r="L1191" s="258" t="str">
        <f>IFERROR(__xludf.DUMMYFUNCTION("""COMPUTED_VALUE"""),"")</f>
        <v/>
      </c>
      <c r="M1191" s="261">
        <f>IFERROR(__xludf.DUMMYFUNCTION("""COMPUTED_VALUE"""),288.0)</f>
        <v>288</v>
      </c>
      <c r="N1191" s="262" t="str">
        <f>IFERROR(__xludf.DUMMYFUNCTION("""COMPUTED_VALUE"""),"")</f>
        <v/>
      </c>
      <c r="O1191" s="259" t="str">
        <f>IFERROR(__xludf.DUMMYFUNCTION("""COMPUTED_VALUE"""),"")</f>
        <v/>
      </c>
      <c r="P1191" s="259">
        <f>IFERROR(__xludf.DUMMYFUNCTION("""COMPUTED_VALUE"""),43132.0)</f>
        <v>43132</v>
      </c>
      <c r="Q1191" s="258">
        <f>IFERROR(__xludf.DUMMYFUNCTION("""COMPUTED_VALUE"""),16476.0)</f>
        <v>16476</v>
      </c>
      <c r="R1191" s="261">
        <f>IFERROR(__xludf.DUMMYFUNCTION("""COMPUTED_VALUE"""),472.0)</f>
        <v>472</v>
      </c>
      <c r="S1191" s="258">
        <v>483.0</v>
      </c>
      <c r="T1191" s="263">
        <v>0.9772256728778468</v>
      </c>
      <c r="U1191" s="264">
        <v>10238.0</v>
      </c>
      <c r="V1191" s="265">
        <v>16476.0</v>
      </c>
      <c r="W1191" s="264">
        <v>10238.0</v>
      </c>
      <c r="X1191" s="266"/>
      <c r="Y1191" s="267">
        <v>-0.01</v>
      </c>
      <c r="Z1191" s="267">
        <v>0.9774392290905525</v>
      </c>
      <c r="AA1191" s="269"/>
      <c r="AB1191" s="270"/>
      <c r="AC1191" s="270"/>
      <c r="AD1191" s="270"/>
      <c r="AE1191" s="270"/>
    </row>
    <row r="1192">
      <c r="A1192" s="256">
        <f>IFERROR(__xludf.DUMMYFUNCTION("""COMPUTED_VALUE"""),43699.33035615741)</f>
        <v>43699.33036</v>
      </c>
      <c r="B1192" s="257" t="str">
        <f>IFERROR(__xludf.DUMMYFUNCTION("""COMPUTED_VALUE"""),"Quenbo")</f>
        <v>Quenbo</v>
      </c>
      <c r="C1192" s="258" t="str">
        <f>IFERROR(__xludf.DUMMYFUNCTION("""COMPUTED_VALUE"""),"Europe (excluding UK) &amp; Asia Pacific")</f>
        <v>Europe (excluding UK) &amp; Asia Pacific</v>
      </c>
      <c r="D1192" s="258" t="str">
        <f>IFERROR(__xludf.DUMMYFUNCTION("""COMPUTED_VALUE"""),"km. My car displays range in kilometres and I will enter all range numbers in kilometres.")</f>
        <v>km. My car displays range in kilometres and I will enter all range numbers in kilometres.</v>
      </c>
      <c r="E1192" s="259">
        <f>IFERROR(__xludf.DUMMYFUNCTION("""COMPUTED_VALUE"""),42887.0)</f>
        <v>42887</v>
      </c>
      <c r="F1192" s="258" t="str">
        <f>IFERROR(__xludf.DUMMYFUNCTION("""COMPUTED_VALUE"""),"Model S P100D")</f>
        <v>Model S P100D</v>
      </c>
      <c r="G1192" s="258" t="str">
        <f>IFERROR(__xludf.DUMMYFUNCTION("""COMPUTED_VALUE"""),"Monthly")</f>
        <v>Monthly</v>
      </c>
      <c r="H1192" s="258" t="str">
        <f>IFERROR(__xludf.DUMMYFUNCTION("""COMPUTED_VALUE"""),"Once or twice a year")</f>
        <v>Once or twice a year</v>
      </c>
      <c r="I1192" s="258" t="str">
        <f>IFERROR(__xludf.DUMMYFUNCTION("""COMPUTED_VALUE"""),"Once or twice a year")</f>
        <v>Once or twice a year</v>
      </c>
      <c r="J1192" s="260">
        <f>IFERROR(__xludf.DUMMYFUNCTION("""COMPUTED_VALUE"""),0.8)</f>
        <v>0.8</v>
      </c>
      <c r="K1192" s="258" t="str">
        <f>IFERROR(__xludf.DUMMYFUNCTION("""COMPUTED_VALUE"""),"")</f>
        <v/>
      </c>
      <c r="L1192" s="258" t="str">
        <f>IFERROR(__xludf.DUMMYFUNCTION("""COMPUTED_VALUE"""),"")</f>
        <v/>
      </c>
      <c r="M1192" s="261" t="str">
        <f>IFERROR(__xludf.DUMMYFUNCTION("""COMPUTED_VALUE"""),"")</f>
        <v/>
      </c>
      <c r="N1192" s="262" t="str">
        <f>IFERROR(__xludf.DUMMYFUNCTION("""COMPUTED_VALUE"""),"")</f>
        <v/>
      </c>
      <c r="O1192" s="259" t="str">
        <f>IFERROR(__xludf.DUMMYFUNCTION("""COMPUTED_VALUE"""),"")</f>
        <v/>
      </c>
      <c r="P1192" s="259">
        <f>IFERROR(__xludf.DUMMYFUNCTION("""COMPUTED_VALUE"""),43209.0)</f>
        <v>43209</v>
      </c>
      <c r="Q1192" s="258">
        <f>IFERROR(__xludf.DUMMYFUNCTION("""COMPUTED_VALUE"""),22863.0)</f>
        <v>22863</v>
      </c>
      <c r="R1192" s="261">
        <f>IFERROR(__xludf.DUMMYFUNCTION("""COMPUTED_VALUE"""),471.0)</f>
        <v>471</v>
      </c>
      <c r="S1192" s="258">
        <v>483.0</v>
      </c>
      <c r="T1192" s="263">
        <v>0.9751552795031055</v>
      </c>
      <c r="U1192" s="264">
        <v>14206.0</v>
      </c>
      <c r="V1192" s="265">
        <v>22863.0</v>
      </c>
      <c r="W1192" s="264">
        <v>14206.0</v>
      </c>
      <c r="X1192" s="266"/>
      <c r="Y1192" s="267">
        <v>-0.01</v>
      </c>
      <c r="Z1192" s="267">
        <v>0.9723431219000829</v>
      </c>
      <c r="AA1192" s="269"/>
      <c r="AB1192" s="270"/>
      <c r="AC1192" s="270"/>
      <c r="AD1192" s="270"/>
      <c r="AE1192" s="270"/>
    </row>
    <row r="1193">
      <c r="A1193" s="256">
        <f>IFERROR(__xludf.DUMMYFUNCTION("""COMPUTED_VALUE"""),43699.33035615741)</f>
        <v>43699.33036</v>
      </c>
      <c r="B1193" s="257" t="str">
        <f>IFERROR(__xludf.DUMMYFUNCTION("""COMPUTED_VALUE"""),"Quenbo")</f>
        <v>Quenbo</v>
      </c>
      <c r="C1193" s="258" t="str">
        <f>IFERROR(__xludf.DUMMYFUNCTION("""COMPUTED_VALUE"""),"Europe (excluding UK) &amp; Asia Pacific")</f>
        <v>Europe (excluding UK) &amp; Asia Pacific</v>
      </c>
      <c r="D1193" s="258" t="str">
        <f>IFERROR(__xludf.DUMMYFUNCTION("""COMPUTED_VALUE"""),"km. My car displays range in kilometres and I will enter all range numbers in kilometres.")</f>
        <v>km. My car displays range in kilometres and I will enter all range numbers in kilometres.</v>
      </c>
      <c r="E1193" s="259">
        <f>IFERROR(__xludf.DUMMYFUNCTION("""COMPUTED_VALUE"""),42887.0)</f>
        <v>42887</v>
      </c>
      <c r="F1193" s="258" t="str">
        <f>IFERROR(__xludf.DUMMYFUNCTION("""COMPUTED_VALUE"""),"Model S P100D")</f>
        <v>Model S P100D</v>
      </c>
      <c r="G1193" s="258" t="str">
        <f>IFERROR(__xludf.DUMMYFUNCTION("""COMPUTED_VALUE"""),"Monthly")</f>
        <v>Monthly</v>
      </c>
      <c r="H1193" s="258" t="str">
        <f>IFERROR(__xludf.DUMMYFUNCTION("""COMPUTED_VALUE"""),"Once or twice a year")</f>
        <v>Once or twice a year</v>
      </c>
      <c r="I1193" s="258" t="str">
        <f>IFERROR(__xludf.DUMMYFUNCTION("""COMPUTED_VALUE"""),"Once or twice a year")</f>
        <v>Once or twice a year</v>
      </c>
      <c r="J1193" s="260">
        <f>IFERROR(__xludf.DUMMYFUNCTION("""COMPUTED_VALUE"""),0.8)</f>
        <v>0.8</v>
      </c>
      <c r="K1193" s="258" t="str">
        <f>IFERROR(__xludf.DUMMYFUNCTION("""COMPUTED_VALUE"""),"")</f>
        <v/>
      </c>
      <c r="L1193" s="258" t="str">
        <f>IFERROR(__xludf.DUMMYFUNCTION("""COMPUTED_VALUE"""),"")</f>
        <v/>
      </c>
      <c r="M1193" s="261" t="str">
        <f>IFERROR(__xludf.DUMMYFUNCTION("""COMPUTED_VALUE"""),"")</f>
        <v/>
      </c>
      <c r="N1193" s="262" t="str">
        <f>IFERROR(__xludf.DUMMYFUNCTION("""COMPUTED_VALUE"""),"")</f>
        <v/>
      </c>
      <c r="O1193" s="259" t="str">
        <f>IFERROR(__xludf.DUMMYFUNCTION("""COMPUTED_VALUE"""),"")</f>
        <v/>
      </c>
      <c r="P1193" s="259">
        <f>IFERROR(__xludf.DUMMYFUNCTION("""COMPUTED_VALUE"""),43313.0)</f>
        <v>43313</v>
      </c>
      <c r="Q1193" s="258">
        <f>IFERROR(__xludf.DUMMYFUNCTION("""COMPUTED_VALUE"""),32048.0)</f>
        <v>32048</v>
      </c>
      <c r="R1193" s="261">
        <f>IFERROR(__xludf.DUMMYFUNCTION("""COMPUTED_VALUE"""),466.0)</f>
        <v>466</v>
      </c>
      <c r="S1193" s="258">
        <v>483.0</v>
      </c>
      <c r="T1193" s="263">
        <v>0.9648033126293996</v>
      </c>
      <c r="U1193" s="264">
        <v>19914.0</v>
      </c>
      <c r="V1193" s="265">
        <v>32048.0</v>
      </c>
      <c r="W1193" s="264">
        <v>19914.0</v>
      </c>
      <c r="X1193" s="266"/>
      <c r="Y1193" s="267">
        <v>-0.01</v>
      </c>
      <c r="Z1193" s="267">
        <v>0.9668910706852158</v>
      </c>
      <c r="AA1193" s="269"/>
      <c r="AB1193" s="270"/>
      <c r="AC1193" s="270"/>
      <c r="AD1193" s="270"/>
      <c r="AE1193" s="270"/>
    </row>
    <row r="1194">
      <c r="A1194" s="256">
        <f>IFERROR(__xludf.DUMMYFUNCTION("""COMPUTED_VALUE"""),43699.33035615741)</f>
        <v>43699.33036</v>
      </c>
      <c r="B1194" s="257" t="str">
        <f>IFERROR(__xludf.DUMMYFUNCTION("""COMPUTED_VALUE"""),"Quenbo")</f>
        <v>Quenbo</v>
      </c>
      <c r="C1194" s="258" t="str">
        <f>IFERROR(__xludf.DUMMYFUNCTION("""COMPUTED_VALUE"""),"Europe (excluding UK) &amp; Asia Pacific")</f>
        <v>Europe (excluding UK) &amp; Asia Pacific</v>
      </c>
      <c r="D1194" s="258" t="str">
        <f>IFERROR(__xludf.DUMMYFUNCTION("""COMPUTED_VALUE"""),"km. My car displays range in kilometres and I will enter all range numbers in kilometres.")</f>
        <v>km. My car displays range in kilometres and I will enter all range numbers in kilometres.</v>
      </c>
      <c r="E1194" s="259">
        <f>IFERROR(__xludf.DUMMYFUNCTION("""COMPUTED_VALUE"""),42887.0)</f>
        <v>42887</v>
      </c>
      <c r="F1194" s="258" t="str">
        <f>IFERROR(__xludf.DUMMYFUNCTION("""COMPUTED_VALUE"""),"Model S P100D")</f>
        <v>Model S P100D</v>
      </c>
      <c r="G1194" s="258" t="str">
        <f>IFERROR(__xludf.DUMMYFUNCTION("""COMPUTED_VALUE"""),"Monthly")</f>
        <v>Monthly</v>
      </c>
      <c r="H1194" s="258" t="str">
        <f>IFERROR(__xludf.DUMMYFUNCTION("""COMPUTED_VALUE"""),"Once or twice a year")</f>
        <v>Once or twice a year</v>
      </c>
      <c r="I1194" s="258" t="str">
        <f>IFERROR(__xludf.DUMMYFUNCTION("""COMPUTED_VALUE"""),"Once or twice a year")</f>
        <v>Once or twice a year</v>
      </c>
      <c r="J1194" s="260">
        <f>IFERROR(__xludf.DUMMYFUNCTION("""COMPUTED_VALUE"""),0.8)</f>
        <v>0.8</v>
      </c>
      <c r="K1194" s="258" t="str">
        <f>IFERROR(__xludf.DUMMYFUNCTION("""COMPUTED_VALUE"""),"")</f>
        <v/>
      </c>
      <c r="L1194" s="258" t="str">
        <f>IFERROR(__xludf.DUMMYFUNCTION("""COMPUTED_VALUE"""),"")</f>
        <v/>
      </c>
      <c r="M1194" s="261" t="str">
        <f>IFERROR(__xludf.DUMMYFUNCTION("""COMPUTED_VALUE"""),"")</f>
        <v/>
      </c>
      <c r="N1194" s="262" t="str">
        <f>IFERROR(__xludf.DUMMYFUNCTION("""COMPUTED_VALUE"""),"")</f>
        <v/>
      </c>
      <c r="O1194" s="259" t="str">
        <f>IFERROR(__xludf.DUMMYFUNCTION("""COMPUTED_VALUE"""),"")</f>
        <v/>
      </c>
      <c r="P1194" s="259">
        <f>IFERROR(__xludf.DUMMYFUNCTION("""COMPUTED_VALUE"""),43374.0)</f>
        <v>43374</v>
      </c>
      <c r="Q1194" s="258">
        <f>IFERROR(__xludf.DUMMYFUNCTION("""COMPUTED_VALUE"""),37079.0)</f>
        <v>37079</v>
      </c>
      <c r="R1194" s="261">
        <f>IFERROR(__xludf.DUMMYFUNCTION("""COMPUTED_VALUE"""),466.0)</f>
        <v>466</v>
      </c>
      <c r="S1194" s="258">
        <v>483.0</v>
      </c>
      <c r="T1194" s="263">
        <v>0.9648033126293996</v>
      </c>
      <c r="U1194" s="264">
        <v>23040.0</v>
      </c>
      <c r="V1194" s="265">
        <v>37079.0</v>
      </c>
      <c r="W1194" s="264">
        <v>23040.0</v>
      </c>
      <c r="X1194" s="266"/>
      <c r="Y1194" s="267">
        <v>-0.01</v>
      </c>
      <c r="Z1194" s="267">
        <v>0.9645328215790411</v>
      </c>
      <c r="AA1194" s="269"/>
      <c r="AB1194" s="270"/>
      <c r="AC1194" s="270"/>
      <c r="AD1194" s="270"/>
      <c r="AE1194" s="270"/>
    </row>
    <row r="1195">
      <c r="A1195" s="256">
        <f>IFERROR(__xludf.DUMMYFUNCTION("""COMPUTED_VALUE"""),43699.33035615741)</f>
        <v>43699.33036</v>
      </c>
      <c r="B1195" s="257" t="str">
        <f>IFERROR(__xludf.DUMMYFUNCTION("""COMPUTED_VALUE"""),"Quenbo")</f>
        <v>Quenbo</v>
      </c>
      <c r="C1195" s="258" t="str">
        <f>IFERROR(__xludf.DUMMYFUNCTION("""COMPUTED_VALUE"""),"Europe (excluding UK) &amp; Asia Pacific")</f>
        <v>Europe (excluding UK) &amp; Asia Pacific</v>
      </c>
      <c r="D1195" s="258" t="str">
        <f>IFERROR(__xludf.DUMMYFUNCTION("""COMPUTED_VALUE"""),"km. My car displays range in kilometres and I will enter all range numbers in kilometres.")</f>
        <v>km. My car displays range in kilometres and I will enter all range numbers in kilometres.</v>
      </c>
      <c r="E1195" s="259">
        <f>IFERROR(__xludf.DUMMYFUNCTION("""COMPUTED_VALUE"""),42887.0)</f>
        <v>42887</v>
      </c>
      <c r="F1195" s="258" t="str">
        <f>IFERROR(__xludf.DUMMYFUNCTION("""COMPUTED_VALUE"""),"Model S P100D")</f>
        <v>Model S P100D</v>
      </c>
      <c r="G1195" s="258" t="str">
        <f>IFERROR(__xludf.DUMMYFUNCTION("""COMPUTED_VALUE"""),"Monthly")</f>
        <v>Monthly</v>
      </c>
      <c r="H1195" s="258" t="str">
        <f>IFERROR(__xludf.DUMMYFUNCTION("""COMPUTED_VALUE"""),"Once or twice a year")</f>
        <v>Once or twice a year</v>
      </c>
      <c r="I1195" s="258" t="str">
        <f>IFERROR(__xludf.DUMMYFUNCTION("""COMPUTED_VALUE"""),"Once or twice a year")</f>
        <v>Once or twice a year</v>
      </c>
      <c r="J1195" s="260">
        <f>IFERROR(__xludf.DUMMYFUNCTION("""COMPUTED_VALUE"""),0.8)</f>
        <v>0.8</v>
      </c>
      <c r="K1195" s="258" t="str">
        <f>IFERROR(__xludf.DUMMYFUNCTION("""COMPUTED_VALUE"""),"")</f>
        <v/>
      </c>
      <c r="L1195" s="258" t="str">
        <f>IFERROR(__xludf.DUMMYFUNCTION("""COMPUTED_VALUE"""),"")</f>
        <v/>
      </c>
      <c r="M1195" s="261" t="str">
        <f>IFERROR(__xludf.DUMMYFUNCTION("""COMPUTED_VALUE"""),"")</f>
        <v/>
      </c>
      <c r="N1195" s="262" t="str">
        <f>IFERROR(__xludf.DUMMYFUNCTION("""COMPUTED_VALUE"""),"")</f>
        <v/>
      </c>
      <c r="O1195" s="259" t="str">
        <f>IFERROR(__xludf.DUMMYFUNCTION("""COMPUTED_VALUE"""),"")</f>
        <v/>
      </c>
      <c r="P1195" s="259">
        <f>IFERROR(__xludf.DUMMYFUNCTION("""COMPUTED_VALUE"""),43556.0)</f>
        <v>43556</v>
      </c>
      <c r="Q1195" s="258">
        <f>IFERROR(__xludf.DUMMYFUNCTION("""COMPUTED_VALUE"""),50984.0)</f>
        <v>50984</v>
      </c>
      <c r="R1195" s="261">
        <f>IFERROR(__xludf.DUMMYFUNCTION("""COMPUTED_VALUE"""),455.0)</f>
        <v>455</v>
      </c>
      <c r="S1195" s="258">
        <v>483.0</v>
      </c>
      <c r="T1195" s="263">
        <v>0.9420289855072463</v>
      </c>
      <c r="U1195" s="264">
        <v>31680.0</v>
      </c>
      <c r="V1195" s="265">
        <v>50984.0</v>
      </c>
      <c r="W1195" s="264">
        <v>31680.0</v>
      </c>
      <c r="X1195" s="266"/>
      <c r="Y1195" s="267">
        <v>-0.01</v>
      </c>
      <c r="Z1195" s="267">
        <v>0.9593709936857447</v>
      </c>
      <c r="AA1195" s="269"/>
      <c r="AB1195" s="270"/>
      <c r="AC1195" s="270"/>
      <c r="AD1195" s="270"/>
      <c r="AE1195" s="270"/>
    </row>
    <row r="1196">
      <c r="A1196" s="256">
        <f>IFERROR(__xludf.DUMMYFUNCTION("""COMPUTED_VALUE"""),43699.33035615741)</f>
        <v>43699.33036</v>
      </c>
      <c r="B1196" s="257" t="str">
        <f>IFERROR(__xludf.DUMMYFUNCTION("""COMPUTED_VALUE"""),"Quenbo")</f>
        <v>Quenbo</v>
      </c>
      <c r="C1196" s="258" t="str">
        <f>IFERROR(__xludf.DUMMYFUNCTION("""COMPUTED_VALUE"""),"Europe (excluding UK) &amp; Asia Pacific")</f>
        <v>Europe (excluding UK) &amp; Asia Pacific</v>
      </c>
      <c r="D1196" s="258" t="str">
        <f>IFERROR(__xludf.DUMMYFUNCTION("""COMPUTED_VALUE"""),"km. My car displays range in kilometres and I will enter all range numbers in kilometres.")</f>
        <v>km. My car displays range in kilometres and I will enter all range numbers in kilometres.</v>
      </c>
      <c r="E1196" s="259">
        <f>IFERROR(__xludf.DUMMYFUNCTION("""COMPUTED_VALUE"""),42887.0)</f>
        <v>42887</v>
      </c>
      <c r="F1196" s="258" t="str">
        <f>IFERROR(__xludf.DUMMYFUNCTION("""COMPUTED_VALUE"""),"Model S P100D")</f>
        <v>Model S P100D</v>
      </c>
      <c r="G1196" s="258" t="str">
        <f>IFERROR(__xludf.DUMMYFUNCTION("""COMPUTED_VALUE"""),"Monthly")</f>
        <v>Monthly</v>
      </c>
      <c r="H1196" s="258" t="str">
        <f>IFERROR(__xludf.DUMMYFUNCTION("""COMPUTED_VALUE"""),"Once or twice a year")</f>
        <v>Once or twice a year</v>
      </c>
      <c r="I1196" s="258" t="str">
        <f>IFERROR(__xludf.DUMMYFUNCTION("""COMPUTED_VALUE"""),"Once or twice a year")</f>
        <v>Once or twice a year</v>
      </c>
      <c r="J1196" s="260">
        <f>IFERROR(__xludf.DUMMYFUNCTION("""COMPUTED_VALUE"""),0.8)</f>
        <v>0.8</v>
      </c>
      <c r="K1196" s="258" t="str">
        <f>IFERROR(__xludf.DUMMYFUNCTION("""COMPUTED_VALUE"""),"")</f>
        <v/>
      </c>
      <c r="L1196" s="258" t="str">
        <f>IFERROR(__xludf.DUMMYFUNCTION("""COMPUTED_VALUE"""),"")</f>
        <v/>
      </c>
      <c r="M1196" s="261" t="str">
        <f>IFERROR(__xludf.DUMMYFUNCTION("""COMPUTED_VALUE"""),"")</f>
        <v/>
      </c>
      <c r="N1196" s="262" t="str">
        <f>IFERROR(__xludf.DUMMYFUNCTION("""COMPUTED_VALUE"""),"")</f>
        <v/>
      </c>
      <c r="O1196" s="259" t="str">
        <f>IFERROR(__xludf.DUMMYFUNCTION("""COMPUTED_VALUE"""),"")</f>
        <v/>
      </c>
      <c r="P1196" s="259">
        <f>IFERROR(__xludf.DUMMYFUNCTION("""COMPUTED_VALUE"""),43699.0)</f>
        <v>43699</v>
      </c>
      <c r="Q1196" s="258">
        <f>IFERROR(__xludf.DUMMYFUNCTION("""COMPUTED_VALUE"""),64224.0)</f>
        <v>64224</v>
      </c>
      <c r="R1196" s="261">
        <f>IFERROR(__xludf.DUMMYFUNCTION("""COMPUTED_VALUE"""),452.0)</f>
        <v>452</v>
      </c>
      <c r="S1196" s="258">
        <v>483.0</v>
      </c>
      <c r="T1196" s="263">
        <v>0.9358178053830227</v>
      </c>
      <c r="U1196" s="264">
        <v>39907.0</v>
      </c>
      <c r="V1196" s="265">
        <v>64224.0</v>
      </c>
      <c r="W1196" s="264">
        <v>39907.0</v>
      </c>
      <c r="X1196" s="266"/>
      <c r="Y1196" s="267">
        <v>-0.01</v>
      </c>
      <c r="Z1196" s="267">
        <v>0.9554738948104015</v>
      </c>
      <c r="AA1196" s="269"/>
      <c r="AB1196" s="270"/>
      <c r="AC1196" s="270"/>
      <c r="AD1196" s="270"/>
      <c r="AE1196" s="270"/>
    </row>
    <row r="1197">
      <c r="A1197" s="256">
        <f>IFERROR(__xludf.DUMMYFUNCTION("""COMPUTED_VALUE"""),42519.316666666666)</f>
        <v>42519.31667</v>
      </c>
      <c r="B1197" s="257" t="str">
        <f>IFERROR(__xludf.DUMMYFUNCTION("""COMPUTED_VALUE"""),"r.wagner")</f>
        <v>r.wagner</v>
      </c>
      <c r="C1197" s="258" t="str">
        <f>IFERROR(__xludf.DUMMYFUNCTION("""COMPUTED_VALUE"""),"Europe (excluding UK) &amp; Asia Pacific")</f>
        <v>Europe (excluding UK) &amp; Asia Pacific</v>
      </c>
      <c r="D1197" s="258" t="str">
        <f>IFERROR(__xludf.DUMMYFUNCTION("""COMPUTED_VALUE"""),"km. My car displays range in kilometres and I will enter all range numbers in kilometres.")</f>
        <v>km. My car displays range in kilometres and I will enter all range numbers in kilometres.</v>
      </c>
      <c r="E1197" s="259">
        <f>IFERROR(__xludf.DUMMYFUNCTION("""COMPUTED_VALUE"""),42094.0)</f>
        <v>42094</v>
      </c>
      <c r="F1197" s="258" t="str">
        <f>IFERROR(__xludf.DUMMYFUNCTION("""COMPUTED_VALUE"""),"Model S P85D")</f>
        <v>Model S P85D</v>
      </c>
      <c r="G1197" s="258" t="str">
        <f>IFERROR(__xludf.DUMMYFUNCTION("""COMPUTED_VALUE"""),"Weekly")</f>
        <v>Weekly</v>
      </c>
      <c r="H1197" s="258" t="str">
        <f>IFERROR(__xludf.DUMMYFUNCTION("""COMPUTED_VALUE"""),"Monthly")</f>
        <v>Monthly</v>
      </c>
      <c r="I1197" s="258" t="str">
        <f>IFERROR(__xludf.DUMMYFUNCTION("""COMPUTED_VALUE"""),"A few times a year")</f>
        <v>A few times a year</v>
      </c>
      <c r="J1197" s="260">
        <f>IFERROR(__xludf.DUMMYFUNCTION("""COMPUTED_VALUE"""),0.8)</f>
        <v>0.8</v>
      </c>
      <c r="K1197" s="258">
        <f>IFERROR(__xludf.DUMMYFUNCTION("""COMPUTED_VALUE"""),407.0)</f>
        <v>407</v>
      </c>
      <c r="L1197" s="258" t="str">
        <f>IFERROR(__xludf.DUMMYFUNCTION("""COMPUTED_VALUE"""),"")</f>
        <v/>
      </c>
      <c r="M1197" s="261">
        <f>IFERROR(__xludf.DUMMYFUNCTION("""COMPUTED_VALUE"""),220.0)</f>
        <v>220</v>
      </c>
      <c r="N1197" s="262" t="str">
        <f>IFERROR(__xludf.DUMMYFUNCTION("""COMPUTED_VALUE"""),"")</f>
        <v/>
      </c>
      <c r="O1197" s="259" t="str">
        <f>IFERROR(__xludf.DUMMYFUNCTION("""COMPUTED_VALUE"""),"")</f>
        <v/>
      </c>
      <c r="P1197" s="259">
        <f>IFERROR(__xludf.DUMMYFUNCTION("""COMPUTED_VALUE"""),42519.0)</f>
        <v>42519</v>
      </c>
      <c r="Q1197" s="258">
        <f>IFERROR(__xludf.DUMMYFUNCTION("""COMPUTED_VALUE"""),53000.0)</f>
        <v>53000</v>
      </c>
      <c r="R1197" s="261">
        <f>IFERROR(__xludf.DUMMYFUNCTION("""COMPUTED_VALUE"""),375.0)</f>
        <v>375</v>
      </c>
      <c r="S1197" s="258">
        <v>403.0</v>
      </c>
      <c r="T1197" s="263">
        <v>0.9305210918114144</v>
      </c>
      <c r="U1197" s="264">
        <v>32933.0</v>
      </c>
      <c r="V1197" s="265">
        <v>53000.0</v>
      </c>
      <c r="W1197" s="264">
        <v>32933.0</v>
      </c>
      <c r="X1197" s="266"/>
      <c r="Y1197" s="267">
        <v>-0.01</v>
      </c>
      <c r="Z1197" s="267">
        <v>0.9587322767709523</v>
      </c>
      <c r="AA1197" s="269"/>
      <c r="AB1197" s="270"/>
      <c r="AC1197" s="270"/>
      <c r="AD1197" s="270"/>
      <c r="AE1197" s="270"/>
    </row>
    <row r="1198">
      <c r="A1198" s="256">
        <f>IFERROR(__xludf.DUMMYFUNCTION("""COMPUTED_VALUE"""),42372.271527777775)</f>
        <v>42372.27153</v>
      </c>
      <c r="B1198" s="257" t="str">
        <f>IFERROR(__xludf.DUMMYFUNCTION("""COMPUTED_VALUE"""),"RaBalder")</f>
        <v>RaBalder</v>
      </c>
      <c r="C1198" s="258" t="str">
        <f>IFERROR(__xludf.DUMMYFUNCTION("""COMPUTED_VALUE"""),"Europe (excluding UK) &amp; Asia Pacific")</f>
        <v>Europe (excluding UK) &amp; Asia Pacific</v>
      </c>
      <c r="D1198" s="258" t="str">
        <f>IFERROR(__xludf.DUMMYFUNCTION("""COMPUTED_VALUE"""),"km. My car displays range in kilometres and I will enter all range numbers in kilometres.")</f>
        <v>km. My car displays range in kilometres and I will enter all range numbers in kilometres.</v>
      </c>
      <c r="E1198" s="259">
        <f>IFERROR(__xludf.DUMMYFUNCTION("""COMPUTED_VALUE"""),41673.0)</f>
        <v>41673</v>
      </c>
      <c r="F1198" s="258" t="str">
        <f>IFERROR(__xludf.DUMMYFUNCTION("""COMPUTED_VALUE"""),"Model S P85")</f>
        <v>Model S P85</v>
      </c>
      <c r="G1198" s="258" t="str">
        <f>IFERROR(__xludf.DUMMYFUNCTION("""COMPUTED_VALUE"""),"A few times a year")</f>
        <v>A few times a year</v>
      </c>
      <c r="H1198" s="258" t="str">
        <f>IFERROR(__xludf.DUMMYFUNCTION("""COMPUTED_VALUE"""),"Once or twice a year")</f>
        <v>Once or twice a year</v>
      </c>
      <c r="I1198" s="258" t="str">
        <f>IFERROR(__xludf.DUMMYFUNCTION("""COMPUTED_VALUE"""),"Never")</f>
        <v>Never</v>
      </c>
      <c r="J1198" s="260">
        <f>IFERROR(__xludf.DUMMYFUNCTION("""COMPUTED_VALUE"""),0.6)</f>
        <v>0.6</v>
      </c>
      <c r="K1198" s="258" t="str">
        <f>IFERROR(__xludf.DUMMYFUNCTION("""COMPUTED_VALUE"""),"")</f>
        <v/>
      </c>
      <c r="L1198" s="258" t="str">
        <f>IFERROR(__xludf.DUMMYFUNCTION("""COMPUTED_VALUE"""),"")</f>
        <v/>
      </c>
      <c r="M1198" s="261">
        <f>IFERROR(__xludf.DUMMYFUNCTION("""COMPUTED_VALUE"""),210.0)</f>
        <v>210</v>
      </c>
      <c r="N1198" s="262" t="str">
        <f>IFERROR(__xludf.DUMMYFUNCTION("""COMPUTED_VALUE"""),"")</f>
        <v/>
      </c>
      <c r="O1198" s="259" t="str">
        <f>IFERROR(__xludf.DUMMYFUNCTION("""COMPUTED_VALUE"""),"")</f>
        <v/>
      </c>
      <c r="P1198" s="259">
        <f>IFERROR(__xludf.DUMMYFUNCTION("""COMPUTED_VALUE"""),42372.0)</f>
        <v>42372</v>
      </c>
      <c r="Q1198" s="258">
        <f>IFERROR(__xludf.DUMMYFUNCTION("""COMPUTED_VALUE"""),43500.0)</f>
        <v>43500</v>
      </c>
      <c r="R1198" s="261">
        <f>IFERROR(__xludf.DUMMYFUNCTION("""COMPUTED_VALUE"""),384.0)</f>
        <v>384</v>
      </c>
      <c r="S1198" s="258">
        <v>395.0</v>
      </c>
      <c r="T1198" s="263">
        <v>0.9721518987341772</v>
      </c>
      <c r="U1198" s="264">
        <v>27030.0</v>
      </c>
      <c r="V1198" s="265">
        <v>43500.0</v>
      </c>
      <c r="W1198" s="264">
        <v>27030.0</v>
      </c>
      <c r="X1198" s="266"/>
      <c r="Y1198" s="267">
        <v>-0.01</v>
      </c>
      <c r="Z1198" s="267">
        <v>0.9619534686643864</v>
      </c>
      <c r="AA1198" s="269"/>
      <c r="AB1198" s="270"/>
      <c r="AC1198" s="270"/>
      <c r="AD1198" s="270"/>
      <c r="AE1198" s="270"/>
    </row>
    <row r="1199">
      <c r="A1199" s="256">
        <f>IFERROR(__xludf.DUMMYFUNCTION("""COMPUTED_VALUE"""),43002.60972222222)</f>
        <v>43002.60972</v>
      </c>
      <c r="B1199" s="257" t="str">
        <f>IFERROR(__xludf.DUMMYFUNCTION("""COMPUTED_VALUE"""),"radio")</f>
        <v>radio</v>
      </c>
      <c r="C1199" s="258" t="str">
        <f>IFERROR(__xludf.DUMMYFUNCTION("""COMPUTED_VALUE"""),"Europe (excluding UK) &amp; Asia Pacific")</f>
        <v>Europe (excluding UK) &amp; Asia Pacific</v>
      </c>
      <c r="D1199" s="258" t="str">
        <f>IFERROR(__xludf.DUMMYFUNCTION("""COMPUTED_VALUE"""),"km. My car displays range in kilometres and I will enter all range numbers in kilometres.")</f>
        <v>km. My car displays range in kilometres and I will enter all range numbers in kilometres.</v>
      </c>
      <c r="E1199" s="259">
        <f>IFERROR(__xludf.DUMMYFUNCTION("""COMPUTED_VALUE"""),42745.0)</f>
        <v>42745</v>
      </c>
      <c r="F1199" s="258" t="str">
        <f>IFERROR(__xludf.DUMMYFUNCTION("""COMPUTED_VALUE"""),"Model S 90D")</f>
        <v>Model S 90D</v>
      </c>
      <c r="G1199" s="258" t="str">
        <f>IFERROR(__xludf.DUMMYFUNCTION("""COMPUTED_VALUE"""),"Twice a week")</f>
        <v>Twice a week</v>
      </c>
      <c r="H1199" s="258" t="str">
        <f>IFERROR(__xludf.DUMMYFUNCTION("""COMPUTED_VALUE"""),"Twice a month")</f>
        <v>Twice a month</v>
      </c>
      <c r="I1199" s="258" t="str">
        <f>IFERROR(__xludf.DUMMYFUNCTION("""COMPUTED_VALUE"""),"Monthly")</f>
        <v>Monthly</v>
      </c>
      <c r="J1199" s="260">
        <f>IFERROR(__xludf.DUMMYFUNCTION("""COMPUTED_VALUE"""),0.8)</f>
        <v>0.8</v>
      </c>
      <c r="K1199" s="258">
        <f>IFERROR(__xludf.DUMMYFUNCTION("""COMPUTED_VALUE"""),453.0)</f>
        <v>453</v>
      </c>
      <c r="L1199" s="258" t="str">
        <f>IFERROR(__xludf.DUMMYFUNCTION("""COMPUTED_VALUE"""),"")</f>
        <v/>
      </c>
      <c r="M1199" s="261">
        <f>IFERROR(__xludf.DUMMYFUNCTION("""COMPUTED_VALUE"""),204.0)</f>
        <v>204</v>
      </c>
      <c r="N1199" s="262" t="str">
        <f>IFERROR(__xludf.DUMMYFUNCTION("""COMPUTED_VALUE"""),"")</f>
        <v/>
      </c>
      <c r="O1199" s="259" t="str">
        <f>IFERROR(__xludf.DUMMYFUNCTION("""COMPUTED_VALUE"""),"")</f>
        <v/>
      </c>
      <c r="P1199" s="259">
        <f>IFERROR(__xludf.DUMMYFUNCTION("""COMPUTED_VALUE"""),43002.0)</f>
        <v>43002</v>
      </c>
      <c r="Q1199" s="258">
        <f>IFERROR(__xludf.DUMMYFUNCTION("""COMPUTED_VALUE"""),15800.0)</f>
        <v>15800</v>
      </c>
      <c r="R1199" s="261">
        <f>IFERROR(__xludf.DUMMYFUNCTION("""COMPUTED_VALUE"""),450.0)</f>
        <v>450</v>
      </c>
      <c r="S1199" s="258">
        <v>447.0</v>
      </c>
      <c r="T1199" s="263">
        <v>1.0067114093959733</v>
      </c>
      <c r="U1199" s="264">
        <v>9818.0</v>
      </c>
      <c r="V1199" s="265">
        <v>15800.0</v>
      </c>
      <c r="W1199" s="264">
        <v>9818.0</v>
      </c>
      <c r="X1199" s="266"/>
      <c r="Y1199" s="267">
        <v>-0.01</v>
      </c>
      <c r="Z1199" s="267">
        <v>0.9780633327833491</v>
      </c>
      <c r="AA1199" s="269"/>
      <c r="AB1199" s="270"/>
      <c r="AC1199" s="270"/>
      <c r="AD1199" s="270"/>
      <c r="AE1199" s="270"/>
    </row>
    <row r="1200">
      <c r="A1200" s="256">
        <f>IFERROR(__xludf.DUMMYFUNCTION("""COMPUTED_VALUE"""),43186.714583333334)</f>
        <v>43186.71458</v>
      </c>
      <c r="B1200" s="257" t="str">
        <f>IFERROR(__xludf.DUMMYFUNCTION("""COMPUTED_VALUE"""),"radio")</f>
        <v>radio</v>
      </c>
      <c r="C1200" s="258" t="str">
        <f>IFERROR(__xludf.DUMMYFUNCTION("""COMPUTED_VALUE"""),"Europe (excluding UK) &amp; Asia Pacific")</f>
        <v>Europe (excluding UK) &amp; Asia Pacific</v>
      </c>
      <c r="D1200" s="258" t="str">
        <f>IFERROR(__xludf.DUMMYFUNCTION("""COMPUTED_VALUE"""),"km. My car displays range in kilometres and I will enter all range numbers in kilometres.")</f>
        <v>km. My car displays range in kilometres and I will enter all range numbers in kilometres.</v>
      </c>
      <c r="E1200" s="259">
        <f>IFERROR(__xludf.DUMMYFUNCTION("""COMPUTED_VALUE"""),42745.0)</f>
        <v>42745</v>
      </c>
      <c r="F1200" s="258" t="str">
        <f>IFERROR(__xludf.DUMMYFUNCTION("""COMPUTED_VALUE"""),"Model S 90D")</f>
        <v>Model S 90D</v>
      </c>
      <c r="G1200" s="258" t="str">
        <f>IFERROR(__xludf.DUMMYFUNCTION("""COMPUTED_VALUE"""),"Twice a week")</f>
        <v>Twice a week</v>
      </c>
      <c r="H1200" s="258" t="str">
        <f>IFERROR(__xludf.DUMMYFUNCTION("""COMPUTED_VALUE"""),"Twice a month")</f>
        <v>Twice a month</v>
      </c>
      <c r="I1200" s="258" t="str">
        <f>IFERROR(__xludf.DUMMYFUNCTION("""COMPUTED_VALUE"""),"Monthly")</f>
        <v>Monthly</v>
      </c>
      <c r="J1200" s="260">
        <f>IFERROR(__xludf.DUMMYFUNCTION("""COMPUTED_VALUE"""),0.8)</f>
        <v>0.8</v>
      </c>
      <c r="K1200" s="258">
        <f>IFERROR(__xludf.DUMMYFUNCTION("""COMPUTED_VALUE"""),453.0)</f>
        <v>453</v>
      </c>
      <c r="L1200" s="258" t="str">
        <f>IFERROR(__xludf.DUMMYFUNCTION("""COMPUTED_VALUE"""),"")</f>
        <v/>
      </c>
      <c r="M1200" s="261">
        <f>IFERROR(__xludf.DUMMYFUNCTION("""COMPUTED_VALUE"""),204.0)</f>
        <v>204</v>
      </c>
      <c r="N1200" s="262" t="str">
        <f>IFERROR(__xludf.DUMMYFUNCTION("""COMPUTED_VALUE"""),"")</f>
        <v/>
      </c>
      <c r="O1200" s="259" t="str">
        <f>IFERROR(__xludf.DUMMYFUNCTION("""COMPUTED_VALUE"""),"")</f>
        <v/>
      </c>
      <c r="P1200" s="259">
        <f>IFERROR(__xludf.DUMMYFUNCTION("""COMPUTED_VALUE"""),43186.0)</f>
        <v>43186</v>
      </c>
      <c r="Q1200" s="258">
        <f>IFERROR(__xludf.DUMMYFUNCTION("""COMPUTED_VALUE"""),27000.0)</f>
        <v>27000</v>
      </c>
      <c r="R1200" s="261">
        <f>IFERROR(__xludf.DUMMYFUNCTION("""COMPUTED_VALUE"""),443.0)</f>
        <v>443</v>
      </c>
      <c r="S1200" s="258">
        <v>447.0</v>
      </c>
      <c r="T1200" s="263">
        <v>0.9910514541387024</v>
      </c>
      <c r="U1200" s="264">
        <v>16777.0</v>
      </c>
      <c r="V1200" s="265">
        <v>27000.0</v>
      </c>
      <c r="W1200" s="264">
        <v>16777.0</v>
      </c>
      <c r="X1200" s="266"/>
      <c r="Y1200" s="267">
        <v>-0.01</v>
      </c>
      <c r="Z1200" s="267">
        <v>0.9696665000394786</v>
      </c>
      <c r="AA1200" s="269"/>
      <c r="AB1200" s="270"/>
      <c r="AC1200" s="270"/>
      <c r="AD1200" s="270"/>
      <c r="AE1200" s="270"/>
    </row>
    <row r="1201">
      <c r="A1201" s="256">
        <f>IFERROR(__xludf.DUMMYFUNCTION("""COMPUTED_VALUE"""),42192.74861111111)</f>
        <v>42192.74861</v>
      </c>
      <c r="B1201" s="257" t="str">
        <f>IFERROR(__xludf.DUMMYFUNCTION("""COMPUTED_VALUE"""),"Raibman")</f>
        <v>Raibman</v>
      </c>
      <c r="C1201" s="258" t="str">
        <f>IFERROR(__xludf.DUMMYFUNCTION("""COMPUTED_VALUE"""),"USA")</f>
        <v>USA</v>
      </c>
      <c r="D1201" s="258" t="str">
        <f>IFERROR(__xludf.DUMMYFUNCTION("""COMPUTED_VALUE"""),"mi. My car displays range in miles and I will enter all range numbers in miles.")</f>
        <v>mi. My car displays range in miles and I will enter all range numbers in miles.</v>
      </c>
      <c r="E1201" s="259">
        <f>IFERROR(__xludf.DUMMYFUNCTION("""COMPUTED_VALUE"""),42185.0)</f>
        <v>42185</v>
      </c>
      <c r="F1201" s="258" t="str">
        <f>IFERROR(__xludf.DUMMYFUNCTION("""COMPUTED_VALUE"""),"Model S 85D")</f>
        <v>Model S 85D</v>
      </c>
      <c r="G1201" s="258" t="str">
        <f>IFERROR(__xludf.DUMMYFUNCTION("""COMPUTED_VALUE"""),"")</f>
        <v/>
      </c>
      <c r="H1201" s="258" t="str">
        <f>IFERROR(__xludf.DUMMYFUNCTION("""COMPUTED_VALUE"""),"")</f>
        <v/>
      </c>
      <c r="I1201" s="258" t="str">
        <f>IFERROR(__xludf.DUMMYFUNCTION("""COMPUTED_VALUE"""),"")</f>
        <v/>
      </c>
      <c r="J1201" s="260" t="str">
        <f>IFERROR(__xludf.DUMMYFUNCTION("""COMPUTED_VALUE"""),"")</f>
        <v/>
      </c>
      <c r="K1201" s="258" t="str">
        <f>IFERROR(__xludf.DUMMYFUNCTION("""COMPUTED_VALUE"""),"")</f>
        <v/>
      </c>
      <c r="L1201" s="258" t="str">
        <f>IFERROR(__xludf.DUMMYFUNCTION("""COMPUTED_VALUE"""),"")</f>
        <v/>
      </c>
      <c r="M1201" s="261">
        <f>IFERROR(__xludf.DUMMYFUNCTION("""COMPUTED_VALUE"""),318.0)</f>
        <v>318</v>
      </c>
      <c r="N1201" s="262" t="str">
        <f>IFERROR(__xludf.DUMMYFUNCTION("""COMPUTED_VALUE"""),"")</f>
        <v/>
      </c>
      <c r="O1201" s="259" t="str">
        <f>IFERROR(__xludf.DUMMYFUNCTION("""COMPUTED_VALUE"""),"")</f>
        <v/>
      </c>
      <c r="P1201" s="259">
        <f>IFERROR(__xludf.DUMMYFUNCTION("""COMPUTED_VALUE"""),42192.0)</f>
        <v>42192</v>
      </c>
      <c r="Q1201" s="258">
        <f>IFERROR(__xludf.DUMMYFUNCTION("""COMPUTED_VALUE"""),400.0)</f>
        <v>400</v>
      </c>
      <c r="R1201" s="261">
        <f>IFERROR(__xludf.DUMMYFUNCTION("""COMPUTED_VALUE"""),270.0)</f>
        <v>270</v>
      </c>
      <c r="S1201" s="258">
        <v>270.0</v>
      </c>
      <c r="T1201" s="263">
        <v>1.0</v>
      </c>
      <c r="U1201" s="264">
        <v>400.0</v>
      </c>
      <c r="V1201" s="265">
        <v>644.0</v>
      </c>
      <c r="W1201" s="264">
        <v>400.0</v>
      </c>
      <c r="X1201" s="266"/>
      <c r="Y1201" s="267">
        <v>-0.01</v>
      </c>
      <c r="Z1201" s="267">
        <v>0.9987327875666946</v>
      </c>
      <c r="AA1201" s="269"/>
      <c r="AB1201" s="270"/>
      <c r="AC1201" s="270"/>
      <c r="AD1201" s="270"/>
      <c r="AE1201" s="270"/>
    </row>
    <row r="1202">
      <c r="A1202" s="256">
        <f>IFERROR(__xludf.DUMMYFUNCTION("""COMPUTED_VALUE"""),43202.930555555555)</f>
        <v>43202.93056</v>
      </c>
      <c r="B1202" s="257" t="str">
        <f>IFERROR(__xludf.DUMMYFUNCTION("""COMPUTED_VALUE"""),"Ram EH")</f>
        <v>Ram EH</v>
      </c>
      <c r="C1202" s="258" t="str">
        <f>IFERROR(__xludf.DUMMYFUNCTION("""COMPUTED_VALUE"""),"Canada")</f>
        <v>Canada</v>
      </c>
      <c r="D1202" s="258" t="str">
        <f>IFERROR(__xludf.DUMMYFUNCTION("""COMPUTED_VALUE"""),"km. My car displays range in kilometres and I will enter all range numbers in kilometres.")</f>
        <v>km. My car displays range in kilometres and I will enter all range numbers in kilometres.</v>
      </c>
      <c r="E1202" s="259">
        <f>IFERROR(__xludf.DUMMYFUNCTION("""COMPUTED_VALUE"""),41609.0)</f>
        <v>41609</v>
      </c>
      <c r="F1202" s="258" t="str">
        <f>IFERROR(__xludf.DUMMYFUNCTION("""COMPUTED_VALUE"""),"Model S 85")</f>
        <v>Model S 85</v>
      </c>
      <c r="G1202" s="258" t="str">
        <f>IFERROR(__xludf.DUMMYFUNCTION("""COMPUTED_VALUE"""),"Monthly")</f>
        <v>Monthly</v>
      </c>
      <c r="H1202" s="258" t="str">
        <f>IFERROR(__xludf.DUMMYFUNCTION("""COMPUTED_VALUE"""),"Monthly")</f>
        <v>Monthly</v>
      </c>
      <c r="I1202" s="258" t="str">
        <f>IFERROR(__xludf.DUMMYFUNCTION("""COMPUTED_VALUE"""),"A few times a year")</f>
        <v>A few times a year</v>
      </c>
      <c r="J1202" s="260">
        <f>IFERROR(__xludf.DUMMYFUNCTION("""COMPUTED_VALUE"""),0.9)</f>
        <v>0.9</v>
      </c>
      <c r="K1202" s="258" t="str">
        <f>IFERROR(__xludf.DUMMYFUNCTION("""COMPUTED_VALUE"""),"")</f>
        <v/>
      </c>
      <c r="L1202" s="258" t="str">
        <f>IFERROR(__xludf.DUMMYFUNCTION("""COMPUTED_VALUE"""),"")</f>
        <v/>
      </c>
      <c r="M1202" s="261">
        <f>IFERROR(__xludf.DUMMYFUNCTION("""COMPUTED_VALUE"""),215.55)</f>
        <v>215.55</v>
      </c>
      <c r="N1202" s="262" t="str">
        <f>IFERROR(__xludf.DUMMYFUNCTION("""COMPUTED_VALUE"""),"")</f>
        <v/>
      </c>
      <c r="O1202" s="259" t="str">
        <f>IFERROR(__xludf.DUMMYFUNCTION("""COMPUTED_VALUE"""),"")</f>
        <v/>
      </c>
      <c r="P1202" s="259">
        <f>IFERROR(__xludf.DUMMYFUNCTION("""COMPUTED_VALUE"""),43202.0)</f>
        <v>43202</v>
      </c>
      <c r="Q1202" s="258">
        <f>IFERROR(__xludf.DUMMYFUNCTION("""COMPUTED_VALUE"""),168130.0)</f>
        <v>168130</v>
      </c>
      <c r="R1202" s="261">
        <f>IFERROR(__xludf.DUMMYFUNCTION("""COMPUTED_VALUE"""),392.0)</f>
        <v>392</v>
      </c>
      <c r="S1202" s="258">
        <v>428.0</v>
      </c>
      <c r="T1202" s="263">
        <v>0.9158878504672897</v>
      </c>
      <c r="U1202" s="264">
        <v>104471.0</v>
      </c>
      <c r="V1202" s="265">
        <v>168130.0</v>
      </c>
      <c r="W1202" s="264">
        <v>104471.0</v>
      </c>
      <c r="X1202" s="266"/>
      <c r="Y1202" s="267">
        <v>-0.01</v>
      </c>
      <c r="Z1202" s="267">
        <v>0.930782544818742</v>
      </c>
      <c r="AA1202" s="269"/>
      <c r="AB1202" s="270"/>
      <c r="AC1202" s="270"/>
      <c r="AD1202" s="270"/>
      <c r="AE1202" s="270"/>
    </row>
    <row r="1203">
      <c r="A1203" s="256">
        <f>IFERROR(__xludf.DUMMYFUNCTION("""COMPUTED_VALUE"""),43882.52578952547)</f>
        <v>43882.52579</v>
      </c>
      <c r="B1203" s="257" t="str">
        <f>IFERROR(__xludf.DUMMYFUNCTION("""COMPUTED_VALUE"""),"Raphdef")</f>
        <v>Raphdef</v>
      </c>
      <c r="C1203" s="258" t="str">
        <f>IFERROR(__xludf.DUMMYFUNCTION("""COMPUTED_VALUE"""),"Europe (excluding UK) &amp; Asia Pacific")</f>
        <v>Europe (excluding UK) &amp; Asia Pacific</v>
      </c>
      <c r="D1203" s="258" t="str">
        <f>IFERROR(__xludf.DUMMYFUNCTION("""COMPUTED_VALUE"""),"km. My car displays range in kilometres and I will enter all range numbers in kilometres.")</f>
        <v>km. My car displays range in kilometres and I will enter all range numbers in kilometres.</v>
      </c>
      <c r="E1203" s="259">
        <f>IFERROR(__xludf.DUMMYFUNCTION("""COMPUTED_VALUE"""),42355.0)</f>
        <v>42355</v>
      </c>
      <c r="F1203" s="258" t="str">
        <f>IFERROR(__xludf.DUMMYFUNCTION("""COMPUTED_VALUE"""),"Model S 70D")</f>
        <v>Model S 70D</v>
      </c>
      <c r="G1203" s="258" t="str">
        <f>IFERROR(__xludf.DUMMYFUNCTION("""COMPUTED_VALUE"""),"A few times a year")</f>
        <v>A few times a year</v>
      </c>
      <c r="H1203" s="258" t="str">
        <f>IFERROR(__xludf.DUMMYFUNCTION("""COMPUTED_VALUE"""),"A few times a year")</f>
        <v>A few times a year</v>
      </c>
      <c r="I1203" s="258" t="str">
        <f>IFERROR(__xludf.DUMMYFUNCTION("""COMPUTED_VALUE"""),"")</f>
        <v/>
      </c>
      <c r="J1203" s="260">
        <f>IFERROR(__xludf.DUMMYFUNCTION("""COMPUTED_VALUE"""),0.9)</f>
        <v>0.9</v>
      </c>
      <c r="K1203" s="258" t="str">
        <f>IFERROR(__xludf.DUMMYFUNCTION("""COMPUTED_VALUE"""),"")</f>
        <v/>
      </c>
      <c r="L1203" s="258" t="str">
        <f>IFERROR(__xludf.DUMMYFUNCTION("""COMPUTED_VALUE"""),"")</f>
        <v/>
      </c>
      <c r="M1203" s="261">
        <f>IFERROR(__xludf.DUMMYFUNCTION("""COMPUTED_VALUE"""),213.0)</f>
        <v>213</v>
      </c>
      <c r="N1203" s="262" t="str">
        <f>IFERROR(__xludf.DUMMYFUNCTION("""COMPUTED_VALUE"""),"")</f>
        <v/>
      </c>
      <c r="O1203" s="259" t="str">
        <f>IFERROR(__xludf.DUMMYFUNCTION("""COMPUTED_VALUE"""),"")</f>
        <v/>
      </c>
      <c r="P1203" s="259">
        <f>IFERROR(__xludf.DUMMYFUNCTION("""COMPUTED_VALUE"""),43608.0)</f>
        <v>43608</v>
      </c>
      <c r="Q1203" s="258">
        <f>IFERROR(__xludf.DUMMYFUNCTION("""COMPUTED_VALUE"""),40000.0)</f>
        <v>40000</v>
      </c>
      <c r="R1203" s="261">
        <f>IFERROR(__xludf.DUMMYFUNCTION("""COMPUTED_VALUE"""),353.0)</f>
        <v>353</v>
      </c>
      <c r="S1203" s="258">
        <v>360.0</v>
      </c>
      <c r="T1203" s="263">
        <v>0.9805555555555555</v>
      </c>
      <c r="U1203" s="264">
        <v>24855.0</v>
      </c>
      <c r="V1203" s="265">
        <v>40000.0</v>
      </c>
      <c r="W1203" s="264">
        <v>24855.0</v>
      </c>
      <c r="X1203" s="266"/>
      <c r="Y1203" s="267">
        <v>-0.01</v>
      </c>
      <c r="Z1203" s="267">
        <v>0.9633084629971033</v>
      </c>
      <c r="AA1203" s="269"/>
      <c r="AB1203" s="270"/>
      <c r="AC1203" s="270"/>
      <c r="AD1203" s="270"/>
      <c r="AE1203" s="270"/>
    </row>
    <row r="1204">
      <c r="A1204" s="256">
        <f>IFERROR(__xludf.DUMMYFUNCTION("""COMPUTED_VALUE"""),43059.63611111111)</f>
        <v>43059.63611</v>
      </c>
      <c r="B1204" s="257" t="str">
        <f>IFERROR(__xludf.DUMMYFUNCTION("""COMPUTED_VALUE"""),"raptorsf")</f>
        <v>raptorsf</v>
      </c>
      <c r="C1204" s="258" t="str">
        <f>IFERROR(__xludf.DUMMYFUNCTION("""COMPUTED_VALUE"""),"Europe (excluding UK) &amp; Asia Pacific")</f>
        <v>Europe (excluding UK) &amp; Asia Pacific</v>
      </c>
      <c r="D1204" s="258" t="str">
        <f>IFERROR(__xludf.DUMMYFUNCTION("""COMPUTED_VALUE"""),"km. My car displays range in kilometres and I will enter all range numbers in kilometres.")</f>
        <v>km. My car displays range in kilometres and I will enter all range numbers in kilometres.</v>
      </c>
      <c r="E1204" s="259">
        <f>IFERROR(__xludf.DUMMYFUNCTION("""COMPUTED_VALUE"""),42991.0)</f>
        <v>42991</v>
      </c>
      <c r="F1204" s="258" t="str">
        <f>IFERROR(__xludf.DUMMYFUNCTION("""COMPUTED_VALUE"""),"Model S 75D")</f>
        <v>Model S 75D</v>
      </c>
      <c r="G1204" s="258" t="str">
        <f>IFERROR(__xludf.DUMMYFUNCTION("""COMPUTED_VALUE"""),"")</f>
        <v/>
      </c>
      <c r="H1204" s="258" t="str">
        <f>IFERROR(__xludf.DUMMYFUNCTION("""COMPUTED_VALUE"""),"")</f>
        <v/>
      </c>
      <c r="I1204" s="258" t="str">
        <f>IFERROR(__xludf.DUMMYFUNCTION("""COMPUTED_VALUE"""),"")</f>
        <v/>
      </c>
      <c r="J1204" s="260" t="str">
        <f>IFERROR(__xludf.DUMMYFUNCTION("""COMPUTED_VALUE"""),"")</f>
        <v/>
      </c>
      <c r="K1204" s="258" t="str">
        <f>IFERROR(__xludf.DUMMYFUNCTION("""COMPUTED_VALUE"""),"")</f>
        <v/>
      </c>
      <c r="L1204" s="258" t="str">
        <f>IFERROR(__xludf.DUMMYFUNCTION("""COMPUTED_VALUE"""),"")</f>
        <v/>
      </c>
      <c r="M1204" s="261" t="str">
        <f>IFERROR(__xludf.DUMMYFUNCTION("""COMPUTED_VALUE"""),"")</f>
        <v/>
      </c>
      <c r="N1204" s="262" t="str">
        <f>IFERROR(__xludf.DUMMYFUNCTION("""COMPUTED_VALUE"""),"")</f>
        <v/>
      </c>
      <c r="O1204" s="259" t="str">
        <f>IFERROR(__xludf.DUMMYFUNCTION("""COMPUTED_VALUE"""),"")</f>
        <v/>
      </c>
      <c r="P1204" s="259">
        <f>IFERROR(__xludf.DUMMYFUNCTION("""COMPUTED_VALUE"""),43059.0)</f>
        <v>43059</v>
      </c>
      <c r="Q1204" s="258">
        <f>IFERROR(__xludf.DUMMYFUNCTION("""COMPUTED_VALUE"""),3200.0)</f>
        <v>3200</v>
      </c>
      <c r="R1204" s="261">
        <f>IFERROR(__xludf.DUMMYFUNCTION("""COMPUTED_VALUE"""),389.0)</f>
        <v>389</v>
      </c>
      <c r="S1204" s="258">
        <v>384.0</v>
      </c>
      <c r="T1204" s="263">
        <v>1.0130208333333333</v>
      </c>
      <c r="U1204" s="264">
        <v>1988.0</v>
      </c>
      <c r="V1204" s="265">
        <v>3200.0</v>
      </c>
      <c r="W1204" s="264">
        <v>1988.0</v>
      </c>
      <c r="X1204" s="266"/>
      <c r="Y1204" s="267">
        <v>-0.01</v>
      </c>
      <c r="Z1204" s="267">
        <v>0.9940941967877692</v>
      </c>
      <c r="AA1204" s="269"/>
      <c r="AB1204" s="270"/>
      <c r="AC1204" s="270"/>
      <c r="AD1204" s="270"/>
      <c r="AE1204" s="270"/>
    </row>
    <row r="1205">
      <c r="A1205" s="256">
        <f>IFERROR(__xludf.DUMMYFUNCTION("""COMPUTED_VALUE"""),42492.33333333333)</f>
        <v>42492.33333</v>
      </c>
      <c r="B1205" s="257" t="str">
        <f>IFERROR(__xludf.DUMMYFUNCTION("""COMPUTED_VALUE"""),"Raymond")</f>
        <v>Raymond</v>
      </c>
      <c r="C1205" s="258" t="str">
        <f>IFERROR(__xludf.DUMMYFUNCTION("""COMPUTED_VALUE"""),"Europe (excluding UK) &amp; Asia Pacific")</f>
        <v>Europe (excluding UK) &amp; Asia Pacific</v>
      </c>
      <c r="D1205" s="258" t="str">
        <f>IFERROR(__xludf.DUMMYFUNCTION("""COMPUTED_VALUE"""),"km. My car displays range in kilometres and I will enter all range numbers in kilometres.")</f>
        <v>km. My car displays range in kilometres and I will enter all range numbers in kilometres.</v>
      </c>
      <c r="E1205" s="259">
        <f>IFERROR(__xludf.DUMMYFUNCTION("""COMPUTED_VALUE"""),41475.0)</f>
        <v>41475</v>
      </c>
      <c r="F1205" s="258" t="str">
        <f>IFERROR(__xludf.DUMMYFUNCTION("""COMPUTED_VALUE"""),"Model S 85")</f>
        <v>Model S 85</v>
      </c>
      <c r="G1205" s="258" t="str">
        <f>IFERROR(__xludf.DUMMYFUNCTION("""COMPUTED_VALUE"""),"A few times a year")</f>
        <v>A few times a year</v>
      </c>
      <c r="H1205" s="258" t="str">
        <f>IFERROR(__xludf.DUMMYFUNCTION("""COMPUTED_VALUE"""),"A few times a year")</f>
        <v>A few times a year</v>
      </c>
      <c r="I1205" s="258" t="str">
        <f>IFERROR(__xludf.DUMMYFUNCTION("""COMPUTED_VALUE"""),"A few times a year")</f>
        <v>A few times a year</v>
      </c>
      <c r="J1205" s="260">
        <f>IFERROR(__xludf.DUMMYFUNCTION("""COMPUTED_VALUE"""),0.9)</f>
        <v>0.9</v>
      </c>
      <c r="K1205" s="258">
        <f>IFERROR(__xludf.DUMMYFUNCTION("""COMPUTED_VALUE"""),398.0)</f>
        <v>398</v>
      </c>
      <c r="L1205" s="258" t="str">
        <f>IFERROR(__xludf.DUMMYFUNCTION("""COMPUTED_VALUE"""),"")</f>
        <v/>
      </c>
      <c r="M1205" s="261">
        <f>IFERROR(__xludf.DUMMYFUNCTION("""COMPUTED_VALUE"""),218.0)</f>
        <v>218</v>
      </c>
      <c r="N1205" s="262" t="str">
        <f>IFERROR(__xludf.DUMMYFUNCTION("""COMPUTED_VALUE"""),"")</f>
        <v/>
      </c>
      <c r="O1205" s="259" t="str">
        <f>IFERROR(__xludf.DUMMYFUNCTION("""COMPUTED_VALUE"""),"")</f>
        <v/>
      </c>
      <c r="P1205" s="259">
        <f>IFERROR(__xludf.DUMMYFUNCTION("""COMPUTED_VALUE"""),42492.0)</f>
        <v>42492</v>
      </c>
      <c r="Q1205" s="258">
        <f>IFERROR(__xludf.DUMMYFUNCTION("""COMPUTED_VALUE"""),69255.0)</f>
        <v>69255</v>
      </c>
      <c r="R1205" s="261">
        <f>IFERROR(__xludf.DUMMYFUNCTION("""COMPUTED_VALUE"""),387.0)</f>
        <v>387</v>
      </c>
      <c r="S1205" s="258">
        <v>395.0</v>
      </c>
      <c r="T1205" s="263">
        <v>0.979746835443038</v>
      </c>
      <c r="U1205" s="264">
        <v>43033.0</v>
      </c>
      <c r="V1205" s="265">
        <v>69255.0</v>
      </c>
      <c r="W1205" s="264">
        <v>43033.0</v>
      </c>
      <c r="X1205" s="266"/>
      <c r="Y1205" s="267">
        <v>-0.01</v>
      </c>
      <c r="Z1205" s="267">
        <v>0.9541290192676641</v>
      </c>
      <c r="AA1205" s="269"/>
      <c r="AB1205" s="270"/>
      <c r="AC1205" s="270"/>
      <c r="AD1205" s="270"/>
      <c r="AE1205" s="270"/>
    </row>
    <row r="1206">
      <c r="A1206" s="256">
        <f>IFERROR(__xludf.DUMMYFUNCTION("""COMPUTED_VALUE"""),41900.004166666666)</f>
        <v>41900.00417</v>
      </c>
      <c r="B1206" s="257" t="str">
        <f>IFERROR(__xludf.DUMMYFUNCTION("""COMPUTED_VALUE"""),"RCH1708")</f>
        <v>RCH1708</v>
      </c>
      <c r="C1206" s="258" t="str">
        <f>IFERROR(__xludf.DUMMYFUNCTION("""COMPUTED_VALUE"""),"Europe (excluding UK) &amp; Asia Pacific")</f>
        <v>Europe (excluding UK) &amp; Asia Pacific</v>
      </c>
      <c r="D1206" s="258" t="str">
        <f>IFERROR(__xludf.DUMMYFUNCTION("""COMPUTED_VALUE"""),"km. My car displays range in kilometres and I will enter all range numbers in kilometres.")</f>
        <v>km. My car displays range in kilometres and I will enter all range numbers in kilometres.</v>
      </c>
      <c r="E1206" s="259">
        <f>IFERROR(__xludf.DUMMYFUNCTION("""COMPUTED_VALUE"""),41599.0)</f>
        <v>41599</v>
      </c>
      <c r="F1206" s="258" t="str">
        <f>IFERROR(__xludf.DUMMYFUNCTION("""COMPUTED_VALUE"""),"Unspecified 85 kWh")</f>
        <v>Unspecified 85 kWh</v>
      </c>
      <c r="G1206" s="258" t="str">
        <f>IFERROR(__xludf.DUMMYFUNCTION("""COMPUTED_VALUE"""),"Twice a month")</f>
        <v>Twice a month</v>
      </c>
      <c r="H1206" s="258" t="str">
        <f>IFERROR(__xludf.DUMMYFUNCTION("""COMPUTED_VALUE"""),"Twice a month")</f>
        <v>Twice a month</v>
      </c>
      <c r="I1206" s="258" t="str">
        <f>IFERROR(__xludf.DUMMYFUNCTION("""COMPUTED_VALUE"""),"Once or twice a year")</f>
        <v>Once or twice a year</v>
      </c>
      <c r="J1206" s="260" t="str">
        <f>IFERROR(__xludf.DUMMYFUNCTION("""COMPUTED_VALUE"""),"")</f>
        <v/>
      </c>
      <c r="K1206" s="258" t="str">
        <f>IFERROR(__xludf.DUMMYFUNCTION("""COMPUTED_VALUE"""),"")</f>
        <v/>
      </c>
      <c r="L1206" s="258" t="str">
        <f>IFERROR(__xludf.DUMMYFUNCTION("""COMPUTED_VALUE"""),"")</f>
        <v/>
      </c>
      <c r="M1206" s="261">
        <f>IFERROR(__xludf.DUMMYFUNCTION("""COMPUTED_VALUE"""),229.0)</f>
        <v>229</v>
      </c>
      <c r="N1206" s="262" t="str">
        <f>IFERROR(__xludf.DUMMYFUNCTION("""COMPUTED_VALUE"""),"")</f>
        <v/>
      </c>
      <c r="O1206" s="259" t="str">
        <f>IFERROR(__xludf.DUMMYFUNCTION("""COMPUTED_VALUE"""),"")</f>
        <v/>
      </c>
      <c r="P1206" s="259">
        <f>IFERROR(__xludf.DUMMYFUNCTION("""COMPUTED_VALUE"""),41900.0)</f>
        <v>41900</v>
      </c>
      <c r="Q1206" s="258">
        <f>IFERROR(__xludf.DUMMYFUNCTION("""COMPUTED_VALUE"""),27000.0)</f>
        <v>27000</v>
      </c>
      <c r="R1206" s="261">
        <f>IFERROR(__xludf.DUMMYFUNCTION("""COMPUTED_VALUE"""),381.0)</f>
        <v>381</v>
      </c>
      <c r="S1206" s="258">
        <v>395.0</v>
      </c>
      <c r="T1206" s="263">
        <v>0.9645569620253165</v>
      </c>
      <c r="U1206" s="264">
        <v>16777.0</v>
      </c>
      <c r="V1206" s="265">
        <v>27000.0</v>
      </c>
      <c r="W1206" s="264">
        <v>16777.0</v>
      </c>
      <c r="X1206" s="266"/>
      <c r="Y1206" s="267">
        <v>-0.01</v>
      </c>
      <c r="Z1206" s="267">
        <v>0.9696665000394786</v>
      </c>
      <c r="AA1206" s="269"/>
      <c r="AB1206" s="270"/>
      <c r="AC1206" s="270"/>
      <c r="AD1206" s="270"/>
      <c r="AE1206" s="270"/>
    </row>
    <row r="1207">
      <c r="A1207" s="256">
        <f>IFERROR(__xludf.DUMMYFUNCTION("""COMPUTED_VALUE"""),43692.862418749995)</f>
        <v>43692.86242</v>
      </c>
      <c r="B1207" s="257" t="str">
        <f>IFERROR(__xludf.DUMMYFUNCTION("""COMPUTED_VALUE"""),"rdr")</f>
        <v>rdr</v>
      </c>
      <c r="C1207" s="258" t="str">
        <f>IFERROR(__xludf.DUMMYFUNCTION("""COMPUTED_VALUE"""),"USA")</f>
        <v>USA</v>
      </c>
      <c r="D1207" s="258" t="str">
        <f>IFERROR(__xludf.DUMMYFUNCTION("""COMPUTED_VALUE"""),"mi. My car displays range in miles and I will enter all range numbers in miles.")</f>
        <v>mi. My car displays range in miles and I will enter all range numbers in miles.</v>
      </c>
      <c r="E1207" s="259">
        <f>IFERROR(__xludf.DUMMYFUNCTION("""COMPUTED_VALUE"""),42505.0)</f>
        <v>42505</v>
      </c>
      <c r="F1207" s="258" t="str">
        <f>IFERROR(__xludf.DUMMYFUNCTION("""COMPUTED_VALUE"""),"Model S P90D")</f>
        <v>Model S P90D</v>
      </c>
      <c r="G1207" s="258" t="str">
        <f>IFERROR(__xludf.DUMMYFUNCTION("""COMPUTED_VALUE"""),"Twice a month")</f>
        <v>Twice a month</v>
      </c>
      <c r="H1207" s="258" t="str">
        <f>IFERROR(__xludf.DUMMYFUNCTION("""COMPUTED_VALUE"""),"A few times a year")</f>
        <v>A few times a year</v>
      </c>
      <c r="I1207" s="258" t="str">
        <f>IFERROR(__xludf.DUMMYFUNCTION("""COMPUTED_VALUE"""),"A few times a year")</f>
        <v>A few times a year</v>
      </c>
      <c r="J1207" s="260" t="str">
        <f>IFERROR(__xludf.DUMMYFUNCTION("""COMPUTED_VALUE"""),"")</f>
        <v/>
      </c>
      <c r="K1207" s="258">
        <f>IFERROR(__xludf.DUMMYFUNCTION("""COMPUTED_VALUE"""),270.0)</f>
        <v>270</v>
      </c>
      <c r="L1207" s="258" t="str">
        <f>IFERROR(__xludf.DUMMYFUNCTION("""COMPUTED_VALUE"""),"")</f>
        <v/>
      </c>
      <c r="M1207" s="261" t="str">
        <f>IFERROR(__xludf.DUMMYFUNCTION("""COMPUTED_VALUE"""),"")</f>
        <v/>
      </c>
      <c r="N1207" s="262" t="str">
        <f>IFERROR(__xludf.DUMMYFUNCTION("""COMPUTED_VALUE"""),"")</f>
        <v/>
      </c>
      <c r="O1207" s="259" t="str">
        <f>IFERROR(__xludf.DUMMYFUNCTION("""COMPUTED_VALUE"""),"")</f>
        <v/>
      </c>
      <c r="P1207" s="259">
        <f>IFERROR(__xludf.DUMMYFUNCTION("""COMPUTED_VALUE"""),43692.0)</f>
        <v>43692</v>
      </c>
      <c r="Q1207" s="258">
        <f>IFERROR(__xludf.DUMMYFUNCTION("""COMPUTED_VALUE"""),66667.0)</f>
        <v>66667</v>
      </c>
      <c r="R1207" s="261">
        <f>IFERROR(__xludf.DUMMYFUNCTION("""COMPUTED_VALUE"""),245.0)</f>
        <v>245</v>
      </c>
      <c r="S1207" s="258">
        <v>271.0</v>
      </c>
      <c r="T1207" s="263">
        <v>0.9040590405904059</v>
      </c>
      <c r="U1207" s="264">
        <v>66667.0</v>
      </c>
      <c r="V1207" s="265">
        <v>107290.0</v>
      </c>
      <c r="W1207" s="264">
        <v>66667.0</v>
      </c>
      <c r="X1207" s="266"/>
      <c r="Y1207" s="267">
        <v>-0.01</v>
      </c>
      <c r="Z1207" s="267">
        <v>0.9448728641875396</v>
      </c>
      <c r="AA1207" s="269"/>
      <c r="AB1207" s="270"/>
      <c r="AC1207" s="270"/>
      <c r="AD1207" s="270"/>
      <c r="AE1207" s="270"/>
    </row>
    <row r="1208">
      <c r="A1208" s="256">
        <f>IFERROR(__xludf.DUMMYFUNCTION("""COMPUTED_VALUE"""),42019.05208333333)</f>
        <v>42019.05208</v>
      </c>
      <c r="B1208" s="257" t="str">
        <f>IFERROR(__xludf.DUMMYFUNCTION("""COMPUTED_VALUE"""),"RealNuke")</f>
        <v>RealNuke</v>
      </c>
      <c r="C1208" s="258" t="str">
        <f>IFERROR(__xludf.DUMMYFUNCTION("""COMPUTED_VALUE"""),"Europe (excluding UK) &amp; Asia Pacific")</f>
        <v>Europe (excluding UK) &amp; Asia Pacific</v>
      </c>
      <c r="D1208" s="258" t="str">
        <f>IFERROR(__xludf.DUMMYFUNCTION("""COMPUTED_VALUE"""),"km. My car displays range in kilometres and I will enter all range numbers in kilometres.")</f>
        <v>km. My car displays range in kilometres and I will enter all range numbers in kilometres.</v>
      </c>
      <c r="E1208" s="259" t="str">
        <f>IFERROR(__xludf.DUMMYFUNCTION("""COMPUTED_VALUE"""),"")</f>
        <v/>
      </c>
      <c r="F1208" s="258" t="str">
        <f>IFERROR(__xludf.DUMMYFUNCTION("""COMPUTED_VALUE"""),"Unspecified 85 kWh")</f>
        <v>Unspecified 85 kWh</v>
      </c>
      <c r="G1208" s="258" t="str">
        <f>IFERROR(__xludf.DUMMYFUNCTION("""COMPUTED_VALUE"""),"")</f>
        <v/>
      </c>
      <c r="H1208" s="258" t="str">
        <f>IFERROR(__xludf.DUMMYFUNCTION("""COMPUTED_VALUE"""),"")</f>
        <v/>
      </c>
      <c r="I1208" s="258" t="str">
        <f>IFERROR(__xludf.DUMMYFUNCTION("""COMPUTED_VALUE"""),"")</f>
        <v/>
      </c>
      <c r="J1208" s="260" t="str">
        <f>IFERROR(__xludf.DUMMYFUNCTION("""COMPUTED_VALUE"""),"")</f>
        <v/>
      </c>
      <c r="K1208" s="258" t="str">
        <f>IFERROR(__xludf.DUMMYFUNCTION("""COMPUTED_VALUE"""),"")</f>
        <v/>
      </c>
      <c r="L1208" s="258" t="str">
        <f>IFERROR(__xludf.DUMMYFUNCTION("""COMPUTED_VALUE"""),"")</f>
        <v/>
      </c>
      <c r="M1208" s="261">
        <f>IFERROR(__xludf.DUMMYFUNCTION("""COMPUTED_VALUE"""),270.0)</f>
        <v>270</v>
      </c>
      <c r="N1208" s="262" t="str">
        <f>IFERROR(__xludf.DUMMYFUNCTION("""COMPUTED_VALUE"""),"")</f>
        <v/>
      </c>
      <c r="O1208" s="259" t="str">
        <f>IFERROR(__xludf.DUMMYFUNCTION("""COMPUTED_VALUE"""),"")</f>
        <v/>
      </c>
      <c r="P1208" s="259">
        <f>IFERROR(__xludf.DUMMYFUNCTION("""COMPUTED_VALUE"""),42019.0)</f>
        <v>42019</v>
      </c>
      <c r="Q1208" s="258">
        <f>IFERROR(__xludf.DUMMYFUNCTION("""COMPUTED_VALUE"""),32080.0)</f>
        <v>32080</v>
      </c>
      <c r="R1208" s="261">
        <f>IFERROR(__xludf.DUMMYFUNCTION("""COMPUTED_VALUE"""),380.0)</f>
        <v>380</v>
      </c>
      <c r="S1208" s="258">
        <v>395.0</v>
      </c>
      <c r="T1208" s="263">
        <v>0.9620253164556962</v>
      </c>
      <c r="U1208" s="264">
        <v>19934.0</v>
      </c>
      <c r="V1208" s="265">
        <v>32080.0</v>
      </c>
      <c r="W1208" s="264">
        <v>19934.0</v>
      </c>
      <c r="X1208" s="266"/>
      <c r="Y1208" s="267">
        <v>-0.01</v>
      </c>
      <c r="Z1208" s="267">
        <v>0.9668749105226195</v>
      </c>
      <c r="AA1208" s="269"/>
      <c r="AB1208" s="270"/>
      <c r="AC1208" s="270"/>
      <c r="AD1208" s="270"/>
      <c r="AE1208" s="270"/>
    </row>
    <row r="1209">
      <c r="A1209" s="256">
        <f>IFERROR(__xludf.DUMMYFUNCTION("""COMPUTED_VALUE"""),43214.8875)</f>
        <v>43214.8875</v>
      </c>
      <c r="B1209" s="257" t="str">
        <f>IFERROR(__xludf.DUMMYFUNCTION("""COMPUTED_VALUE"""),"realStarman")</f>
        <v>realStarman</v>
      </c>
      <c r="C1209" s="258" t="str">
        <f>IFERROR(__xludf.DUMMYFUNCTION("""COMPUTED_VALUE"""),"USA")</f>
        <v>USA</v>
      </c>
      <c r="D1209" s="258" t="str">
        <f>IFERROR(__xludf.DUMMYFUNCTION("""COMPUTED_VALUE"""),"mi. My car displays range in miles and I will enter all range numbers in miles.")</f>
        <v>mi. My car displays range in miles and I will enter all range numbers in miles.</v>
      </c>
      <c r="E1209" s="259">
        <f>IFERROR(__xludf.DUMMYFUNCTION("""COMPUTED_VALUE"""),42522.0)</f>
        <v>42522</v>
      </c>
      <c r="F1209" s="258" t="str">
        <f>IFERROR(__xludf.DUMMYFUNCTION("""COMPUTED_VALUE"""),"Model X 90D")</f>
        <v>Model X 90D</v>
      </c>
      <c r="G1209" s="258" t="str">
        <f>IFERROR(__xludf.DUMMYFUNCTION("""COMPUTED_VALUE"""),"A few times a year")</f>
        <v>A few times a year</v>
      </c>
      <c r="H1209" s="258" t="str">
        <f>IFERROR(__xludf.DUMMYFUNCTION("""COMPUTED_VALUE"""),"Weekly")</f>
        <v>Weekly</v>
      </c>
      <c r="I1209" s="258" t="str">
        <f>IFERROR(__xludf.DUMMYFUNCTION("""COMPUTED_VALUE"""),"A few times a year")</f>
        <v>A few times a year</v>
      </c>
      <c r="J1209" s="260">
        <f>IFERROR(__xludf.DUMMYFUNCTION("""COMPUTED_VALUE"""),0.8)</f>
        <v>0.8</v>
      </c>
      <c r="K1209" s="258">
        <f>IFERROR(__xludf.DUMMYFUNCTION("""COMPUTED_VALUE"""),257.0)</f>
        <v>257</v>
      </c>
      <c r="L1209" s="258" t="str">
        <f>IFERROR(__xludf.DUMMYFUNCTION("""COMPUTED_VALUE"""),"")</f>
        <v/>
      </c>
      <c r="M1209" s="261">
        <f>IFERROR(__xludf.DUMMYFUNCTION("""COMPUTED_VALUE"""),315.0)</f>
        <v>315</v>
      </c>
      <c r="N1209" s="262" t="str">
        <f>IFERROR(__xludf.DUMMYFUNCTION("""COMPUTED_VALUE"""),"")</f>
        <v/>
      </c>
      <c r="O1209" s="259" t="str">
        <f>IFERROR(__xludf.DUMMYFUNCTION("""COMPUTED_VALUE"""),"")</f>
        <v/>
      </c>
      <c r="P1209" s="259">
        <f>IFERROR(__xludf.DUMMYFUNCTION("""COMPUTED_VALUE"""),43214.0)</f>
        <v>43214</v>
      </c>
      <c r="Q1209" s="258">
        <f>IFERROR(__xludf.DUMMYFUNCTION("""COMPUTED_VALUE"""),37883.0)</f>
        <v>37883</v>
      </c>
      <c r="R1209" s="261">
        <f>IFERROR(__xludf.DUMMYFUNCTION("""COMPUTED_VALUE"""),242.0)</f>
        <v>242</v>
      </c>
      <c r="S1209" s="258">
        <v>257.0</v>
      </c>
      <c r="T1209" s="263">
        <v>0.9416342412451362</v>
      </c>
      <c r="U1209" s="264">
        <v>37883.0</v>
      </c>
      <c r="V1209" s="265">
        <v>60967.0</v>
      </c>
      <c r="W1209" s="264">
        <v>37883.0</v>
      </c>
      <c r="X1209" s="266"/>
      <c r="Y1209" s="267">
        <v>-0.01</v>
      </c>
      <c r="Z1209" s="267">
        <v>0.9563767729909556</v>
      </c>
      <c r="AA1209" s="269"/>
      <c r="AB1209" s="270"/>
      <c r="AC1209" s="270"/>
      <c r="AD1209" s="270"/>
      <c r="AE1209" s="270"/>
    </row>
    <row r="1210">
      <c r="A1210" s="256">
        <f>IFERROR(__xludf.DUMMYFUNCTION("""COMPUTED_VALUE"""),43823.57483287037)</f>
        <v>43823.57483</v>
      </c>
      <c r="B1210" s="257" t="str">
        <f>IFERROR(__xludf.DUMMYFUNCTION("""COMPUTED_VALUE"""),"Rebkas")</f>
        <v>Rebkas</v>
      </c>
      <c r="C1210" s="258" t="str">
        <f>IFERROR(__xludf.DUMMYFUNCTION("""COMPUTED_VALUE"""),"Europe (excluding UK) &amp; Asia Pacific")</f>
        <v>Europe (excluding UK) &amp; Asia Pacific</v>
      </c>
      <c r="D1210" s="258" t="str">
        <f>IFERROR(__xludf.DUMMYFUNCTION("""COMPUTED_VALUE"""),"km. My car displays range in kilometres and I will enter all range numbers in kilometres.")</f>
        <v>km. My car displays range in kilometres and I will enter all range numbers in kilometres.</v>
      </c>
      <c r="E1210" s="259">
        <f>IFERROR(__xludf.DUMMYFUNCTION("""COMPUTED_VALUE"""),43678.0)</f>
        <v>43678</v>
      </c>
      <c r="F1210" s="258" t="str">
        <f>IFERROR(__xludf.DUMMYFUNCTION("""COMPUTED_VALUE"""),"Model 3 P")</f>
        <v>Model 3 P</v>
      </c>
      <c r="G1210" s="258" t="str">
        <f>IFERROR(__xludf.DUMMYFUNCTION("""COMPUTED_VALUE"""),"A few times a year")</f>
        <v>A few times a year</v>
      </c>
      <c r="H1210" s="258" t="str">
        <f>IFERROR(__xludf.DUMMYFUNCTION("""COMPUTED_VALUE"""),"A few times a year")</f>
        <v>A few times a year</v>
      </c>
      <c r="I1210" s="258" t="str">
        <f>IFERROR(__xludf.DUMMYFUNCTION("""COMPUTED_VALUE"""),"A few times a year")</f>
        <v>A few times a year</v>
      </c>
      <c r="J1210" s="260">
        <f>IFERROR(__xludf.DUMMYFUNCTION("""COMPUTED_VALUE"""),0.8)</f>
        <v>0.8</v>
      </c>
      <c r="K1210" s="258">
        <f>IFERROR(__xludf.DUMMYFUNCTION("""COMPUTED_VALUE"""),499.0)</f>
        <v>499</v>
      </c>
      <c r="L1210" s="258" t="str">
        <f>IFERROR(__xludf.DUMMYFUNCTION("""COMPUTED_VALUE"""),"")</f>
        <v/>
      </c>
      <c r="M1210" s="261" t="str">
        <f>IFERROR(__xludf.DUMMYFUNCTION("""COMPUTED_VALUE"""),"")</f>
        <v/>
      </c>
      <c r="N1210" s="262" t="str">
        <f>IFERROR(__xludf.DUMMYFUNCTION("""COMPUTED_VALUE"""),"")</f>
        <v/>
      </c>
      <c r="O1210" s="259" t="str">
        <f>IFERROR(__xludf.DUMMYFUNCTION("""COMPUTED_VALUE"""),"")</f>
        <v/>
      </c>
      <c r="P1210" s="259">
        <f>IFERROR(__xludf.DUMMYFUNCTION("""COMPUTED_VALUE"""),43822.0)</f>
        <v>43822</v>
      </c>
      <c r="Q1210" s="258">
        <f>IFERROR(__xludf.DUMMYFUNCTION("""COMPUTED_VALUE"""),13000.0)</f>
        <v>13000</v>
      </c>
      <c r="R1210" s="261">
        <f>IFERROR(__xludf.DUMMYFUNCTION("""COMPUTED_VALUE"""),488.0)</f>
        <v>488</v>
      </c>
      <c r="S1210" s="258">
        <v>530.0</v>
      </c>
      <c r="T1210" s="263">
        <v>0.9207547169811321</v>
      </c>
      <c r="U1210" s="264">
        <v>8078.0</v>
      </c>
      <c r="V1210" s="265">
        <v>13000.0</v>
      </c>
      <c r="W1210" s="264">
        <v>8078.0</v>
      </c>
      <c r="X1210" s="266"/>
      <c r="Y1210" s="267">
        <v>-0.01</v>
      </c>
      <c r="Z1210" s="267">
        <v>0.9808568041856962</v>
      </c>
      <c r="AA1210" s="269"/>
      <c r="AB1210" s="270"/>
      <c r="AC1210" s="270"/>
      <c r="AD1210" s="270"/>
      <c r="AE1210" s="270"/>
    </row>
    <row r="1211">
      <c r="A1211" s="256">
        <f>IFERROR(__xludf.DUMMYFUNCTION("""COMPUTED_VALUE"""),43084.86597222222)</f>
        <v>43084.86597</v>
      </c>
      <c r="B1211" s="257" t="str">
        <f>IFERROR(__xludf.DUMMYFUNCTION("""COMPUTED_VALUE"""),"RED")</f>
        <v>RED</v>
      </c>
      <c r="C1211" s="258" t="str">
        <f>IFERROR(__xludf.DUMMYFUNCTION("""COMPUTED_VALUE"""),"USA")</f>
        <v>USA</v>
      </c>
      <c r="D1211" s="258" t="str">
        <f>IFERROR(__xludf.DUMMYFUNCTION("""COMPUTED_VALUE"""),"mi. My car displays range in miles and I will enter all range numbers in miles.")</f>
        <v>mi. My car displays range in miles and I will enter all range numbers in miles.</v>
      </c>
      <c r="E1211" s="259">
        <f>IFERROR(__xludf.DUMMYFUNCTION("""COMPUTED_VALUE"""),42852.0)</f>
        <v>42852</v>
      </c>
      <c r="F1211" s="258" t="str">
        <f>IFERROR(__xludf.DUMMYFUNCTION("""COMPUTED_VALUE"""),"Model S 60D")</f>
        <v>Model S 60D</v>
      </c>
      <c r="G1211" s="258" t="str">
        <f>IFERROR(__xludf.DUMMYFUNCTION("""COMPUTED_VALUE"""),"Twice a month")</f>
        <v>Twice a month</v>
      </c>
      <c r="H1211" s="258" t="str">
        <f>IFERROR(__xludf.DUMMYFUNCTION("""COMPUTED_VALUE"""),"Weekly")</f>
        <v>Weekly</v>
      </c>
      <c r="I1211" s="258" t="str">
        <f>IFERROR(__xludf.DUMMYFUNCTION("""COMPUTED_VALUE"""),"Never")</f>
        <v>Never</v>
      </c>
      <c r="J1211" s="260">
        <f>IFERROR(__xludf.DUMMYFUNCTION("""COMPUTED_VALUE"""),0.8)</f>
        <v>0.8</v>
      </c>
      <c r="K1211" s="258">
        <f>IFERROR(__xludf.DUMMYFUNCTION("""COMPUTED_VALUE"""),218.0)</f>
        <v>218</v>
      </c>
      <c r="L1211" s="258" t="str">
        <f>IFERROR(__xludf.DUMMYFUNCTION("""COMPUTED_VALUE"""),"")</f>
        <v/>
      </c>
      <c r="M1211" s="261">
        <f>IFERROR(__xludf.DUMMYFUNCTION("""COMPUTED_VALUE"""),301.0)</f>
        <v>301</v>
      </c>
      <c r="N1211" s="262" t="str">
        <f>IFERROR(__xludf.DUMMYFUNCTION("""COMPUTED_VALUE"""),"")</f>
        <v/>
      </c>
      <c r="O1211" s="259" t="str">
        <f>IFERROR(__xludf.DUMMYFUNCTION("""COMPUTED_VALUE"""),"")</f>
        <v/>
      </c>
      <c r="P1211" s="259">
        <f>IFERROR(__xludf.DUMMYFUNCTION("""COMPUTED_VALUE"""),43084.0)</f>
        <v>43084</v>
      </c>
      <c r="Q1211" s="258">
        <f>IFERROR(__xludf.DUMMYFUNCTION("""COMPUTED_VALUE"""),8286.0)</f>
        <v>8286</v>
      </c>
      <c r="R1211" s="261">
        <f>IFERROR(__xludf.DUMMYFUNCTION("""COMPUTED_VALUE"""),213.0)</f>
        <v>213</v>
      </c>
      <c r="S1211" s="258">
        <v>219.0</v>
      </c>
      <c r="T1211" s="263">
        <v>0.9726027397260274</v>
      </c>
      <c r="U1211" s="264">
        <v>8286.0</v>
      </c>
      <c r="V1211" s="265">
        <v>13335.0</v>
      </c>
      <c r="W1211" s="264">
        <v>8286.0</v>
      </c>
      <c r="X1211" s="266"/>
      <c r="Y1211" s="267">
        <v>-0.01</v>
      </c>
      <c r="Z1211" s="267">
        <v>0.9805037973491245</v>
      </c>
      <c r="AA1211" s="269"/>
      <c r="AB1211" s="270"/>
      <c r="AC1211" s="270"/>
      <c r="AD1211" s="270"/>
      <c r="AE1211" s="270"/>
    </row>
    <row r="1212">
      <c r="A1212" s="256">
        <f>IFERROR(__xludf.DUMMYFUNCTION("""COMPUTED_VALUE"""),43166.87777777778)</f>
        <v>43166.87778</v>
      </c>
      <c r="B1212" s="257" t="str">
        <f>IFERROR(__xludf.DUMMYFUNCTION("""COMPUTED_VALUE"""),"RED_DS75")</f>
        <v>RED_DS75</v>
      </c>
      <c r="C1212" s="258" t="str">
        <f>IFERROR(__xludf.DUMMYFUNCTION("""COMPUTED_VALUE"""),"USA")</f>
        <v>USA</v>
      </c>
      <c r="D1212" s="258" t="str">
        <f>IFERROR(__xludf.DUMMYFUNCTION("""COMPUTED_VALUE"""),"mi. My car displays range in miles and I will enter all range numbers in miles.")</f>
        <v>mi. My car displays range in miles and I will enter all range numbers in miles.</v>
      </c>
      <c r="E1212" s="259">
        <f>IFERROR(__xludf.DUMMYFUNCTION("""COMPUTED_VALUE"""),42852.0)</f>
        <v>42852</v>
      </c>
      <c r="F1212" s="258" t="str">
        <f>IFERROR(__xludf.DUMMYFUNCTION("""COMPUTED_VALUE"""),"Model S 75D")</f>
        <v>Model S 75D</v>
      </c>
      <c r="G1212" s="258" t="str">
        <f>IFERROR(__xludf.DUMMYFUNCTION("""COMPUTED_VALUE"""),"Twice a month")</f>
        <v>Twice a month</v>
      </c>
      <c r="H1212" s="258" t="str">
        <f>IFERROR(__xludf.DUMMYFUNCTION("""COMPUTED_VALUE"""),"Never")</f>
        <v>Never</v>
      </c>
      <c r="I1212" s="258" t="str">
        <f>IFERROR(__xludf.DUMMYFUNCTION("""COMPUTED_VALUE"""),"Once or twice a year")</f>
        <v>Once or twice a year</v>
      </c>
      <c r="J1212" s="260">
        <f>IFERROR(__xludf.DUMMYFUNCTION("""COMPUTED_VALUE"""),0.8)</f>
        <v>0.8</v>
      </c>
      <c r="K1212" s="258" t="str">
        <f>IFERROR(__xludf.DUMMYFUNCTION("""COMPUTED_VALUE"""),"")</f>
        <v/>
      </c>
      <c r="L1212" s="258" t="str">
        <f>IFERROR(__xludf.DUMMYFUNCTION("""COMPUTED_VALUE"""),"")</f>
        <v/>
      </c>
      <c r="M1212" s="261">
        <f>IFERROR(__xludf.DUMMYFUNCTION("""COMPUTED_VALUE"""),317.0)</f>
        <v>317</v>
      </c>
      <c r="N1212" s="262" t="str">
        <f>IFERROR(__xludf.DUMMYFUNCTION("""COMPUTED_VALUE"""),"")</f>
        <v/>
      </c>
      <c r="O1212" s="259" t="str">
        <f>IFERROR(__xludf.DUMMYFUNCTION("""COMPUTED_VALUE"""),"")</f>
        <v/>
      </c>
      <c r="P1212" s="259">
        <f>IFERROR(__xludf.DUMMYFUNCTION("""COMPUTED_VALUE"""),43166.0)</f>
        <v>43166</v>
      </c>
      <c r="Q1212" s="258">
        <f>IFERROR(__xludf.DUMMYFUNCTION("""COMPUTED_VALUE"""),11668.0)</f>
        <v>11668</v>
      </c>
      <c r="R1212" s="261">
        <f>IFERROR(__xludf.DUMMYFUNCTION("""COMPUTED_VALUE"""),247.0)</f>
        <v>247</v>
      </c>
      <c r="S1212" s="258">
        <v>259.0</v>
      </c>
      <c r="T1212" s="263">
        <v>0.9536679536679536</v>
      </c>
      <c r="U1212" s="264">
        <v>11668.0</v>
      </c>
      <c r="V1212" s="265">
        <v>18778.0</v>
      </c>
      <c r="W1212" s="264">
        <v>11668.0</v>
      </c>
      <c r="X1212" s="266"/>
      <c r="Y1212" s="267">
        <v>-0.01</v>
      </c>
      <c r="Z1212" s="267">
        <v>0.9754451706076747</v>
      </c>
      <c r="AA1212" s="269"/>
      <c r="AB1212" s="270"/>
      <c r="AC1212" s="270"/>
      <c r="AD1212" s="270"/>
      <c r="AE1212" s="270"/>
    </row>
    <row r="1213">
      <c r="A1213" s="256">
        <f>IFERROR(__xludf.DUMMYFUNCTION("""COMPUTED_VALUE"""),41912.025)</f>
        <v>41912.025</v>
      </c>
      <c r="B1213" s="257" t="str">
        <f>IFERROR(__xludf.DUMMYFUNCTION("""COMPUTED_VALUE"""),"redevries")</f>
        <v>redevries</v>
      </c>
      <c r="C1213" s="258" t="str">
        <f>IFERROR(__xludf.DUMMYFUNCTION("""COMPUTED_VALUE"""),"Europe (excluding UK) &amp; Asia Pacific")</f>
        <v>Europe (excluding UK) &amp; Asia Pacific</v>
      </c>
      <c r="D1213" s="258" t="str">
        <f>IFERROR(__xludf.DUMMYFUNCTION("""COMPUTED_VALUE"""),"km. My car displays range in kilometres and I will enter all range numbers in kilometres.")</f>
        <v>km. My car displays range in kilometres and I will enter all range numbers in kilometres.</v>
      </c>
      <c r="E1213" s="259">
        <f>IFERROR(__xludf.DUMMYFUNCTION("""COMPUTED_VALUE"""),41593.0)</f>
        <v>41593</v>
      </c>
      <c r="F1213" s="258" t="str">
        <f>IFERROR(__xludf.DUMMYFUNCTION("""COMPUTED_VALUE"""),"Model S 85")</f>
        <v>Model S 85</v>
      </c>
      <c r="G1213" s="258" t="str">
        <f>IFERROR(__xludf.DUMMYFUNCTION("""COMPUTED_VALUE"""),"A few times a year")</f>
        <v>A few times a year</v>
      </c>
      <c r="H1213" s="258" t="str">
        <f>IFERROR(__xludf.DUMMYFUNCTION("""COMPUTED_VALUE"""),"Once or twice a year")</f>
        <v>Once or twice a year</v>
      </c>
      <c r="I1213" s="258" t="str">
        <f>IFERROR(__xludf.DUMMYFUNCTION("""COMPUTED_VALUE"""),"Never")</f>
        <v>Never</v>
      </c>
      <c r="J1213" s="260" t="str">
        <f>IFERROR(__xludf.DUMMYFUNCTION("""COMPUTED_VALUE"""),"")</f>
        <v/>
      </c>
      <c r="K1213" s="258" t="str">
        <f>IFERROR(__xludf.DUMMYFUNCTION("""COMPUTED_VALUE"""),"")</f>
        <v/>
      </c>
      <c r="L1213" s="258" t="str">
        <f>IFERROR(__xludf.DUMMYFUNCTION("""COMPUTED_VALUE"""),"")</f>
        <v/>
      </c>
      <c r="M1213" s="261">
        <f>IFERROR(__xludf.DUMMYFUNCTION("""COMPUTED_VALUE"""),219.0)</f>
        <v>219</v>
      </c>
      <c r="N1213" s="262">
        <f>IFERROR(__xludf.DUMMYFUNCTION("""COMPUTED_VALUE"""),28000.0)</f>
        <v>28000</v>
      </c>
      <c r="O1213" s="259" t="str">
        <f>IFERROR(__xludf.DUMMYFUNCTION("""COMPUTED_VALUE"""),"I don't know")</f>
        <v>I don't know</v>
      </c>
      <c r="P1213" s="259">
        <f>IFERROR(__xludf.DUMMYFUNCTION("""COMPUTED_VALUE"""),41912.0)</f>
        <v>41912</v>
      </c>
      <c r="Q1213" s="258">
        <f>IFERROR(__xludf.DUMMYFUNCTION("""COMPUTED_VALUE"""),35244.0)</f>
        <v>35244</v>
      </c>
      <c r="R1213" s="261">
        <f>IFERROR(__xludf.DUMMYFUNCTION("""COMPUTED_VALUE"""),391.0)</f>
        <v>391</v>
      </c>
      <c r="S1213" s="258">
        <v>395.0</v>
      </c>
      <c r="T1213" s="263">
        <v>0.9898734177215189</v>
      </c>
      <c r="U1213" s="264">
        <v>21900.0</v>
      </c>
      <c r="V1213" s="265">
        <v>35244.0</v>
      </c>
      <c r="W1213" s="264">
        <v>21900.0</v>
      </c>
      <c r="X1213" s="266"/>
      <c r="Y1213" s="267">
        <v>-0.01</v>
      </c>
      <c r="Z1213" s="267">
        <v>0.9653529753215787</v>
      </c>
      <c r="AA1213" s="269"/>
      <c r="AB1213" s="270"/>
      <c r="AC1213" s="270"/>
      <c r="AD1213" s="270"/>
      <c r="AE1213" s="270"/>
    </row>
    <row r="1214">
      <c r="A1214" s="256">
        <f>IFERROR(__xludf.DUMMYFUNCTION("""COMPUTED_VALUE"""),42019.052777777775)</f>
        <v>42019.05278</v>
      </c>
      <c r="B1214" s="257" t="str">
        <f>IFERROR(__xludf.DUMMYFUNCTION("""COMPUTED_VALUE"""),"redevries")</f>
        <v>redevries</v>
      </c>
      <c r="C1214" s="258" t="str">
        <f>IFERROR(__xludf.DUMMYFUNCTION("""COMPUTED_VALUE"""),"Europe (excluding UK) &amp; Asia Pacific")</f>
        <v>Europe (excluding UK) &amp; Asia Pacific</v>
      </c>
      <c r="D1214" s="258" t="str">
        <f>IFERROR(__xludf.DUMMYFUNCTION("""COMPUTED_VALUE"""),"km. My car displays range in kilometres and I will enter all range numbers in kilometres.")</f>
        <v>km. My car displays range in kilometres and I will enter all range numbers in kilometres.</v>
      </c>
      <c r="E1214" s="259">
        <f>IFERROR(__xludf.DUMMYFUNCTION("""COMPUTED_VALUE"""),41593.0)</f>
        <v>41593</v>
      </c>
      <c r="F1214" s="258" t="str">
        <f>IFERROR(__xludf.DUMMYFUNCTION("""COMPUTED_VALUE"""),"Model S 85")</f>
        <v>Model S 85</v>
      </c>
      <c r="G1214" s="258" t="str">
        <f>IFERROR(__xludf.DUMMYFUNCTION("""COMPUTED_VALUE"""),"Monthly")</f>
        <v>Monthly</v>
      </c>
      <c r="H1214" s="258" t="str">
        <f>IFERROR(__xludf.DUMMYFUNCTION("""COMPUTED_VALUE"""),"Monthly")</f>
        <v>Monthly</v>
      </c>
      <c r="I1214" s="258" t="str">
        <f>IFERROR(__xludf.DUMMYFUNCTION("""COMPUTED_VALUE"""),"Once or twice a year")</f>
        <v>Once or twice a year</v>
      </c>
      <c r="J1214" s="260" t="str">
        <f>IFERROR(__xludf.DUMMYFUNCTION("""COMPUTED_VALUE"""),"")</f>
        <v/>
      </c>
      <c r="K1214" s="258" t="str">
        <f>IFERROR(__xludf.DUMMYFUNCTION("""COMPUTED_VALUE"""),"")</f>
        <v/>
      </c>
      <c r="L1214" s="258" t="str">
        <f>IFERROR(__xludf.DUMMYFUNCTION("""COMPUTED_VALUE"""),"")</f>
        <v/>
      </c>
      <c r="M1214" s="261">
        <f>IFERROR(__xludf.DUMMYFUNCTION("""COMPUTED_VALUE"""),229.0)</f>
        <v>229</v>
      </c>
      <c r="N1214" s="262">
        <f>IFERROR(__xludf.DUMMYFUNCTION("""COMPUTED_VALUE"""),28000.0)</f>
        <v>28000</v>
      </c>
      <c r="O1214" s="259" t="str">
        <f>IFERROR(__xludf.DUMMYFUNCTION("""COMPUTED_VALUE"""),"I don't know")</f>
        <v>I don't know</v>
      </c>
      <c r="P1214" s="259">
        <f>IFERROR(__xludf.DUMMYFUNCTION("""COMPUTED_VALUE"""),42019.0)</f>
        <v>42019</v>
      </c>
      <c r="Q1214" s="258">
        <f>IFERROR(__xludf.DUMMYFUNCTION("""COMPUTED_VALUE"""),51700.0)</f>
        <v>51700</v>
      </c>
      <c r="R1214" s="261">
        <f>IFERROR(__xludf.DUMMYFUNCTION("""COMPUTED_VALUE"""),389.0)</f>
        <v>389</v>
      </c>
      <c r="S1214" s="258">
        <v>395.0</v>
      </c>
      <c r="T1214" s="263">
        <v>0.9848101265822785</v>
      </c>
      <c r="U1214" s="264">
        <v>32125.0</v>
      </c>
      <c r="V1214" s="265">
        <v>51700.0</v>
      </c>
      <c r="W1214" s="264">
        <v>32125.0</v>
      </c>
      <c r="X1214" s="266"/>
      <c r="Y1214" s="267">
        <v>-0.01</v>
      </c>
      <c r="Z1214" s="267">
        <v>0.9591418034328953</v>
      </c>
      <c r="AA1214" s="269"/>
      <c r="AB1214" s="270"/>
      <c r="AC1214" s="270"/>
      <c r="AD1214" s="270"/>
      <c r="AE1214" s="270"/>
    </row>
    <row r="1215">
      <c r="A1215" s="256">
        <f>IFERROR(__xludf.DUMMYFUNCTION("""COMPUTED_VALUE"""),42100.09027777778)</f>
        <v>42100.09028</v>
      </c>
      <c r="B1215" s="257" t="str">
        <f>IFERROR(__xludf.DUMMYFUNCTION("""COMPUTED_VALUE"""),"redevries")</f>
        <v>redevries</v>
      </c>
      <c r="C1215" s="258" t="str">
        <f>IFERROR(__xludf.DUMMYFUNCTION("""COMPUTED_VALUE"""),"Europe (excluding UK) &amp; Asia Pacific")</f>
        <v>Europe (excluding UK) &amp; Asia Pacific</v>
      </c>
      <c r="D1215" s="258" t="str">
        <f>IFERROR(__xludf.DUMMYFUNCTION("""COMPUTED_VALUE"""),"km. My car displays range in kilometres and I will enter all range numbers in kilometres.")</f>
        <v>km. My car displays range in kilometres and I will enter all range numbers in kilometres.</v>
      </c>
      <c r="E1215" s="259">
        <f>IFERROR(__xludf.DUMMYFUNCTION("""COMPUTED_VALUE"""),41593.0)</f>
        <v>41593</v>
      </c>
      <c r="F1215" s="258" t="str">
        <f>IFERROR(__xludf.DUMMYFUNCTION("""COMPUTED_VALUE"""),"Model S 85")</f>
        <v>Model S 85</v>
      </c>
      <c r="G1215" s="258" t="str">
        <f>IFERROR(__xludf.DUMMYFUNCTION("""COMPUTED_VALUE"""),"Weekly")</f>
        <v>Weekly</v>
      </c>
      <c r="H1215" s="258" t="str">
        <f>IFERROR(__xludf.DUMMYFUNCTION("""COMPUTED_VALUE"""),"Twice a month")</f>
        <v>Twice a month</v>
      </c>
      <c r="I1215" s="258" t="str">
        <f>IFERROR(__xludf.DUMMYFUNCTION("""COMPUTED_VALUE"""),"A few times a year")</f>
        <v>A few times a year</v>
      </c>
      <c r="J1215" s="260" t="str">
        <f>IFERROR(__xludf.DUMMYFUNCTION("""COMPUTED_VALUE"""),"")</f>
        <v/>
      </c>
      <c r="K1215" s="258" t="str">
        <f>IFERROR(__xludf.DUMMYFUNCTION("""COMPUTED_VALUE"""),"")</f>
        <v/>
      </c>
      <c r="L1215" s="258" t="str">
        <f>IFERROR(__xludf.DUMMYFUNCTION("""COMPUTED_VALUE"""),"")</f>
        <v/>
      </c>
      <c r="M1215" s="261">
        <f>IFERROR(__xludf.DUMMYFUNCTION("""COMPUTED_VALUE"""),235.0)</f>
        <v>235</v>
      </c>
      <c r="N1215" s="262">
        <f>IFERROR(__xludf.DUMMYFUNCTION("""COMPUTED_VALUE"""),28000.0)</f>
        <v>28000</v>
      </c>
      <c r="O1215" s="259" t="str">
        <f>IFERROR(__xludf.DUMMYFUNCTION("""COMPUTED_VALUE"""),"I don't know")</f>
        <v>I don't know</v>
      </c>
      <c r="P1215" s="259">
        <f>IFERROR(__xludf.DUMMYFUNCTION("""COMPUTED_VALUE"""),42100.0)</f>
        <v>42100</v>
      </c>
      <c r="Q1215" s="258">
        <f>IFERROR(__xludf.DUMMYFUNCTION("""COMPUTED_VALUE"""),60588.0)</f>
        <v>60588</v>
      </c>
      <c r="R1215" s="261">
        <f>IFERROR(__xludf.DUMMYFUNCTION("""COMPUTED_VALUE"""),378.0)</f>
        <v>378</v>
      </c>
      <c r="S1215" s="258">
        <v>395.0</v>
      </c>
      <c r="T1215" s="263">
        <v>0.9569620253164557</v>
      </c>
      <c r="U1215" s="264">
        <v>37648.0</v>
      </c>
      <c r="V1215" s="265">
        <v>60588.0</v>
      </c>
      <c r="W1215" s="264">
        <v>37648.0</v>
      </c>
      <c r="X1215" s="266"/>
      <c r="Y1215" s="267">
        <v>-0.01</v>
      </c>
      <c r="Z1215" s="267">
        <v>0.9564837748064337</v>
      </c>
      <c r="AA1215" s="269"/>
      <c r="AB1215" s="270"/>
      <c r="AC1215" s="270"/>
      <c r="AD1215" s="270"/>
      <c r="AE1215" s="270"/>
    </row>
    <row r="1216">
      <c r="A1216" s="256">
        <f>IFERROR(__xludf.DUMMYFUNCTION("""COMPUTED_VALUE"""),42246.175)</f>
        <v>42246.175</v>
      </c>
      <c r="B1216" s="257" t="str">
        <f>IFERROR(__xludf.DUMMYFUNCTION("""COMPUTED_VALUE"""),"redevries")</f>
        <v>redevries</v>
      </c>
      <c r="C1216" s="258" t="str">
        <f>IFERROR(__xludf.DUMMYFUNCTION("""COMPUTED_VALUE"""),"Europe (excluding UK) &amp; Asia Pacific")</f>
        <v>Europe (excluding UK) &amp; Asia Pacific</v>
      </c>
      <c r="D1216" s="258" t="str">
        <f>IFERROR(__xludf.DUMMYFUNCTION("""COMPUTED_VALUE"""),"km. My car displays range in kilometres and I will enter all range numbers in kilometres.")</f>
        <v>km. My car displays range in kilometres and I will enter all range numbers in kilometres.</v>
      </c>
      <c r="E1216" s="259">
        <f>IFERROR(__xludf.DUMMYFUNCTION("""COMPUTED_VALUE"""),41593.0)</f>
        <v>41593</v>
      </c>
      <c r="F1216" s="258" t="str">
        <f>IFERROR(__xludf.DUMMYFUNCTION("""COMPUTED_VALUE"""),"Model S 85")</f>
        <v>Model S 85</v>
      </c>
      <c r="G1216" s="258" t="str">
        <f>IFERROR(__xludf.DUMMYFUNCTION("""COMPUTED_VALUE"""),"A few times a year")</f>
        <v>A few times a year</v>
      </c>
      <c r="H1216" s="258" t="str">
        <f>IFERROR(__xludf.DUMMYFUNCTION("""COMPUTED_VALUE"""),"A few times a year")</f>
        <v>A few times a year</v>
      </c>
      <c r="I1216" s="258" t="str">
        <f>IFERROR(__xludf.DUMMYFUNCTION("""COMPUTED_VALUE"""),"Once or twice a year")</f>
        <v>Once or twice a year</v>
      </c>
      <c r="J1216" s="260">
        <f>IFERROR(__xludf.DUMMYFUNCTION("""COMPUTED_VALUE"""),0.7)</f>
        <v>0.7</v>
      </c>
      <c r="K1216" s="258">
        <f>IFERROR(__xludf.DUMMYFUNCTION("""COMPUTED_VALUE"""),400.0)</f>
        <v>400</v>
      </c>
      <c r="L1216" s="258" t="str">
        <f>IFERROR(__xludf.DUMMYFUNCTION("""COMPUTED_VALUE"""),"")</f>
        <v/>
      </c>
      <c r="M1216" s="261">
        <f>IFERROR(__xludf.DUMMYFUNCTION("""COMPUTED_VALUE"""),225.0)</f>
        <v>225</v>
      </c>
      <c r="N1216" s="262">
        <f>IFERROR(__xludf.DUMMYFUNCTION("""COMPUTED_VALUE"""),30000.0)</f>
        <v>30000</v>
      </c>
      <c r="O1216" s="259" t="str">
        <f>IFERROR(__xludf.DUMMYFUNCTION("""COMPUTED_VALUE"""),"It didn't change")</f>
        <v>It didn't change</v>
      </c>
      <c r="P1216" s="259">
        <f>IFERROR(__xludf.DUMMYFUNCTION("""COMPUTED_VALUE"""),42246.0)</f>
        <v>42246</v>
      </c>
      <c r="Q1216" s="258">
        <f>IFERROR(__xludf.DUMMYFUNCTION("""COMPUTED_VALUE"""),79470.0)</f>
        <v>79470</v>
      </c>
      <c r="R1216" s="261">
        <f>IFERROR(__xludf.DUMMYFUNCTION("""COMPUTED_VALUE"""),359.0)</f>
        <v>359</v>
      </c>
      <c r="S1216" s="258">
        <v>395.0</v>
      </c>
      <c r="T1216" s="263">
        <v>0.9088607594936708</v>
      </c>
      <c r="U1216" s="264">
        <v>49380.0</v>
      </c>
      <c r="V1216" s="265">
        <v>79470.0</v>
      </c>
      <c r="W1216" s="264">
        <v>49380.0</v>
      </c>
      <c r="X1216" s="266"/>
      <c r="Y1216" s="267">
        <v>-0.01</v>
      </c>
      <c r="Z1216" s="267">
        <v>0.9515297976702749</v>
      </c>
      <c r="AA1216" s="269"/>
      <c r="AB1216" s="270"/>
      <c r="AC1216" s="270"/>
      <c r="AD1216" s="270"/>
      <c r="AE1216" s="270"/>
    </row>
    <row r="1217">
      <c r="A1217" s="256">
        <f>IFERROR(__xludf.DUMMYFUNCTION("""COMPUTED_VALUE"""),42376.26875)</f>
        <v>42376.26875</v>
      </c>
      <c r="B1217" s="257" t="str">
        <f>IFERROR(__xludf.DUMMYFUNCTION("""COMPUTED_VALUE"""),"redevries")</f>
        <v>redevries</v>
      </c>
      <c r="C1217" s="258" t="str">
        <f>IFERROR(__xludf.DUMMYFUNCTION("""COMPUTED_VALUE"""),"Europe (excluding UK) &amp; Asia Pacific")</f>
        <v>Europe (excluding UK) &amp; Asia Pacific</v>
      </c>
      <c r="D1217" s="258" t="str">
        <f>IFERROR(__xludf.DUMMYFUNCTION("""COMPUTED_VALUE"""),"km. My car displays range in kilometres and I will enter all range numbers in kilometres.")</f>
        <v>km. My car displays range in kilometres and I will enter all range numbers in kilometres.</v>
      </c>
      <c r="E1217" s="259">
        <f>IFERROR(__xludf.DUMMYFUNCTION("""COMPUTED_VALUE"""),41593.0)</f>
        <v>41593</v>
      </c>
      <c r="F1217" s="258" t="str">
        <f>IFERROR(__xludf.DUMMYFUNCTION("""COMPUTED_VALUE"""),"Model S 85")</f>
        <v>Model S 85</v>
      </c>
      <c r="G1217" s="258" t="str">
        <f>IFERROR(__xludf.DUMMYFUNCTION("""COMPUTED_VALUE"""),"A few times a year")</f>
        <v>A few times a year</v>
      </c>
      <c r="H1217" s="258" t="str">
        <f>IFERROR(__xludf.DUMMYFUNCTION("""COMPUTED_VALUE"""),"A few times a year")</f>
        <v>A few times a year</v>
      </c>
      <c r="I1217" s="258" t="str">
        <f>IFERROR(__xludf.DUMMYFUNCTION("""COMPUTED_VALUE"""),"Once or twice a year")</f>
        <v>Once or twice a year</v>
      </c>
      <c r="J1217" s="260">
        <f>IFERROR(__xludf.DUMMYFUNCTION("""COMPUTED_VALUE"""),0.9)</f>
        <v>0.9</v>
      </c>
      <c r="K1217" s="258" t="str">
        <f>IFERROR(__xludf.DUMMYFUNCTION("""COMPUTED_VALUE"""),"")</f>
        <v/>
      </c>
      <c r="L1217" s="258" t="str">
        <f>IFERROR(__xludf.DUMMYFUNCTION("""COMPUTED_VALUE"""),"")</f>
        <v/>
      </c>
      <c r="M1217" s="261">
        <f>IFERROR(__xludf.DUMMYFUNCTION("""COMPUTED_VALUE"""),224.0)</f>
        <v>224</v>
      </c>
      <c r="N1217" s="262">
        <f>IFERROR(__xludf.DUMMYFUNCTION("""COMPUTED_VALUE"""),30000.0)</f>
        <v>30000</v>
      </c>
      <c r="O1217" s="259" t="str">
        <f>IFERROR(__xludf.DUMMYFUNCTION("""COMPUTED_VALUE"""),"It didn't change")</f>
        <v>It didn't change</v>
      </c>
      <c r="P1217" s="259">
        <f>IFERROR(__xludf.DUMMYFUNCTION("""COMPUTED_VALUE"""),42376.0)</f>
        <v>42376</v>
      </c>
      <c r="Q1217" s="258">
        <f>IFERROR(__xludf.DUMMYFUNCTION("""COMPUTED_VALUE"""),93906.0)</f>
        <v>93906</v>
      </c>
      <c r="R1217" s="261">
        <f>IFERROR(__xludf.DUMMYFUNCTION("""COMPUTED_VALUE"""),368.0)</f>
        <v>368</v>
      </c>
      <c r="S1217" s="258">
        <v>395.0</v>
      </c>
      <c r="T1217" s="263">
        <v>0.9316455696202531</v>
      </c>
      <c r="U1217" s="264">
        <v>58350.0</v>
      </c>
      <c r="V1217" s="265">
        <v>93906.0</v>
      </c>
      <c r="W1217" s="264">
        <v>58350.0</v>
      </c>
      <c r="X1217" s="266"/>
      <c r="Y1217" s="267">
        <v>-0.01</v>
      </c>
      <c r="Z1217" s="267">
        <v>0.948029883490343</v>
      </c>
      <c r="AA1217" s="269"/>
      <c r="AB1217" s="270"/>
      <c r="AC1217" s="270"/>
      <c r="AD1217" s="270"/>
      <c r="AE1217" s="270"/>
    </row>
    <row r="1218">
      <c r="A1218" s="256">
        <f>IFERROR(__xludf.DUMMYFUNCTION("""COMPUTED_VALUE"""),42666.41666666667)</f>
        <v>42666.41667</v>
      </c>
      <c r="B1218" s="257" t="str">
        <f>IFERROR(__xludf.DUMMYFUNCTION("""COMPUTED_VALUE"""),"redevries")</f>
        <v>redevries</v>
      </c>
      <c r="C1218" s="258" t="str">
        <f>IFERROR(__xludf.DUMMYFUNCTION("""COMPUTED_VALUE"""),"Europe (excluding UK) &amp; Asia Pacific")</f>
        <v>Europe (excluding UK) &amp; Asia Pacific</v>
      </c>
      <c r="D1218" s="258" t="str">
        <f>IFERROR(__xludf.DUMMYFUNCTION("""COMPUTED_VALUE"""),"km. My car displays range in kilometres and I will enter all range numbers in kilometres.")</f>
        <v>km. My car displays range in kilometres and I will enter all range numbers in kilometres.</v>
      </c>
      <c r="E1218" s="259">
        <f>IFERROR(__xludf.DUMMYFUNCTION("""COMPUTED_VALUE"""),41593.0)</f>
        <v>41593</v>
      </c>
      <c r="F1218" s="258" t="str">
        <f>IFERROR(__xludf.DUMMYFUNCTION("""COMPUTED_VALUE"""),"Model S 85")</f>
        <v>Model S 85</v>
      </c>
      <c r="G1218" s="258" t="str">
        <f>IFERROR(__xludf.DUMMYFUNCTION("""COMPUTED_VALUE"""),"A few times a year")</f>
        <v>A few times a year</v>
      </c>
      <c r="H1218" s="258" t="str">
        <f>IFERROR(__xludf.DUMMYFUNCTION("""COMPUTED_VALUE"""),"A few times a year")</f>
        <v>A few times a year</v>
      </c>
      <c r="I1218" s="258" t="str">
        <f>IFERROR(__xludf.DUMMYFUNCTION("""COMPUTED_VALUE"""),"A few times a year")</f>
        <v>A few times a year</v>
      </c>
      <c r="J1218" s="260">
        <f>IFERROR(__xludf.DUMMYFUNCTION("""COMPUTED_VALUE"""),0.9)</f>
        <v>0.9</v>
      </c>
      <c r="K1218" s="258" t="str">
        <f>IFERROR(__xludf.DUMMYFUNCTION("""COMPUTED_VALUE"""),"")</f>
        <v/>
      </c>
      <c r="L1218" s="258" t="str">
        <f>IFERROR(__xludf.DUMMYFUNCTION("""COMPUTED_VALUE"""),"")</f>
        <v/>
      </c>
      <c r="M1218" s="261">
        <f>IFERROR(__xludf.DUMMYFUNCTION("""COMPUTED_VALUE"""),226.0)</f>
        <v>226</v>
      </c>
      <c r="N1218" s="262">
        <f>IFERROR(__xludf.DUMMYFUNCTION("""COMPUTED_VALUE"""),28000.0)</f>
        <v>28000</v>
      </c>
      <c r="O1218" s="259" t="str">
        <f>IFERROR(__xludf.DUMMYFUNCTION("""COMPUTED_VALUE"""),"I don't know")</f>
        <v>I don't know</v>
      </c>
      <c r="P1218" s="259">
        <f>IFERROR(__xludf.DUMMYFUNCTION("""COMPUTED_VALUE"""),42666.0)</f>
        <v>42666</v>
      </c>
      <c r="Q1218" s="258">
        <f>IFERROR(__xludf.DUMMYFUNCTION("""COMPUTED_VALUE"""),126077.0)</f>
        <v>126077</v>
      </c>
      <c r="R1218" s="261">
        <f>IFERROR(__xludf.DUMMYFUNCTION("""COMPUTED_VALUE"""),371.0)</f>
        <v>371</v>
      </c>
      <c r="S1218" s="258">
        <v>395.0</v>
      </c>
      <c r="T1218" s="263">
        <v>0.9392405063291139</v>
      </c>
      <c r="U1218" s="264">
        <v>78341.0</v>
      </c>
      <c r="V1218" s="265">
        <v>126077.0</v>
      </c>
      <c r="W1218" s="264">
        <v>78341.0</v>
      </c>
      <c r="X1218" s="266"/>
      <c r="Y1218" s="267">
        <v>-0.01</v>
      </c>
      <c r="Z1218" s="267">
        <v>0.9405001677406443</v>
      </c>
      <c r="AA1218" s="269"/>
      <c r="AB1218" s="270"/>
      <c r="AC1218" s="270"/>
      <c r="AD1218" s="270"/>
      <c r="AE1218" s="270"/>
    </row>
    <row r="1219">
      <c r="A1219" s="256">
        <f>IFERROR(__xludf.DUMMYFUNCTION("""COMPUTED_VALUE"""),42797.50833333333)</f>
        <v>42797.50833</v>
      </c>
      <c r="B1219" s="257" t="str">
        <f>IFERROR(__xludf.DUMMYFUNCTION("""COMPUTED_VALUE"""),"redevries")</f>
        <v>redevries</v>
      </c>
      <c r="C1219" s="258" t="str">
        <f>IFERROR(__xludf.DUMMYFUNCTION("""COMPUTED_VALUE"""),"Europe (excluding UK) &amp; Asia Pacific")</f>
        <v>Europe (excluding UK) &amp; Asia Pacific</v>
      </c>
      <c r="D1219" s="258" t="str">
        <f>IFERROR(__xludf.DUMMYFUNCTION("""COMPUTED_VALUE"""),"km. My car displays range in kilometres and I will enter all range numbers in kilometres.")</f>
        <v>km. My car displays range in kilometres and I will enter all range numbers in kilometres.</v>
      </c>
      <c r="E1219" s="259">
        <f>IFERROR(__xludf.DUMMYFUNCTION("""COMPUTED_VALUE"""),41593.0)</f>
        <v>41593</v>
      </c>
      <c r="F1219" s="258" t="str">
        <f>IFERROR(__xludf.DUMMYFUNCTION("""COMPUTED_VALUE"""),"Model S 85")</f>
        <v>Model S 85</v>
      </c>
      <c r="G1219" s="258" t="str">
        <f>IFERROR(__xludf.DUMMYFUNCTION("""COMPUTED_VALUE"""),"A few times a year")</f>
        <v>A few times a year</v>
      </c>
      <c r="H1219" s="258" t="str">
        <f>IFERROR(__xludf.DUMMYFUNCTION("""COMPUTED_VALUE"""),"Monthly")</f>
        <v>Monthly</v>
      </c>
      <c r="I1219" s="258" t="str">
        <f>IFERROR(__xludf.DUMMYFUNCTION("""COMPUTED_VALUE"""),"A few times a year")</f>
        <v>A few times a year</v>
      </c>
      <c r="J1219" s="260">
        <f>IFERROR(__xludf.DUMMYFUNCTION("""COMPUTED_VALUE"""),0.9)</f>
        <v>0.9</v>
      </c>
      <c r="K1219" s="258">
        <f>IFERROR(__xludf.DUMMYFUNCTION("""COMPUTED_VALUE"""),400.0)</f>
        <v>400</v>
      </c>
      <c r="L1219" s="258" t="str">
        <f>IFERROR(__xludf.DUMMYFUNCTION("""COMPUTED_VALUE"""),"")</f>
        <v/>
      </c>
      <c r="M1219" s="261">
        <f>IFERROR(__xludf.DUMMYFUNCTION("""COMPUTED_VALUE"""),226.0)</f>
        <v>226</v>
      </c>
      <c r="N1219" s="262">
        <f>IFERROR(__xludf.DUMMYFUNCTION("""COMPUTED_VALUE"""),28000.0)</f>
        <v>28000</v>
      </c>
      <c r="O1219" s="259" t="str">
        <f>IFERROR(__xludf.DUMMYFUNCTION("""COMPUTED_VALUE"""),"I don't know")</f>
        <v>I don't know</v>
      </c>
      <c r="P1219" s="259">
        <f>IFERROR(__xludf.DUMMYFUNCTION("""COMPUTED_VALUE"""),42797.0)</f>
        <v>42797</v>
      </c>
      <c r="Q1219" s="258">
        <f>IFERROR(__xludf.DUMMYFUNCTION("""COMPUTED_VALUE"""),144744.0)</f>
        <v>144744</v>
      </c>
      <c r="R1219" s="261">
        <f>IFERROR(__xludf.DUMMYFUNCTION("""COMPUTED_VALUE"""),371.0)</f>
        <v>371</v>
      </c>
      <c r="S1219" s="258">
        <v>395.0</v>
      </c>
      <c r="T1219" s="263">
        <v>0.9392405063291139</v>
      </c>
      <c r="U1219" s="264">
        <v>89940.0</v>
      </c>
      <c r="V1219" s="265">
        <v>144744.0</v>
      </c>
      <c r="W1219" s="264">
        <v>89940.0</v>
      </c>
      <c r="X1219" s="266"/>
      <c r="Y1219" s="267">
        <v>-0.01</v>
      </c>
      <c r="Z1219" s="267">
        <v>0.9361814659495401</v>
      </c>
      <c r="AA1219" s="269"/>
      <c r="AB1219" s="270"/>
      <c r="AC1219" s="270"/>
      <c r="AD1219" s="270"/>
      <c r="AE1219" s="270"/>
    </row>
    <row r="1220">
      <c r="A1220" s="256">
        <f>IFERROR(__xludf.DUMMYFUNCTION("""COMPUTED_VALUE"""),42897.54583333334)</f>
        <v>42897.54583</v>
      </c>
      <c r="B1220" s="257" t="str">
        <f>IFERROR(__xludf.DUMMYFUNCTION("""COMPUTED_VALUE"""),"redevries")</f>
        <v>redevries</v>
      </c>
      <c r="C1220" s="258" t="str">
        <f>IFERROR(__xludf.DUMMYFUNCTION("""COMPUTED_VALUE"""),"Europe (excluding UK) &amp; Asia Pacific")</f>
        <v>Europe (excluding UK) &amp; Asia Pacific</v>
      </c>
      <c r="D1220" s="258" t="str">
        <f>IFERROR(__xludf.DUMMYFUNCTION("""COMPUTED_VALUE"""),"km. My car displays range in kilometres and I will enter all range numbers in kilometres.")</f>
        <v>km. My car displays range in kilometres and I will enter all range numbers in kilometres.</v>
      </c>
      <c r="E1220" s="259">
        <f>IFERROR(__xludf.DUMMYFUNCTION("""COMPUTED_VALUE"""),41593.0)</f>
        <v>41593</v>
      </c>
      <c r="F1220" s="258" t="str">
        <f>IFERROR(__xludf.DUMMYFUNCTION("""COMPUTED_VALUE"""),"Model S 85")</f>
        <v>Model S 85</v>
      </c>
      <c r="G1220" s="258" t="str">
        <f>IFERROR(__xludf.DUMMYFUNCTION("""COMPUTED_VALUE"""),"")</f>
        <v/>
      </c>
      <c r="H1220" s="258" t="str">
        <f>IFERROR(__xludf.DUMMYFUNCTION("""COMPUTED_VALUE"""),"")</f>
        <v/>
      </c>
      <c r="I1220" s="258" t="str">
        <f>IFERROR(__xludf.DUMMYFUNCTION("""COMPUTED_VALUE"""),"")</f>
        <v/>
      </c>
      <c r="J1220" s="260" t="str">
        <f>IFERROR(__xludf.DUMMYFUNCTION("""COMPUTED_VALUE"""),"")</f>
        <v/>
      </c>
      <c r="K1220" s="258" t="str">
        <f>IFERROR(__xludf.DUMMYFUNCTION("""COMPUTED_VALUE"""),"")</f>
        <v/>
      </c>
      <c r="L1220" s="258" t="str">
        <f>IFERROR(__xludf.DUMMYFUNCTION("""COMPUTED_VALUE"""),"")</f>
        <v/>
      </c>
      <c r="M1220" s="261">
        <f>IFERROR(__xludf.DUMMYFUNCTION("""COMPUTED_VALUE"""),226.0)</f>
        <v>226</v>
      </c>
      <c r="N1220" s="262">
        <f>IFERROR(__xludf.DUMMYFUNCTION("""COMPUTED_VALUE"""),28000.0)</f>
        <v>28000</v>
      </c>
      <c r="O1220" s="259" t="str">
        <f>IFERROR(__xludf.DUMMYFUNCTION("""COMPUTED_VALUE"""),"I don't know")</f>
        <v>I don't know</v>
      </c>
      <c r="P1220" s="259">
        <f>IFERROR(__xludf.DUMMYFUNCTION("""COMPUTED_VALUE"""),42897.0)</f>
        <v>42897</v>
      </c>
      <c r="Q1220" s="258">
        <f>IFERROR(__xludf.DUMMYFUNCTION("""COMPUTED_VALUE"""),154801.0)</f>
        <v>154801</v>
      </c>
      <c r="R1220" s="261">
        <f>IFERROR(__xludf.DUMMYFUNCTION("""COMPUTED_VALUE"""),373.0)</f>
        <v>373</v>
      </c>
      <c r="S1220" s="258">
        <v>395.0</v>
      </c>
      <c r="T1220" s="263">
        <v>0.9443037974683545</v>
      </c>
      <c r="U1220" s="264">
        <v>96189.0</v>
      </c>
      <c r="V1220" s="265">
        <v>154801.0</v>
      </c>
      <c r="W1220" s="264">
        <v>96189.0</v>
      </c>
      <c r="X1220" s="266"/>
      <c r="Y1220" s="267">
        <v>-0.01</v>
      </c>
      <c r="Z1220" s="267">
        <v>0.9338588645746633</v>
      </c>
      <c r="AA1220" s="269"/>
      <c r="AB1220" s="270"/>
      <c r="AC1220" s="270"/>
      <c r="AD1220" s="270"/>
      <c r="AE1220" s="270"/>
    </row>
    <row r="1221">
      <c r="A1221" s="256">
        <f>IFERROR(__xludf.DUMMYFUNCTION("""COMPUTED_VALUE"""),43219.73333333334)</f>
        <v>43219.73333</v>
      </c>
      <c r="B1221" s="257" t="str">
        <f>IFERROR(__xludf.DUMMYFUNCTION("""COMPUTED_VALUE"""),"redevries")</f>
        <v>redevries</v>
      </c>
      <c r="C1221" s="258" t="str">
        <f>IFERROR(__xludf.DUMMYFUNCTION("""COMPUTED_VALUE"""),"Europe (excluding UK) &amp; Asia Pacific")</f>
        <v>Europe (excluding UK) &amp; Asia Pacific</v>
      </c>
      <c r="D1221" s="258" t="str">
        <f>IFERROR(__xludf.DUMMYFUNCTION("""COMPUTED_VALUE"""),"km. My car displays range in kilometres and I will enter all range numbers in kilometres.")</f>
        <v>km. My car displays range in kilometres and I will enter all range numbers in kilometres.</v>
      </c>
      <c r="E1221" s="259">
        <f>IFERROR(__xludf.DUMMYFUNCTION("""COMPUTED_VALUE"""),41593.0)</f>
        <v>41593</v>
      </c>
      <c r="F1221" s="258" t="str">
        <f>IFERROR(__xludf.DUMMYFUNCTION("""COMPUTED_VALUE"""),"Model S 85")</f>
        <v>Model S 85</v>
      </c>
      <c r="G1221" s="258" t="str">
        <f>IFERROR(__xludf.DUMMYFUNCTION("""COMPUTED_VALUE"""),"A few times a year")</f>
        <v>A few times a year</v>
      </c>
      <c r="H1221" s="258" t="str">
        <f>IFERROR(__xludf.DUMMYFUNCTION("""COMPUTED_VALUE"""),"Monthly")</f>
        <v>Monthly</v>
      </c>
      <c r="I1221" s="258" t="str">
        <f>IFERROR(__xludf.DUMMYFUNCTION("""COMPUTED_VALUE"""),"Once or twice a year")</f>
        <v>Once or twice a year</v>
      </c>
      <c r="J1221" s="260">
        <f>IFERROR(__xludf.DUMMYFUNCTION("""COMPUTED_VALUE"""),0.8)</f>
        <v>0.8</v>
      </c>
      <c r="K1221" s="258" t="str">
        <f>IFERROR(__xludf.DUMMYFUNCTION("""COMPUTED_VALUE"""),"")</f>
        <v/>
      </c>
      <c r="L1221" s="258" t="str">
        <f>IFERROR(__xludf.DUMMYFUNCTION("""COMPUTED_VALUE"""),"")</f>
        <v/>
      </c>
      <c r="M1221" s="261">
        <f>IFERROR(__xludf.DUMMYFUNCTION("""COMPUTED_VALUE"""),221.0)</f>
        <v>221</v>
      </c>
      <c r="N1221" s="262">
        <f>IFERROR(__xludf.DUMMYFUNCTION("""COMPUTED_VALUE"""),28000.0)</f>
        <v>28000</v>
      </c>
      <c r="O1221" s="259" t="str">
        <f>IFERROR(__xludf.DUMMYFUNCTION("""COMPUTED_VALUE"""),"I don't know")</f>
        <v>I don't know</v>
      </c>
      <c r="P1221" s="259">
        <f>IFERROR(__xludf.DUMMYFUNCTION("""COMPUTED_VALUE"""),43219.0)</f>
        <v>43219</v>
      </c>
      <c r="Q1221" s="258">
        <f>IFERROR(__xludf.DUMMYFUNCTION("""COMPUTED_VALUE"""),192495.0)</f>
        <v>192495</v>
      </c>
      <c r="R1221" s="261">
        <f>IFERROR(__xludf.DUMMYFUNCTION("""COMPUTED_VALUE"""),362.0)</f>
        <v>362</v>
      </c>
      <c r="S1221" s="258">
        <v>395.0</v>
      </c>
      <c r="T1221" s="263">
        <v>0.9164556962025316</v>
      </c>
      <c r="U1221" s="264">
        <v>119611.0</v>
      </c>
      <c r="V1221" s="265">
        <v>192495.0</v>
      </c>
      <c r="W1221" s="264">
        <v>119611.0</v>
      </c>
      <c r="X1221" s="266"/>
      <c r="Y1221" s="267">
        <v>-0.01</v>
      </c>
      <c r="Z1221" s="267">
        <v>0.9251615194375565</v>
      </c>
      <c r="AA1221" s="269"/>
      <c r="AB1221" s="270"/>
      <c r="AC1221" s="270"/>
      <c r="AD1221" s="270"/>
      <c r="AE1221" s="270"/>
    </row>
    <row r="1222">
      <c r="A1222" s="256">
        <f>IFERROR(__xludf.DUMMYFUNCTION("""COMPUTED_VALUE"""),43610.364096516205)</f>
        <v>43610.3641</v>
      </c>
      <c r="B1222" s="257" t="str">
        <f>IFERROR(__xludf.DUMMYFUNCTION("""COMPUTED_VALUE"""),"reiter@lav.at")</f>
        <v>reiter@lav.at</v>
      </c>
      <c r="C1222" s="258" t="str">
        <f>IFERROR(__xludf.DUMMYFUNCTION("""COMPUTED_VALUE"""),"Europe (excluding UK) &amp; Asia Pacific")</f>
        <v>Europe (excluding UK) &amp; Asia Pacific</v>
      </c>
      <c r="D1222" s="258" t="str">
        <f>IFERROR(__xludf.DUMMYFUNCTION("""COMPUTED_VALUE"""),"km. My car displays range in kilometres and I will enter all range numbers in kilometres.")</f>
        <v>km. My car displays range in kilometres and I will enter all range numbers in kilometres.</v>
      </c>
      <c r="E1222" s="259">
        <f>IFERROR(__xludf.DUMMYFUNCTION("""COMPUTED_VALUE"""),42859.0)</f>
        <v>42859</v>
      </c>
      <c r="F1222" s="258" t="str">
        <f>IFERROR(__xludf.DUMMYFUNCTION("""COMPUTED_VALUE"""),"Model S 90D")</f>
        <v>Model S 90D</v>
      </c>
      <c r="G1222" s="258" t="str">
        <f>IFERROR(__xludf.DUMMYFUNCTION("""COMPUTED_VALUE"""),"Monthly")</f>
        <v>Monthly</v>
      </c>
      <c r="H1222" s="258" t="str">
        <f>IFERROR(__xludf.DUMMYFUNCTION("""COMPUTED_VALUE"""),"Once or twice a year")</f>
        <v>Once or twice a year</v>
      </c>
      <c r="I1222" s="258" t="str">
        <f>IFERROR(__xludf.DUMMYFUNCTION("""COMPUTED_VALUE"""),"A few times a year")</f>
        <v>A few times a year</v>
      </c>
      <c r="J1222" s="260">
        <f>IFERROR(__xludf.DUMMYFUNCTION("""COMPUTED_VALUE"""),0.8)</f>
        <v>0.8</v>
      </c>
      <c r="K1222" s="258">
        <f>IFERROR(__xludf.DUMMYFUNCTION("""COMPUTED_VALUE"""),500.0)</f>
        <v>500</v>
      </c>
      <c r="L1222" s="258" t="str">
        <f>IFERROR(__xludf.DUMMYFUNCTION("""COMPUTED_VALUE"""),"")</f>
        <v/>
      </c>
      <c r="M1222" s="261">
        <f>IFERROR(__xludf.DUMMYFUNCTION("""COMPUTED_VALUE"""),210.0)</f>
        <v>210</v>
      </c>
      <c r="N1222" s="262" t="str">
        <f>IFERROR(__xludf.DUMMYFUNCTION("""COMPUTED_VALUE"""),"")</f>
        <v/>
      </c>
      <c r="O1222" s="259" t="str">
        <f>IFERROR(__xludf.DUMMYFUNCTION("""COMPUTED_VALUE"""),"")</f>
        <v/>
      </c>
      <c r="P1222" s="259">
        <f>IFERROR(__xludf.DUMMYFUNCTION("""COMPUTED_VALUE"""),43610.0)</f>
        <v>43610</v>
      </c>
      <c r="Q1222" s="258">
        <f>IFERROR(__xludf.DUMMYFUNCTION("""COMPUTED_VALUE"""),432.0)</f>
        <v>432</v>
      </c>
      <c r="R1222" s="261">
        <f>IFERROR(__xludf.DUMMYFUNCTION("""COMPUTED_VALUE"""),432.0)</f>
        <v>432</v>
      </c>
      <c r="S1222" s="258">
        <v>447.0</v>
      </c>
      <c r="T1222" s="263">
        <v>0.9664429530201343</v>
      </c>
      <c r="U1222" s="264">
        <v>268.0</v>
      </c>
      <c r="V1222" s="265">
        <v>432.0</v>
      </c>
      <c r="W1222" s="264">
        <v>268.0</v>
      </c>
      <c r="X1222" s="266"/>
      <c r="Y1222" s="267">
        <v>-0.01</v>
      </c>
      <c r="Z1222" s="267">
        <v>0.9991453297753938</v>
      </c>
      <c r="AA1222" s="269"/>
      <c r="AB1222" s="270"/>
      <c r="AC1222" s="270"/>
      <c r="AD1222" s="270"/>
      <c r="AE1222" s="270"/>
    </row>
    <row r="1223">
      <c r="A1223" s="256">
        <f>IFERROR(__xludf.DUMMYFUNCTION("""COMPUTED_VALUE"""),43610.364096516205)</f>
        <v>43610.3641</v>
      </c>
      <c r="B1223" s="257" t="str">
        <f>IFERROR(__xludf.DUMMYFUNCTION("""COMPUTED_VALUE"""),"reiter@lav.at")</f>
        <v>reiter@lav.at</v>
      </c>
      <c r="C1223" s="258" t="str">
        <f>IFERROR(__xludf.DUMMYFUNCTION("""COMPUTED_VALUE"""),"Europe (excluding UK) &amp; Asia Pacific")</f>
        <v>Europe (excluding UK) &amp; Asia Pacific</v>
      </c>
      <c r="D1223" s="258" t="str">
        <f>IFERROR(__xludf.DUMMYFUNCTION("""COMPUTED_VALUE"""),"km. My car displays range in kilometres and I will enter all range numbers in kilometres.")</f>
        <v>km. My car displays range in kilometres and I will enter all range numbers in kilometres.</v>
      </c>
      <c r="E1223" s="259">
        <f>IFERROR(__xludf.DUMMYFUNCTION("""COMPUTED_VALUE"""),42859.0)</f>
        <v>42859</v>
      </c>
      <c r="F1223" s="258" t="str">
        <f>IFERROR(__xludf.DUMMYFUNCTION("""COMPUTED_VALUE"""),"Model S 90D")</f>
        <v>Model S 90D</v>
      </c>
      <c r="G1223" s="258" t="str">
        <f>IFERROR(__xludf.DUMMYFUNCTION("""COMPUTED_VALUE"""),"Monthly")</f>
        <v>Monthly</v>
      </c>
      <c r="H1223" s="258" t="str">
        <f>IFERROR(__xludf.DUMMYFUNCTION("""COMPUTED_VALUE"""),"Once or twice a year")</f>
        <v>Once or twice a year</v>
      </c>
      <c r="I1223" s="258" t="str">
        <f>IFERROR(__xludf.DUMMYFUNCTION("""COMPUTED_VALUE"""),"A few times a year")</f>
        <v>A few times a year</v>
      </c>
      <c r="J1223" s="260">
        <f>IFERROR(__xludf.DUMMYFUNCTION("""COMPUTED_VALUE"""),0.8)</f>
        <v>0.8</v>
      </c>
      <c r="K1223" s="258">
        <f>IFERROR(__xludf.DUMMYFUNCTION("""COMPUTED_VALUE"""),500.0)</f>
        <v>500</v>
      </c>
      <c r="L1223" s="258" t="str">
        <f>IFERROR(__xludf.DUMMYFUNCTION("""COMPUTED_VALUE"""),"")</f>
        <v/>
      </c>
      <c r="M1223" s="261">
        <f>IFERROR(__xludf.DUMMYFUNCTION("""COMPUTED_VALUE"""),210.0)</f>
        <v>210</v>
      </c>
      <c r="N1223" s="262" t="str">
        <f>IFERROR(__xludf.DUMMYFUNCTION("""COMPUTED_VALUE"""),"")</f>
        <v/>
      </c>
      <c r="O1223" s="259" t="str">
        <f>IFERROR(__xludf.DUMMYFUNCTION("""COMPUTED_VALUE"""),"")</f>
        <v/>
      </c>
      <c r="P1223" s="259">
        <f>IFERROR(__xludf.DUMMYFUNCTION("""COMPUTED_VALUE"""),43610.0)</f>
        <v>43610</v>
      </c>
      <c r="Q1223" s="258">
        <f>IFERROR(__xludf.DUMMYFUNCTION("""COMPUTED_VALUE"""),21000.0)</f>
        <v>21000</v>
      </c>
      <c r="R1223" s="261">
        <f>IFERROR(__xludf.DUMMYFUNCTION("""COMPUTED_VALUE"""),432.0)</f>
        <v>432</v>
      </c>
      <c r="S1223" s="258">
        <v>447.0</v>
      </c>
      <c r="T1223" s="263">
        <v>0.9664429530201343</v>
      </c>
      <c r="U1223" s="264">
        <v>13049.0</v>
      </c>
      <c r="V1223" s="265">
        <v>21000.0</v>
      </c>
      <c r="W1223" s="264">
        <v>13049.0</v>
      </c>
      <c r="X1223" s="266"/>
      <c r="Y1223" s="267">
        <v>-0.01</v>
      </c>
      <c r="Z1223" s="267">
        <v>0.9736945079285355</v>
      </c>
      <c r="AA1223" s="269"/>
      <c r="AB1223" s="270"/>
      <c r="AC1223" s="270"/>
      <c r="AD1223" s="270"/>
      <c r="AE1223" s="270"/>
    </row>
    <row r="1224">
      <c r="A1224" s="256">
        <f>IFERROR(__xludf.DUMMYFUNCTION("""COMPUTED_VALUE"""),41967.04027777778)</f>
        <v>41967.04028</v>
      </c>
      <c r="B1224" s="257" t="str">
        <f>IFERROR(__xludf.DUMMYFUNCTION("""COMPUTED_VALUE"""),"ReNe")</f>
        <v>ReNe</v>
      </c>
      <c r="C1224" s="258" t="str">
        <f>IFERROR(__xludf.DUMMYFUNCTION("""COMPUTED_VALUE"""),"Europe (excluding UK) &amp; Asia Pacific")</f>
        <v>Europe (excluding UK) &amp; Asia Pacific</v>
      </c>
      <c r="D1224" s="258" t="str">
        <f>IFERROR(__xludf.DUMMYFUNCTION("""COMPUTED_VALUE"""),"km. My car displays range in kilometres and I will enter all range numbers in kilometres.")</f>
        <v>km. My car displays range in kilometres and I will enter all range numbers in kilometres.</v>
      </c>
      <c r="E1224" s="259">
        <f>IFERROR(__xludf.DUMMYFUNCTION("""COMPUTED_VALUE"""),41612.0)</f>
        <v>41612</v>
      </c>
      <c r="F1224" s="258" t="str">
        <f>IFERROR(__xludf.DUMMYFUNCTION("""COMPUTED_VALUE"""),"Unspecified 85 kWh")</f>
        <v>Unspecified 85 kWh</v>
      </c>
      <c r="G1224" s="258" t="str">
        <f>IFERROR(__xludf.DUMMYFUNCTION("""COMPUTED_VALUE"""),"Twice a month")</f>
        <v>Twice a month</v>
      </c>
      <c r="H1224" s="258" t="str">
        <f>IFERROR(__xludf.DUMMYFUNCTION("""COMPUTED_VALUE"""),"Twice a month")</f>
        <v>Twice a month</v>
      </c>
      <c r="I1224" s="258" t="str">
        <f>IFERROR(__xludf.DUMMYFUNCTION("""COMPUTED_VALUE"""),"Once or twice a year")</f>
        <v>Once or twice a year</v>
      </c>
      <c r="J1224" s="260" t="str">
        <f>IFERROR(__xludf.DUMMYFUNCTION("""COMPUTED_VALUE"""),"")</f>
        <v/>
      </c>
      <c r="K1224" s="258" t="str">
        <f>IFERROR(__xludf.DUMMYFUNCTION("""COMPUTED_VALUE"""),"")</f>
        <v/>
      </c>
      <c r="L1224" s="258" t="str">
        <f>IFERROR(__xludf.DUMMYFUNCTION("""COMPUTED_VALUE"""),"")</f>
        <v/>
      </c>
      <c r="M1224" s="261">
        <f>IFERROR(__xludf.DUMMYFUNCTION("""COMPUTED_VALUE"""),218.0)</f>
        <v>218</v>
      </c>
      <c r="N1224" s="262" t="str">
        <f>IFERROR(__xludf.DUMMYFUNCTION("""COMPUTED_VALUE"""),"")</f>
        <v/>
      </c>
      <c r="O1224" s="259" t="str">
        <f>IFERROR(__xludf.DUMMYFUNCTION("""COMPUTED_VALUE"""),"")</f>
        <v/>
      </c>
      <c r="P1224" s="259">
        <f>IFERROR(__xludf.DUMMYFUNCTION("""COMPUTED_VALUE"""),41967.0)</f>
        <v>41967</v>
      </c>
      <c r="Q1224" s="258">
        <f>IFERROR(__xludf.DUMMYFUNCTION("""COMPUTED_VALUE"""),32000.0)</f>
        <v>32000</v>
      </c>
      <c r="R1224" s="261">
        <f>IFERROR(__xludf.DUMMYFUNCTION("""COMPUTED_VALUE"""),383.0)</f>
        <v>383</v>
      </c>
      <c r="S1224" s="258">
        <v>395.0</v>
      </c>
      <c r="T1224" s="263">
        <v>0.9696202531645569</v>
      </c>
      <c r="U1224" s="264">
        <v>19884.0</v>
      </c>
      <c r="V1224" s="265">
        <v>32000.0</v>
      </c>
      <c r="W1224" s="264">
        <v>19884.0</v>
      </c>
      <c r="X1224" s="266"/>
      <c r="Y1224" s="267">
        <v>-0.01</v>
      </c>
      <c r="Z1224" s="267">
        <v>0.9669153415931462</v>
      </c>
      <c r="AA1224" s="269"/>
      <c r="AB1224" s="270"/>
      <c r="AC1224" s="270"/>
      <c r="AD1224" s="270"/>
      <c r="AE1224" s="270"/>
    </row>
    <row r="1225">
      <c r="A1225" s="256">
        <f>IFERROR(__xludf.DUMMYFUNCTION("""COMPUTED_VALUE"""),43691.09194494213)</f>
        <v>43691.09194</v>
      </c>
      <c r="B1225" s="257" t="str">
        <f>IFERROR(__xludf.DUMMYFUNCTION("""COMPUTED_VALUE"""),"riccardol")</f>
        <v>riccardol</v>
      </c>
      <c r="C1225" s="258" t="str">
        <f>IFERROR(__xludf.DUMMYFUNCTION("""COMPUTED_VALUE"""),"USA")</f>
        <v>USA</v>
      </c>
      <c r="D1225" s="258" t="str">
        <f>IFERROR(__xludf.DUMMYFUNCTION("""COMPUTED_VALUE"""),"mi. My car displays range in miles and I will enter all range numbers in miles.")</f>
        <v>mi. My car displays range in miles and I will enter all range numbers in miles.</v>
      </c>
      <c r="E1225" s="259">
        <f>IFERROR(__xludf.DUMMYFUNCTION("""COMPUTED_VALUE"""),43434.0)</f>
        <v>43434</v>
      </c>
      <c r="F1225" s="258" t="str">
        <f>IFERROR(__xludf.DUMMYFUNCTION("""COMPUTED_VALUE"""),"Model 3 P")</f>
        <v>Model 3 P</v>
      </c>
      <c r="G1225" s="258" t="str">
        <f>IFERROR(__xludf.DUMMYFUNCTION("""COMPUTED_VALUE"""),"Twice a month")</f>
        <v>Twice a month</v>
      </c>
      <c r="H1225" s="258" t="str">
        <f>IFERROR(__xludf.DUMMYFUNCTION("""COMPUTED_VALUE"""),"Monthly")</f>
        <v>Monthly</v>
      </c>
      <c r="I1225" s="258" t="str">
        <f>IFERROR(__xludf.DUMMYFUNCTION("""COMPUTED_VALUE"""),"A few times a year")</f>
        <v>A few times a year</v>
      </c>
      <c r="J1225" s="260">
        <f>IFERROR(__xludf.DUMMYFUNCTION("""COMPUTED_VALUE"""),0.9)</f>
        <v>0.9</v>
      </c>
      <c r="K1225" s="258">
        <f>IFERROR(__xludf.DUMMYFUNCTION("""COMPUTED_VALUE"""),310.0)</f>
        <v>310</v>
      </c>
      <c r="L1225" s="258">
        <f>IFERROR(__xludf.DUMMYFUNCTION("""COMPUTED_VALUE"""),250.0)</f>
        <v>250</v>
      </c>
      <c r="M1225" s="261">
        <f>IFERROR(__xludf.DUMMYFUNCTION("""COMPUTED_VALUE"""),297.0)</f>
        <v>297</v>
      </c>
      <c r="N1225" s="262" t="str">
        <f>IFERROR(__xludf.DUMMYFUNCTION("""COMPUTED_VALUE"""),"")</f>
        <v/>
      </c>
      <c r="O1225" s="259" t="str">
        <f>IFERROR(__xludf.DUMMYFUNCTION("""COMPUTED_VALUE"""),"")</f>
        <v/>
      </c>
      <c r="P1225" s="259">
        <f>IFERROR(__xludf.DUMMYFUNCTION("""COMPUTED_VALUE"""),43525.0)</f>
        <v>43525</v>
      </c>
      <c r="Q1225" s="258">
        <f>IFERROR(__xludf.DUMMYFUNCTION("""COMPUTED_VALUE"""),6000.0)</f>
        <v>6000</v>
      </c>
      <c r="R1225" s="261">
        <f>IFERROR(__xludf.DUMMYFUNCTION("""COMPUTED_VALUE"""),310.0)</f>
        <v>310</v>
      </c>
      <c r="S1225" s="258">
        <v>310.0</v>
      </c>
      <c r="T1225" s="263">
        <v>1.0</v>
      </c>
      <c r="U1225" s="264">
        <v>6000.0</v>
      </c>
      <c r="V1225" s="265">
        <v>9656.0</v>
      </c>
      <c r="W1225" s="264">
        <v>6000.0</v>
      </c>
      <c r="X1225" s="266"/>
      <c r="Y1225" s="267">
        <v>-0.01</v>
      </c>
      <c r="Z1225" s="267">
        <v>0.9846960150961266</v>
      </c>
      <c r="AA1225" s="269"/>
      <c r="AB1225" s="270"/>
      <c r="AC1225" s="270"/>
      <c r="AD1225" s="270"/>
      <c r="AE1225" s="270"/>
    </row>
    <row r="1226">
      <c r="A1226" s="256">
        <f>IFERROR(__xludf.DUMMYFUNCTION("""COMPUTED_VALUE"""),43691.09194494213)</f>
        <v>43691.09194</v>
      </c>
      <c r="B1226" s="257" t="str">
        <f>IFERROR(__xludf.DUMMYFUNCTION("""COMPUTED_VALUE"""),"riccardol")</f>
        <v>riccardol</v>
      </c>
      <c r="C1226" s="258" t="str">
        <f>IFERROR(__xludf.DUMMYFUNCTION("""COMPUTED_VALUE"""),"USA")</f>
        <v>USA</v>
      </c>
      <c r="D1226" s="258" t="str">
        <f>IFERROR(__xludf.DUMMYFUNCTION("""COMPUTED_VALUE"""),"mi. My car displays range in miles and I will enter all range numbers in miles.")</f>
        <v>mi. My car displays range in miles and I will enter all range numbers in miles.</v>
      </c>
      <c r="E1226" s="259">
        <f>IFERROR(__xludf.DUMMYFUNCTION("""COMPUTED_VALUE"""),43434.0)</f>
        <v>43434</v>
      </c>
      <c r="F1226" s="258" t="str">
        <f>IFERROR(__xludf.DUMMYFUNCTION("""COMPUTED_VALUE"""),"Model 3 P")</f>
        <v>Model 3 P</v>
      </c>
      <c r="G1226" s="258" t="str">
        <f>IFERROR(__xludf.DUMMYFUNCTION("""COMPUTED_VALUE"""),"Twice a month")</f>
        <v>Twice a month</v>
      </c>
      <c r="H1226" s="258" t="str">
        <f>IFERROR(__xludf.DUMMYFUNCTION("""COMPUTED_VALUE"""),"Monthly")</f>
        <v>Monthly</v>
      </c>
      <c r="I1226" s="258" t="str">
        <f>IFERROR(__xludf.DUMMYFUNCTION("""COMPUTED_VALUE"""),"A few times a year")</f>
        <v>A few times a year</v>
      </c>
      <c r="J1226" s="260">
        <f>IFERROR(__xludf.DUMMYFUNCTION("""COMPUTED_VALUE"""),0.9)</f>
        <v>0.9</v>
      </c>
      <c r="K1226" s="258">
        <f>IFERROR(__xludf.DUMMYFUNCTION("""COMPUTED_VALUE"""),310.0)</f>
        <v>310</v>
      </c>
      <c r="L1226" s="258">
        <f>IFERROR(__xludf.DUMMYFUNCTION("""COMPUTED_VALUE"""),250.0)</f>
        <v>250</v>
      </c>
      <c r="M1226" s="261">
        <f>IFERROR(__xludf.DUMMYFUNCTION("""COMPUTED_VALUE"""),297.0)</f>
        <v>297</v>
      </c>
      <c r="N1226" s="262" t="str">
        <f>IFERROR(__xludf.DUMMYFUNCTION("""COMPUTED_VALUE"""),"")</f>
        <v/>
      </c>
      <c r="O1226" s="259" t="str">
        <f>IFERROR(__xludf.DUMMYFUNCTION("""COMPUTED_VALUE"""),"")</f>
        <v/>
      </c>
      <c r="P1226" s="259">
        <f>IFERROR(__xludf.DUMMYFUNCTION("""COMPUTED_VALUE"""),43561.0)</f>
        <v>43561</v>
      </c>
      <c r="Q1226" s="258">
        <f>IFERROR(__xludf.DUMMYFUNCTION("""COMPUTED_VALUE"""),8500.0)</f>
        <v>8500</v>
      </c>
      <c r="R1226" s="261">
        <f>IFERROR(__xludf.DUMMYFUNCTION("""COMPUTED_VALUE"""),306.0)</f>
        <v>306</v>
      </c>
      <c r="S1226" s="258">
        <v>310.0</v>
      </c>
      <c r="T1226" s="263">
        <v>0.9870967741935484</v>
      </c>
      <c r="U1226" s="264">
        <v>8500.0</v>
      </c>
      <c r="V1226" s="265">
        <v>13679.0</v>
      </c>
      <c r="W1226" s="264">
        <v>8500.0</v>
      </c>
      <c r="X1226" s="266"/>
      <c r="Y1226" s="267">
        <v>-0.01</v>
      </c>
      <c r="Z1226" s="267">
        <v>0.9801468405924506</v>
      </c>
      <c r="AA1226" s="269"/>
      <c r="AB1226" s="270"/>
      <c r="AC1226" s="270"/>
      <c r="AD1226" s="270"/>
      <c r="AE1226" s="270"/>
    </row>
    <row r="1227">
      <c r="A1227" s="256">
        <f>IFERROR(__xludf.DUMMYFUNCTION("""COMPUTED_VALUE"""),43691.09194494213)</f>
        <v>43691.09194</v>
      </c>
      <c r="B1227" s="257" t="str">
        <f>IFERROR(__xludf.DUMMYFUNCTION("""COMPUTED_VALUE"""),"riccardol")</f>
        <v>riccardol</v>
      </c>
      <c r="C1227" s="258" t="str">
        <f>IFERROR(__xludf.DUMMYFUNCTION("""COMPUTED_VALUE"""),"USA")</f>
        <v>USA</v>
      </c>
      <c r="D1227" s="258" t="str">
        <f>IFERROR(__xludf.DUMMYFUNCTION("""COMPUTED_VALUE"""),"mi. My car displays range in miles and I will enter all range numbers in miles.")</f>
        <v>mi. My car displays range in miles and I will enter all range numbers in miles.</v>
      </c>
      <c r="E1227" s="259">
        <f>IFERROR(__xludf.DUMMYFUNCTION("""COMPUTED_VALUE"""),43434.0)</f>
        <v>43434</v>
      </c>
      <c r="F1227" s="258" t="str">
        <f>IFERROR(__xludf.DUMMYFUNCTION("""COMPUTED_VALUE"""),"Model 3 P")</f>
        <v>Model 3 P</v>
      </c>
      <c r="G1227" s="258" t="str">
        <f>IFERROR(__xludf.DUMMYFUNCTION("""COMPUTED_VALUE"""),"Twice a month")</f>
        <v>Twice a month</v>
      </c>
      <c r="H1227" s="258" t="str">
        <f>IFERROR(__xludf.DUMMYFUNCTION("""COMPUTED_VALUE"""),"Monthly")</f>
        <v>Monthly</v>
      </c>
      <c r="I1227" s="258" t="str">
        <f>IFERROR(__xludf.DUMMYFUNCTION("""COMPUTED_VALUE"""),"A few times a year")</f>
        <v>A few times a year</v>
      </c>
      <c r="J1227" s="260">
        <f>IFERROR(__xludf.DUMMYFUNCTION("""COMPUTED_VALUE"""),0.9)</f>
        <v>0.9</v>
      </c>
      <c r="K1227" s="258">
        <f>IFERROR(__xludf.DUMMYFUNCTION("""COMPUTED_VALUE"""),310.0)</f>
        <v>310</v>
      </c>
      <c r="L1227" s="258">
        <f>IFERROR(__xludf.DUMMYFUNCTION("""COMPUTED_VALUE"""),250.0)</f>
        <v>250</v>
      </c>
      <c r="M1227" s="261">
        <f>IFERROR(__xludf.DUMMYFUNCTION("""COMPUTED_VALUE"""),297.0)</f>
        <v>297</v>
      </c>
      <c r="N1227" s="262" t="str">
        <f>IFERROR(__xludf.DUMMYFUNCTION("""COMPUTED_VALUE"""),"")</f>
        <v/>
      </c>
      <c r="O1227" s="259" t="str">
        <f>IFERROR(__xludf.DUMMYFUNCTION("""COMPUTED_VALUE"""),"")</f>
        <v/>
      </c>
      <c r="P1227" s="259">
        <f>IFERROR(__xludf.DUMMYFUNCTION("""COMPUTED_VALUE"""),43677.0)</f>
        <v>43677</v>
      </c>
      <c r="Q1227" s="258">
        <f>IFERROR(__xludf.DUMMYFUNCTION("""COMPUTED_VALUE"""),12000.0)</f>
        <v>12000</v>
      </c>
      <c r="R1227" s="261">
        <f>IFERROR(__xludf.DUMMYFUNCTION("""COMPUTED_VALUE"""),297.0)</f>
        <v>297</v>
      </c>
      <c r="S1227" s="258">
        <v>310.0</v>
      </c>
      <c r="T1227" s="263">
        <v>0.9580645161290322</v>
      </c>
      <c r="U1227" s="264">
        <v>12000.0</v>
      </c>
      <c r="V1227" s="265">
        <v>19312.0</v>
      </c>
      <c r="W1227" s="264">
        <v>12000.0</v>
      </c>
      <c r="X1227" s="266"/>
      <c r="Y1227" s="267">
        <v>-0.01</v>
      </c>
      <c r="Z1227" s="267">
        <v>0.975009683556163</v>
      </c>
      <c r="AA1227" s="269"/>
      <c r="AB1227" s="270"/>
      <c r="AC1227" s="270"/>
      <c r="AD1227" s="270"/>
      <c r="AE1227" s="270"/>
    </row>
    <row r="1228">
      <c r="A1228" s="256">
        <f>IFERROR(__xludf.DUMMYFUNCTION("""COMPUTED_VALUE"""),42567.36388888889)</f>
        <v>42567.36389</v>
      </c>
      <c r="B1228" s="257" t="str">
        <f>IFERROR(__xludf.DUMMYFUNCTION("""COMPUTED_VALUE"""),"Rick A.")</f>
        <v>Rick A.</v>
      </c>
      <c r="C1228" s="258" t="str">
        <f>IFERROR(__xludf.DUMMYFUNCTION("""COMPUTED_VALUE"""),"Europe (excluding UK) &amp; Asia Pacific")</f>
        <v>Europe (excluding UK) &amp; Asia Pacific</v>
      </c>
      <c r="D1228" s="258" t="str">
        <f>IFERROR(__xludf.DUMMYFUNCTION("""COMPUTED_VALUE"""),"km. My car displays range in kilometres and I will enter all range numbers in kilometres.")</f>
        <v>km. My car displays range in kilometres and I will enter all range numbers in kilometres.</v>
      </c>
      <c r="E1228" s="259">
        <f>IFERROR(__xludf.DUMMYFUNCTION("""COMPUTED_VALUE"""),42531.0)</f>
        <v>42531</v>
      </c>
      <c r="F1228" s="258" t="str">
        <f>IFERROR(__xludf.DUMMYFUNCTION("""COMPUTED_VALUE"""),"Model S 90D")</f>
        <v>Model S 90D</v>
      </c>
      <c r="G1228" s="258" t="str">
        <f>IFERROR(__xludf.DUMMYFUNCTION("""COMPUTED_VALUE"""),"")</f>
        <v/>
      </c>
      <c r="H1228" s="258" t="str">
        <f>IFERROR(__xludf.DUMMYFUNCTION("""COMPUTED_VALUE"""),"")</f>
        <v/>
      </c>
      <c r="I1228" s="258" t="str">
        <f>IFERROR(__xludf.DUMMYFUNCTION("""COMPUTED_VALUE"""),"")</f>
        <v/>
      </c>
      <c r="J1228" s="260" t="str">
        <f>IFERROR(__xludf.DUMMYFUNCTION("""COMPUTED_VALUE"""),"")</f>
        <v/>
      </c>
      <c r="K1228" s="258" t="str">
        <f>IFERROR(__xludf.DUMMYFUNCTION("""COMPUTED_VALUE"""),"")</f>
        <v/>
      </c>
      <c r="L1228" s="258" t="str">
        <f>IFERROR(__xludf.DUMMYFUNCTION("""COMPUTED_VALUE"""),"")</f>
        <v/>
      </c>
      <c r="M1228" s="261">
        <f>IFERROR(__xludf.DUMMYFUNCTION("""COMPUTED_VALUE"""),242.0)</f>
        <v>242</v>
      </c>
      <c r="N1228" s="262" t="str">
        <f>IFERROR(__xludf.DUMMYFUNCTION("""COMPUTED_VALUE"""),"")</f>
        <v/>
      </c>
      <c r="O1228" s="259" t="str">
        <f>IFERROR(__xludf.DUMMYFUNCTION("""COMPUTED_VALUE"""),"")</f>
        <v/>
      </c>
      <c r="P1228" s="259">
        <f>IFERROR(__xludf.DUMMYFUNCTION("""COMPUTED_VALUE"""),42567.0)</f>
        <v>42567</v>
      </c>
      <c r="Q1228" s="258">
        <f>IFERROR(__xludf.DUMMYFUNCTION("""COMPUTED_VALUE"""),4900.0)</f>
        <v>4900</v>
      </c>
      <c r="R1228" s="261">
        <f>IFERROR(__xludf.DUMMYFUNCTION("""COMPUTED_VALUE"""),445.0)</f>
        <v>445</v>
      </c>
      <c r="S1228" s="258">
        <v>447.0</v>
      </c>
      <c r="T1228" s="263">
        <v>0.9955257270693513</v>
      </c>
      <c r="U1228" s="264">
        <v>3045.0</v>
      </c>
      <c r="V1228" s="265">
        <v>4900.0</v>
      </c>
      <c r="W1228" s="264">
        <v>3045.0</v>
      </c>
      <c r="X1228" s="266"/>
      <c r="Y1228" s="267">
        <v>-0.01</v>
      </c>
      <c r="Z1228" s="267">
        <v>0.9913236805988431</v>
      </c>
      <c r="AA1228" s="269"/>
      <c r="AB1228" s="270"/>
      <c r="AC1228" s="270"/>
      <c r="AD1228" s="270"/>
      <c r="AE1228" s="270"/>
    </row>
    <row r="1229">
      <c r="A1229" s="256">
        <f>IFERROR(__xludf.DUMMYFUNCTION("""COMPUTED_VALUE"""),43769.77731291667)</f>
        <v>43769.77731</v>
      </c>
      <c r="B1229" s="257" t="str">
        <f>IFERROR(__xludf.DUMMYFUNCTION("""COMPUTED_VALUE"""),"rjseaman")</f>
        <v>rjseaman</v>
      </c>
      <c r="C1229" s="258" t="str">
        <f>IFERROR(__xludf.DUMMYFUNCTION("""COMPUTED_VALUE"""),"USA")</f>
        <v>USA</v>
      </c>
      <c r="D1229" s="258" t="str">
        <f>IFERROR(__xludf.DUMMYFUNCTION("""COMPUTED_VALUE"""),"mi. My car displays range in miles and I will enter all range numbers in miles.")</f>
        <v>mi. My car displays range in miles and I will enter all range numbers in miles.</v>
      </c>
      <c r="E1229" s="259">
        <f>IFERROR(__xludf.DUMMYFUNCTION("""COMPUTED_VALUE"""),41609.0)</f>
        <v>41609</v>
      </c>
      <c r="F1229" s="258" t="str">
        <f>IFERROR(__xludf.DUMMYFUNCTION("""COMPUTED_VALUE"""),"Model S 60")</f>
        <v>Model S 60</v>
      </c>
      <c r="G1229" s="258" t="str">
        <f>IFERROR(__xludf.DUMMYFUNCTION("""COMPUTED_VALUE"""),"A few times a year")</f>
        <v>A few times a year</v>
      </c>
      <c r="H1229" s="258" t="str">
        <f>IFERROR(__xludf.DUMMYFUNCTION("""COMPUTED_VALUE"""),"A few times a year")</f>
        <v>A few times a year</v>
      </c>
      <c r="I1229" s="258" t="str">
        <f>IFERROR(__xludf.DUMMYFUNCTION("""COMPUTED_VALUE"""),"Once or twice a year")</f>
        <v>Once or twice a year</v>
      </c>
      <c r="J1229" s="260" t="str">
        <f>IFERROR(__xludf.DUMMYFUNCTION("""COMPUTED_VALUE"""),"")</f>
        <v/>
      </c>
      <c r="K1229" s="258">
        <f>IFERROR(__xludf.DUMMYFUNCTION("""COMPUTED_VALUE"""),208.0)</f>
        <v>208</v>
      </c>
      <c r="L1229" s="258">
        <f>IFERROR(__xludf.DUMMYFUNCTION("""COMPUTED_VALUE"""),280.0)</f>
        <v>280</v>
      </c>
      <c r="M1229" s="261">
        <f>IFERROR(__xludf.DUMMYFUNCTION("""COMPUTED_VALUE"""),375.0)</f>
        <v>375</v>
      </c>
      <c r="N1229" s="262" t="str">
        <f>IFERROR(__xludf.DUMMYFUNCTION("""COMPUTED_VALUE"""),"")</f>
        <v/>
      </c>
      <c r="O1229" s="259" t="str">
        <f>IFERROR(__xludf.DUMMYFUNCTION("""COMPUTED_VALUE"""),"")</f>
        <v/>
      </c>
      <c r="P1229" s="259">
        <f>IFERROR(__xludf.DUMMYFUNCTION("""COMPUTED_VALUE"""),43358.0)</f>
        <v>43358</v>
      </c>
      <c r="Q1229" s="258">
        <f>IFERROR(__xludf.DUMMYFUNCTION("""COMPUTED_VALUE"""),76721.0)</f>
        <v>76721</v>
      </c>
      <c r="R1229" s="261">
        <f>IFERROR(__xludf.DUMMYFUNCTION("""COMPUTED_VALUE"""),167.0)</f>
        <v>167</v>
      </c>
      <c r="S1229" s="258">
        <v>207.0</v>
      </c>
      <c r="T1229" s="263">
        <v>0.8067632850241546</v>
      </c>
      <c r="U1229" s="264">
        <v>76721.0</v>
      </c>
      <c r="V1229" s="265">
        <v>123470.0</v>
      </c>
      <c r="W1229" s="264">
        <v>76721.0</v>
      </c>
      <c r="X1229" s="266"/>
      <c r="Y1229" s="267">
        <v>-0.01</v>
      </c>
      <c r="Z1229" s="267">
        <v>0.9411047302982581</v>
      </c>
      <c r="AA1229" s="269"/>
      <c r="AB1229" s="270"/>
      <c r="AC1229" s="270"/>
      <c r="AD1229" s="270"/>
      <c r="AE1229" s="270"/>
    </row>
    <row r="1230">
      <c r="A1230" s="256">
        <f>IFERROR(__xludf.DUMMYFUNCTION("""COMPUTED_VALUE"""),42394.27847222222)</f>
        <v>42394.27847</v>
      </c>
      <c r="B1230" s="257" t="str">
        <f>IFERROR(__xludf.DUMMYFUNCTION("""COMPUTED_VALUE"""),"Rob N.")</f>
        <v>Rob N.</v>
      </c>
      <c r="C1230" s="258" t="str">
        <f>IFERROR(__xludf.DUMMYFUNCTION("""COMPUTED_VALUE"""),"Europe (excluding UK) &amp; Asia Pacific")</f>
        <v>Europe (excluding UK) &amp; Asia Pacific</v>
      </c>
      <c r="D1230" s="258" t="str">
        <f>IFERROR(__xludf.DUMMYFUNCTION("""COMPUTED_VALUE"""),"km. My car displays range in kilometres and I will enter all range numbers in kilometres.")</f>
        <v>km. My car displays range in kilometres and I will enter all range numbers in kilometres.</v>
      </c>
      <c r="E1230" s="259">
        <f>IFERROR(__xludf.DUMMYFUNCTION("""COMPUTED_VALUE"""),42358.0)</f>
        <v>42358</v>
      </c>
      <c r="F1230" s="258" t="str">
        <f>IFERROR(__xludf.DUMMYFUNCTION("""COMPUTED_VALUE"""),"Model S 85D")</f>
        <v>Model S 85D</v>
      </c>
      <c r="G1230" s="258" t="str">
        <f>IFERROR(__xludf.DUMMYFUNCTION("""COMPUTED_VALUE"""),"Twice a week")</f>
        <v>Twice a week</v>
      </c>
      <c r="H1230" s="258" t="str">
        <f>IFERROR(__xludf.DUMMYFUNCTION("""COMPUTED_VALUE"""),"Weekly")</f>
        <v>Weekly</v>
      </c>
      <c r="I1230" s="258" t="str">
        <f>IFERROR(__xludf.DUMMYFUNCTION("""COMPUTED_VALUE"""),"Once or twice a year")</f>
        <v>Once or twice a year</v>
      </c>
      <c r="J1230" s="260">
        <f>IFERROR(__xludf.DUMMYFUNCTION("""COMPUTED_VALUE"""),0.8)</f>
        <v>0.8</v>
      </c>
      <c r="K1230" s="258">
        <f>IFERROR(__xludf.DUMMYFUNCTION("""COMPUTED_VALUE"""),408.0)</f>
        <v>408</v>
      </c>
      <c r="L1230" s="258" t="str">
        <f>IFERROR(__xludf.DUMMYFUNCTION("""COMPUTED_VALUE"""),"")</f>
        <v/>
      </c>
      <c r="M1230" s="261">
        <f>IFERROR(__xludf.DUMMYFUNCTION("""COMPUTED_VALUE"""),230.0)</f>
        <v>230</v>
      </c>
      <c r="N1230" s="262" t="str">
        <f>IFERROR(__xludf.DUMMYFUNCTION("""COMPUTED_VALUE"""),"")</f>
        <v/>
      </c>
      <c r="O1230" s="259" t="str">
        <f>IFERROR(__xludf.DUMMYFUNCTION("""COMPUTED_VALUE"""),"")</f>
        <v/>
      </c>
      <c r="P1230" s="259">
        <f>IFERROR(__xludf.DUMMYFUNCTION("""COMPUTED_VALUE"""),42394.0)</f>
        <v>42394</v>
      </c>
      <c r="Q1230" s="258">
        <f>IFERROR(__xludf.DUMMYFUNCTION("""COMPUTED_VALUE"""),3200.0)</f>
        <v>3200</v>
      </c>
      <c r="R1230" s="261">
        <f>IFERROR(__xludf.DUMMYFUNCTION("""COMPUTED_VALUE"""),408.0)</f>
        <v>408</v>
      </c>
      <c r="S1230" s="258">
        <v>425.0</v>
      </c>
      <c r="T1230" s="263">
        <v>0.96</v>
      </c>
      <c r="U1230" s="264">
        <v>1988.0</v>
      </c>
      <c r="V1230" s="265">
        <v>3200.0</v>
      </c>
      <c r="W1230" s="264">
        <v>1988.0</v>
      </c>
      <c r="X1230" s="266"/>
      <c r="Y1230" s="267">
        <v>-0.01</v>
      </c>
      <c r="Z1230" s="267">
        <v>0.9940941967877692</v>
      </c>
      <c r="AA1230" s="269"/>
      <c r="AB1230" s="270"/>
      <c r="AC1230" s="270"/>
      <c r="AD1230" s="270"/>
      <c r="AE1230" s="270"/>
    </row>
    <row r="1231">
      <c r="A1231" s="256">
        <f>IFERROR(__xludf.DUMMYFUNCTION("""COMPUTED_VALUE"""),42477.325694444444)</f>
        <v>42477.32569</v>
      </c>
      <c r="B1231" s="257" t="str">
        <f>IFERROR(__xludf.DUMMYFUNCTION("""COMPUTED_VALUE"""),"Rob N.")</f>
        <v>Rob N.</v>
      </c>
      <c r="C1231" s="258" t="str">
        <f>IFERROR(__xludf.DUMMYFUNCTION("""COMPUTED_VALUE"""),"Europe (excluding UK) &amp; Asia Pacific")</f>
        <v>Europe (excluding UK) &amp; Asia Pacific</v>
      </c>
      <c r="D1231" s="258" t="str">
        <f>IFERROR(__xludf.DUMMYFUNCTION("""COMPUTED_VALUE"""),"km. My car displays range in kilometres and I will enter all range numbers in kilometres.")</f>
        <v>km. My car displays range in kilometres and I will enter all range numbers in kilometres.</v>
      </c>
      <c r="E1231" s="259">
        <f>IFERROR(__xludf.DUMMYFUNCTION("""COMPUTED_VALUE"""),42350.0)</f>
        <v>42350</v>
      </c>
      <c r="F1231" s="258" t="str">
        <f>IFERROR(__xludf.DUMMYFUNCTION("""COMPUTED_VALUE"""),"Model S 85D")</f>
        <v>Model S 85D</v>
      </c>
      <c r="G1231" s="258" t="str">
        <f>IFERROR(__xludf.DUMMYFUNCTION("""COMPUTED_VALUE"""),"Twice a week")</f>
        <v>Twice a week</v>
      </c>
      <c r="H1231" s="258" t="str">
        <f>IFERROR(__xludf.DUMMYFUNCTION("""COMPUTED_VALUE"""),"Twice a month")</f>
        <v>Twice a month</v>
      </c>
      <c r="I1231" s="258" t="str">
        <f>IFERROR(__xludf.DUMMYFUNCTION("""COMPUTED_VALUE"""),"Never")</f>
        <v>Never</v>
      </c>
      <c r="J1231" s="260">
        <f>IFERROR(__xludf.DUMMYFUNCTION("""COMPUTED_VALUE"""),0.8)</f>
        <v>0.8</v>
      </c>
      <c r="K1231" s="258">
        <f>IFERROR(__xludf.DUMMYFUNCTION("""COMPUTED_VALUE"""),408.0)</f>
        <v>408</v>
      </c>
      <c r="L1231" s="258" t="str">
        <f>IFERROR(__xludf.DUMMYFUNCTION("""COMPUTED_VALUE"""),"")</f>
        <v/>
      </c>
      <c r="M1231" s="261">
        <f>IFERROR(__xludf.DUMMYFUNCTION("""COMPUTED_VALUE"""),223.0)</f>
        <v>223</v>
      </c>
      <c r="N1231" s="262" t="str">
        <f>IFERROR(__xludf.DUMMYFUNCTION("""COMPUTED_VALUE"""),"")</f>
        <v/>
      </c>
      <c r="O1231" s="259" t="str">
        <f>IFERROR(__xludf.DUMMYFUNCTION("""COMPUTED_VALUE"""),"")</f>
        <v/>
      </c>
      <c r="P1231" s="259">
        <f>IFERROR(__xludf.DUMMYFUNCTION("""COMPUTED_VALUE"""),42477.0)</f>
        <v>42477</v>
      </c>
      <c r="Q1231" s="258">
        <f>IFERROR(__xludf.DUMMYFUNCTION("""COMPUTED_VALUE"""),15000.0)</f>
        <v>15000</v>
      </c>
      <c r="R1231" s="261">
        <f>IFERROR(__xludf.DUMMYFUNCTION("""COMPUTED_VALUE"""),413.0)</f>
        <v>413</v>
      </c>
      <c r="S1231" s="258">
        <v>425.0</v>
      </c>
      <c r="T1231" s="263">
        <v>0.971764705882353</v>
      </c>
      <c r="U1231" s="264">
        <v>9321.0</v>
      </c>
      <c r="V1231" s="265">
        <v>15000.0</v>
      </c>
      <c r="W1231" s="264">
        <v>9321.0</v>
      </c>
      <c r="X1231" s="266"/>
      <c r="Y1231" s="267">
        <v>-0.01</v>
      </c>
      <c r="Z1231" s="267">
        <v>0.978826222662165</v>
      </c>
      <c r="AA1231" s="269"/>
      <c r="AB1231" s="270"/>
      <c r="AC1231" s="270"/>
      <c r="AD1231" s="270"/>
      <c r="AE1231" s="270"/>
    </row>
    <row r="1232">
      <c r="A1232" s="256">
        <f>IFERROR(__xludf.DUMMYFUNCTION("""COMPUTED_VALUE"""),43089.64791666667)</f>
        <v>43089.64792</v>
      </c>
      <c r="B1232" s="257" t="str">
        <f>IFERROR(__xludf.DUMMYFUNCTION("""COMPUTED_VALUE"""),"RobPet")</f>
        <v>RobPet</v>
      </c>
      <c r="C1232" s="258" t="str">
        <f>IFERROR(__xludf.DUMMYFUNCTION("""COMPUTED_VALUE"""),"Europe (excluding UK) &amp; Asia Pacific")</f>
        <v>Europe (excluding UK) &amp; Asia Pacific</v>
      </c>
      <c r="D1232" s="258" t="str">
        <f>IFERROR(__xludf.DUMMYFUNCTION("""COMPUTED_VALUE"""),"km. My car displays range in kilometres and I will enter all range numbers in kilometres.")</f>
        <v>km. My car displays range in kilometres and I will enter all range numbers in kilometres.</v>
      </c>
      <c r="E1232" s="259">
        <f>IFERROR(__xludf.DUMMYFUNCTION("""COMPUTED_VALUE"""),41985.0)</f>
        <v>41985</v>
      </c>
      <c r="F1232" s="258" t="str">
        <f>IFERROR(__xludf.DUMMYFUNCTION("""COMPUTED_VALUE"""),"Model S 85")</f>
        <v>Model S 85</v>
      </c>
      <c r="G1232" s="258" t="str">
        <f>IFERROR(__xludf.DUMMYFUNCTION("""COMPUTED_VALUE"""),"Twice a week")</f>
        <v>Twice a week</v>
      </c>
      <c r="H1232" s="258" t="str">
        <f>IFERROR(__xludf.DUMMYFUNCTION("""COMPUTED_VALUE"""),"A few times a year")</f>
        <v>A few times a year</v>
      </c>
      <c r="I1232" s="258" t="str">
        <f>IFERROR(__xludf.DUMMYFUNCTION("""COMPUTED_VALUE"""),"Once or twice a year")</f>
        <v>Once or twice a year</v>
      </c>
      <c r="J1232" s="260">
        <f>IFERROR(__xludf.DUMMYFUNCTION("""COMPUTED_VALUE"""),0.9)</f>
        <v>0.9</v>
      </c>
      <c r="K1232" s="258" t="str">
        <f>IFERROR(__xludf.DUMMYFUNCTION("""COMPUTED_VALUE"""),"")</f>
        <v/>
      </c>
      <c r="L1232" s="258" t="str">
        <f>IFERROR(__xludf.DUMMYFUNCTION("""COMPUTED_VALUE"""),"")</f>
        <v/>
      </c>
      <c r="M1232" s="261">
        <f>IFERROR(__xludf.DUMMYFUNCTION("""COMPUTED_VALUE"""),218.0)</f>
        <v>218</v>
      </c>
      <c r="N1232" s="262" t="str">
        <f>IFERROR(__xludf.DUMMYFUNCTION("""COMPUTED_VALUE"""),"")</f>
        <v/>
      </c>
      <c r="O1232" s="259" t="str">
        <f>IFERROR(__xludf.DUMMYFUNCTION("""COMPUTED_VALUE"""),"")</f>
        <v/>
      </c>
      <c r="P1232" s="259">
        <f>IFERROR(__xludf.DUMMYFUNCTION("""COMPUTED_VALUE"""),43089.0)</f>
        <v>43089</v>
      </c>
      <c r="Q1232" s="258">
        <f>IFERROR(__xludf.DUMMYFUNCTION("""COMPUTED_VALUE"""),82512.0)</f>
        <v>82512</v>
      </c>
      <c r="R1232" s="261">
        <f>IFERROR(__xludf.DUMMYFUNCTION("""COMPUTED_VALUE"""),379.0)</f>
        <v>379</v>
      </c>
      <c r="S1232" s="258">
        <v>395.0</v>
      </c>
      <c r="T1232" s="263">
        <v>0.959493670886076</v>
      </c>
      <c r="U1232" s="264">
        <v>51271.0</v>
      </c>
      <c r="V1232" s="265">
        <v>82512.0</v>
      </c>
      <c r="W1232" s="264">
        <v>51271.0</v>
      </c>
      <c r="X1232" s="266"/>
      <c r="Y1232" s="267">
        <v>-0.01</v>
      </c>
      <c r="Z1232" s="267">
        <v>0.9507795677319398</v>
      </c>
      <c r="AA1232" s="269"/>
      <c r="AB1232" s="270"/>
      <c r="AC1232" s="270"/>
      <c r="AD1232" s="270"/>
      <c r="AE1232" s="270"/>
    </row>
    <row r="1233">
      <c r="A1233" s="256">
        <f>IFERROR(__xludf.DUMMYFUNCTION("""COMPUTED_VALUE"""),43588.541369039354)</f>
        <v>43588.54137</v>
      </c>
      <c r="B1233" s="257" t="str">
        <f>IFERROR(__xludf.DUMMYFUNCTION("""COMPUTED_VALUE"""),"RobPet")</f>
        <v>RobPet</v>
      </c>
      <c r="C1233" s="258" t="str">
        <f>IFERROR(__xludf.DUMMYFUNCTION("""COMPUTED_VALUE"""),"Europe (excluding UK) &amp; Asia Pacific")</f>
        <v>Europe (excluding UK) &amp; Asia Pacific</v>
      </c>
      <c r="D1233" s="258" t="str">
        <f>IFERROR(__xludf.DUMMYFUNCTION("""COMPUTED_VALUE"""),"km. My car displays range in kilometres and I will enter all range numbers in kilometres.")</f>
        <v>km. My car displays range in kilometres and I will enter all range numbers in kilometres.</v>
      </c>
      <c r="E1233" s="259">
        <f>IFERROR(__xludf.DUMMYFUNCTION("""COMPUTED_VALUE"""),41974.0)</f>
        <v>41974</v>
      </c>
      <c r="F1233" s="258" t="str">
        <f>IFERROR(__xludf.DUMMYFUNCTION("""COMPUTED_VALUE"""),"Model S 85")</f>
        <v>Model S 85</v>
      </c>
      <c r="G1233" s="258" t="str">
        <f>IFERROR(__xludf.DUMMYFUNCTION("""COMPUTED_VALUE"""),"A few times a year")</f>
        <v>A few times a year</v>
      </c>
      <c r="H1233" s="258" t="str">
        <f>IFERROR(__xludf.DUMMYFUNCTION("""COMPUTED_VALUE"""),"A few times a year")</f>
        <v>A few times a year</v>
      </c>
      <c r="I1233" s="258" t="str">
        <f>IFERROR(__xludf.DUMMYFUNCTION("""COMPUTED_VALUE"""),"Once or twice a year")</f>
        <v>Once or twice a year</v>
      </c>
      <c r="J1233" s="260">
        <f>IFERROR(__xludf.DUMMYFUNCTION("""COMPUTED_VALUE"""),0.9)</f>
        <v>0.9</v>
      </c>
      <c r="K1233" s="258" t="str">
        <f>IFERROR(__xludf.DUMMYFUNCTION("""COMPUTED_VALUE"""),"")</f>
        <v/>
      </c>
      <c r="L1233" s="258" t="str">
        <f>IFERROR(__xludf.DUMMYFUNCTION("""COMPUTED_VALUE"""),"")</f>
        <v/>
      </c>
      <c r="M1233" s="261" t="str">
        <f>IFERROR(__xludf.DUMMYFUNCTION("""COMPUTED_VALUE"""),"")</f>
        <v/>
      </c>
      <c r="N1233" s="262" t="str">
        <f>IFERROR(__xludf.DUMMYFUNCTION("""COMPUTED_VALUE"""),"")</f>
        <v/>
      </c>
      <c r="O1233" s="259" t="str">
        <f>IFERROR(__xludf.DUMMYFUNCTION("""COMPUTED_VALUE"""),"")</f>
        <v/>
      </c>
      <c r="P1233" s="259">
        <f>IFERROR(__xludf.DUMMYFUNCTION("""COMPUTED_VALUE"""),43588.0)</f>
        <v>43588</v>
      </c>
      <c r="Q1233" s="258">
        <f>IFERROR(__xludf.DUMMYFUNCTION("""COMPUTED_VALUE"""),132130.0)</f>
        <v>132130</v>
      </c>
      <c r="R1233" s="261">
        <f>IFERROR(__xludf.DUMMYFUNCTION("""COMPUTED_VALUE"""),373.0)</f>
        <v>373</v>
      </c>
      <c r="S1233" s="258">
        <v>395.0</v>
      </c>
      <c r="T1233" s="263">
        <v>0.9443037974683545</v>
      </c>
      <c r="U1233" s="264">
        <v>82102.0</v>
      </c>
      <c r="V1233" s="265">
        <v>132130.0</v>
      </c>
      <c r="W1233" s="264">
        <v>82102.0</v>
      </c>
      <c r="X1233" s="266"/>
      <c r="Y1233" s="267">
        <v>-0.01</v>
      </c>
      <c r="Z1233" s="267">
        <v>0.9390981415243018</v>
      </c>
      <c r="AA1233" s="269"/>
      <c r="AB1233" s="270"/>
      <c r="AC1233" s="270"/>
      <c r="AD1233" s="270"/>
      <c r="AE1233" s="270"/>
    </row>
    <row r="1234">
      <c r="A1234" s="256">
        <f>IFERROR(__xludf.DUMMYFUNCTION("""COMPUTED_VALUE"""),42117.103472222225)</f>
        <v>42117.10347</v>
      </c>
      <c r="B1234" s="257" t="str">
        <f>IFERROR(__xludf.DUMMYFUNCTION("""COMPUTED_VALUE"""),"Robrecht")</f>
        <v>Robrecht</v>
      </c>
      <c r="C1234" s="258" t="str">
        <f>IFERROR(__xludf.DUMMYFUNCTION("""COMPUTED_VALUE"""),"Europe (excluding UK) &amp; Asia Pacific")</f>
        <v>Europe (excluding UK) &amp; Asia Pacific</v>
      </c>
      <c r="D1234" s="258" t="str">
        <f>IFERROR(__xludf.DUMMYFUNCTION("""COMPUTED_VALUE"""),"km. My car displays range in kilometres and I will enter all range numbers in kilometres.")</f>
        <v>km. My car displays range in kilometres and I will enter all range numbers in kilometres.</v>
      </c>
      <c r="E1234" s="259">
        <f>IFERROR(__xludf.DUMMYFUNCTION("""COMPUTED_VALUE"""),42109.0)</f>
        <v>42109</v>
      </c>
      <c r="F1234" s="258" t="str">
        <f>IFERROR(__xludf.DUMMYFUNCTION("""COMPUTED_VALUE"""),"Model S 85D")</f>
        <v>Model S 85D</v>
      </c>
      <c r="G1234" s="258" t="str">
        <f>IFERROR(__xludf.DUMMYFUNCTION("""COMPUTED_VALUE"""),"Weekly")</f>
        <v>Weekly</v>
      </c>
      <c r="H1234" s="258" t="str">
        <f>IFERROR(__xludf.DUMMYFUNCTION("""COMPUTED_VALUE"""),"Weekly")</f>
        <v>Weekly</v>
      </c>
      <c r="I1234" s="258" t="str">
        <f>IFERROR(__xludf.DUMMYFUNCTION("""COMPUTED_VALUE"""),"")</f>
        <v/>
      </c>
      <c r="J1234" s="260" t="str">
        <f>IFERROR(__xludf.DUMMYFUNCTION("""COMPUTED_VALUE"""),"")</f>
        <v/>
      </c>
      <c r="K1234" s="258" t="str">
        <f>IFERROR(__xludf.DUMMYFUNCTION("""COMPUTED_VALUE"""),"")</f>
        <v/>
      </c>
      <c r="L1234" s="258" t="str">
        <f>IFERROR(__xludf.DUMMYFUNCTION("""COMPUTED_VALUE"""),"")</f>
        <v/>
      </c>
      <c r="M1234" s="261">
        <f>IFERROR(__xludf.DUMMYFUNCTION("""COMPUTED_VALUE"""),233.0)</f>
        <v>233</v>
      </c>
      <c r="N1234" s="262" t="str">
        <f>IFERROR(__xludf.DUMMYFUNCTION("""COMPUTED_VALUE"""),"")</f>
        <v/>
      </c>
      <c r="O1234" s="259" t="str">
        <f>IFERROR(__xludf.DUMMYFUNCTION("""COMPUTED_VALUE"""),"")</f>
        <v/>
      </c>
      <c r="P1234" s="259">
        <f>IFERROR(__xludf.DUMMYFUNCTION("""COMPUTED_VALUE"""),42117.0)</f>
        <v>42117</v>
      </c>
      <c r="Q1234" s="258">
        <f>IFERROR(__xludf.DUMMYFUNCTION("""COMPUTED_VALUE"""),550.0)</f>
        <v>550</v>
      </c>
      <c r="R1234" s="261">
        <f>IFERROR(__xludf.DUMMYFUNCTION("""COMPUTED_VALUE"""),403.0)</f>
        <v>403</v>
      </c>
      <c r="S1234" s="258">
        <v>425.0</v>
      </c>
      <c r="T1234" s="263">
        <v>0.9482352941176471</v>
      </c>
      <c r="U1234" s="264">
        <v>342.0</v>
      </c>
      <c r="V1234" s="265">
        <v>550.0</v>
      </c>
      <c r="W1234" s="264">
        <v>342.0</v>
      </c>
      <c r="X1234" s="266"/>
      <c r="Y1234" s="267">
        <v>-0.01</v>
      </c>
      <c r="Z1234" s="267">
        <v>0.9989151542689043</v>
      </c>
      <c r="AA1234" s="269"/>
      <c r="AB1234" s="270"/>
      <c r="AC1234" s="270"/>
      <c r="AD1234" s="270"/>
      <c r="AE1234" s="270"/>
    </row>
    <row r="1235">
      <c r="A1235" s="256">
        <f>IFERROR(__xludf.DUMMYFUNCTION("""COMPUTED_VALUE"""),42603.38125)</f>
        <v>42603.38125</v>
      </c>
      <c r="B1235" s="257" t="str">
        <f>IFERROR(__xludf.DUMMYFUNCTION("""COMPUTED_VALUE"""),"Rolfe")</f>
        <v>Rolfe</v>
      </c>
      <c r="C1235" s="258" t="str">
        <f>IFERROR(__xludf.DUMMYFUNCTION("""COMPUTED_VALUE"""),"Europe (excluding UK) &amp; Asia Pacific")</f>
        <v>Europe (excluding UK) &amp; Asia Pacific</v>
      </c>
      <c r="D1235" s="258" t="str">
        <f>IFERROR(__xludf.DUMMYFUNCTION("""COMPUTED_VALUE"""),"km. My car displays range in kilometres and I will enter all range numbers in kilometres.")</f>
        <v>km. My car displays range in kilometres and I will enter all range numbers in kilometres.</v>
      </c>
      <c r="E1235" s="259">
        <f>IFERROR(__xludf.DUMMYFUNCTION("""COMPUTED_VALUE"""),42137.0)</f>
        <v>42137</v>
      </c>
      <c r="F1235" s="258" t="str">
        <f>IFERROR(__xludf.DUMMYFUNCTION("""COMPUTED_VALUE"""),"Model S P85D")</f>
        <v>Model S P85D</v>
      </c>
      <c r="G1235" s="258" t="str">
        <f>IFERROR(__xludf.DUMMYFUNCTION("""COMPUTED_VALUE"""),"A few times a year")</f>
        <v>A few times a year</v>
      </c>
      <c r="H1235" s="258" t="str">
        <f>IFERROR(__xludf.DUMMYFUNCTION("""COMPUTED_VALUE"""),"A few times a year")</f>
        <v>A few times a year</v>
      </c>
      <c r="I1235" s="258" t="str">
        <f>IFERROR(__xludf.DUMMYFUNCTION("""COMPUTED_VALUE"""),"Once or twice a year")</f>
        <v>Once or twice a year</v>
      </c>
      <c r="J1235" s="260">
        <f>IFERROR(__xludf.DUMMYFUNCTION("""COMPUTED_VALUE"""),0.8)</f>
        <v>0.8</v>
      </c>
      <c r="K1235" s="258" t="str">
        <f>IFERROR(__xludf.DUMMYFUNCTION("""COMPUTED_VALUE"""),"")</f>
        <v/>
      </c>
      <c r="L1235" s="258" t="str">
        <f>IFERROR(__xludf.DUMMYFUNCTION("""COMPUTED_VALUE"""),"")</f>
        <v/>
      </c>
      <c r="M1235" s="261">
        <f>IFERROR(__xludf.DUMMYFUNCTION("""COMPUTED_VALUE"""),221.0)</f>
        <v>221</v>
      </c>
      <c r="N1235" s="262">
        <f>IFERROR(__xludf.DUMMYFUNCTION("""COMPUTED_VALUE"""),2000.0)</f>
        <v>2000</v>
      </c>
      <c r="O1235" s="259" t="str">
        <f>IFERROR(__xludf.DUMMYFUNCTION("""COMPUTED_VALUE"""),"I don't know")</f>
        <v>I don't know</v>
      </c>
      <c r="P1235" s="259">
        <f>IFERROR(__xludf.DUMMYFUNCTION("""COMPUTED_VALUE"""),42603.0)</f>
        <v>42603</v>
      </c>
      <c r="Q1235" s="258">
        <f>IFERROR(__xludf.DUMMYFUNCTION("""COMPUTED_VALUE"""),27000.0)</f>
        <v>27000</v>
      </c>
      <c r="R1235" s="261">
        <f>IFERROR(__xludf.DUMMYFUNCTION("""COMPUTED_VALUE"""),381.0)</f>
        <v>381</v>
      </c>
      <c r="S1235" s="258">
        <v>403.0</v>
      </c>
      <c r="T1235" s="263">
        <v>0.9454094292803971</v>
      </c>
      <c r="U1235" s="264">
        <v>16777.0</v>
      </c>
      <c r="V1235" s="265">
        <v>27000.0</v>
      </c>
      <c r="W1235" s="264">
        <v>16777.0</v>
      </c>
      <c r="X1235" s="266"/>
      <c r="Y1235" s="267">
        <v>-0.01</v>
      </c>
      <c r="Z1235" s="267">
        <v>0.9696665000394786</v>
      </c>
      <c r="AA1235" s="269"/>
      <c r="AB1235" s="270"/>
      <c r="AC1235" s="270"/>
      <c r="AD1235" s="270"/>
      <c r="AE1235" s="270"/>
    </row>
    <row r="1236">
      <c r="A1236" s="256">
        <f>IFERROR(__xludf.DUMMYFUNCTION("""COMPUTED_VALUE"""),42415.288888888885)</f>
        <v>42415.28889</v>
      </c>
      <c r="B1236" s="257" t="str">
        <f>IFERROR(__xludf.DUMMYFUNCTION("""COMPUTED_VALUE"""),"RonVerbrugge")</f>
        <v>RonVerbrugge</v>
      </c>
      <c r="C1236" s="258" t="str">
        <f>IFERROR(__xludf.DUMMYFUNCTION("""COMPUTED_VALUE"""),"Europe (excluding UK) &amp; Asia Pacific")</f>
        <v>Europe (excluding UK) &amp; Asia Pacific</v>
      </c>
      <c r="D1236" s="258" t="str">
        <f>IFERROR(__xludf.DUMMYFUNCTION("""COMPUTED_VALUE"""),"km. My car displays range in kilometres and I will enter all range numbers in kilometres.")</f>
        <v>km. My car displays range in kilometres and I will enter all range numbers in kilometres.</v>
      </c>
      <c r="E1236" s="259">
        <f>IFERROR(__xludf.DUMMYFUNCTION("""COMPUTED_VALUE"""),42186.0)</f>
        <v>42186</v>
      </c>
      <c r="F1236" s="258" t="str">
        <f>IFERROR(__xludf.DUMMYFUNCTION("""COMPUTED_VALUE"""),"Model S P85D")</f>
        <v>Model S P85D</v>
      </c>
      <c r="G1236" s="258" t="str">
        <f>IFERROR(__xludf.DUMMYFUNCTION("""COMPUTED_VALUE"""),"Twice a month")</f>
        <v>Twice a month</v>
      </c>
      <c r="H1236" s="258" t="str">
        <f>IFERROR(__xludf.DUMMYFUNCTION("""COMPUTED_VALUE"""),"A few times a year")</f>
        <v>A few times a year</v>
      </c>
      <c r="I1236" s="258" t="str">
        <f>IFERROR(__xludf.DUMMYFUNCTION("""COMPUTED_VALUE"""),"Never")</f>
        <v>Never</v>
      </c>
      <c r="J1236" s="260">
        <f>IFERROR(__xludf.DUMMYFUNCTION("""COMPUTED_VALUE"""),0.8)</f>
        <v>0.8</v>
      </c>
      <c r="K1236" s="258">
        <f>IFERROR(__xludf.DUMMYFUNCTION("""COMPUTED_VALUE"""),398.0)</f>
        <v>398</v>
      </c>
      <c r="L1236" s="258" t="str">
        <f>IFERROR(__xludf.DUMMYFUNCTION("""COMPUTED_VALUE"""),"")</f>
        <v/>
      </c>
      <c r="M1236" s="261">
        <f>IFERROR(__xludf.DUMMYFUNCTION("""COMPUTED_VALUE"""),208.0)</f>
        <v>208</v>
      </c>
      <c r="N1236" s="262" t="str">
        <f>IFERROR(__xludf.DUMMYFUNCTION("""COMPUTED_VALUE"""),"")</f>
        <v/>
      </c>
      <c r="O1236" s="259" t="str">
        <f>IFERROR(__xludf.DUMMYFUNCTION("""COMPUTED_VALUE"""),"")</f>
        <v/>
      </c>
      <c r="P1236" s="259">
        <f>IFERROR(__xludf.DUMMYFUNCTION("""COMPUTED_VALUE"""),42415.0)</f>
        <v>42415</v>
      </c>
      <c r="Q1236" s="258">
        <f>IFERROR(__xludf.DUMMYFUNCTION("""COMPUTED_VALUE"""),28000.0)</f>
        <v>28000</v>
      </c>
      <c r="R1236" s="261">
        <f>IFERROR(__xludf.DUMMYFUNCTION("""COMPUTED_VALUE"""),385.0)</f>
        <v>385</v>
      </c>
      <c r="S1236" s="258">
        <v>403.0</v>
      </c>
      <c r="T1236" s="263">
        <v>0.9553349875930521</v>
      </c>
      <c r="U1236" s="264">
        <v>17398.0</v>
      </c>
      <c r="V1236" s="265">
        <v>28000.0</v>
      </c>
      <c r="W1236" s="264">
        <v>17398.0</v>
      </c>
      <c r="X1236" s="266"/>
      <c r="Y1236" s="267">
        <v>-0.01</v>
      </c>
      <c r="Z1236" s="267">
        <v>0.9690780711192863</v>
      </c>
      <c r="AA1236" s="269"/>
      <c r="AB1236" s="270"/>
      <c r="AC1236" s="270"/>
      <c r="AD1236" s="270"/>
      <c r="AE1236" s="270"/>
    </row>
    <row r="1237">
      <c r="A1237" s="256">
        <f>IFERROR(__xludf.DUMMYFUNCTION("""COMPUTED_VALUE"""),41903.007638888885)</f>
        <v>41903.00764</v>
      </c>
      <c r="B1237" s="257" t="str">
        <f>IFERROR(__xludf.DUMMYFUNCTION("""COMPUTED_VALUE"""),"Rprp")</f>
        <v>Rprp</v>
      </c>
      <c r="C1237" s="258" t="str">
        <f>IFERROR(__xludf.DUMMYFUNCTION("""COMPUTED_VALUE"""),"Europe (excluding UK) &amp; Asia Pacific")</f>
        <v>Europe (excluding UK) &amp; Asia Pacific</v>
      </c>
      <c r="D1237" s="258" t="str">
        <f>IFERROR(__xludf.DUMMYFUNCTION("""COMPUTED_VALUE"""),"km. My car displays range in kilometres and I will enter all range numbers in kilometres.")</f>
        <v>km. My car displays range in kilometres and I will enter all range numbers in kilometres.</v>
      </c>
      <c r="E1237" s="259">
        <f>IFERROR(__xludf.DUMMYFUNCTION("""COMPUTED_VALUE"""),41639.0)</f>
        <v>41639</v>
      </c>
      <c r="F1237" s="258" t="str">
        <f>IFERROR(__xludf.DUMMYFUNCTION("""COMPUTED_VALUE"""),"Model S P85")</f>
        <v>Model S P85</v>
      </c>
      <c r="G1237" s="258" t="str">
        <f>IFERROR(__xludf.DUMMYFUNCTION("""COMPUTED_VALUE"""),"Weekly")</f>
        <v>Weekly</v>
      </c>
      <c r="H1237" s="258" t="str">
        <f>IFERROR(__xludf.DUMMYFUNCTION("""COMPUTED_VALUE"""),"Weekly")</f>
        <v>Weekly</v>
      </c>
      <c r="I1237" s="258" t="str">
        <f>IFERROR(__xludf.DUMMYFUNCTION("""COMPUTED_VALUE"""),"Once or twice a year")</f>
        <v>Once or twice a year</v>
      </c>
      <c r="J1237" s="260" t="str">
        <f>IFERROR(__xludf.DUMMYFUNCTION("""COMPUTED_VALUE"""),"")</f>
        <v/>
      </c>
      <c r="K1237" s="258" t="str">
        <f>IFERROR(__xludf.DUMMYFUNCTION("""COMPUTED_VALUE"""),"")</f>
        <v/>
      </c>
      <c r="L1237" s="258" t="str">
        <f>IFERROR(__xludf.DUMMYFUNCTION("""COMPUTED_VALUE"""),"")</f>
        <v/>
      </c>
      <c r="M1237" s="261">
        <f>IFERROR(__xludf.DUMMYFUNCTION("""COMPUTED_VALUE"""),227.0)</f>
        <v>227</v>
      </c>
      <c r="N1237" s="262" t="str">
        <f>IFERROR(__xludf.DUMMYFUNCTION("""COMPUTED_VALUE"""),"")</f>
        <v/>
      </c>
      <c r="O1237" s="259" t="str">
        <f>IFERROR(__xludf.DUMMYFUNCTION("""COMPUTED_VALUE"""),"")</f>
        <v/>
      </c>
      <c r="P1237" s="259">
        <f>IFERROR(__xludf.DUMMYFUNCTION("""COMPUTED_VALUE"""),41903.0)</f>
        <v>41903</v>
      </c>
      <c r="Q1237" s="258">
        <f>IFERROR(__xludf.DUMMYFUNCTION("""COMPUTED_VALUE"""),46000.0)</f>
        <v>46000</v>
      </c>
      <c r="R1237" s="261">
        <f>IFERROR(__xludf.DUMMYFUNCTION("""COMPUTED_VALUE"""),381.0)</f>
        <v>381</v>
      </c>
      <c r="S1237" s="258">
        <v>395.0</v>
      </c>
      <c r="T1237" s="263">
        <v>0.9645569620253165</v>
      </c>
      <c r="U1237" s="264">
        <v>28583.0</v>
      </c>
      <c r="V1237" s="265">
        <v>46000.0</v>
      </c>
      <c r="W1237" s="264">
        <v>28583.0</v>
      </c>
      <c r="X1237" s="266"/>
      <c r="Y1237" s="267">
        <v>-0.01</v>
      </c>
      <c r="Z1237" s="267">
        <v>0.961048512128177</v>
      </c>
      <c r="AA1237" s="269"/>
      <c r="AB1237" s="270"/>
      <c r="AC1237" s="270"/>
      <c r="AD1237" s="270"/>
      <c r="AE1237" s="270"/>
    </row>
    <row r="1238">
      <c r="A1238" s="256">
        <f>IFERROR(__xludf.DUMMYFUNCTION("""COMPUTED_VALUE"""),42019.05347222222)</f>
        <v>42019.05347</v>
      </c>
      <c r="B1238" s="257" t="str">
        <f>IFERROR(__xludf.DUMMYFUNCTION("""COMPUTED_VALUE"""),"Rprp")</f>
        <v>Rprp</v>
      </c>
      <c r="C1238" s="258" t="str">
        <f>IFERROR(__xludf.DUMMYFUNCTION("""COMPUTED_VALUE"""),"Europe (excluding UK) &amp; Asia Pacific")</f>
        <v>Europe (excluding UK) &amp; Asia Pacific</v>
      </c>
      <c r="D1238" s="258" t="str">
        <f>IFERROR(__xludf.DUMMYFUNCTION("""COMPUTED_VALUE"""),"km. My car displays range in kilometres and I will enter all range numbers in kilometres.")</f>
        <v>km. My car displays range in kilometres and I will enter all range numbers in kilometres.</v>
      </c>
      <c r="E1238" s="259">
        <f>IFERROR(__xludf.DUMMYFUNCTION("""COMPUTED_VALUE"""),41639.0)</f>
        <v>41639</v>
      </c>
      <c r="F1238" s="258" t="str">
        <f>IFERROR(__xludf.DUMMYFUNCTION("""COMPUTED_VALUE"""),"Model S P85")</f>
        <v>Model S P85</v>
      </c>
      <c r="G1238" s="258" t="str">
        <f>IFERROR(__xludf.DUMMYFUNCTION("""COMPUTED_VALUE"""),"Weekly")</f>
        <v>Weekly</v>
      </c>
      <c r="H1238" s="258" t="str">
        <f>IFERROR(__xludf.DUMMYFUNCTION("""COMPUTED_VALUE"""),"Weekly")</f>
        <v>Weekly</v>
      </c>
      <c r="I1238" s="258" t="str">
        <f>IFERROR(__xludf.DUMMYFUNCTION("""COMPUTED_VALUE"""),"Monthly")</f>
        <v>Monthly</v>
      </c>
      <c r="J1238" s="260" t="str">
        <f>IFERROR(__xludf.DUMMYFUNCTION("""COMPUTED_VALUE"""),"")</f>
        <v/>
      </c>
      <c r="K1238" s="258" t="str">
        <f>IFERROR(__xludf.DUMMYFUNCTION("""COMPUTED_VALUE"""),"")</f>
        <v/>
      </c>
      <c r="L1238" s="258" t="str">
        <f>IFERROR(__xludf.DUMMYFUNCTION("""COMPUTED_VALUE"""),"")</f>
        <v/>
      </c>
      <c r="M1238" s="261">
        <f>IFERROR(__xludf.DUMMYFUNCTION("""COMPUTED_VALUE"""),223.0)</f>
        <v>223</v>
      </c>
      <c r="N1238" s="262" t="str">
        <f>IFERROR(__xludf.DUMMYFUNCTION("""COMPUTED_VALUE"""),"")</f>
        <v/>
      </c>
      <c r="O1238" s="259" t="str">
        <f>IFERROR(__xludf.DUMMYFUNCTION("""COMPUTED_VALUE"""),"")</f>
        <v/>
      </c>
      <c r="P1238" s="259">
        <f>IFERROR(__xludf.DUMMYFUNCTION("""COMPUTED_VALUE"""),42019.0)</f>
        <v>42019</v>
      </c>
      <c r="Q1238" s="258">
        <f>IFERROR(__xludf.DUMMYFUNCTION("""COMPUTED_VALUE"""),61500.0)</f>
        <v>61500</v>
      </c>
      <c r="R1238" s="261">
        <f>IFERROR(__xludf.DUMMYFUNCTION("""COMPUTED_VALUE"""),373.0)</f>
        <v>373</v>
      </c>
      <c r="S1238" s="258">
        <v>395.0</v>
      </c>
      <c r="T1238" s="263">
        <v>0.9443037974683545</v>
      </c>
      <c r="U1238" s="264">
        <v>38214.0</v>
      </c>
      <c r="V1238" s="265">
        <v>61500.0</v>
      </c>
      <c r="W1238" s="264">
        <v>38214.0</v>
      </c>
      <c r="X1238" s="266"/>
      <c r="Y1238" s="267">
        <v>-0.01</v>
      </c>
      <c r="Z1238" s="267">
        <v>0.9562270130091801</v>
      </c>
      <c r="AA1238" s="269"/>
      <c r="AB1238" s="270"/>
      <c r="AC1238" s="270"/>
      <c r="AD1238" s="270"/>
      <c r="AE1238" s="270"/>
    </row>
    <row r="1239">
      <c r="A1239" s="256">
        <f>IFERROR(__xludf.DUMMYFUNCTION("""COMPUTED_VALUE"""),42070.08194444445)</f>
        <v>42070.08194</v>
      </c>
      <c r="B1239" s="257" t="str">
        <f>IFERROR(__xludf.DUMMYFUNCTION("""COMPUTED_VALUE"""),"Rprp")</f>
        <v>Rprp</v>
      </c>
      <c r="C1239" s="258" t="str">
        <f>IFERROR(__xludf.DUMMYFUNCTION("""COMPUTED_VALUE"""),"Europe (excluding UK) &amp; Asia Pacific")</f>
        <v>Europe (excluding UK) &amp; Asia Pacific</v>
      </c>
      <c r="D1239" s="258" t="str">
        <f>IFERROR(__xludf.DUMMYFUNCTION("""COMPUTED_VALUE"""),"km. My car displays range in kilometres and I will enter all range numbers in kilometres.")</f>
        <v>km. My car displays range in kilometres and I will enter all range numbers in kilometres.</v>
      </c>
      <c r="E1239" s="259">
        <f>IFERROR(__xludf.DUMMYFUNCTION("""COMPUTED_VALUE"""),41639.0)</f>
        <v>41639</v>
      </c>
      <c r="F1239" s="258" t="str">
        <f>IFERROR(__xludf.DUMMYFUNCTION("""COMPUTED_VALUE"""),"Model S P85")</f>
        <v>Model S P85</v>
      </c>
      <c r="G1239" s="258" t="str">
        <f>IFERROR(__xludf.DUMMYFUNCTION("""COMPUTED_VALUE"""),"Weekly")</f>
        <v>Weekly</v>
      </c>
      <c r="H1239" s="258" t="str">
        <f>IFERROR(__xludf.DUMMYFUNCTION("""COMPUTED_VALUE"""),"Weekly")</f>
        <v>Weekly</v>
      </c>
      <c r="I1239" s="258" t="str">
        <f>IFERROR(__xludf.DUMMYFUNCTION("""COMPUTED_VALUE"""),"Monthly")</f>
        <v>Monthly</v>
      </c>
      <c r="J1239" s="260" t="str">
        <f>IFERROR(__xludf.DUMMYFUNCTION("""COMPUTED_VALUE"""),"")</f>
        <v/>
      </c>
      <c r="K1239" s="258" t="str">
        <f>IFERROR(__xludf.DUMMYFUNCTION("""COMPUTED_VALUE"""),"")</f>
        <v/>
      </c>
      <c r="L1239" s="258" t="str">
        <f>IFERROR(__xludf.DUMMYFUNCTION("""COMPUTED_VALUE"""),"")</f>
        <v/>
      </c>
      <c r="M1239" s="261">
        <f>IFERROR(__xludf.DUMMYFUNCTION("""COMPUTED_VALUE"""),229.0)</f>
        <v>229</v>
      </c>
      <c r="N1239" s="262" t="str">
        <f>IFERROR(__xludf.DUMMYFUNCTION("""COMPUTED_VALUE"""),"")</f>
        <v/>
      </c>
      <c r="O1239" s="259" t="str">
        <f>IFERROR(__xludf.DUMMYFUNCTION("""COMPUTED_VALUE"""),"")</f>
        <v/>
      </c>
      <c r="P1239" s="259">
        <f>IFERROR(__xludf.DUMMYFUNCTION("""COMPUTED_VALUE"""),42070.0)</f>
        <v>42070</v>
      </c>
      <c r="Q1239" s="258">
        <f>IFERROR(__xludf.DUMMYFUNCTION("""COMPUTED_VALUE"""),71050.0)</f>
        <v>71050</v>
      </c>
      <c r="R1239" s="261">
        <f>IFERROR(__xludf.DUMMYFUNCTION("""COMPUTED_VALUE"""),373.0)</f>
        <v>373</v>
      </c>
      <c r="S1239" s="258">
        <v>395.0</v>
      </c>
      <c r="T1239" s="263">
        <v>0.9443037974683545</v>
      </c>
      <c r="U1239" s="264">
        <v>44148.0</v>
      </c>
      <c r="V1239" s="265">
        <v>71050.0</v>
      </c>
      <c r="W1239" s="264">
        <v>44148.0</v>
      </c>
      <c r="X1239" s="266"/>
      <c r="Y1239" s="267">
        <v>-0.01</v>
      </c>
      <c r="Z1239" s="267">
        <v>0.9536611986500027</v>
      </c>
      <c r="AA1239" s="269"/>
      <c r="AB1239" s="270"/>
      <c r="AC1239" s="270"/>
      <c r="AD1239" s="270"/>
      <c r="AE1239" s="270"/>
    </row>
    <row r="1240">
      <c r="A1240" s="256">
        <f>IFERROR(__xludf.DUMMYFUNCTION("""COMPUTED_VALUE"""),42143.11875)</f>
        <v>42143.11875</v>
      </c>
      <c r="B1240" s="257" t="str">
        <f>IFERROR(__xludf.DUMMYFUNCTION("""COMPUTED_VALUE"""),"Rprp")</f>
        <v>Rprp</v>
      </c>
      <c r="C1240" s="258" t="str">
        <f>IFERROR(__xludf.DUMMYFUNCTION("""COMPUTED_VALUE"""),"Europe (excluding UK) &amp; Asia Pacific")</f>
        <v>Europe (excluding UK) &amp; Asia Pacific</v>
      </c>
      <c r="D1240" s="258" t="str">
        <f>IFERROR(__xludf.DUMMYFUNCTION("""COMPUTED_VALUE"""),"km. My car displays range in kilometres and I will enter all range numbers in kilometres.")</f>
        <v>km. My car displays range in kilometres and I will enter all range numbers in kilometres.</v>
      </c>
      <c r="E1240" s="259">
        <f>IFERROR(__xludf.DUMMYFUNCTION("""COMPUTED_VALUE"""),41639.0)</f>
        <v>41639</v>
      </c>
      <c r="F1240" s="258" t="str">
        <f>IFERROR(__xludf.DUMMYFUNCTION("""COMPUTED_VALUE"""),"Model S P85")</f>
        <v>Model S P85</v>
      </c>
      <c r="G1240" s="258" t="str">
        <f>IFERROR(__xludf.DUMMYFUNCTION("""COMPUTED_VALUE"""),"")</f>
        <v/>
      </c>
      <c r="H1240" s="258" t="str">
        <f>IFERROR(__xludf.DUMMYFUNCTION("""COMPUTED_VALUE"""),"")</f>
        <v/>
      </c>
      <c r="I1240" s="258" t="str">
        <f>IFERROR(__xludf.DUMMYFUNCTION("""COMPUTED_VALUE"""),"")</f>
        <v/>
      </c>
      <c r="J1240" s="260" t="str">
        <f>IFERROR(__xludf.DUMMYFUNCTION("""COMPUTED_VALUE"""),"")</f>
        <v/>
      </c>
      <c r="K1240" s="258" t="str">
        <f>IFERROR(__xludf.DUMMYFUNCTION("""COMPUTED_VALUE"""),"")</f>
        <v/>
      </c>
      <c r="L1240" s="258" t="str">
        <f>IFERROR(__xludf.DUMMYFUNCTION("""COMPUTED_VALUE"""),"")</f>
        <v/>
      </c>
      <c r="M1240" s="261">
        <f>IFERROR(__xludf.DUMMYFUNCTION("""COMPUTED_VALUE"""),229.0)</f>
        <v>229</v>
      </c>
      <c r="N1240" s="262" t="str">
        <f>IFERROR(__xludf.DUMMYFUNCTION("""COMPUTED_VALUE"""),"")</f>
        <v/>
      </c>
      <c r="O1240" s="259" t="str">
        <f>IFERROR(__xludf.DUMMYFUNCTION("""COMPUTED_VALUE"""),"")</f>
        <v/>
      </c>
      <c r="P1240" s="259">
        <f>IFERROR(__xludf.DUMMYFUNCTION("""COMPUTED_VALUE"""),42143.0)</f>
        <v>42143</v>
      </c>
      <c r="Q1240" s="258">
        <f>IFERROR(__xludf.DUMMYFUNCTION("""COMPUTED_VALUE"""),80150.0)</f>
        <v>80150</v>
      </c>
      <c r="R1240" s="261">
        <f>IFERROR(__xludf.DUMMYFUNCTION("""COMPUTED_VALUE"""),369.0)</f>
        <v>369</v>
      </c>
      <c r="S1240" s="258">
        <v>395.0</v>
      </c>
      <c r="T1240" s="263">
        <v>0.9341772151898734</v>
      </c>
      <c r="U1240" s="264">
        <v>49803.0</v>
      </c>
      <c r="V1240" s="265">
        <v>80150.0</v>
      </c>
      <c r="W1240" s="264">
        <v>49803.0</v>
      </c>
      <c r="X1240" s="266"/>
      <c r="Y1240" s="267">
        <v>-0.01</v>
      </c>
      <c r="Z1240" s="267">
        <v>0.9513613356266777</v>
      </c>
      <c r="AA1240" s="269"/>
      <c r="AB1240" s="270"/>
      <c r="AC1240" s="270"/>
      <c r="AD1240" s="270"/>
      <c r="AE1240" s="270"/>
    </row>
    <row r="1241">
      <c r="A1241" s="256">
        <f>IFERROR(__xludf.DUMMYFUNCTION("""COMPUTED_VALUE"""),42228.15902777778)</f>
        <v>42228.15903</v>
      </c>
      <c r="B1241" s="257" t="str">
        <f>IFERROR(__xludf.DUMMYFUNCTION("""COMPUTED_VALUE"""),"Rprp")</f>
        <v>Rprp</v>
      </c>
      <c r="C1241" s="258" t="str">
        <f>IFERROR(__xludf.DUMMYFUNCTION("""COMPUTED_VALUE"""),"Europe (excluding UK) &amp; Asia Pacific")</f>
        <v>Europe (excluding UK) &amp; Asia Pacific</v>
      </c>
      <c r="D1241" s="258" t="str">
        <f>IFERROR(__xludf.DUMMYFUNCTION("""COMPUTED_VALUE"""),"km. My car displays range in kilometres and I will enter all range numbers in kilometres.")</f>
        <v>km. My car displays range in kilometres and I will enter all range numbers in kilometres.</v>
      </c>
      <c r="E1241" s="259">
        <f>IFERROR(__xludf.DUMMYFUNCTION("""COMPUTED_VALUE"""),41639.0)</f>
        <v>41639</v>
      </c>
      <c r="F1241" s="258" t="str">
        <f>IFERROR(__xludf.DUMMYFUNCTION("""COMPUTED_VALUE"""),"Model S P85")</f>
        <v>Model S P85</v>
      </c>
      <c r="G1241" s="258" t="str">
        <f>IFERROR(__xludf.DUMMYFUNCTION("""COMPUTED_VALUE"""),"")</f>
        <v/>
      </c>
      <c r="H1241" s="258" t="str">
        <f>IFERROR(__xludf.DUMMYFUNCTION("""COMPUTED_VALUE"""),"")</f>
        <v/>
      </c>
      <c r="I1241" s="258" t="str">
        <f>IFERROR(__xludf.DUMMYFUNCTION("""COMPUTED_VALUE"""),"")</f>
        <v/>
      </c>
      <c r="J1241" s="260" t="str">
        <f>IFERROR(__xludf.DUMMYFUNCTION("""COMPUTED_VALUE"""),"")</f>
        <v/>
      </c>
      <c r="K1241" s="258" t="str">
        <f>IFERROR(__xludf.DUMMYFUNCTION("""COMPUTED_VALUE"""),"")</f>
        <v/>
      </c>
      <c r="L1241" s="258" t="str">
        <f>IFERROR(__xludf.DUMMYFUNCTION("""COMPUTED_VALUE"""),"")</f>
        <v/>
      </c>
      <c r="M1241" s="261">
        <f>IFERROR(__xludf.DUMMYFUNCTION("""COMPUTED_VALUE"""),218.0)</f>
        <v>218</v>
      </c>
      <c r="N1241" s="262" t="str">
        <f>IFERROR(__xludf.DUMMYFUNCTION("""COMPUTED_VALUE"""),"")</f>
        <v/>
      </c>
      <c r="O1241" s="259" t="str">
        <f>IFERROR(__xludf.DUMMYFUNCTION("""COMPUTED_VALUE"""),"")</f>
        <v/>
      </c>
      <c r="P1241" s="259">
        <f>IFERROR(__xludf.DUMMYFUNCTION("""COMPUTED_VALUE"""),42228.0)</f>
        <v>42228</v>
      </c>
      <c r="Q1241" s="258">
        <f>IFERROR(__xludf.DUMMYFUNCTION("""COMPUTED_VALUE"""),94500.0)</f>
        <v>94500</v>
      </c>
      <c r="R1241" s="261">
        <f>IFERROR(__xludf.DUMMYFUNCTION("""COMPUTED_VALUE"""),370.0)</f>
        <v>370</v>
      </c>
      <c r="S1241" s="258">
        <v>395.0</v>
      </c>
      <c r="T1241" s="263">
        <v>0.9367088607594937</v>
      </c>
      <c r="U1241" s="264">
        <v>58720.0</v>
      </c>
      <c r="V1241" s="265">
        <v>94500.0</v>
      </c>
      <c r="W1241" s="264">
        <v>58720.0</v>
      </c>
      <c r="X1241" s="266"/>
      <c r="Y1241" s="267">
        <v>-0.01</v>
      </c>
      <c r="Z1241" s="267">
        <v>0.947888482373527</v>
      </c>
      <c r="AA1241" s="269"/>
      <c r="AB1241" s="270"/>
      <c r="AC1241" s="270"/>
      <c r="AD1241" s="270"/>
      <c r="AE1241" s="270"/>
    </row>
    <row r="1242">
      <c r="A1242" s="256">
        <f>IFERROR(__xludf.DUMMYFUNCTION("""COMPUTED_VALUE"""),42288.19583333333)</f>
        <v>42288.19583</v>
      </c>
      <c r="B1242" s="257" t="str">
        <f>IFERROR(__xludf.DUMMYFUNCTION("""COMPUTED_VALUE"""),"Rprp")</f>
        <v>Rprp</v>
      </c>
      <c r="C1242" s="258" t="str">
        <f>IFERROR(__xludf.DUMMYFUNCTION("""COMPUTED_VALUE"""),"Europe (excluding UK) &amp; Asia Pacific")</f>
        <v>Europe (excluding UK) &amp; Asia Pacific</v>
      </c>
      <c r="D1242" s="258" t="str">
        <f>IFERROR(__xludf.DUMMYFUNCTION("""COMPUTED_VALUE"""),"km. My car displays range in kilometres and I will enter all range numbers in kilometres.")</f>
        <v>km. My car displays range in kilometres and I will enter all range numbers in kilometres.</v>
      </c>
      <c r="E1242" s="259">
        <f>IFERROR(__xludf.DUMMYFUNCTION("""COMPUTED_VALUE"""),41639.0)</f>
        <v>41639</v>
      </c>
      <c r="F1242" s="258" t="str">
        <f>IFERROR(__xludf.DUMMYFUNCTION("""COMPUTED_VALUE"""),"Model S P85")</f>
        <v>Model S P85</v>
      </c>
      <c r="G1242" s="258" t="str">
        <f>IFERROR(__xludf.DUMMYFUNCTION("""COMPUTED_VALUE"""),"Weekly")</f>
        <v>Weekly</v>
      </c>
      <c r="H1242" s="258" t="str">
        <f>IFERROR(__xludf.DUMMYFUNCTION("""COMPUTED_VALUE"""),"Twice a month")</f>
        <v>Twice a month</v>
      </c>
      <c r="I1242" s="258" t="str">
        <f>IFERROR(__xludf.DUMMYFUNCTION("""COMPUTED_VALUE"""),"Twice a month")</f>
        <v>Twice a month</v>
      </c>
      <c r="J1242" s="260">
        <f>IFERROR(__xludf.DUMMYFUNCTION("""COMPUTED_VALUE"""),0.8)</f>
        <v>0.8</v>
      </c>
      <c r="K1242" s="258">
        <f>IFERROR(__xludf.DUMMYFUNCTION("""COMPUTED_VALUE"""),393.0)</f>
        <v>393</v>
      </c>
      <c r="L1242" s="258" t="str">
        <f>IFERROR(__xludf.DUMMYFUNCTION("""COMPUTED_VALUE"""),"")</f>
        <v/>
      </c>
      <c r="M1242" s="261">
        <f>IFERROR(__xludf.DUMMYFUNCTION("""COMPUTED_VALUE"""),233.0)</f>
        <v>233</v>
      </c>
      <c r="N1242" s="262" t="str">
        <f>IFERROR(__xludf.DUMMYFUNCTION("""COMPUTED_VALUE"""),"")</f>
        <v/>
      </c>
      <c r="O1242" s="259" t="str">
        <f>IFERROR(__xludf.DUMMYFUNCTION("""COMPUTED_VALUE"""),"")</f>
        <v/>
      </c>
      <c r="P1242" s="259">
        <f>IFERROR(__xludf.DUMMYFUNCTION("""COMPUTED_VALUE"""),42288.0)</f>
        <v>42288</v>
      </c>
      <c r="Q1242" s="258">
        <f>IFERROR(__xludf.DUMMYFUNCTION("""COMPUTED_VALUE"""),100000.0)</f>
        <v>100000</v>
      </c>
      <c r="R1242" s="261">
        <f>IFERROR(__xludf.DUMMYFUNCTION("""COMPUTED_VALUE"""),368.0)</f>
        <v>368</v>
      </c>
      <c r="S1242" s="258">
        <v>395.0</v>
      </c>
      <c r="T1242" s="263">
        <v>0.9316455696202531</v>
      </c>
      <c r="U1242" s="264">
        <v>62137.0</v>
      </c>
      <c r="V1242" s="265">
        <v>100000.0</v>
      </c>
      <c r="W1242" s="264">
        <v>62137.0</v>
      </c>
      <c r="X1242" s="266"/>
      <c r="Y1242" s="267">
        <v>-0.01</v>
      </c>
      <c r="Z1242" s="267">
        <v>0.9465856783080869</v>
      </c>
      <c r="AA1242" s="269"/>
      <c r="AB1242" s="270"/>
      <c r="AC1242" s="270"/>
      <c r="AD1242" s="270"/>
      <c r="AE1242" s="270"/>
    </row>
    <row r="1243">
      <c r="A1243" s="256">
        <f>IFERROR(__xludf.DUMMYFUNCTION("""COMPUTED_VALUE"""),42348.243055555555)</f>
        <v>42348.24306</v>
      </c>
      <c r="B1243" s="257" t="str">
        <f>IFERROR(__xludf.DUMMYFUNCTION("""COMPUTED_VALUE"""),"Rprp")</f>
        <v>Rprp</v>
      </c>
      <c r="C1243" s="258" t="str">
        <f>IFERROR(__xludf.DUMMYFUNCTION("""COMPUTED_VALUE"""),"Europe (excluding UK) &amp; Asia Pacific")</f>
        <v>Europe (excluding UK) &amp; Asia Pacific</v>
      </c>
      <c r="D1243" s="258" t="str">
        <f>IFERROR(__xludf.DUMMYFUNCTION("""COMPUTED_VALUE"""),"km. My car displays range in kilometres and I will enter all range numbers in kilometres.")</f>
        <v>km. My car displays range in kilometres and I will enter all range numbers in kilometres.</v>
      </c>
      <c r="E1243" s="259">
        <f>IFERROR(__xludf.DUMMYFUNCTION("""COMPUTED_VALUE"""),41639.0)</f>
        <v>41639</v>
      </c>
      <c r="F1243" s="258" t="str">
        <f>IFERROR(__xludf.DUMMYFUNCTION("""COMPUTED_VALUE"""),"Model S P85")</f>
        <v>Model S P85</v>
      </c>
      <c r="G1243" s="258" t="str">
        <f>IFERROR(__xludf.DUMMYFUNCTION("""COMPUTED_VALUE"""),"Weekly")</f>
        <v>Weekly</v>
      </c>
      <c r="H1243" s="258" t="str">
        <f>IFERROR(__xludf.DUMMYFUNCTION("""COMPUTED_VALUE"""),"Monthly")</f>
        <v>Monthly</v>
      </c>
      <c r="I1243" s="258" t="str">
        <f>IFERROR(__xludf.DUMMYFUNCTION("""COMPUTED_VALUE"""),"Monthly")</f>
        <v>Monthly</v>
      </c>
      <c r="J1243" s="260">
        <f>IFERROR(__xludf.DUMMYFUNCTION("""COMPUTED_VALUE"""),0.8)</f>
        <v>0.8</v>
      </c>
      <c r="K1243" s="258" t="str">
        <f>IFERROR(__xludf.DUMMYFUNCTION("""COMPUTED_VALUE"""),"")</f>
        <v/>
      </c>
      <c r="L1243" s="258" t="str">
        <f>IFERROR(__xludf.DUMMYFUNCTION("""COMPUTED_VALUE"""),"")</f>
        <v/>
      </c>
      <c r="M1243" s="261">
        <f>IFERROR(__xludf.DUMMYFUNCTION("""COMPUTED_VALUE"""),233.0)</f>
        <v>233</v>
      </c>
      <c r="N1243" s="262" t="str">
        <f>IFERROR(__xludf.DUMMYFUNCTION("""COMPUTED_VALUE"""),"")</f>
        <v/>
      </c>
      <c r="O1243" s="259" t="str">
        <f>IFERROR(__xludf.DUMMYFUNCTION("""COMPUTED_VALUE"""),"")</f>
        <v/>
      </c>
      <c r="P1243" s="259">
        <f>IFERROR(__xludf.DUMMYFUNCTION("""COMPUTED_VALUE"""),42348.0)</f>
        <v>42348</v>
      </c>
      <c r="Q1243" s="258">
        <f>IFERROR(__xludf.DUMMYFUNCTION("""COMPUTED_VALUE"""),108400.0)</f>
        <v>108400</v>
      </c>
      <c r="R1243" s="261">
        <f>IFERROR(__xludf.DUMMYFUNCTION("""COMPUTED_VALUE"""),366.0)</f>
        <v>366</v>
      </c>
      <c r="S1243" s="258">
        <v>395.0</v>
      </c>
      <c r="T1243" s="263">
        <v>0.9265822784810127</v>
      </c>
      <c r="U1243" s="264">
        <v>67357.0</v>
      </c>
      <c r="V1243" s="265">
        <v>108400.0</v>
      </c>
      <c r="W1243" s="264">
        <v>67357.0</v>
      </c>
      <c r="X1243" s="266"/>
      <c r="Y1243" s="267">
        <v>-0.01</v>
      </c>
      <c r="Z1243" s="267">
        <v>0.9446131283406689</v>
      </c>
      <c r="AA1243" s="269"/>
      <c r="AB1243" s="270"/>
      <c r="AC1243" s="270"/>
      <c r="AD1243" s="270"/>
      <c r="AE1243" s="270"/>
    </row>
    <row r="1244">
      <c r="A1244" s="256">
        <f>IFERROR(__xludf.DUMMYFUNCTION("""COMPUTED_VALUE"""),42381.27222222222)</f>
        <v>42381.27222</v>
      </c>
      <c r="B1244" s="257" t="str">
        <f>IFERROR(__xludf.DUMMYFUNCTION("""COMPUTED_VALUE"""),"Rprp")</f>
        <v>Rprp</v>
      </c>
      <c r="C1244" s="258" t="str">
        <f>IFERROR(__xludf.DUMMYFUNCTION("""COMPUTED_VALUE"""),"Europe (excluding UK) &amp; Asia Pacific")</f>
        <v>Europe (excluding UK) &amp; Asia Pacific</v>
      </c>
      <c r="D1244" s="258" t="str">
        <f>IFERROR(__xludf.DUMMYFUNCTION("""COMPUTED_VALUE"""),"km. My car displays range in kilometres and I will enter all range numbers in kilometres.")</f>
        <v>km. My car displays range in kilometres and I will enter all range numbers in kilometres.</v>
      </c>
      <c r="E1244" s="259">
        <f>IFERROR(__xludf.DUMMYFUNCTION("""COMPUTED_VALUE"""),41639.0)</f>
        <v>41639</v>
      </c>
      <c r="F1244" s="258" t="str">
        <f>IFERROR(__xludf.DUMMYFUNCTION("""COMPUTED_VALUE"""),"Model S P85")</f>
        <v>Model S P85</v>
      </c>
      <c r="G1244" s="258" t="str">
        <f>IFERROR(__xludf.DUMMYFUNCTION("""COMPUTED_VALUE"""),"Weekly")</f>
        <v>Weekly</v>
      </c>
      <c r="H1244" s="258" t="str">
        <f>IFERROR(__xludf.DUMMYFUNCTION("""COMPUTED_VALUE"""),"Weekly")</f>
        <v>Weekly</v>
      </c>
      <c r="I1244" s="258" t="str">
        <f>IFERROR(__xludf.DUMMYFUNCTION("""COMPUTED_VALUE"""),"Weekly")</f>
        <v>Weekly</v>
      </c>
      <c r="J1244" s="260">
        <f>IFERROR(__xludf.DUMMYFUNCTION("""COMPUTED_VALUE"""),0.8)</f>
        <v>0.8</v>
      </c>
      <c r="K1244" s="258">
        <f>IFERROR(__xludf.DUMMYFUNCTION("""COMPUTED_VALUE"""),395.0)</f>
        <v>395</v>
      </c>
      <c r="L1244" s="258" t="str">
        <f>IFERROR(__xludf.DUMMYFUNCTION("""COMPUTED_VALUE"""),"")</f>
        <v/>
      </c>
      <c r="M1244" s="261">
        <f>IFERROR(__xludf.DUMMYFUNCTION("""COMPUTED_VALUE"""),233.0)</f>
        <v>233</v>
      </c>
      <c r="N1244" s="262" t="str">
        <f>IFERROR(__xludf.DUMMYFUNCTION("""COMPUTED_VALUE"""),"")</f>
        <v/>
      </c>
      <c r="O1244" s="259" t="str">
        <f>IFERROR(__xludf.DUMMYFUNCTION("""COMPUTED_VALUE"""),"")</f>
        <v/>
      </c>
      <c r="P1244" s="259">
        <f>IFERROR(__xludf.DUMMYFUNCTION("""COMPUTED_VALUE"""),42381.0)</f>
        <v>42381</v>
      </c>
      <c r="Q1244" s="258">
        <f>IFERROR(__xludf.DUMMYFUNCTION("""COMPUTED_VALUE"""),115000.0)</f>
        <v>115000</v>
      </c>
      <c r="R1244" s="261">
        <f>IFERROR(__xludf.DUMMYFUNCTION("""COMPUTED_VALUE"""),367.0)</f>
        <v>367</v>
      </c>
      <c r="S1244" s="258">
        <v>395.0</v>
      </c>
      <c r="T1244" s="263">
        <v>0.9291139240506329</v>
      </c>
      <c r="U1244" s="264">
        <v>71458.0</v>
      </c>
      <c r="V1244" s="265">
        <v>115000.0</v>
      </c>
      <c r="W1244" s="264">
        <v>71458.0</v>
      </c>
      <c r="X1244" s="266"/>
      <c r="Y1244" s="267">
        <v>-0.01</v>
      </c>
      <c r="Z1244" s="267">
        <v>0.9430730859374915</v>
      </c>
      <c r="AA1244" s="269"/>
      <c r="AB1244" s="270"/>
      <c r="AC1244" s="270"/>
      <c r="AD1244" s="270"/>
      <c r="AE1244" s="270"/>
    </row>
    <row r="1245">
      <c r="A1245" s="256">
        <f>IFERROR(__xludf.DUMMYFUNCTION("""COMPUTED_VALUE"""),42410.285416666666)</f>
        <v>42410.28542</v>
      </c>
      <c r="B1245" s="257" t="str">
        <f>IFERROR(__xludf.DUMMYFUNCTION("""COMPUTED_VALUE"""),"Rprp")</f>
        <v>Rprp</v>
      </c>
      <c r="C1245" s="258" t="str">
        <f>IFERROR(__xludf.DUMMYFUNCTION("""COMPUTED_VALUE"""),"Europe (excluding UK) &amp; Asia Pacific")</f>
        <v>Europe (excluding UK) &amp; Asia Pacific</v>
      </c>
      <c r="D1245" s="258" t="str">
        <f>IFERROR(__xludf.DUMMYFUNCTION("""COMPUTED_VALUE"""),"km. My car displays range in kilometres and I will enter all range numbers in kilometres.")</f>
        <v>km. My car displays range in kilometres and I will enter all range numbers in kilometres.</v>
      </c>
      <c r="E1245" s="259">
        <f>IFERROR(__xludf.DUMMYFUNCTION("""COMPUTED_VALUE"""),41639.0)</f>
        <v>41639</v>
      </c>
      <c r="F1245" s="258" t="str">
        <f>IFERROR(__xludf.DUMMYFUNCTION("""COMPUTED_VALUE"""),"Model S P85")</f>
        <v>Model S P85</v>
      </c>
      <c r="G1245" s="258" t="str">
        <f>IFERROR(__xludf.DUMMYFUNCTION("""COMPUTED_VALUE"""),"Weekly")</f>
        <v>Weekly</v>
      </c>
      <c r="H1245" s="258" t="str">
        <f>IFERROR(__xludf.DUMMYFUNCTION("""COMPUTED_VALUE"""),"")</f>
        <v/>
      </c>
      <c r="I1245" s="258" t="str">
        <f>IFERROR(__xludf.DUMMYFUNCTION("""COMPUTED_VALUE"""),"Once or twice a year")</f>
        <v>Once or twice a year</v>
      </c>
      <c r="J1245" s="260" t="str">
        <f>IFERROR(__xludf.DUMMYFUNCTION("""COMPUTED_VALUE"""),"")</f>
        <v/>
      </c>
      <c r="K1245" s="258" t="str">
        <f>IFERROR(__xludf.DUMMYFUNCTION("""COMPUTED_VALUE"""),"")</f>
        <v/>
      </c>
      <c r="L1245" s="258" t="str">
        <f>IFERROR(__xludf.DUMMYFUNCTION("""COMPUTED_VALUE"""),"")</f>
        <v/>
      </c>
      <c r="M1245" s="261">
        <f>IFERROR(__xludf.DUMMYFUNCTION("""COMPUTED_VALUE"""),233.0)</f>
        <v>233</v>
      </c>
      <c r="N1245" s="262" t="str">
        <f>IFERROR(__xludf.DUMMYFUNCTION("""COMPUTED_VALUE"""),"")</f>
        <v/>
      </c>
      <c r="O1245" s="259" t="str">
        <f>IFERROR(__xludf.DUMMYFUNCTION("""COMPUTED_VALUE"""),"")</f>
        <v/>
      </c>
      <c r="P1245" s="259">
        <f>IFERROR(__xludf.DUMMYFUNCTION("""COMPUTED_VALUE"""),42410.0)</f>
        <v>42410</v>
      </c>
      <c r="Q1245" s="258">
        <f>IFERROR(__xludf.DUMMYFUNCTION("""COMPUTED_VALUE"""),120000.0)</f>
        <v>120000</v>
      </c>
      <c r="R1245" s="261">
        <f>IFERROR(__xludf.DUMMYFUNCTION("""COMPUTED_VALUE"""),369.0)</f>
        <v>369</v>
      </c>
      <c r="S1245" s="258">
        <v>395.0</v>
      </c>
      <c r="T1245" s="263">
        <v>0.9341772151898734</v>
      </c>
      <c r="U1245" s="264">
        <v>74565.0</v>
      </c>
      <c r="V1245" s="265">
        <v>120000.0</v>
      </c>
      <c r="W1245" s="264">
        <v>74565.0</v>
      </c>
      <c r="X1245" s="266"/>
      <c r="Y1245" s="267">
        <v>-0.01</v>
      </c>
      <c r="Z1245" s="267">
        <v>0.9419102660523042</v>
      </c>
      <c r="AA1245" s="269"/>
      <c r="AB1245" s="270"/>
      <c r="AC1245" s="270"/>
      <c r="AD1245" s="270"/>
      <c r="AE1245" s="270"/>
    </row>
    <row r="1246">
      <c r="A1246" s="256">
        <f>IFERROR(__xludf.DUMMYFUNCTION("""COMPUTED_VALUE"""),42440.30416666667)</f>
        <v>42440.30417</v>
      </c>
      <c r="B1246" s="257" t="str">
        <f>IFERROR(__xludf.DUMMYFUNCTION("""COMPUTED_VALUE"""),"Rprp 90D")</f>
        <v>Rprp 90D</v>
      </c>
      <c r="C1246" s="258" t="str">
        <f>IFERROR(__xludf.DUMMYFUNCTION("""COMPUTED_VALUE"""),"Europe (excluding UK) &amp; Asia Pacific")</f>
        <v>Europe (excluding UK) &amp; Asia Pacific</v>
      </c>
      <c r="D1246" s="258" t="str">
        <f>IFERROR(__xludf.DUMMYFUNCTION("""COMPUTED_VALUE"""),"km. My car displays range in kilometres and I will enter all range numbers in kilometres.")</f>
        <v>km. My car displays range in kilometres and I will enter all range numbers in kilometres.</v>
      </c>
      <c r="E1246" s="259">
        <f>IFERROR(__xludf.DUMMYFUNCTION("""COMPUTED_VALUE"""),42439.0)</f>
        <v>42439</v>
      </c>
      <c r="F1246" s="258" t="str">
        <f>IFERROR(__xludf.DUMMYFUNCTION("""COMPUTED_VALUE"""),"Model S 90D")</f>
        <v>Model S 90D</v>
      </c>
      <c r="G1246" s="258" t="str">
        <f>IFERROR(__xludf.DUMMYFUNCTION("""COMPUTED_VALUE"""),"")</f>
        <v/>
      </c>
      <c r="H1246" s="258" t="str">
        <f>IFERROR(__xludf.DUMMYFUNCTION("""COMPUTED_VALUE"""),"")</f>
        <v/>
      </c>
      <c r="I1246" s="258" t="str">
        <f>IFERROR(__xludf.DUMMYFUNCTION("""COMPUTED_VALUE"""),"")</f>
        <v/>
      </c>
      <c r="J1246" s="260" t="str">
        <f>IFERROR(__xludf.DUMMYFUNCTION("""COMPUTED_VALUE"""),"")</f>
        <v/>
      </c>
      <c r="K1246" s="258" t="str">
        <f>IFERROR(__xludf.DUMMYFUNCTION("""COMPUTED_VALUE"""),"")</f>
        <v/>
      </c>
      <c r="L1246" s="258" t="str">
        <f>IFERROR(__xludf.DUMMYFUNCTION("""COMPUTED_VALUE"""),"")</f>
        <v/>
      </c>
      <c r="M1246" s="261">
        <f>IFERROR(__xludf.DUMMYFUNCTION("""COMPUTED_VALUE"""),218.0)</f>
        <v>218</v>
      </c>
      <c r="N1246" s="262" t="str">
        <f>IFERROR(__xludf.DUMMYFUNCTION("""COMPUTED_VALUE"""),"")</f>
        <v/>
      </c>
      <c r="O1246" s="259" t="str">
        <f>IFERROR(__xludf.DUMMYFUNCTION("""COMPUTED_VALUE"""),"")</f>
        <v/>
      </c>
      <c r="P1246" s="259">
        <f>IFERROR(__xludf.DUMMYFUNCTION("""COMPUTED_VALUE"""),42440.0)</f>
        <v>42440</v>
      </c>
      <c r="Q1246" s="258">
        <f>IFERROR(__xludf.DUMMYFUNCTION("""COMPUTED_VALUE"""),300.0)</f>
        <v>300</v>
      </c>
      <c r="R1246" s="261">
        <f>IFERROR(__xludf.DUMMYFUNCTION("""COMPUTED_VALUE"""),458.0)</f>
        <v>458</v>
      </c>
      <c r="S1246" s="258">
        <v>447.0</v>
      </c>
      <c r="T1246" s="263">
        <v>1.0246085011185682</v>
      </c>
      <c r="U1246" s="264">
        <v>186.0</v>
      </c>
      <c r="V1246" s="265">
        <v>300.0</v>
      </c>
      <c r="W1246" s="264">
        <v>186.0</v>
      </c>
      <c r="X1246" s="266"/>
      <c r="Y1246" s="267">
        <v>-0.01</v>
      </c>
      <c r="Z1246" s="267">
        <v>0.9994044703563436</v>
      </c>
      <c r="AA1246" s="269"/>
      <c r="AB1246" s="270"/>
      <c r="AC1246" s="270"/>
      <c r="AD1246" s="270"/>
      <c r="AE1246" s="270"/>
    </row>
    <row r="1247">
      <c r="A1247" s="256">
        <f>IFERROR(__xludf.DUMMYFUNCTION("""COMPUTED_VALUE"""),42559.35972222222)</f>
        <v>42559.35972</v>
      </c>
      <c r="B1247" s="257" t="str">
        <f>IFERROR(__xludf.DUMMYFUNCTION("""COMPUTED_VALUE"""),"Rprp 90D")</f>
        <v>Rprp 90D</v>
      </c>
      <c r="C1247" s="258" t="str">
        <f>IFERROR(__xludf.DUMMYFUNCTION("""COMPUTED_VALUE"""),"Europe (excluding UK) &amp; Asia Pacific")</f>
        <v>Europe (excluding UK) &amp; Asia Pacific</v>
      </c>
      <c r="D1247" s="258" t="str">
        <f>IFERROR(__xludf.DUMMYFUNCTION("""COMPUTED_VALUE"""),"km. My car displays range in kilometres and I will enter all range numbers in kilometres.")</f>
        <v>km. My car displays range in kilometres and I will enter all range numbers in kilometres.</v>
      </c>
      <c r="E1247" s="259">
        <f>IFERROR(__xludf.DUMMYFUNCTION("""COMPUTED_VALUE"""),42439.0)</f>
        <v>42439</v>
      </c>
      <c r="F1247" s="258" t="str">
        <f>IFERROR(__xludf.DUMMYFUNCTION("""COMPUTED_VALUE"""),"Model S 90D")</f>
        <v>Model S 90D</v>
      </c>
      <c r="G1247" s="258" t="str">
        <f>IFERROR(__xludf.DUMMYFUNCTION("""COMPUTED_VALUE"""),"")</f>
        <v/>
      </c>
      <c r="H1247" s="258" t="str">
        <f>IFERROR(__xludf.DUMMYFUNCTION("""COMPUTED_VALUE"""),"")</f>
        <v/>
      </c>
      <c r="I1247" s="258" t="str">
        <f>IFERROR(__xludf.DUMMYFUNCTION("""COMPUTED_VALUE"""),"")</f>
        <v/>
      </c>
      <c r="J1247" s="260" t="str">
        <f>IFERROR(__xludf.DUMMYFUNCTION("""COMPUTED_VALUE"""),"")</f>
        <v/>
      </c>
      <c r="K1247" s="258" t="str">
        <f>IFERROR(__xludf.DUMMYFUNCTION("""COMPUTED_VALUE"""),"")</f>
        <v/>
      </c>
      <c r="L1247" s="258" t="str">
        <f>IFERROR(__xludf.DUMMYFUNCTION("""COMPUTED_VALUE"""),"")</f>
        <v/>
      </c>
      <c r="M1247" s="261">
        <f>IFERROR(__xludf.DUMMYFUNCTION("""COMPUTED_VALUE"""),225.0)</f>
        <v>225</v>
      </c>
      <c r="N1247" s="262" t="str">
        <f>IFERROR(__xludf.DUMMYFUNCTION("""COMPUTED_VALUE"""),"")</f>
        <v/>
      </c>
      <c r="O1247" s="259" t="str">
        <f>IFERROR(__xludf.DUMMYFUNCTION("""COMPUTED_VALUE"""),"")</f>
        <v/>
      </c>
      <c r="P1247" s="259">
        <f>IFERROR(__xludf.DUMMYFUNCTION("""COMPUTED_VALUE"""),42559.0)</f>
        <v>42559</v>
      </c>
      <c r="Q1247" s="258">
        <f>IFERROR(__xludf.DUMMYFUNCTION("""COMPUTED_VALUE"""),15000.0)</f>
        <v>15000</v>
      </c>
      <c r="R1247" s="261">
        <f>IFERROR(__xludf.DUMMYFUNCTION("""COMPUTED_VALUE"""),447.0)</f>
        <v>447</v>
      </c>
      <c r="S1247" s="258">
        <v>447.0</v>
      </c>
      <c r="T1247" s="263">
        <v>1.0</v>
      </c>
      <c r="U1247" s="264">
        <v>9321.0</v>
      </c>
      <c r="V1247" s="265">
        <v>15000.0</v>
      </c>
      <c r="W1247" s="264">
        <v>9321.0</v>
      </c>
      <c r="X1247" s="266"/>
      <c r="Y1247" s="267">
        <v>-0.01</v>
      </c>
      <c r="Z1247" s="267">
        <v>0.978826222662165</v>
      </c>
      <c r="AA1247" s="269"/>
      <c r="AB1247" s="270"/>
      <c r="AC1247" s="270"/>
      <c r="AD1247" s="270"/>
      <c r="AE1247" s="270"/>
    </row>
    <row r="1248">
      <c r="A1248" s="256">
        <f>IFERROR(__xludf.DUMMYFUNCTION("""COMPUTED_VALUE"""),42611.38611111111)</f>
        <v>42611.38611</v>
      </c>
      <c r="B1248" s="257" t="str">
        <f>IFERROR(__xludf.DUMMYFUNCTION("""COMPUTED_VALUE"""),"Rprp 90D")</f>
        <v>Rprp 90D</v>
      </c>
      <c r="C1248" s="258" t="str">
        <f>IFERROR(__xludf.DUMMYFUNCTION("""COMPUTED_VALUE"""),"Europe (excluding UK) &amp; Asia Pacific")</f>
        <v>Europe (excluding UK) &amp; Asia Pacific</v>
      </c>
      <c r="D1248" s="258" t="str">
        <f>IFERROR(__xludf.DUMMYFUNCTION("""COMPUTED_VALUE"""),"km. My car displays range in kilometres and I will enter all range numbers in kilometres.")</f>
        <v>km. My car displays range in kilometres and I will enter all range numbers in kilometres.</v>
      </c>
      <c r="E1248" s="259">
        <f>IFERROR(__xludf.DUMMYFUNCTION("""COMPUTED_VALUE"""),42439.0)</f>
        <v>42439</v>
      </c>
      <c r="F1248" s="258" t="str">
        <f>IFERROR(__xludf.DUMMYFUNCTION("""COMPUTED_VALUE"""),"Model S 90D")</f>
        <v>Model S 90D</v>
      </c>
      <c r="G1248" s="258" t="str">
        <f>IFERROR(__xludf.DUMMYFUNCTION("""COMPUTED_VALUE"""),"")</f>
        <v/>
      </c>
      <c r="H1248" s="258" t="str">
        <f>IFERROR(__xludf.DUMMYFUNCTION("""COMPUTED_VALUE"""),"")</f>
        <v/>
      </c>
      <c r="I1248" s="258" t="str">
        <f>IFERROR(__xludf.DUMMYFUNCTION("""COMPUTED_VALUE"""),"")</f>
        <v/>
      </c>
      <c r="J1248" s="260" t="str">
        <f>IFERROR(__xludf.DUMMYFUNCTION("""COMPUTED_VALUE"""),"")</f>
        <v/>
      </c>
      <c r="K1248" s="258" t="str">
        <f>IFERROR(__xludf.DUMMYFUNCTION("""COMPUTED_VALUE"""),"")</f>
        <v/>
      </c>
      <c r="L1248" s="258" t="str">
        <f>IFERROR(__xludf.DUMMYFUNCTION("""COMPUTED_VALUE"""),"")</f>
        <v/>
      </c>
      <c r="M1248" s="261">
        <f>IFERROR(__xludf.DUMMYFUNCTION("""COMPUTED_VALUE"""),218.0)</f>
        <v>218</v>
      </c>
      <c r="N1248" s="262" t="str">
        <f>IFERROR(__xludf.DUMMYFUNCTION("""COMPUTED_VALUE"""),"")</f>
        <v/>
      </c>
      <c r="O1248" s="259" t="str">
        <f>IFERROR(__xludf.DUMMYFUNCTION("""COMPUTED_VALUE"""),"")</f>
        <v/>
      </c>
      <c r="P1248" s="259">
        <f>IFERROR(__xludf.DUMMYFUNCTION("""COMPUTED_VALUE"""),42611.0)</f>
        <v>42611</v>
      </c>
      <c r="Q1248" s="258">
        <f>IFERROR(__xludf.DUMMYFUNCTION("""COMPUTED_VALUE"""),20000.0)</f>
        <v>20000</v>
      </c>
      <c r="R1248" s="261">
        <f>IFERROR(__xludf.DUMMYFUNCTION("""COMPUTED_VALUE"""),447.0)</f>
        <v>447</v>
      </c>
      <c r="S1248" s="258">
        <v>447.0</v>
      </c>
      <c r="T1248" s="263">
        <v>1.0</v>
      </c>
      <c r="U1248" s="264">
        <v>12427.0</v>
      </c>
      <c r="V1248" s="265">
        <v>20000.0</v>
      </c>
      <c r="W1248" s="264">
        <v>12427.0</v>
      </c>
      <c r="X1248" s="266"/>
      <c r="Y1248" s="267">
        <v>-0.01</v>
      </c>
      <c r="Z1248" s="267">
        <v>0.9744626396703288</v>
      </c>
      <c r="AA1248" s="269"/>
      <c r="AB1248" s="270"/>
      <c r="AC1248" s="270"/>
      <c r="AD1248" s="270"/>
      <c r="AE1248" s="270"/>
    </row>
    <row r="1249">
      <c r="A1249" s="256">
        <f>IFERROR(__xludf.DUMMYFUNCTION("""COMPUTED_VALUE"""),42839.82430555555)</f>
        <v>42839.82431</v>
      </c>
      <c r="B1249" s="257" t="str">
        <f>IFERROR(__xludf.DUMMYFUNCTION("""COMPUTED_VALUE"""),"RSayer")</f>
        <v>RSayer</v>
      </c>
      <c r="C1249" s="258" t="str">
        <f>IFERROR(__xludf.DUMMYFUNCTION("""COMPUTED_VALUE"""),"USA")</f>
        <v>USA</v>
      </c>
      <c r="D1249" s="258" t="str">
        <f>IFERROR(__xludf.DUMMYFUNCTION("""COMPUTED_VALUE"""),"mi. My car displays range in miles and I will enter all range numbers in miles.")</f>
        <v>mi. My car displays range in miles and I will enter all range numbers in miles.</v>
      </c>
      <c r="E1249" s="259">
        <f>IFERROR(__xludf.DUMMYFUNCTION("""COMPUTED_VALUE"""),41274.0)</f>
        <v>41274</v>
      </c>
      <c r="F1249" s="258" t="str">
        <f>IFERROR(__xludf.DUMMYFUNCTION("""COMPUTED_VALUE"""),"Model S P85")</f>
        <v>Model S P85</v>
      </c>
      <c r="G1249" s="258" t="str">
        <f>IFERROR(__xludf.DUMMYFUNCTION("""COMPUTED_VALUE"""),"Monthly")</f>
        <v>Monthly</v>
      </c>
      <c r="H1249" s="258" t="str">
        <f>IFERROR(__xludf.DUMMYFUNCTION("""COMPUTED_VALUE"""),"A few times a year")</f>
        <v>A few times a year</v>
      </c>
      <c r="I1249" s="258" t="str">
        <f>IFERROR(__xludf.DUMMYFUNCTION("""COMPUTED_VALUE"""),"Never")</f>
        <v>Never</v>
      </c>
      <c r="J1249" s="260">
        <f>IFERROR(__xludf.DUMMYFUNCTION("""COMPUTED_VALUE"""),0.9)</f>
        <v>0.9</v>
      </c>
      <c r="K1249" s="258">
        <f>IFERROR(__xludf.DUMMYFUNCTION("""COMPUTED_VALUE"""),248.0)</f>
        <v>248</v>
      </c>
      <c r="L1249" s="258" t="str">
        <f>IFERROR(__xludf.DUMMYFUNCTION("""COMPUTED_VALUE"""),"")</f>
        <v/>
      </c>
      <c r="M1249" s="261">
        <f>IFERROR(__xludf.DUMMYFUNCTION("""COMPUTED_VALUE"""),346.0)</f>
        <v>346</v>
      </c>
      <c r="N1249" s="262" t="str">
        <f>IFERROR(__xludf.DUMMYFUNCTION("""COMPUTED_VALUE"""),"")</f>
        <v/>
      </c>
      <c r="O1249" s="259" t="str">
        <f>IFERROR(__xludf.DUMMYFUNCTION("""COMPUTED_VALUE"""),"")</f>
        <v/>
      </c>
      <c r="P1249" s="259">
        <f>IFERROR(__xludf.DUMMYFUNCTION("""COMPUTED_VALUE"""),42839.0)</f>
        <v>42839</v>
      </c>
      <c r="Q1249" s="258">
        <f>IFERROR(__xludf.DUMMYFUNCTION("""COMPUTED_VALUE"""),66000.0)</f>
        <v>66000</v>
      </c>
      <c r="R1249" s="261">
        <f>IFERROR(__xludf.DUMMYFUNCTION("""COMPUTED_VALUE"""),244.0)</f>
        <v>244</v>
      </c>
      <c r="S1249" s="258">
        <v>266.0</v>
      </c>
      <c r="T1249" s="263">
        <v>0.9172932330827067</v>
      </c>
      <c r="U1249" s="264">
        <v>66000.0</v>
      </c>
      <c r="V1249" s="265">
        <v>106217.0</v>
      </c>
      <c r="W1249" s="264">
        <v>66000.0</v>
      </c>
      <c r="X1249" s="266"/>
      <c r="Y1249" s="267">
        <v>-0.01</v>
      </c>
      <c r="Z1249" s="267">
        <v>0.945124177577285</v>
      </c>
      <c r="AA1249" s="269"/>
      <c r="AB1249" s="270"/>
      <c r="AC1249" s="270"/>
      <c r="AD1249" s="270"/>
      <c r="AE1249" s="270"/>
    </row>
    <row r="1250">
      <c r="A1250" s="256">
        <f>IFERROR(__xludf.DUMMYFUNCTION("""COMPUTED_VALUE"""),43775.654953888894)</f>
        <v>43775.65495</v>
      </c>
      <c r="B1250" s="257" t="str">
        <f>IFERROR(__xludf.DUMMYFUNCTION("""COMPUTED_VALUE"""),"rsp")</f>
        <v>rsp</v>
      </c>
      <c r="C1250" s="258" t="str">
        <f>IFERROR(__xludf.DUMMYFUNCTION("""COMPUTED_VALUE"""),"Europe (excluding UK) &amp; Asia Pacific")</f>
        <v>Europe (excluding UK) &amp; Asia Pacific</v>
      </c>
      <c r="D1250" s="258" t="str">
        <f>IFERROR(__xludf.DUMMYFUNCTION("""COMPUTED_VALUE"""),"km. My car displays range in kilometres and I will enter all range numbers in kilometres.")</f>
        <v>km. My car displays range in kilometres and I will enter all range numbers in kilometres.</v>
      </c>
      <c r="E1250" s="259">
        <f>IFERROR(__xludf.DUMMYFUNCTION("""COMPUTED_VALUE"""),43352.0)</f>
        <v>43352</v>
      </c>
      <c r="F1250" s="258" t="str">
        <f>IFERROR(__xludf.DUMMYFUNCTION("""COMPUTED_VALUE"""),"Model S 75D")</f>
        <v>Model S 75D</v>
      </c>
      <c r="G1250" s="258" t="str">
        <f>IFERROR(__xludf.DUMMYFUNCTION("""COMPUTED_VALUE"""),"A few times a year")</f>
        <v>A few times a year</v>
      </c>
      <c r="H1250" s="258" t="str">
        <f>IFERROR(__xludf.DUMMYFUNCTION("""COMPUTED_VALUE"""),"A few times a year")</f>
        <v>A few times a year</v>
      </c>
      <c r="I1250" s="258" t="str">
        <f>IFERROR(__xludf.DUMMYFUNCTION("""COMPUTED_VALUE"""),"")</f>
        <v/>
      </c>
      <c r="J1250" s="260">
        <f>IFERROR(__xludf.DUMMYFUNCTION("""COMPUTED_VALUE"""),0.8)</f>
        <v>0.8</v>
      </c>
      <c r="K1250" s="258" t="str">
        <f>IFERROR(__xludf.DUMMYFUNCTION("""COMPUTED_VALUE"""),"")</f>
        <v/>
      </c>
      <c r="L1250" s="258" t="str">
        <f>IFERROR(__xludf.DUMMYFUNCTION("""COMPUTED_VALUE"""),"")</f>
        <v/>
      </c>
      <c r="M1250" s="261">
        <f>IFERROR(__xludf.DUMMYFUNCTION("""COMPUTED_VALUE"""),200.0)</f>
        <v>200</v>
      </c>
      <c r="N1250" s="262" t="str">
        <f>IFERROR(__xludf.DUMMYFUNCTION("""COMPUTED_VALUE"""),"")</f>
        <v/>
      </c>
      <c r="O1250" s="259" t="str">
        <f>IFERROR(__xludf.DUMMYFUNCTION("""COMPUTED_VALUE"""),"")</f>
        <v/>
      </c>
      <c r="P1250" s="259">
        <f>IFERROR(__xludf.DUMMYFUNCTION("""COMPUTED_VALUE"""),43647.0)</f>
        <v>43647</v>
      </c>
      <c r="Q1250" s="258">
        <f>IFERROR(__xludf.DUMMYFUNCTION("""COMPUTED_VALUE"""),25000.0)</f>
        <v>25000</v>
      </c>
      <c r="R1250" s="261">
        <f>IFERROR(__xludf.DUMMYFUNCTION("""COMPUTED_VALUE"""),370.0)</f>
        <v>370</v>
      </c>
      <c r="S1250" s="258">
        <v>384.0</v>
      </c>
      <c r="T1250" s="263">
        <v>0.9635416666666666</v>
      </c>
      <c r="U1250" s="264">
        <v>15534.0</v>
      </c>
      <c r="V1250" s="265">
        <v>25000.0</v>
      </c>
      <c r="W1250" s="264">
        <v>15534.0</v>
      </c>
      <c r="X1250" s="266"/>
      <c r="Y1250" s="267">
        <v>-0.01</v>
      </c>
      <c r="Z1250" s="267">
        <v>0.9709088935731226</v>
      </c>
      <c r="AA1250" s="269"/>
      <c r="AB1250" s="270"/>
      <c r="AC1250" s="270"/>
      <c r="AD1250" s="270"/>
      <c r="AE1250" s="270"/>
    </row>
    <row r="1251">
      <c r="A1251" s="256">
        <f>IFERROR(__xludf.DUMMYFUNCTION("""COMPUTED_VALUE"""),42919.55625)</f>
        <v>42919.55625</v>
      </c>
      <c r="B1251" s="257" t="str">
        <f>IFERROR(__xludf.DUMMYFUNCTION("""COMPUTED_VALUE"""),"rsvarthur")</f>
        <v>rsvarthur</v>
      </c>
      <c r="C1251" s="258" t="str">
        <f>IFERROR(__xludf.DUMMYFUNCTION("""COMPUTED_VALUE"""),"Europe (excluding UK) &amp; Asia Pacific")</f>
        <v>Europe (excluding UK) &amp; Asia Pacific</v>
      </c>
      <c r="D1251" s="258" t="str">
        <f>IFERROR(__xludf.DUMMYFUNCTION("""COMPUTED_VALUE"""),"km. My car displays range in kilometres and I will enter all range numbers in kilometres.")</f>
        <v>km. My car displays range in kilometres and I will enter all range numbers in kilometres.</v>
      </c>
      <c r="E1251" s="259">
        <f>IFERROR(__xludf.DUMMYFUNCTION("""COMPUTED_VALUE"""),41527.0)</f>
        <v>41527</v>
      </c>
      <c r="F1251" s="258" t="str">
        <f>IFERROR(__xludf.DUMMYFUNCTION("""COMPUTED_VALUE"""),"Model S P85")</f>
        <v>Model S P85</v>
      </c>
      <c r="G1251" s="258" t="str">
        <f>IFERROR(__xludf.DUMMYFUNCTION("""COMPUTED_VALUE"""),"Twice a month")</f>
        <v>Twice a month</v>
      </c>
      <c r="H1251" s="258" t="str">
        <f>IFERROR(__xludf.DUMMYFUNCTION("""COMPUTED_VALUE"""),"Twice a week")</f>
        <v>Twice a week</v>
      </c>
      <c r="I1251" s="258" t="str">
        <f>IFERROR(__xludf.DUMMYFUNCTION("""COMPUTED_VALUE"""),"Twice a month")</f>
        <v>Twice a month</v>
      </c>
      <c r="J1251" s="260">
        <f>IFERROR(__xludf.DUMMYFUNCTION("""COMPUTED_VALUE"""),0.9)</f>
        <v>0.9</v>
      </c>
      <c r="K1251" s="258">
        <f>IFERROR(__xludf.DUMMYFUNCTION("""COMPUTED_VALUE"""),395.0)</f>
        <v>395</v>
      </c>
      <c r="L1251" s="258" t="str">
        <f>IFERROR(__xludf.DUMMYFUNCTION("""COMPUTED_VALUE"""),"")</f>
        <v/>
      </c>
      <c r="M1251" s="261">
        <f>IFERROR(__xludf.DUMMYFUNCTION("""COMPUTED_VALUE"""),223.0)</f>
        <v>223</v>
      </c>
      <c r="N1251" s="262">
        <f>IFERROR(__xludf.DUMMYFUNCTION("""COMPUTED_VALUE"""),20000.0)</f>
        <v>20000</v>
      </c>
      <c r="O1251" s="259" t="str">
        <f>IFERROR(__xludf.DUMMYFUNCTION("""COMPUTED_VALUE"""),"I don't know")</f>
        <v>I don't know</v>
      </c>
      <c r="P1251" s="259">
        <f>IFERROR(__xludf.DUMMYFUNCTION("""COMPUTED_VALUE"""),42919.0)</f>
        <v>42919</v>
      </c>
      <c r="Q1251" s="258">
        <f>IFERROR(__xludf.DUMMYFUNCTION("""COMPUTED_VALUE"""),206254.0)</f>
        <v>206254</v>
      </c>
      <c r="R1251" s="261">
        <f>IFERROR(__xludf.DUMMYFUNCTION("""COMPUTED_VALUE"""),367.0)</f>
        <v>367</v>
      </c>
      <c r="S1251" s="258">
        <v>395.0</v>
      </c>
      <c r="T1251" s="263">
        <v>0.9291139240506329</v>
      </c>
      <c r="U1251" s="264">
        <v>128160.0</v>
      </c>
      <c r="V1251" s="265">
        <v>206254.0</v>
      </c>
      <c r="W1251" s="264">
        <v>128160.0</v>
      </c>
      <c r="X1251" s="266"/>
      <c r="Y1251" s="267">
        <v>-0.01</v>
      </c>
      <c r="Z1251" s="267">
        <v>0.9219878160527049</v>
      </c>
      <c r="AA1251" s="269"/>
      <c r="AB1251" s="270"/>
      <c r="AC1251" s="270"/>
      <c r="AD1251" s="270"/>
      <c r="AE1251" s="270"/>
    </row>
    <row r="1252">
      <c r="A1252" s="256">
        <f>IFERROR(__xludf.DUMMYFUNCTION("""COMPUTED_VALUE"""),41920.03125)</f>
        <v>41920.03125</v>
      </c>
      <c r="B1252" s="257" t="str">
        <f>IFERROR(__xludf.DUMMYFUNCTION("""COMPUTED_VALUE"""),"Ruben7113")</f>
        <v>Ruben7113</v>
      </c>
      <c r="C1252" s="258" t="str">
        <f>IFERROR(__xludf.DUMMYFUNCTION("""COMPUTED_VALUE"""),"Europe (excluding UK) &amp; Asia Pacific")</f>
        <v>Europe (excluding UK) &amp; Asia Pacific</v>
      </c>
      <c r="D1252" s="258" t="str">
        <f>IFERROR(__xludf.DUMMYFUNCTION("""COMPUTED_VALUE"""),"km. My car displays range in kilometres and I will enter all range numbers in kilometres.")</f>
        <v>km. My car displays range in kilometres and I will enter all range numbers in kilometres.</v>
      </c>
      <c r="E1252" s="259">
        <f>IFERROR(__xludf.DUMMYFUNCTION("""COMPUTED_VALUE"""),41601.0)</f>
        <v>41601</v>
      </c>
      <c r="F1252" s="258" t="str">
        <f>IFERROR(__xludf.DUMMYFUNCTION("""COMPUTED_VALUE"""),"Unspecified 85 kWh")</f>
        <v>Unspecified 85 kWh</v>
      </c>
      <c r="G1252" s="258" t="str">
        <f>IFERROR(__xludf.DUMMYFUNCTION("""COMPUTED_VALUE"""),"Monthly")</f>
        <v>Monthly</v>
      </c>
      <c r="H1252" s="258" t="str">
        <f>IFERROR(__xludf.DUMMYFUNCTION("""COMPUTED_VALUE"""),"Monthly")</f>
        <v>Monthly</v>
      </c>
      <c r="I1252" s="258" t="str">
        <f>IFERROR(__xludf.DUMMYFUNCTION("""COMPUTED_VALUE"""),"Never")</f>
        <v>Never</v>
      </c>
      <c r="J1252" s="260" t="str">
        <f>IFERROR(__xludf.DUMMYFUNCTION("""COMPUTED_VALUE"""),"")</f>
        <v/>
      </c>
      <c r="K1252" s="258" t="str">
        <f>IFERROR(__xludf.DUMMYFUNCTION("""COMPUTED_VALUE"""),"")</f>
        <v/>
      </c>
      <c r="L1252" s="258" t="str">
        <f>IFERROR(__xludf.DUMMYFUNCTION("""COMPUTED_VALUE"""),"")</f>
        <v/>
      </c>
      <c r="M1252" s="261">
        <f>IFERROR(__xludf.DUMMYFUNCTION("""COMPUTED_VALUE"""),218.0)</f>
        <v>218</v>
      </c>
      <c r="N1252" s="262">
        <f>IFERROR(__xludf.DUMMYFUNCTION("""COMPUTED_VALUE"""),10000.0)</f>
        <v>10000</v>
      </c>
      <c r="O1252" s="259" t="str">
        <f>IFERROR(__xludf.DUMMYFUNCTION("""COMPUTED_VALUE"""),"I don't know")</f>
        <v>I don't know</v>
      </c>
      <c r="P1252" s="259">
        <f>IFERROR(__xludf.DUMMYFUNCTION("""COMPUTED_VALUE"""),41920.0)</f>
        <v>41920</v>
      </c>
      <c r="Q1252" s="258">
        <f>IFERROR(__xludf.DUMMYFUNCTION("""COMPUTED_VALUE"""),21600.0)</f>
        <v>21600</v>
      </c>
      <c r="R1252" s="261">
        <f>IFERROR(__xludf.DUMMYFUNCTION("""COMPUTED_VALUE"""),385.0)</f>
        <v>385</v>
      </c>
      <c r="S1252" s="258">
        <v>395.0</v>
      </c>
      <c r="T1252" s="263">
        <v>0.9746835443037974</v>
      </c>
      <c r="U1252" s="264">
        <v>13422.0</v>
      </c>
      <c r="V1252" s="265">
        <v>21600.0</v>
      </c>
      <c r="W1252" s="264">
        <v>13422.0</v>
      </c>
      <c r="X1252" s="266"/>
      <c r="Y1252" s="267">
        <v>-0.01</v>
      </c>
      <c r="Z1252" s="267">
        <v>0.9732483127214292</v>
      </c>
      <c r="AA1252" s="269"/>
      <c r="AB1252" s="270"/>
      <c r="AC1252" s="270"/>
      <c r="AD1252" s="270"/>
      <c r="AE1252" s="270"/>
    </row>
    <row r="1253">
      <c r="A1253" s="256">
        <f>IFERROR(__xludf.DUMMYFUNCTION("""COMPUTED_VALUE"""),41900.00486111111)</f>
        <v>41900.00486</v>
      </c>
      <c r="B1253" s="257" t="str">
        <f>IFERROR(__xludf.DUMMYFUNCTION("""COMPUTED_VALUE"""),"S-19910")</f>
        <v>S-19910</v>
      </c>
      <c r="C1253" s="258" t="str">
        <f>IFERROR(__xludf.DUMMYFUNCTION("""COMPUTED_VALUE"""),"Europe (excluding UK) &amp; Asia Pacific")</f>
        <v>Europe (excluding UK) &amp; Asia Pacific</v>
      </c>
      <c r="D1253" s="258" t="str">
        <f>IFERROR(__xludf.DUMMYFUNCTION("""COMPUTED_VALUE"""),"km. My car displays range in kilometres and I will enter all range numbers in kilometres.")</f>
        <v>km. My car displays range in kilometres and I will enter all range numbers in kilometres.</v>
      </c>
      <c r="E1253" s="259">
        <f>IFERROR(__xludf.DUMMYFUNCTION("""COMPUTED_VALUE"""),41604.0)</f>
        <v>41604</v>
      </c>
      <c r="F1253" s="258" t="str">
        <f>IFERROR(__xludf.DUMMYFUNCTION("""COMPUTED_VALUE"""),"Model S P85")</f>
        <v>Model S P85</v>
      </c>
      <c r="G1253" s="258" t="str">
        <f>IFERROR(__xludf.DUMMYFUNCTION("""COMPUTED_VALUE"""),"Twice a month")</f>
        <v>Twice a month</v>
      </c>
      <c r="H1253" s="258" t="str">
        <f>IFERROR(__xludf.DUMMYFUNCTION("""COMPUTED_VALUE"""),"Twice a month")</f>
        <v>Twice a month</v>
      </c>
      <c r="I1253" s="258" t="str">
        <f>IFERROR(__xludf.DUMMYFUNCTION("""COMPUTED_VALUE"""),"Once or twice a year")</f>
        <v>Once or twice a year</v>
      </c>
      <c r="J1253" s="260">
        <f>IFERROR(__xludf.DUMMYFUNCTION("""COMPUTED_VALUE"""),0.9)</f>
        <v>0.9</v>
      </c>
      <c r="K1253" s="258">
        <f>IFERROR(__xludf.DUMMYFUNCTION("""COMPUTED_VALUE"""),399.0)</f>
        <v>399</v>
      </c>
      <c r="L1253" s="258" t="str">
        <f>IFERROR(__xludf.DUMMYFUNCTION("""COMPUTED_VALUE"""),"")</f>
        <v/>
      </c>
      <c r="M1253" s="261">
        <f>IFERROR(__xludf.DUMMYFUNCTION("""COMPUTED_VALUE"""),218.0)</f>
        <v>218</v>
      </c>
      <c r="N1253" s="262" t="str">
        <f>IFERROR(__xludf.DUMMYFUNCTION("""COMPUTED_VALUE"""),"")</f>
        <v/>
      </c>
      <c r="O1253" s="259" t="str">
        <f>IFERROR(__xludf.DUMMYFUNCTION("""COMPUTED_VALUE"""),"")</f>
        <v/>
      </c>
      <c r="P1253" s="259">
        <f>IFERROR(__xludf.DUMMYFUNCTION("""COMPUTED_VALUE"""),41900.0)</f>
        <v>41900</v>
      </c>
      <c r="Q1253" s="258">
        <f>IFERROR(__xludf.DUMMYFUNCTION("""COMPUTED_VALUE"""),47352.0)</f>
        <v>47352</v>
      </c>
      <c r="R1253" s="261">
        <f>IFERROR(__xludf.DUMMYFUNCTION("""COMPUTED_VALUE"""),377.0)</f>
        <v>377</v>
      </c>
      <c r="S1253" s="258">
        <v>395.0</v>
      </c>
      <c r="T1253" s="263">
        <v>0.9544303797468354</v>
      </c>
      <c r="U1253" s="264">
        <v>29423.0</v>
      </c>
      <c r="V1253" s="265">
        <v>47352.0</v>
      </c>
      <c r="W1253" s="264">
        <v>29423.0</v>
      </c>
      <c r="X1253" s="266"/>
      <c r="Y1253" s="267">
        <v>-0.01</v>
      </c>
      <c r="Z1253" s="267">
        <v>0.9605780208728468</v>
      </c>
      <c r="AA1253" s="269"/>
      <c r="AB1253" s="270"/>
      <c r="AC1253" s="270"/>
      <c r="AD1253" s="270"/>
      <c r="AE1253" s="270"/>
    </row>
    <row r="1254">
      <c r="A1254" s="256">
        <f>IFERROR(__xludf.DUMMYFUNCTION("""COMPUTED_VALUE"""),42228.15763888889)</f>
        <v>42228.15764</v>
      </c>
      <c r="B1254" s="257" t="str">
        <f>IFERROR(__xludf.DUMMYFUNCTION("""COMPUTED_VALUE"""),"S-19910")</f>
        <v>S-19910</v>
      </c>
      <c r="C1254" s="258" t="str">
        <f>IFERROR(__xludf.DUMMYFUNCTION("""COMPUTED_VALUE"""),"Europe (excluding UK) &amp; Asia Pacific")</f>
        <v>Europe (excluding UK) &amp; Asia Pacific</v>
      </c>
      <c r="D1254" s="258" t="str">
        <f>IFERROR(__xludf.DUMMYFUNCTION("""COMPUTED_VALUE"""),"km. My car displays range in kilometres and I will enter all range numbers in kilometres.")</f>
        <v>km. My car displays range in kilometres and I will enter all range numbers in kilometres.</v>
      </c>
      <c r="E1254" s="259">
        <f>IFERROR(__xludf.DUMMYFUNCTION("""COMPUTED_VALUE"""),41604.0)</f>
        <v>41604</v>
      </c>
      <c r="F1254" s="258" t="str">
        <f>IFERROR(__xludf.DUMMYFUNCTION("""COMPUTED_VALUE"""),"Model S P85")</f>
        <v>Model S P85</v>
      </c>
      <c r="G1254" s="258" t="str">
        <f>IFERROR(__xludf.DUMMYFUNCTION("""COMPUTED_VALUE"""),"Twice a month")</f>
        <v>Twice a month</v>
      </c>
      <c r="H1254" s="258" t="str">
        <f>IFERROR(__xludf.DUMMYFUNCTION("""COMPUTED_VALUE"""),"Monthly")</f>
        <v>Monthly</v>
      </c>
      <c r="I1254" s="258" t="str">
        <f>IFERROR(__xludf.DUMMYFUNCTION("""COMPUTED_VALUE"""),"Once or twice a year")</f>
        <v>Once or twice a year</v>
      </c>
      <c r="J1254" s="260">
        <f>IFERROR(__xludf.DUMMYFUNCTION("""COMPUTED_VALUE"""),0.8)</f>
        <v>0.8</v>
      </c>
      <c r="K1254" s="258">
        <f>IFERROR(__xludf.DUMMYFUNCTION("""COMPUTED_VALUE"""),399.0)</f>
        <v>399</v>
      </c>
      <c r="L1254" s="258" t="str">
        <f>IFERROR(__xludf.DUMMYFUNCTION("""COMPUTED_VALUE"""),"")</f>
        <v/>
      </c>
      <c r="M1254" s="261">
        <f>IFERROR(__xludf.DUMMYFUNCTION("""COMPUTED_VALUE"""),215.0)</f>
        <v>215</v>
      </c>
      <c r="N1254" s="262">
        <f>IFERROR(__xludf.DUMMYFUNCTION("""COMPUTED_VALUE"""),80000.0)</f>
        <v>80000</v>
      </c>
      <c r="O1254" s="259" t="str">
        <f>IFERROR(__xludf.DUMMYFUNCTION("""COMPUTED_VALUE"""),"Increased by 6 km or mi")</f>
        <v>Increased by 6 km or mi</v>
      </c>
      <c r="P1254" s="259">
        <f>IFERROR(__xludf.DUMMYFUNCTION("""COMPUTED_VALUE"""),42228.0)</f>
        <v>42228</v>
      </c>
      <c r="Q1254" s="258">
        <f>IFERROR(__xludf.DUMMYFUNCTION("""COMPUTED_VALUE"""),102000.0)</f>
        <v>102000</v>
      </c>
      <c r="R1254" s="261">
        <f>IFERROR(__xludf.DUMMYFUNCTION("""COMPUTED_VALUE"""),362.0)</f>
        <v>362</v>
      </c>
      <c r="S1254" s="258">
        <v>395.0</v>
      </c>
      <c r="T1254" s="263">
        <v>0.9164556962025316</v>
      </c>
      <c r="U1254" s="264">
        <v>63380.0</v>
      </c>
      <c r="V1254" s="265">
        <v>102000.0</v>
      </c>
      <c r="W1254" s="264">
        <v>63380.0</v>
      </c>
      <c r="X1254" s="266"/>
      <c r="Y1254" s="267">
        <v>-0.01</v>
      </c>
      <c r="Z1254" s="267">
        <v>0.9461144077329955</v>
      </c>
      <c r="AA1254" s="269"/>
      <c r="AB1254" s="270"/>
      <c r="AC1254" s="270"/>
      <c r="AD1254" s="270"/>
      <c r="AE1254" s="270"/>
    </row>
    <row r="1255">
      <c r="A1255" s="256">
        <f>IFERROR(__xludf.DUMMYFUNCTION("""COMPUTED_VALUE"""),42967.586111111115)</f>
        <v>42967.58611</v>
      </c>
      <c r="B1255" s="257" t="str">
        <f>IFERROR(__xludf.DUMMYFUNCTION("""COMPUTED_VALUE"""),"S-19910")</f>
        <v>S-19910</v>
      </c>
      <c r="C1255" s="258" t="str">
        <f>IFERROR(__xludf.DUMMYFUNCTION("""COMPUTED_VALUE"""),"Europe (excluding UK) &amp; Asia Pacific")</f>
        <v>Europe (excluding UK) &amp; Asia Pacific</v>
      </c>
      <c r="D1255" s="258" t="str">
        <f>IFERROR(__xludf.DUMMYFUNCTION("""COMPUTED_VALUE"""),"km. My car displays range in kilometres and I will enter all range numbers in kilometres.")</f>
        <v>km. My car displays range in kilometres and I will enter all range numbers in kilometres.</v>
      </c>
      <c r="E1255" s="259">
        <f>IFERROR(__xludf.DUMMYFUNCTION("""COMPUTED_VALUE"""),41604.0)</f>
        <v>41604</v>
      </c>
      <c r="F1255" s="258" t="str">
        <f>IFERROR(__xludf.DUMMYFUNCTION("""COMPUTED_VALUE"""),"Model S P85")</f>
        <v>Model S P85</v>
      </c>
      <c r="G1255" s="258" t="str">
        <f>IFERROR(__xludf.DUMMYFUNCTION("""COMPUTED_VALUE"""),"Weekly")</f>
        <v>Weekly</v>
      </c>
      <c r="H1255" s="258" t="str">
        <f>IFERROR(__xludf.DUMMYFUNCTION("""COMPUTED_VALUE"""),"Twice a month")</f>
        <v>Twice a month</v>
      </c>
      <c r="I1255" s="258" t="str">
        <f>IFERROR(__xludf.DUMMYFUNCTION("""COMPUTED_VALUE"""),"Weekly")</f>
        <v>Weekly</v>
      </c>
      <c r="J1255" s="260">
        <f>IFERROR(__xludf.DUMMYFUNCTION("""COMPUTED_VALUE"""),0.9)</f>
        <v>0.9</v>
      </c>
      <c r="K1255" s="258">
        <f>IFERROR(__xludf.DUMMYFUNCTION("""COMPUTED_VALUE"""),399.0)</f>
        <v>399</v>
      </c>
      <c r="L1255" s="258" t="str">
        <f>IFERROR(__xludf.DUMMYFUNCTION("""COMPUTED_VALUE"""),"")</f>
        <v/>
      </c>
      <c r="M1255" s="261">
        <f>IFERROR(__xludf.DUMMYFUNCTION("""COMPUTED_VALUE"""),205.0)</f>
        <v>205</v>
      </c>
      <c r="N1255" s="262" t="str">
        <f>IFERROR(__xludf.DUMMYFUNCTION("""COMPUTED_VALUE"""),"")</f>
        <v/>
      </c>
      <c r="O1255" s="259" t="str">
        <f>IFERROR(__xludf.DUMMYFUNCTION("""COMPUTED_VALUE"""),"")</f>
        <v/>
      </c>
      <c r="P1255" s="259">
        <f>IFERROR(__xludf.DUMMYFUNCTION("""COMPUTED_VALUE"""),42967.0)</f>
        <v>42967</v>
      </c>
      <c r="Q1255" s="258">
        <f>IFERROR(__xludf.DUMMYFUNCTION("""COMPUTED_VALUE"""),187612.0)</f>
        <v>187612</v>
      </c>
      <c r="R1255" s="261">
        <f>IFERROR(__xludf.DUMMYFUNCTION("""COMPUTED_VALUE"""),376.0)</f>
        <v>376</v>
      </c>
      <c r="S1255" s="258">
        <v>395.0</v>
      </c>
      <c r="T1255" s="263">
        <v>0.9518987341772152</v>
      </c>
      <c r="U1255" s="264">
        <v>116577.0</v>
      </c>
      <c r="V1255" s="265">
        <v>187612.0</v>
      </c>
      <c r="W1255" s="264">
        <v>116577.0</v>
      </c>
      <c r="X1255" s="266"/>
      <c r="Y1255" s="267">
        <v>-0.01</v>
      </c>
      <c r="Z1255" s="267">
        <v>0.9262879066064297</v>
      </c>
      <c r="AA1255" s="269"/>
      <c r="AB1255" s="270"/>
      <c r="AC1255" s="270"/>
      <c r="AD1255" s="270"/>
      <c r="AE1255" s="270"/>
    </row>
    <row r="1256">
      <c r="A1256" s="256">
        <f>IFERROR(__xludf.DUMMYFUNCTION("""COMPUTED_VALUE"""),42885.836111111115)</f>
        <v>42885.83611</v>
      </c>
      <c r="B1256" s="257" t="str">
        <f>IFERROR(__xludf.DUMMYFUNCTION("""COMPUTED_VALUE"""),"sadyel")</f>
        <v>sadyel</v>
      </c>
      <c r="C1256" s="258" t="str">
        <f>IFERROR(__xludf.DUMMYFUNCTION("""COMPUTED_VALUE"""),"USA")</f>
        <v>USA</v>
      </c>
      <c r="D1256" s="258" t="str">
        <f>IFERROR(__xludf.DUMMYFUNCTION("""COMPUTED_VALUE"""),"mi. My car displays range in miles and I will enter all range numbers in miles.")</f>
        <v>mi. My car displays range in miles and I will enter all range numbers in miles.</v>
      </c>
      <c r="E1256" s="259">
        <f>IFERROR(__xludf.DUMMYFUNCTION("""COMPUTED_VALUE"""),42633.0)</f>
        <v>42633</v>
      </c>
      <c r="F1256" s="258" t="str">
        <f>IFERROR(__xludf.DUMMYFUNCTION("""COMPUTED_VALUE"""),"Model S 60")</f>
        <v>Model S 60</v>
      </c>
      <c r="G1256" s="258" t="str">
        <f>IFERROR(__xludf.DUMMYFUNCTION("""COMPUTED_VALUE"""),"Monthly")</f>
        <v>Monthly</v>
      </c>
      <c r="H1256" s="258" t="str">
        <f>IFERROR(__xludf.DUMMYFUNCTION("""COMPUTED_VALUE"""),"Once or twice a year")</f>
        <v>Once or twice a year</v>
      </c>
      <c r="I1256" s="258" t="str">
        <f>IFERROR(__xludf.DUMMYFUNCTION("""COMPUTED_VALUE"""),"Once or twice a year")</f>
        <v>Once or twice a year</v>
      </c>
      <c r="J1256" s="260">
        <f>IFERROR(__xludf.DUMMYFUNCTION("""COMPUTED_VALUE"""),0.9)</f>
        <v>0.9</v>
      </c>
      <c r="K1256" s="258">
        <f>IFERROR(__xludf.DUMMYFUNCTION("""COMPUTED_VALUE"""),220.0)</f>
        <v>220</v>
      </c>
      <c r="L1256" s="258" t="str">
        <f>IFERROR(__xludf.DUMMYFUNCTION("""COMPUTED_VALUE"""),"")</f>
        <v/>
      </c>
      <c r="M1256" s="261" t="str">
        <f>IFERROR(__xludf.DUMMYFUNCTION("""COMPUTED_VALUE"""),"")</f>
        <v/>
      </c>
      <c r="N1256" s="262" t="str">
        <f>IFERROR(__xludf.DUMMYFUNCTION("""COMPUTED_VALUE"""),"")</f>
        <v/>
      </c>
      <c r="O1256" s="259" t="str">
        <f>IFERROR(__xludf.DUMMYFUNCTION("""COMPUTED_VALUE"""),"")</f>
        <v/>
      </c>
      <c r="P1256" s="259">
        <f>IFERROR(__xludf.DUMMYFUNCTION("""COMPUTED_VALUE"""),42885.0)</f>
        <v>42885</v>
      </c>
      <c r="Q1256" s="258">
        <f>IFERROR(__xludf.DUMMYFUNCTION("""COMPUTED_VALUE"""),15000.0)</f>
        <v>15000</v>
      </c>
      <c r="R1256" s="261">
        <f>IFERROR(__xludf.DUMMYFUNCTION("""COMPUTED_VALUE"""),208.0)</f>
        <v>208</v>
      </c>
      <c r="S1256" s="258">
        <v>207.0</v>
      </c>
      <c r="T1256" s="263">
        <v>1.0048309178743962</v>
      </c>
      <c r="U1256" s="264">
        <v>15000.0</v>
      </c>
      <c r="V1256" s="265">
        <v>24140.0</v>
      </c>
      <c r="W1256" s="264">
        <v>15000.0</v>
      </c>
      <c r="X1256" s="266"/>
      <c r="Y1256" s="267">
        <v>-0.01</v>
      </c>
      <c r="Z1256" s="267">
        <v>0.9714720732133376</v>
      </c>
      <c r="AA1256" s="269"/>
      <c r="AB1256" s="270"/>
      <c r="AC1256" s="270"/>
      <c r="AD1256" s="270"/>
      <c r="AE1256" s="270"/>
    </row>
    <row r="1257">
      <c r="A1257" s="256">
        <f>IFERROR(__xludf.DUMMYFUNCTION("""COMPUTED_VALUE"""),43200.71805555555)</f>
        <v>43200.71806</v>
      </c>
      <c r="B1257" s="257" t="str">
        <f>IFERROR(__xludf.DUMMYFUNCTION("""COMPUTED_VALUE"""),"Sam")</f>
        <v>Sam</v>
      </c>
      <c r="C1257" s="258" t="str">
        <f>IFERROR(__xludf.DUMMYFUNCTION("""COMPUTED_VALUE"""),"Europe (excluding UK) &amp; Asia Pacific")</f>
        <v>Europe (excluding UK) &amp; Asia Pacific</v>
      </c>
      <c r="D1257" s="258" t="str">
        <f>IFERROR(__xludf.DUMMYFUNCTION("""COMPUTED_VALUE"""),"km. My car displays range in kilometres and I will enter all range numbers in kilometres.")</f>
        <v>km. My car displays range in kilometres and I will enter all range numbers in kilometres.</v>
      </c>
      <c r="E1257" s="259">
        <f>IFERROR(__xludf.DUMMYFUNCTION("""COMPUTED_VALUE"""),41760.0)</f>
        <v>41760</v>
      </c>
      <c r="F1257" s="258" t="str">
        <f>IFERROR(__xludf.DUMMYFUNCTION("""COMPUTED_VALUE"""),"Model S P85")</f>
        <v>Model S P85</v>
      </c>
      <c r="G1257" s="258" t="str">
        <f>IFERROR(__xludf.DUMMYFUNCTION("""COMPUTED_VALUE"""),"A few times a year")</f>
        <v>A few times a year</v>
      </c>
      <c r="H1257" s="258" t="str">
        <f>IFERROR(__xludf.DUMMYFUNCTION("""COMPUTED_VALUE"""),"A few times a year")</f>
        <v>A few times a year</v>
      </c>
      <c r="I1257" s="258" t="str">
        <f>IFERROR(__xludf.DUMMYFUNCTION("""COMPUTED_VALUE"""),"Once or twice a year")</f>
        <v>Once or twice a year</v>
      </c>
      <c r="J1257" s="260">
        <f>IFERROR(__xludf.DUMMYFUNCTION("""COMPUTED_VALUE"""),0.8)</f>
        <v>0.8</v>
      </c>
      <c r="K1257" s="258">
        <f>IFERROR(__xludf.DUMMYFUNCTION("""COMPUTED_VALUE"""),400.0)</f>
        <v>400</v>
      </c>
      <c r="L1257" s="258" t="str">
        <f>IFERROR(__xludf.DUMMYFUNCTION("""COMPUTED_VALUE"""),"")</f>
        <v/>
      </c>
      <c r="M1257" s="261">
        <f>IFERROR(__xludf.DUMMYFUNCTION("""COMPUTED_VALUE"""),155.0)</f>
        <v>155</v>
      </c>
      <c r="N1257" s="262" t="str">
        <f>IFERROR(__xludf.DUMMYFUNCTION("""COMPUTED_VALUE"""),"")</f>
        <v/>
      </c>
      <c r="O1257" s="259" t="str">
        <f>IFERROR(__xludf.DUMMYFUNCTION("""COMPUTED_VALUE"""),"")</f>
        <v/>
      </c>
      <c r="P1257" s="259">
        <f>IFERROR(__xludf.DUMMYFUNCTION("""COMPUTED_VALUE"""),43200.0)</f>
        <v>43200</v>
      </c>
      <c r="Q1257" s="258">
        <f>IFERROR(__xludf.DUMMYFUNCTION("""COMPUTED_VALUE"""),50000.0)</f>
        <v>50000</v>
      </c>
      <c r="R1257" s="261">
        <f>IFERROR(__xludf.DUMMYFUNCTION("""COMPUTED_VALUE"""),386.0)</f>
        <v>386</v>
      </c>
      <c r="S1257" s="258">
        <v>395.0</v>
      </c>
      <c r="T1257" s="263">
        <v>0.9772151898734177</v>
      </c>
      <c r="U1257" s="264">
        <v>31069.0</v>
      </c>
      <c r="V1257" s="265">
        <v>50000.0</v>
      </c>
      <c r="W1257" s="264">
        <v>31069.0</v>
      </c>
      <c r="X1257" s="266"/>
      <c r="Y1257" s="267">
        <v>-0.01</v>
      </c>
      <c r="Z1257" s="267">
        <v>0.9596904352621635</v>
      </c>
      <c r="AA1257" s="269"/>
      <c r="AB1257" s="270"/>
      <c r="AC1257" s="270"/>
      <c r="AD1257" s="270"/>
      <c r="AE1257" s="270"/>
    </row>
    <row r="1258">
      <c r="A1258" s="256">
        <f>IFERROR(__xludf.DUMMYFUNCTION("""COMPUTED_VALUE"""),43873.78571333333)</f>
        <v>43873.78571</v>
      </c>
      <c r="B1258" s="257" t="str">
        <f>IFERROR(__xludf.DUMMYFUNCTION("""COMPUTED_VALUE"""),"Sascha")</f>
        <v>Sascha</v>
      </c>
      <c r="C1258" s="258" t="str">
        <f>IFERROR(__xludf.DUMMYFUNCTION("""COMPUTED_VALUE"""),"Europe (excluding UK) &amp; Asia Pacific")</f>
        <v>Europe (excluding UK) &amp; Asia Pacific</v>
      </c>
      <c r="D1258" s="258" t="str">
        <f>IFERROR(__xludf.DUMMYFUNCTION("""COMPUTED_VALUE"""),"km. My car displays range in kilometres and I will enter all range numbers in kilometres.")</f>
        <v>km. My car displays range in kilometres and I will enter all range numbers in kilometres.</v>
      </c>
      <c r="E1258" s="259">
        <f>IFERROR(__xludf.DUMMYFUNCTION("""COMPUTED_VALUE"""),43862.0)</f>
        <v>43862</v>
      </c>
      <c r="F1258" s="258" t="str">
        <f>IFERROR(__xludf.DUMMYFUNCTION("""COMPUTED_VALUE"""),"Model S 90")</f>
        <v>Model S 90</v>
      </c>
      <c r="G1258" s="258" t="str">
        <f>IFERROR(__xludf.DUMMYFUNCTION("""COMPUTED_VALUE"""),"Daily")</f>
        <v>Daily</v>
      </c>
      <c r="H1258" s="258" t="str">
        <f>IFERROR(__xludf.DUMMYFUNCTION("""COMPUTED_VALUE"""),"Weekly")</f>
        <v>Weekly</v>
      </c>
      <c r="I1258" s="258" t="str">
        <f>IFERROR(__xludf.DUMMYFUNCTION("""COMPUTED_VALUE"""),"Twice a month")</f>
        <v>Twice a month</v>
      </c>
      <c r="J1258" s="260">
        <f>IFERROR(__xludf.DUMMYFUNCTION("""COMPUTED_VALUE"""),0.9)</f>
        <v>0.9</v>
      </c>
      <c r="K1258" s="258">
        <f>IFERROR(__xludf.DUMMYFUNCTION("""COMPUTED_VALUE"""),420.0)</f>
        <v>420</v>
      </c>
      <c r="L1258" s="258">
        <f>IFERROR(__xludf.DUMMYFUNCTION("""COMPUTED_VALUE"""),420.0)</f>
        <v>420</v>
      </c>
      <c r="M1258" s="261" t="str">
        <f>IFERROR(__xludf.DUMMYFUNCTION("""COMPUTED_VALUE"""),"")</f>
        <v/>
      </c>
      <c r="N1258" s="262" t="str">
        <f>IFERROR(__xludf.DUMMYFUNCTION("""COMPUTED_VALUE"""),"")</f>
        <v/>
      </c>
      <c r="O1258" s="259" t="str">
        <f>IFERROR(__xludf.DUMMYFUNCTION("""COMPUTED_VALUE"""),"Increased by 9 km or mi")</f>
        <v>Increased by 9 km or mi</v>
      </c>
      <c r="P1258" s="259">
        <f>IFERROR(__xludf.DUMMYFUNCTION("""COMPUTED_VALUE"""),43873.0)</f>
        <v>43873</v>
      </c>
      <c r="Q1258" s="258">
        <f>IFERROR(__xludf.DUMMYFUNCTION("""COMPUTED_VALUE"""),5000.0)</f>
        <v>5000</v>
      </c>
      <c r="R1258" s="261">
        <f>IFERROR(__xludf.DUMMYFUNCTION("""COMPUTED_VALUE"""),410.0)</f>
        <v>410</v>
      </c>
      <c r="S1258" s="258">
        <v>420.0</v>
      </c>
      <c r="T1258" s="263">
        <v>0.9761904761904762</v>
      </c>
      <c r="U1258" s="264">
        <v>3107.0</v>
      </c>
      <c r="V1258" s="265">
        <v>5000.0</v>
      </c>
      <c r="W1258" s="264">
        <v>3107.0</v>
      </c>
      <c r="X1258" s="266"/>
      <c r="Y1258" s="267">
        <v>-0.01</v>
      </c>
      <c r="Z1258" s="267">
        <v>0.9911678953735428</v>
      </c>
      <c r="AA1258" s="269"/>
      <c r="AB1258" s="270"/>
      <c r="AC1258" s="270"/>
      <c r="AD1258" s="270"/>
      <c r="AE1258" s="270"/>
    </row>
    <row r="1259">
      <c r="A1259" s="256">
        <f>IFERROR(__xludf.DUMMYFUNCTION("""COMPUTED_VALUE"""),43873.78571333333)</f>
        <v>43873.78571</v>
      </c>
      <c r="B1259" s="257" t="str">
        <f>IFERROR(__xludf.DUMMYFUNCTION("""COMPUTED_VALUE"""),"Sascha")</f>
        <v>Sascha</v>
      </c>
      <c r="C1259" s="258" t="str">
        <f>IFERROR(__xludf.DUMMYFUNCTION("""COMPUTED_VALUE"""),"Europe (excluding UK) &amp; Asia Pacific")</f>
        <v>Europe (excluding UK) &amp; Asia Pacific</v>
      </c>
      <c r="D1259" s="258" t="str">
        <f>IFERROR(__xludf.DUMMYFUNCTION("""COMPUTED_VALUE"""),"km. My car displays range in kilometres and I will enter all range numbers in kilometres.")</f>
        <v>km. My car displays range in kilometres and I will enter all range numbers in kilometres.</v>
      </c>
      <c r="E1259" s="259">
        <f>IFERROR(__xludf.DUMMYFUNCTION("""COMPUTED_VALUE"""),43862.0)</f>
        <v>43862</v>
      </c>
      <c r="F1259" s="258" t="str">
        <f>IFERROR(__xludf.DUMMYFUNCTION("""COMPUTED_VALUE"""),"Model S 90")</f>
        <v>Model S 90</v>
      </c>
      <c r="G1259" s="258" t="str">
        <f>IFERROR(__xludf.DUMMYFUNCTION("""COMPUTED_VALUE"""),"Daily")</f>
        <v>Daily</v>
      </c>
      <c r="H1259" s="258" t="str">
        <f>IFERROR(__xludf.DUMMYFUNCTION("""COMPUTED_VALUE"""),"Weekly")</f>
        <v>Weekly</v>
      </c>
      <c r="I1259" s="258" t="str">
        <f>IFERROR(__xludf.DUMMYFUNCTION("""COMPUTED_VALUE"""),"Twice a month")</f>
        <v>Twice a month</v>
      </c>
      <c r="J1259" s="260">
        <f>IFERROR(__xludf.DUMMYFUNCTION("""COMPUTED_VALUE"""),0.9)</f>
        <v>0.9</v>
      </c>
      <c r="K1259" s="258">
        <f>IFERROR(__xludf.DUMMYFUNCTION("""COMPUTED_VALUE"""),420.0)</f>
        <v>420</v>
      </c>
      <c r="L1259" s="258">
        <f>IFERROR(__xludf.DUMMYFUNCTION("""COMPUTED_VALUE"""),420.0)</f>
        <v>420</v>
      </c>
      <c r="M1259" s="261" t="str">
        <f>IFERROR(__xludf.DUMMYFUNCTION("""COMPUTED_VALUE"""),"")</f>
        <v/>
      </c>
      <c r="N1259" s="262" t="str">
        <f>IFERROR(__xludf.DUMMYFUNCTION("""COMPUTED_VALUE"""),"")</f>
        <v/>
      </c>
      <c r="O1259" s="259" t="str">
        <f>IFERROR(__xludf.DUMMYFUNCTION("""COMPUTED_VALUE"""),"Increased by 9 km or mi")</f>
        <v>Increased by 9 km or mi</v>
      </c>
      <c r="P1259" s="259">
        <f>IFERROR(__xludf.DUMMYFUNCTION("""COMPUTED_VALUE"""),43873.0)</f>
        <v>43873</v>
      </c>
      <c r="Q1259" s="258">
        <f>IFERROR(__xludf.DUMMYFUNCTION("""COMPUTED_VALUE"""),4999.0)</f>
        <v>4999</v>
      </c>
      <c r="R1259" s="261">
        <f>IFERROR(__xludf.DUMMYFUNCTION("""COMPUTED_VALUE"""),410.0)</f>
        <v>410</v>
      </c>
      <c r="S1259" s="258">
        <v>420.0</v>
      </c>
      <c r="T1259" s="263">
        <v>0.9761904761904762</v>
      </c>
      <c r="U1259" s="264">
        <v>3106.0</v>
      </c>
      <c r="V1259" s="265">
        <v>4999.0</v>
      </c>
      <c r="W1259" s="264">
        <v>3106.0</v>
      </c>
      <c r="X1259" s="266"/>
      <c r="Y1259" s="267">
        <v>-0.01</v>
      </c>
      <c r="Z1259" s="267">
        <v>0.9911694494098497</v>
      </c>
      <c r="AA1259" s="269"/>
      <c r="AB1259" s="270"/>
      <c r="AC1259" s="270"/>
      <c r="AD1259" s="270"/>
      <c r="AE1259" s="270"/>
    </row>
    <row r="1260">
      <c r="A1260" s="256">
        <f>IFERROR(__xludf.DUMMYFUNCTION("""COMPUTED_VALUE"""),43873.78571333333)</f>
        <v>43873.78571</v>
      </c>
      <c r="B1260" s="257" t="str">
        <f>IFERROR(__xludf.DUMMYFUNCTION("""COMPUTED_VALUE"""),"Sascha")</f>
        <v>Sascha</v>
      </c>
      <c r="C1260" s="258" t="str">
        <f>IFERROR(__xludf.DUMMYFUNCTION("""COMPUTED_VALUE"""),"Europe (excluding UK) &amp; Asia Pacific")</f>
        <v>Europe (excluding UK) &amp; Asia Pacific</v>
      </c>
      <c r="D1260" s="258" t="str">
        <f>IFERROR(__xludf.DUMMYFUNCTION("""COMPUTED_VALUE"""),"km. My car displays range in kilometres and I will enter all range numbers in kilometres.")</f>
        <v>km. My car displays range in kilometres and I will enter all range numbers in kilometres.</v>
      </c>
      <c r="E1260" s="259">
        <f>IFERROR(__xludf.DUMMYFUNCTION("""COMPUTED_VALUE"""),43862.0)</f>
        <v>43862</v>
      </c>
      <c r="F1260" s="258" t="str">
        <f>IFERROR(__xludf.DUMMYFUNCTION("""COMPUTED_VALUE"""),"Model S 90")</f>
        <v>Model S 90</v>
      </c>
      <c r="G1260" s="258" t="str">
        <f>IFERROR(__xludf.DUMMYFUNCTION("""COMPUTED_VALUE"""),"Daily")</f>
        <v>Daily</v>
      </c>
      <c r="H1260" s="258" t="str">
        <f>IFERROR(__xludf.DUMMYFUNCTION("""COMPUTED_VALUE"""),"Weekly")</f>
        <v>Weekly</v>
      </c>
      <c r="I1260" s="258" t="str">
        <f>IFERROR(__xludf.DUMMYFUNCTION("""COMPUTED_VALUE"""),"Twice a month")</f>
        <v>Twice a month</v>
      </c>
      <c r="J1260" s="260">
        <f>IFERROR(__xludf.DUMMYFUNCTION("""COMPUTED_VALUE"""),0.9)</f>
        <v>0.9</v>
      </c>
      <c r="K1260" s="258">
        <f>IFERROR(__xludf.DUMMYFUNCTION("""COMPUTED_VALUE"""),420.0)</f>
        <v>420</v>
      </c>
      <c r="L1260" s="258">
        <f>IFERROR(__xludf.DUMMYFUNCTION("""COMPUTED_VALUE"""),420.0)</f>
        <v>420</v>
      </c>
      <c r="M1260" s="261" t="str">
        <f>IFERROR(__xludf.DUMMYFUNCTION("""COMPUTED_VALUE"""),"")</f>
        <v/>
      </c>
      <c r="N1260" s="262" t="str">
        <f>IFERROR(__xludf.DUMMYFUNCTION("""COMPUTED_VALUE"""),"")</f>
        <v/>
      </c>
      <c r="O1260" s="259" t="str">
        <f>IFERROR(__xludf.DUMMYFUNCTION("""COMPUTED_VALUE"""),"Increased by 9 km or mi")</f>
        <v>Increased by 9 km or mi</v>
      </c>
      <c r="P1260" s="259">
        <f>IFERROR(__xludf.DUMMYFUNCTION("""COMPUTED_VALUE"""),43831.0)</f>
        <v>43831</v>
      </c>
      <c r="Q1260" s="258">
        <f>IFERROR(__xludf.DUMMYFUNCTION("""COMPUTED_VALUE"""),400.0)</f>
        <v>400</v>
      </c>
      <c r="R1260" s="261">
        <f>IFERROR(__xludf.DUMMYFUNCTION("""COMPUTED_VALUE"""),300.0)</f>
        <v>300</v>
      </c>
      <c r="S1260" s="258">
        <v>420.0</v>
      </c>
      <c r="T1260" s="263">
        <v>0.7142857142857143</v>
      </c>
      <c r="U1260" s="264">
        <v>249.0</v>
      </c>
      <c r="V1260" s="265">
        <v>400.0</v>
      </c>
      <c r="W1260" s="264">
        <v>249.0</v>
      </c>
      <c r="X1260" s="266"/>
      <c r="Y1260" s="267">
        <v>-0.01</v>
      </c>
      <c r="Z1260" s="267">
        <v>0.9992079906743142</v>
      </c>
      <c r="AA1260" s="269"/>
      <c r="AB1260" s="270"/>
      <c r="AC1260" s="270"/>
      <c r="AD1260" s="270"/>
      <c r="AE1260" s="270"/>
    </row>
    <row r="1261">
      <c r="A1261" s="256">
        <f>IFERROR(__xludf.DUMMYFUNCTION("""COMPUTED_VALUE"""),43640.27483447917)</f>
        <v>43640.27483</v>
      </c>
      <c r="B1261" s="257" t="str">
        <f>IFERROR(__xludf.DUMMYFUNCTION("""COMPUTED_VALUE"""),"SBA1991")</f>
        <v>SBA1991</v>
      </c>
      <c r="C1261" s="258" t="str">
        <f>IFERROR(__xludf.DUMMYFUNCTION("""COMPUTED_VALUE"""),"Europe (excluding UK) &amp; Asia Pacific")</f>
        <v>Europe (excluding UK) &amp; Asia Pacific</v>
      </c>
      <c r="D1261" s="258" t="str">
        <f>IFERROR(__xludf.DUMMYFUNCTION("""COMPUTED_VALUE"""),"km. My car displays range in kilometres and I will enter all range numbers in kilometres.")</f>
        <v>km. My car displays range in kilometres and I will enter all range numbers in kilometres.</v>
      </c>
      <c r="E1261" s="259">
        <f>IFERROR(__xludf.DUMMYFUNCTION("""COMPUTED_VALUE"""),41988.0)</f>
        <v>41988</v>
      </c>
      <c r="F1261" s="258" t="str">
        <f>IFERROR(__xludf.DUMMYFUNCTION("""COMPUTED_VALUE"""),"Model S 85")</f>
        <v>Model S 85</v>
      </c>
      <c r="G1261" s="258" t="str">
        <f>IFERROR(__xludf.DUMMYFUNCTION("""COMPUTED_VALUE"""),"Twice a week")</f>
        <v>Twice a week</v>
      </c>
      <c r="H1261" s="258" t="str">
        <f>IFERROR(__xludf.DUMMYFUNCTION("""COMPUTED_VALUE"""),"A few times a year")</f>
        <v>A few times a year</v>
      </c>
      <c r="I1261" s="258" t="str">
        <f>IFERROR(__xludf.DUMMYFUNCTION("""COMPUTED_VALUE"""),"Never")</f>
        <v>Never</v>
      </c>
      <c r="J1261" s="260">
        <f>IFERROR(__xludf.DUMMYFUNCTION("""COMPUTED_VALUE"""),0.9)</f>
        <v>0.9</v>
      </c>
      <c r="K1261" s="258" t="str">
        <f>IFERROR(__xludf.DUMMYFUNCTION("""COMPUTED_VALUE"""),"")</f>
        <v/>
      </c>
      <c r="L1261" s="258">
        <f>IFERROR(__xludf.DUMMYFUNCTION("""COMPUTED_VALUE"""),200.0)</f>
        <v>200</v>
      </c>
      <c r="M1261" s="261">
        <f>IFERROR(__xludf.DUMMYFUNCTION("""COMPUTED_VALUE"""),250.0)</f>
        <v>250</v>
      </c>
      <c r="N1261" s="262" t="str">
        <f>IFERROR(__xludf.DUMMYFUNCTION("""COMPUTED_VALUE"""),"")</f>
        <v/>
      </c>
      <c r="O1261" s="259" t="str">
        <f>IFERROR(__xludf.DUMMYFUNCTION("""COMPUTED_VALUE"""),"")</f>
        <v/>
      </c>
      <c r="P1261" s="259">
        <f>IFERROR(__xludf.DUMMYFUNCTION("""COMPUTED_VALUE"""),43637.0)</f>
        <v>43637</v>
      </c>
      <c r="Q1261" s="258">
        <f>IFERROR(__xludf.DUMMYFUNCTION("""COMPUTED_VALUE"""),100000.0)</f>
        <v>100000</v>
      </c>
      <c r="R1261" s="261">
        <f>IFERROR(__xludf.DUMMYFUNCTION("""COMPUTED_VALUE"""),374.0)</f>
        <v>374</v>
      </c>
      <c r="S1261" s="258">
        <v>395.0</v>
      </c>
      <c r="T1261" s="263">
        <v>0.9468354430379747</v>
      </c>
      <c r="U1261" s="264">
        <v>62137.0</v>
      </c>
      <c r="V1261" s="265">
        <v>100000.0</v>
      </c>
      <c r="W1261" s="264">
        <v>62137.0</v>
      </c>
      <c r="X1261" s="266"/>
      <c r="Y1261" s="267">
        <v>-0.01</v>
      </c>
      <c r="Z1261" s="267">
        <v>0.9465856783080869</v>
      </c>
      <c r="AA1261" s="269"/>
      <c r="AB1261" s="270"/>
      <c r="AC1261" s="270"/>
      <c r="AD1261" s="270"/>
      <c r="AE1261" s="270"/>
    </row>
    <row r="1262">
      <c r="A1262" s="256">
        <f>IFERROR(__xludf.DUMMYFUNCTION("""COMPUTED_VALUE"""),43773.840354363434)</f>
        <v>43773.84035</v>
      </c>
      <c r="B1262" s="257" t="str">
        <f>IFERROR(__xludf.DUMMYFUNCTION("""COMPUTED_VALUE"""),"sbeau")</f>
        <v>sbeau</v>
      </c>
      <c r="C1262" s="258" t="str">
        <f>IFERROR(__xludf.DUMMYFUNCTION("""COMPUTED_VALUE"""),"USA")</f>
        <v>USA</v>
      </c>
      <c r="D1262" s="258" t="str">
        <f>IFERROR(__xludf.DUMMYFUNCTION("""COMPUTED_VALUE"""),"mi. My car displays range in miles and I will enter all range numbers in miles.")</f>
        <v>mi. My car displays range in miles and I will enter all range numbers in miles.</v>
      </c>
      <c r="E1262" s="259">
        <f>IFERROR(__xludf.DUMMYFUNCTION("""COMPUTED_VALUE"""),43525.0)</f>
        <v>43525</v>
      </c>
      <c r="F1262" s="258" t="str">
        <f>IFERROR(__xludf.DUMMYFUNCTION("""COMPUTED_VALUE"""),"Model 3 SR")</f>
        <v>Model 3 SR</v>
      </c>
      <c r="G1262" s="258" t="str">
        <f>IFERROR(__xludf.DUMMYFUNCTION("""COMPUTED_VALUE"""),"Twice a month")</f>
        <v>Twice a month</v>
      </c>
      <c r="H1262" s="258" t="str">
        <f>IFERROR(__xludf.DUMMYFUNCTION("""COMPUTED_VALUE"""),"Twice a month")</f>
        <v>Twice a month</v>
      </c>
      <c r="I1262" s="258" t="str">
        <f>IFERROR(__xludf.DUMMYFUNCTION("""COMPUTED_VALUE"""),"A few times a year")</f>
        <v>A few times a year</v>
      </c>
      <c r="J1262" s="260">
        <f>IFERROR(__xludf.DUMMYFUNCTION("""COMPUTED_VALUE"""),0.9)</f>
        <v>0.9</v>
      </c>
      <c r="K1262" s="258">
        <f>IFERROR(__xludf.DUMMYFUNCTION("""COMPUTED_VALUE"""),220.0)</f>
        <v>220</v>
      </c>
      <c r="L1262" s="258" t="str">
        <f>IFERROR(__xludf.DUMMYFUNCTION("""COMPUTED_VALUE"""),"")</f>
        <v/>
      </c>
      <c r="M1262" s="261" t="str">
        <f>IFERROR(__xludf.DUMMYFUNCTION("""COMPUTED_VALUE"""),"")</f>
        <v/>
      </c>
      <c r="N1262" s="262" t="str">
        <f>IFERROR(__xludf.DUMMYFUNCTION("""COMPUTED_VALUE"""),"")</f>
        <v/>
      </c>
      <c r="O1262" s="259" t="str">
        <f>IFERROR(__xludf.DUMMYFUNCTION("""COMPUTED_VALUE"""),"")</f>
        <v/>
      </c>
      <c r="P1262" s="259">
        <f>IFERROR(__xludf.DUMMYFUNCTION("""COMPUTED_VALUE"""),43773.0)</f>
        <v>43773</v>
      </c>
      <c r="Q1262" s="258">
        <f>IFERROR(__xludf.DUMMYFUNCTION("""COMPUTED_VALUE"""),7326.0)</f>
        <v>7326</v>
      </c>
      <c r="R1262" s="261">
        <f>IFERROR(__xludf.DUMMYFUNCTION("""COMPUTED_VALUE"""),208.0)</f>
        <v>208</v>
      </c>
      <c r="S1262" s="258">
        <v>220.0</v>
      </c>
      <c r="T1262" s="263">
        <v>0.9454545454545454</v>
      </c>
      <c r="U1262" s="264">
        <v>7326.0</v>
      </c>
      <c r="V1262" s="265">
        <v>11790.0</v>
      </c>
      <c r="W1262" s="264">
        <v>7326.0</v>
      </c>
      <c r="X1262" s="266"/>
      <c r="Y1262" s="267">
        <v>-0.01</v>
      </c>
      <c r="Z1262" s="267">
        <v>0.9821777930627074</v>
      </c>
      <c r="AA1262" s="269"/>
      <c r="AB1262" s="270"/>
      <c r="AC1262" s="270"/>
      <c r="AD1262" s="270"/>
      <c r="AE1262" s="270"/>
    </row>
    <row r="1263">
      <c r="A1263" s="256">
        <f>IFERROR(__xludf.DUMMYFUNCTION("""COMPUTED_VALUE"""),42704.81736111111)</f>
        <v>42704.81736</v>
      </c>
      <c r="B1263" s="257" t="str">
        <f>IFERROR(__xludf.DUMMYFUNCTION("""COMPUTED_VALUE"""),"sblank")</f>
        <v>sblank</v>
      </c>
      <c r="C1263" s="258" t="str">
        <f>IFERROR(__xludf.DUMMYFUNCTION("""COMPUTED_VALUE"""),"USA")</f>
        <v>USA</v>
      </c>
      <c r="D1263" s="258" t="str">
        <f>IFERROR(__xludf.DUMMYFUNCTION("""COMPUTED_VALUE"""),"mi. My car displays range in miles and I will enter all range numbers in miles.")</f>
        <v>mi. My car displays range in miles and I will enter all range numbers in miles.</v>
      </c>
      <c r="E1263" s="259">
        <f>IFERROR(__xludf.DUMMYFUNCTION("""COMPUTED_VALUE"""),41344.0)</f>
        <v>41344</v>
      </c>
      <c r="F1263" s="258" t="str">
        <f>IFERROR(__xludf.DUMMYFUNCTION("""COMPUTED_VALUE"""),"Model S P85")</f>
        <v>Model S P85</v>
      </c>
      <c r="G1263" s="258" t="str">
        <f>IFERROR(__xludf.DUMMYFUNCTION("""COMPUTED_VALUE"""),"A few times a year")</f>
        <v>A few times a year</v>
      </c>
      <c r="H1263" s="258" t="str">
        <f>IFERROR(__xludf.DUMMYFUNCTION("""COMPUTED_VALUE"""),"A few times a year")</f>
        <v>A few times a year</v>
      </c>
      <c r="I1263" s="258" t="str">
        <f>IFERROR(__xludf.DUMMYFUNCTION("""COMPUTED_VALUE"""),"Never")</f>
        <v>Never</v>
      </c>
      <c r="J1263" s="260">
        <f>IFERROR(__xludf.DUMMYFUNCTION("""COMPUTED_VALUE"""),0.9)</f>
        <v>0.9</v>
      </c>
      <c r="K1263" s="258" t="str">
        <f>IFERROR(__xludf.DUMMYFUNCTION("""COMPUTED_VALUE"""),"")</f>
        <v/>
      </c>
      <c r="L1263" s="258" t="str">
        <f>IFERROR(__xludf.DUMMYFUNCTION("""COMPUTED_VALUE"""),"")</f>
        <v/>
      </c>
      <c r="M1263" s="261">
        <f>IFERROR(__xludf.DUMMYFUNCTION("""COMPUTED_VALUE"""),320.0)</f>
        <v>320</v>
      </c>
      <c r="N1263" s="262" t="str">
        <f>IFERROR(__xludf.DUMMYFUNCTION("""COMPUTED_VALUE"""),"")</f>
        <v/>
      </c>
      <c r="O1263" s="259" t="str">
        <f>IFERROR(__xludf.DUMMYFUNCTION("""COMPUTED_VALUE"""),"")</f>
        <v/>
      </c>
      <c r="P1263" s="259">
        <f>IFERROR(__xludf.DUMMYFUNCTION("""COMPUTED_VALUE"""),42704.0)</f>
        <v>42704</v>
      </c>
      <c r="Q1263" s="258">
        <f>IFERROR(__xludf.DUMMYFUNCTION("""COMPUTED_VALUE"""),49503.0)</f>
        <v>49503</v>
      </c>
      <c r="R1263" s="261">
        <f>IFERROR(__xludf.DUMMYFUNCTION("""COMPUTED_VALUE"""),260.0)</f>
        <v>260</v>
      </c>
      <c r="S1263" s="258">
        <v>266.0</v>
      </c>
      <c r="T1263" s="263">
        <v>0.9774436090225563</v>
      </c>
      <c r="U1263" s="264">
        <v>49503.0</v>
      </c>
      <c r="V1263" s="265">
        <v>79667.0</v>
      </c>
      <c r="W1263" s="264">
        <v>49503.0</v>
      </c>
      <c r="X1263" s="266"/>
      <c r="Y1263" s="267">
        <v>-0.01</v>
      </c>
      <c r="Z1263" s="267">
        <v>0.9514809458207517</v>
      </c>
      <c r="AA1263" s="269"/>
      <c r="AB1263" s="270"/>
      <c r="AC1263" s="270"/>
      <c r="AD1263" s="270"/>
      <c r="AE1263" s="270"/>
    </row>
    <row r="1264">
      <c r="A1264" s="256">
        <f>IFERROR(__xludf.DUMMYFUNCTION("""COMPUTED_VALUE"""),42155.73958333333)</f>
        <v>42155.73958</v>
      </c>
      <c r="B1264" s="257" t="str">
        <f>IFERROR(__xludf.DUMMYFUNCTION("""COMPUTED_VALUE"""),"SCCRENDO")</f>
        <v>SCCRENDO</v>
      </c>
      <c r="C1264" s="258" t="str">
        <f>IFERROR(__xludf.DUMMYFUNCTION("""COMPUTED_VALUE"""),"USA")</f>
        <v>USA</v>
      </c>
      <c r="D1264" s="258" t="str">
        <f>IFERROR(__xludf.DUMMYFUNCTION("""COMPUTED_VALUE"""),"mi. My car displays range in miles and I will enter all range numbers in miles.")</f>
        <v>mi. My car displays range in miles and I will enter all range numbers in miles.</v>
      </c>
      <c r="E1264" s="259">
        <f>IFERROR(__xludf.DUMMYFUNCTION("""COMPUTED_VALUE"""),41365.0)</f>
        <v>41365</v>
      </c>
      <c r="F1264" s="258" t="str">
        <f>IFERROR(__xludf.DUMMYFUNCTION("""COMPUTED_VALUE"""),"Model S 85")</f>
        <v>Model S 85</v>
      </c>
      <c r="G1264" s="258" t="str">
        <f>IFERROR(__xludf.DUMMYFUNCTION("""COMPUTED_VALUE"""),"")</f>
        <v/>
      </c>
      <c r="H1264" s="258" t="str">
        <f>IFERROR(__xludf.DUMMYFUNCTION("""COMPUTED_VALUE"""),"Never")</f>
        <v>Never</v>
      </c>
      <c r="I1264" s="258" t="str">
        <f>IFERROR(__xludf.DUMMYFUNCTION("""COMPUTED_VALUE"""),"")</f>
        <v/>
      </c>
      <c r="J1264" s="260" t="str">
        <f>IFERROR(__xludf.DUMMYFUNCTION("""COMPUTED_VALUE"""),"")</f>
        <v/>
      </c>
      <c r="K1264" s="258" t="str">
        <f>IFERROR(__xludf.DUMMYFUNCTION("""COMPUTED_VALUE"""),"")</f>
        <v/>
      </c>
      <c r="L1264" s="258" t="str">
        <f>IFERROR(__xludf.DUMMYFUNCTION("""COMPUTED_VALUE"""),"")</f>
        <v/>
      </c>
      <c r="M1264" s="261">
        <f>IFERROR(__xludf.DUMMYFUNCTION("""COMPUTED_VALUE"""),336.0)</f>
        <v>336</v>
      </c>
      <c r="N1264" s="262" t="str">
        <f>IFERROR(__xludf.DUMMYFUNCTION("""COMPUTED_VALUE"""),"")</f>
        <v/>
      </c>
      <c r="O1264" s="259" t="str">
        <f>IFERROR(__xludf.DUMMYFUNCTION("""COMPUTED_VALUE"""),"")</f>
        <v/>
      </c>
      <c r="P1264" s="259">
        <f>IFERROR(__xludf.DUMMYFUNCTION("""COMPUTED_VALUE"""),42155.0)</f>
        <v>42155</v>
      </c>
      <c r="Q1264" s="258">
        <f>IFERROR(__xludf.DUMMYFUNCTION("""COMPUTED_VALUE"""),60350.0)</f>
        <v>60350</v>
      </c>
      <c r="R1264" s="261">
        <f>IFERROR(__xludf.DUMMYFUNCTION("""COMPUTED_VALUE"""),250.0)</f>
        <v>250</v>
      </c>
      <c r="S1264" s="258">
        <v>266.0</v>
      </c>
      <c r="T1264" s="263">
        <v>0.9398496240601504</v>
      </c>
      <c r="U1264" s="264">
        <v>60350.0</v>
      </c>
      <c r="V1264" s="265">
        <v>97124.0</v>
      </c>
      <c r="W1264" s="264">
        <v>60350.0</v>
      </c>
      <c r="X1264" s="266"/>
      <c r="Y1264" s="267">
        <v>-0.01</v>
      </c>
      <c r="Z1264" s="267">
        <v>0.9472655600174402</v>
      </c>
      <c r="AA1264" s="269"/>
      <c r="AB1264" s="270"/>
      <c r="AC1264" s="270"/>
      <c r="AD1264" s="270"/>
      <c r="AE1264" s="270"/>
    </row>
    <row r="1265">
      <c r="A1265" s="256">
        <f>IFERROR(__xludf.DUMMYFUNCTION("""COMPUTED_VALUE"""),42332.23541666666)</f>
        <v>42332.23542</v>
      </c>
      <c r="B1265" s="257" t="str">
        <f>IFERROR(__xludf.DUMMYFUNCTION("""COMPUTED_VALUE"""),"Scholten")</f>
        <v>Scholten</v>
      </c>
      <c r="C1265" s="258" t="str">
        <f>IFERROR(__xludf.DUMMYFUNCTION("""COMPUTED_VALUE"""),"Europe (excluding UK) &amp; Asia Pacific")</f>
        <v>Europe (excluding UK) &amp; Asia Pacific</v>
      </c>
      <c r="D1265" s="258" t="str">
        <f>IFERROR(__xludf.DUMMYFUNCTION("""COMPUTED_VALUE"""),"km. My car displays range in kilometres and I will enter all range numbers in kilometres.")</f>
        <v>km. My car displays range in kilometres and I will enter all range numbers in kilometres.</v>
      </c>
      <c r="E1265" s="259">
        <f>IFERROR(__xludf.DUMMYFUNCTION("""COMPUTED_VALUE"""),42331.0)</f>
        <v>42331</v>
      </c>
      <c r="F1265" s="258" t="str">
        <f>IFERROR(__xludf.DUMMYFUNCTION("""COMPUTED_VALUE"""),"Model S 85D")</f>
        <v>Model S 85D</v>
      </c>
      <c r="G1265" s="258" t="str">
        <f>IFERROR(__xludf.DUMMYFUNCTION("""COMPUTED_VALUE"""),"Monthly")</f>
        <v>Monthly</v>
      </c>
      <c r="H1265" s="258" t="str">
        <f>IFERROR(__xludf.DUMMYFUNCTION("""COMPUTED_VALUE"""),"Twice a month")</f>
        <v>Twice a month</v>
      </c>
      <c r="I1265" s="258" t="str">
        <f>IFERROR(__xludf.DUMMYFUNCTION("""COMPUTED_VALUE"""),"Never")</f>
        <v>Never</v>
      </c>
      <c r="J1265" s="260">
        <f>IFERROR(__xludf.DUMMYFUNCTION("""COMPUTED_VALUE"""),0.9)</f>
        <v>0.9</v>
      </c>
      <c r="K1265" s="258">
        <f>IFERROR(__xludf.DUMMYFUNCTION("""COMPUTED_VALUE"""),420.0)</f>
        <v>420</v>
      </c>
      <c r="L1265" s="258" t="str">
        <f>IFERROR(__xludf.DUMMYFUNCTION("""COMPUTED_VALUE"""),"")</f>
        <v/>
      </c>
      <c r="M1265" s="261">
        <f>IFERROR(__xludf.DUMMYFUNCTION("""COMPUTED_VALUE"""),210.0)</f>
        <v>210</v>
      </c>
      <c r="N1265" s="262" t="str">
        <f>IFERROR(__xludf.DUMMYFUNCTION("""COMPUTED_VALUE"""),"")</f>
        <v/>
      </c>
      <c r="O1265" s="259" t="str">
        <f>IFERROR(__xludf.DUMMYFUNCTION("""COMPUTED_VALUE"""),"")</f>
        <v/>
      </c>
      <c r="P1265" s="259">
        <f>IFERROR(__xludf.DUMMYFUNCTION("""COMPUTED_VALUE"""),42332.0)</f>
        <v>42332</v>
      </c>
      <c r="Q1265" s="258">
        <f>IFERROR(__xludf.DUMMYFUNCTION("""COMPUTED_VALUE"""),12.0)</f>
        <v>12</v>
      </c>
      <c r="R1265" s="261">
        <f>IFERROR(__xludf.DUMMYFUNCTION("""COMPUTED_VALUE"""),420.0)</f>
        <v>420</v>
      </c>
      <c r="S1265" s="258">
        <v>425.0</v>
      </c>
      <c r="T1265" s="263">
        <v>0.9882352941176471</v>
      </c>
      <c r="U1265" s="264">
        <v>7.0</v>
      </c>
      <c r="V1265" s="265">
        <v>12.0</v>
      </c>
      <c r="W1265" s="264">
        <v>7.0</v>
      </c>
      <c r="X1265" s="266"/>
      <c r="Y1265" s="267">
        <v>-0.01</v>
      </c>
      <c r="Z1265" s="267">
        <v>0.9999760020818277</v>
      </c>
      <c r="AA1265" s="269"/>
      <c r="AB1265" s="270"/>
      <c r="AC1265" s="270"/>
      <c r="AD1265" s="270"/>
      <c r="AE1265" s="270"/>
    </row>
    <row r="1266">
      <c r="A1266" s="256">
        <f>IFERROR(__xludf.DUMMYFUNCTION("""COMPUTED_VALUE"""),43071.64027777778)</f>
        <v>43071.64028</v>
      </c>
      <c r="B1266" s="257" t="str">
        <f>IFERROR(__xludf.DUMMYFUNCTION("""COMPUTED_VALUE"""),"SchwartzMobile")</f>
        <v>SchwartzMobile</v>
      </c>
      <c r="C1266" s="258" t="str">
        <f>IFERROR(__xludf.DUMMYFUNCTION("""COMPUTED_VALUE"""),"Europe (excluding UK) &amp; Asia Pacific")</f>
        <v>Europe (excluding UK) &amp; Asia Pacific</v>
      </c>
      <c r="D1266" s="258" t="str">
        <f>IFERROR(__xludf.DUMMYFUNCTION("""COMPUTED_VALUE"""),"km. My car displays range in kilometres and I will enter all range numbers in kilometres.")</f>
        <v>km. My car displays range in kilometres and I will enter all range numbers in kilometres.</v>
      </c>
      <c r="E1266" s="259">
        <f>IFERROR(__xludf.DUMMYFUNCTION("""COMPUTED_VALUE"""),42309.0)</f>
        <v>42309</v>
      </c>
      <c r="F1266" s="258" t="str">
        <f>IFERROR(__xludf.DUMMYFUNCTION("""COMPUTED_VALUE"""),"Model S 85D")</f>
        <v>Model S 85D</v>
      </c>
      <c r="G1266" s="258" t="str">
        <f>IFERROR(__xludf.DUMMYFUNCTION("""COMPUTED_VALUE"""),"Twice a month")</f>
        <v>Twice a month</v>
      </c>
      <c r="H1266" s="258" t="str">
        <f>IFERROR(__xludf.DUMMYFUNCTION("""COMPUTED_VALUE"""),"Weekly")</f>
        <v>Weekly</v>
      </c>
      <c r="I1266" s="258" t="str">
        <f>IFERROR(__xludf.DUMMYFUNCTION("""COMPUTED_VALUE"""),"A few times a year")</f>
        <v>A few times a year</v>
      </c>
      <c r="J1266" s="260">
        <f>IFERROR(__xludf.DUMMYFUNCTION("""COMPUTED_VALUE"""),0.9)</f>
        <v>0.9</v>
      </c>
      <c r="K1266" s="258">
        <f>IFERROR(__xludf.DUMMYFUNCTION("""COMPUTED_VALUE"""),402.0)</f>
        <v>402</v>
      </c>
      <c r="L1266" s="258" t="str">
        <f>IFERROR(__xludf.DUMMYFUNCTION("""COMPUTED_VALUE"""),"")</f>
        <v/>
      </c>
      <c r="M1266" s="261">
        <f>IFERROR(__xludf.DUMMYFUNCTION("""COMPUTED_VALUE"""),240.0)</f>
        <v>240</v>
      </c>
      <c r="N1266" s="262" t="str">
        <f>IFERROR(__xludf.DUMMYFUNCTION("""COMPUTED_VALUE"""),"")</f>
        <v/>
      </c>
      <c r="O1266" s="259" t="str">
        <f>IFERROR(__xludf.DUMMYFUNCTION("""COMPUTED_VALUE"""),"")</f>
        <v/>
      </c>
      <c r="P1266" s="259">
        <f>IFERROR(__xludf.DUMMYFUNCTION("""COMPUTED_VALUE"""),43071.0)</f>
        <v>43071</v>
      </c>
      <c r="Q1266" s="258">
        <f>IFERROR(__xludf.DUMMYFUNCTION("""COMPUTED_VALUE"""),115665.0)</f>
        <v>115665</v>
      </c>
      <c r="R1266" s="261">
        <f>IFERROR(__xludf.DUMMYFUNCTION("""COMPUTED_VALUE"""),412.0)</f>
        <v>412</v>
      </c>
      <c r="S1266" s="258">
        <v>425.0</v>
      </c>
      <c r="T1266" s="263">
        <v>0.9694117647058823</v>
      </c>
      <c r="U1266" s="264">
        <v>71871.0</v>
      </c>
      <c r="V1266" s="265">
        <v>115665.0</v>
      </c>
      <c r="W1266" s="264">
        <v>71871.0</v>
      </c>
      <c r="X1266" s="266"/>
      <c r="Y1266" s="267">
        <v>-0.01</v>
      </c>
      <c r="Z1266" s="267">
        <v>0.9429182646762103</v>
      </c>
      <c r="AA1266" s="269"/>
      <c r="AB1266" s="270"/>
      <c r="AC1266" s="270"/>
      <c r="AD1266" s="270"/>
      <c r="AE1266" s="270"/>
    </row>
    <row r="1267">
      <c r="A1267" s="256">
        <f>IFERROR(__xludf.DUMMYFUNCTION("""COMPUTED_VALUE"""),43085.86666666667)</f>
        <v>43085.86667</v>
      </c>
      <c r="B1267" s="257" t="str">
        <f>IFERROR(__xludf.DUMMYFUNCTION("""COMPUTED_VALUE"""),"scottf200")</f>
        <v>scottf200</v>
      </c>
      <c r="C1267" s="258" t="str">
        <f>IFERROR(__xludf.DUMMYFUNCTION("""COMPUTED_VALUE"""),"USA")</f>
        <v>USA</v>
      </c>
      <c r="D1267" s="258" t="str">
        <f>IFERROR(__xludf.DUMMYFUNCTION("""COMPUTED_VALUE"""),"mi. My car displays range in miles and I will enter all range numbers in miles.")</f>
        <v>mi. My car displays range in miles and I will enter all range numbers in miles.</v>
      </c>
      <c r="E1267" s="259">
        <f>IFERROR(__xludf.DUMMYFUNCTION("""COMPUTED_VALUE"""),42901.0)</f>
        <v>42901</v>
      </c>
      <c r="F1267" s="258" t="str">
        <f>IFERROR(__xludf.DUMMYFUNCTION("""COMPUTED_VALUE"""),"Model X 100D")</f>
        <v>Model X 100D</v>
      </c>
      <c r="G1267" s="258" t="str">
        <f>IFERROR(__xludf.DUMMYFUNCTION("""COMPUTED_VALUE"""),"Weekly")</f>
        <v>Weekly</v>
      </c>
      <c r="H1267" s="258" t="str">
        <f>IFERROR(__xludf.DUMMYFUNCTION("""COMPUTED_VALUE"""),"Monthly")</f>
        <v>Monthly</v>
      </c>
      <c r="I1267" s="258" t="str">
        <f>IFERROR(__xludf.DUMMYFUNCTION("""COMPUTED_VALUE"""),"Never")</f>
        <v>Never</v>
      </c>
      <c r="J1267" s="260">
        <f>IFERROR(__xludf.DUMMYFUNCTION("""COMPUTED_VALUE"""),0.8)</f>
        <v>0.8</v>
      </c>
      <c r="K1267" s="258" t="str">
        <f>IFERROR(__xludf.DUMMYFUNCTION("""COMPUTED_VALUE"""),"")</f>
        <v/>
      </c>
      <c r="L1267" s="258" t="str">
        <f>IFERROR(__xludf.DUMMYFUNCTION("""COMPUTED_VALUE"""),"")</f>
        <v/>
      </c>
      <c r="M1267" s="261">
        <f>IFERROR(__xludf.DUMMYFUNCTION("""COMPUTED_VALUE"""),232.33333333333334)</f>
        <v>232.3333333</v>
      </c>
      <c r="N1267" s="262" t="str">
        <f>IFERROR(__xludf.DUMMYFUNCTION("""COMPUTED_VALUE"""),"")</f>
        <v/>
      </c>
      <c r="O1267" s="259" t="str">
        <f>IFERROR(__xludf.DUMMYFUNCTION("""COMPUTED_VALUE"""),"")</f>
        <v/>
      </c>
      <c r="P1267" s="259">
        <f>IFERROR(__xludf.DUMMYFUNCTION("""COMPUTED_VALUE"""),43085.0)</f>
        <v>43085</v>
      </c>
      <c r="Q1267" s="258">
        <f>IFERROR(__xludf.DUMMYFUNCTION("""COMPUTED_VALUE"""),4046.83)</f>
        <v>4046.83</v>
      </c>
      <c r="R1267" s="261">
        <f>IFERROR(__xludf.DUMMYFUNCTION("""COMPUTED_VALUE"""),294.44444444444446)</f>
        <v>294.4444444</v>
      </c>
      <c r="S1267" s="258">
        <v>292.0</v>
      </c>
      <c r="T1267" s="263">
        <v>1.008371385083714</v>
      </c>
      <c r="U1267" s="264">
        <v>4046.83</v>
      </c>
      <c r="V1267" s="265">
        <v>6513.0</v>
      </c>
      <c r="W1267" s="264">
        <v>4046.83</v>
      </c>
      <c r="X1267" s="266"/>
      <c r="Y1267" s="267">
        <v>-0.01</v>
      </c>
      <c r="Z1267" s="267">
        <v>0.9889022334726603</v>
      </c>
      <c r="AA1267" s="269"/>
      <c r="AB1267" s="270"/>
      <c r="AC1267" s="270"/>
      <c r="AD1267" s="270"/>
      <c r="AE1267" s="270"/>
    </row>
    <row r="1268">
      <c r="A1268" s="256">
        <f>IFERROR(__xludf.DUMMYFUNCTION("""COMPUTED_VALUE"""),42567.80138888889)</f>
        <v>42567.80139</v>
      </c>
      <c r="B1268" s="257" t="str">
        <f>IFERROR(__xludf.DUMMYFUNCTION("""COMPUTED_VALUE"""),"Script")</f>
        <v>Script</v>
      </c>
      <c r="C1268" s="258" t="str">
        <f>IFERROR(__xludf.DUMMYFUNCTION("""COMPUTED_VALUE"""),"USA")</f>
        <v>USA</v>
      </c>
      <c r="D1268" s="258" t="str">
        <f>IFERROR(__xludf.DUMMYFUNCTION("""COMPUTED_VALUE"""),"mi. My car displays range in miles and I will enter all range numbers in miles.")</f>
        <v>mi. My car displays range in miles and I will enter all range numbers in miles.</v>
      </c>
      <c r="E1268" s="259">
        <f>IFERROR(__xludf.DUMMYFUNCTION("""COMPUTED_VALUE"""),41365.0)</f>
        <v>41365</v>
      </c>
      <c r="F1268" s="258" t="str">
        <f>IFERROR(__xludf.DUMMYFUNCTION("""COMPUTED_VALUE"""),"Model S P85")</f>
        <v>Model S P85</v>
      </c>
      <c r="G1268" s="258" t="str">
        <f>IFERROR(__xludf.DUMMYFUNCTION("""COMPUTED_VALUE"""),"A few times a year")</f>
        <v>A few times a year</v>
      </c>
      <c r="H1268" s="258" t="str">
        <f>IFERROR(__xludf.DUMMYFUNCTION("""COMPUTED_VALUE"""),"A few times a year")</f>
        <v>A few times a year</v>
      </c>
      <c r="I1268" s="258" t="str">
        <f>IFERROR(__xludf.DUMMYFUNCTION("""COMPUTED_VALUE"""),"Never")</f>
        <v>Never</v>
      </c>
      <c r="J1268" s="260">
        <f>IFERROR(__xludf.DUMMYFUNCTION("""COMPUTED_VALUE"""),0.9)</f>
        <v>0.9</v>
      </c>
      <c r="K1268" s="258">
        <f>IFERROR(__xludf.DUMMYFUNCTION("""COMPUTED_VALUE"""),262.0)</f>
        <v>262</v>
      </c>
      <c r="L1268" s="258" t="str">
        <f>IFERROR(__xludf.DUMMYFUNCTION("""COMPUTED_VALUE"""),"")</f>
        <v/>
      </c>
      <c r="M1268" s="261">
        <f>IFERROR(__xludf.DUMMYFUNCTION("""COMPUTED_VALUE"""),360.0)</f>
        <v>360</v>
      </c>
      <c r="N1268" s="262" t="str">
        <f>IFERROR(__xludf.DUMMYFUNCTION("""COMPUTED_VALUE"""),"")</f>
        <v/>
      </c>
      <c r="O1268" s="259" t="str">
        <f>IFERROR(__xludf.DUMMYFUNCTION("""COMPUTED_VALUE"""),"")</f>
        <v/>
      </c>
      <c r="P1268" s="259">
        <f>IFERROR(__xludf.DUMMYFUNCTION("""COMPUTED_VALUE"""),42567.0)</f>
        <v>42567</v>
      </c>
      <c r="Q1268" s="258">
        <f>IFERROR(__xludf.DUMMYFUNCTION("""COMPUTED_VALUE"""),55562.0)</f>
        <v>55562</v>
      </c>
      <c r="R1268" s="261">
        <f>IFERROR(__xludf.DUMMYFUNCTION("""COMPUTED_VALUE"""),252.0)</f>
        <v>252</v>
      </c>
      <c r="S1268" s="258">
        <v>266.0</v>
      </c>
      <c r="T1268" s="263">
        <v>0.9473684210526315</v>
      </c>
      <c r="U1268" s="264">
        <v>55562.0</v>
      </c>
      <c r="V1268" s="265">
        <v>89418.0</v>
      </c>
      <c r="W1268" s="264">
        <v>55562.0</v>
      </c>
      <c r="X1268" s="266"/>
      <c r="Y1268" s="267">
        <v>-0.01</v>
      </c>
      <c r="Z1268" s="267">
        <v>0.949103643653084</v>
      </c>
      <c r="AA1268" s="269"/>
      <c r="AB1268" s="270"/>
      <c r="AC1268" s="270"/>
      <c r="AD1268" s="270"/>
      <c r="AE1268" s="270"/>
    </row>
    <row r="1269">
      <c r="A1269" s="256">
        <f>IFERROR(__xludf.DUMMYFUNCTION("""COMPUTED_VALUE"""),43162.879166666666)</f>
        <v>43162.87917</v>
      </c>
      <c r="B1269" s="257" t="str">
        <f>IFERROR(__xludf.DUMMYFUNCTION("""COMPUTED_VALUE"""),"Scriptacus")</f>
        <v>Scriptacus</v>
      </c>
      <c r="C1269" s="258" t="str">
        <f>IFERROR(__xludf.DUMMYFUNCTION("""COMPUTED_VALUE"""),"USA")</f>
        <v>USA</v>
      </c>
      <c r="D1269" s="258" t="str">
        <f>IFERROR(__xludf.DUMMYFUNCTION("""COMPUTED_VALUE"""),"mi. My car displays range in miles and I will enter all range numbers in miles.")</f>
        <v>mi. My car displays range in miles and I will enter all range numbers in miles.</v>
      </c>
      <c r="E1269" s="259">
        <f>IFERROR(__xludf.DUMMYFUNCTION("""COMPUTED_VALUE"""),41356.0)</f>
        <v>41356</v>
      </c>
      <c r="F1269" s="258" t="str">
        <f>IFERROR(__xludf.DUMMYFUNCTION("""COMPUTED_VALUE"""),"Model S P85")</f>
        <v>Model S P85</v>
      </c>
      <c r="G1269" s="258" t="str">
        <f>IFERROR(__xludf.DUMMYFUNCTION("""COMPUTED_VALUE"""),"A few times a year")</f>
        <v>A few times a year</v>
      </c>
      <c r="H1269" s="258" t="str">
        <f>IFERROR(__xludf.DUMMYFUNCTION("""COMPUTED_VALUE"""),"A few times a year")</f>
        <v>A few times a year</v>
      </c>
      <c r="I1269" s="258" t="str">
        <f>IFERROR(__xludf.DUMMYFUNCTION("""COMPUTED_VALUE"""),"A few times a year")</f>
        <v>A few times a year</v>
      </c>
      <c r="J1269" s="260">
        <f>IFERROR(__xludf.DUMMYFUNCTION("""COMPUTED_VALUE"""),0.9)</f>
        <v>0.9</v>
      </c>
      <c r="K1269" s="258" t="str">
        <f>IFERROR(__xludf.DUMMYFUNCTION("""COMPUTED_VALUE"""),"")</f>
        <v/>
      </c>
      <c r="L1269" s="258" t="str">
        <f>IFERROR(__xludf.DUMMYFUNCTION("""COMPUTED_VALUE"""),"")</f>
        <v/>
      </c>
      <c r="M1269" s="261">
        <f>IFERROR(__xludf.DUMMYFUNCTION("""COMPUTED_VALUE"""),362.0)</f>
        <v>362</v>
      </c>
      <c r="N1269" s="262" t="str">
        <f>IFERROR(__xludf.DUMMYFUNCTION("""COMPUTED_VALUE"""),"")</f>
        <v/>
      </c>
      <c r="O1269" s="259" t="str">
        <f>IFERROR(__xludf.DUMMYFUNCTION("""COMPUTED_VALUE"""),"")</f>
        <v/>
      </c>
      <c r="P1269" s="259">
        <f>IFERROR(__xludf.DUMMYFUNCTION("""COMPUTED_VALUE"""),43162.0)</f>
        <v>43162</v>
      </c>
      <c r="Q1269" s="258">
        <f>IFERROR(__xludf.DUMMYFUNCTION("""COMPUTED_VALUE"""),85000.0)</f>
        <v>85000</v>
      </c>
      <c r="R1269" s="261">
        <f>IFERROR(__xludf.DUMMYFUNCTION("""COMPUTED_VALUE"""),238.0)</f>
        <v>238</v>
      </c>
      <c r="S1269" s="258">
        <v>266.0</v>
      </c>
      <c r="T1269" s="263">
        <v>0.8947368421052632</v>
      </c>
      <c r="U1269" s="264">
        <v>85000.0</v>
      </c>
      <c r="V1269" s="265">
        <v>136794.0</v>
      </c>
      <c r="W1269" s="264">
        <v>85000.0</v>
      </c>
      <c r="X1269" s="266"/>
      <c r="Y1269" s="267">
        <v>-0.01</v>
      </c>
      <c r="Z1269" s="267">
        <v>0.9380190704456761</v>
      </c>
      <c r="AA1269" s="269"/>
      <c r="AB1269" s="270"/>
      <c r="AC1269" s="270"/>
      <c r="AD1269" s="270"/>
      <c r="AE1269" s="270"/>
    </row>
    <row r="1270">
      <c r="A1270" s="256">
        <f>IFERROR(__xludf.DUMMYFUNCTION("""COMPUTED_VALUE"""),42532.802777777775)</f>
        <v>42532.80278</v>
      </c>
      <c r="B1270" s="257" t="str">
        <f>IFERROR(__xludf.DUMMYFUNCTION("""COMPUTED_VALUE"""),"sdoorex")</f>
        <v>sdoorex</v>
      </c>
      <c r="C1270" s="258" t="str">
        <f>IFERROR(__xludf.DUMMYFUNCTION("""COMPUTED_VALUE"""),"USA")</f>
        <v>USA</v>
      </c>
      <c r="D1270" s="258" t="str">
        <f>IFERROR(__xludf.DUMMYFUNCTION("""COMPUTED_VALUE"""),"mi. My car displays range in miles and I will enter all range numbers in miles.")</f>
        <v>mi. My car displays range in miles and I will enter all range numbers in miles.</v>
      </c>
      <c r="E1270" s="259">
        <f>IFERROR(__xludf.DUMMYFUNCTION("""COMPUTED_VALUE"""),41365.0)</f>
        <v>41365</v>
      </c>
      <c r="F1270" s="258" t="str">
        <f>IFERROR(__xludf.DUMMYFUNCTION("""COMPUTED_VALUE"""),"Model S P85")</f>
        <v>Model S P85</v>
      </c>
      <c r="G1270" s="258" t="str">
        <f>IFERROR(__xludf.DUMMYFUNCTION("""COMPUTED_VALUE"""),"A few times a year")</f>
        <v>A few times a year</v>
      </c>
      <c r="H1270" s="258" t="str">
        <f>IFERROR(__xludf.DUMMYFUNCTION("""COMPUTED_VALUE"""),"Once or twice a year")</f>
        <v>Once or twice a year</v>
      </c>
      <c r="I1270" s="258" t="str">
        <f>IFERROR(__xludf.DUMMYFUNCTION("""COMPUTED_VALUE"""),"Never")</f>
        <v>Never</v>
      </c>
      <c r="J1270" s="260">
        <f>IFERROR(__xludf.DUMMYFUNCTION("""COMPUTED_VALUE"""),0.6)</f>
        <v>0.6</v>
      </c>
      <c r="K1270" s="258" t="str">
        <f>IFERROR(__xludf.DUMMYFUNCTION("""COMPUTED_VALUE"""),"")</f>
        <v/>
      </c>
      <c r="L1270" s="258" t="str">
        <f>IFERROR(__xludf.DUMMYFUNCTION("""COMPUTED_VALUE"""),"")</f>
        <v/>
      </c>
      <c r="M1270" s="261">
        <f>IFERROR(__xludf.DUMMYFUNCTION("""COMPUTED_VALUE"""),330.0)</f>
        <v>330</v>
      </c>
      <c r="N1270" s="262" t="str">
        <f>IFERROR(__xludf.DUMMYFUNCTION("""COMPUTED_VALUE"""),"")</f>
        <v/>
      </c>
      <c r="O1270" s="259" t="str">
        <f>IFERROR(__xludf.DUMMYFUNCTION("""COMPUTED_VALUE"""),"")</f>
        <v/>
      </c>
      <c r="P1270" s="259">
        <f>IFERROR(__xludf.DUMMYFUNCTION("""COMPUTED_VALUE"""),42532.0)</f>
        <v>42532</v>
      </c>
      <c r="Q1270" s="258">
        <f>IFERROR(__xludf.DUMMYFUNCTION("""COMPUTED_VALUE"""),45372.0)</f>
        <v>45372</v>
      </c>
      <c r="R1270" s="261">
        <f>IFERROR(__xludf.DUMMYFUNCTION("""COMPUTED_VALUE"""),243.0)</f>
        <v>243</v>
      </c>
      <c r="S1270" s="258">
        <v>266.0</v>
      </c>
      <c r="T1270" s="263">
        <v>0.9135338345864662</v>
      </c>
      <c r="U1270" s="264">
        <v>45372.0</v>
      </c>
      <c r="V1270" s="265">
        <v>73019.0</v>
      </c>
      <c r="W1270" s="264">
        <v>45372.0</v>
      </c>
      <c r="X1270" s="266"/>
      <c r="Y1270" s="267">
        <v>-0.01</v>
      </c>
      <c r="Z1270" s="267">
        <v>0.9531541421925794</v>
      </c>
      <c r="AA1270" s="269"/>
      <c r="AB1270" s="270"/>
      <c r="AC1270" s="270"/>
      <c r="AD1270" s="270"/>
      <c r="AE1270" s="270"/>
    </row>
    <row r="1271">
      <c r="A1271" s="256">
        <f>IFERROR(__xludf.DUMMYFUNCTION("""COMPUTED_VALUE"""),43683.16003204861)</f>
        <v>43683.16003</v>
      </c>
      <c r="B1271" s="257" t="str">
        <f>IFERROR(__xludf.DUMMYFUNCTION("""COMPUTED_VALUE"""),"sdoorex")</f>
        <v>sdoorex</v>
      </c>
      <c r="C1271" s="258" t="str">
        <f>IFERROR(__xludf.DUMMYFUNCTION("""COMPUTED_VALUE"""),"USA")</f>
        <v>USA</v>
      </c>
      <c r="D1271" s="258" t="str">
        <f>IFERROR(__xludf.DUMMYFUNCTION("""COMPUTED_VALUE"""),"mi. My car displays range in miles and I will enter all range numbers in miles.")</f>
        <v>mi. My car displays range in miles and I will enter all range numbers in miles.</v>
      </c>
      <c r="E1271" s="259">
        <f>IFERROR(__xludf.DUMMYFUNCTION("""COMPUTED_VALUE"""),41365.0)</f>
        <v>41365</v>
      </c>
      <c r="F1271" s="258" t="str">
        <f>IFERROR(__xludf.DUMMYFUNCTION("""COMPUTED_VALUE"""),"Model S P85")</f>
        <v>Model S P85</v>
      </c>
      <c r="G1271" s="258" t="str">
        <f>IFERROR(__xludf.DUMMYFUNCTION("""COMPUTED_VALUE"""),"A few times a year")</f>
        <v>A few times a year</v>
      </c>
      <c r="H1271" s="258" t="str">
        <f>IFERROR(__xludf.DUMMYFUNCTION("""COMPUTED_VALUE"""),"Once or twice a year")</f>
        <v>Once or twice a year</v>
      </c>
      <c r="I1271" s="258" t="str">
        <f>IFERROR(__xludf.DUMMYFUNCTION("""COMPUTED_VALUE"""),"Never")</f>
        <v>Never</v>
      </c>
      <c r="J1271" s="260">
        <f>IFERROR(__xludf.DUMMYFUNCTION("""COMPUTED_VALUE"""),0.9)</f>
        <v>0.9</v>
      </c>
      <c r="K1271" s="258">
        <f>IFERROR(__xludf.DUMMYFUNCTION("""COMPUTED_VALUE"""),265.0)</f>
        <v>265</v>
      </c>
      <c r="L1271" s="258" t="str">
        <f>IFERROR(__xludf.DUMMYFUNCTION("""COMPUTED_VALUE"""),"")</f>
        <v/>
      </c>
      <c r="M1271" s="261">
        <f>IFERROR(__xludf.DUMMYFUNCTION("""COMPUTED_VALUE"""),325.0)</f>
        <v>325</v>
      </c>
      <c r="N1271" s="262" t="str">
        <f>IFERROR(__xludf.DUMMYFUNCTION("""COMPUTED_VALUE"""),"")</f>
        <v/>
      </c>
      <c r="O1271" s="259" t="str">
        <f>IFERROR(__xludf.DUMMYFUNCTION("""COMPUTED_VALUE"""),"")</f>
        <v/>
      </c>
      <c r="P1271" s="259">
        <f>IFERROR(__xludf.DUMMYFUNCTION("""COMPUTED_VALUE"""),43637.0)</f>
        <v>43637</v>
      </c>
      <c r="Q1271" s="258">
        <f>IFERROR(__xludf.DUMMYFUNCTION("""COMPUTED_VALUE"""),97903.0)</f>
        <v>97903</v>
      </c>
      <c r="R1271" s="261">
        <f>IFERROR(__xludf.DUMMYFUNCTION("""COMPUTED_VALUE"""),245.0)</f>
        <v>245</v>
      </c>
      <c r="S1271" s="258">
        <v>266.0</v>
      </c>
      <c r="T1271" s="263">
        <v>0.9210526315789473</v>
      </c>
      <c r="U1271" s="264">
        <v>97903.0</v>
      </c>
      <c r="V1271" s="265">
        <v>157560.0</v>
      </c>
      <c r="W1271" s="264">
        <v>97903.0</v>
      </c>
      <c r="X1271" s="266"/>
      <c r="Y1271" s="267">
        <v>-0.01</v>
      </c>
      <c r="Z1271" s="267">
        <v>0.9332219527532185</v>
      </c>
      <c r="AA1271" s="269"/>
      <c r="AB1271" s="270"/>
      <c r="AC1271" s="270"/>
      <c r="AD1271" s="270"/>
      <c r="AE1271" s="270"/>
    </row>
    <row r="1272">
      <c r="A1272" s="256">
        <f>IFERROR(__xludf.DUMMYFUNCTION("""COMPUTED_VALUE"""),43683.16003204861)</f>
        <v>43683.16003</v>
      </c>
      <c r="B1272" s="257" t="str">
        <f>IFERROR(__xludf.DUMMYFUNCTION("""COMPUTED_VALUE"""),"sdoorex")</f>
        <v>sdoorex</v>
      </c>
      <c r="C1272" s="258" t="str">
        <f>IFERROR(__xludf.DUMMYFUNCTION("""COMPUTED_VALUE"""),"USA")</f>
        <v>USA</v>
      </c>
      <c r="D1272" s="258" t="str">
        <f>IFERROR(__xludf.DUMMYFUNCTION("""COMPUTED_VALUE"""),"mi. My car displays range in miles and I will enter all range numbers in miles.")</f>
        <v>mi. My car displays range in miles and I will enter all range numbers in miles.</v>
      </c>
      <c r="E1272" s="259">
        <f>IFERROR(__xludf.DUMMYFUNCTION("""COMPUTED_VALUE"""),41365.0)</f>
        <v>41365</v>
      </c>
      <c r="F1272" s="258" t="str">
        <f>IFERROR(__xludf.DUMMYFUNCTION("""COMPUTED_VALUE"""),"Model S P85")</f>
        <v>Model S P85</v>
      </c>
      <c r="G1272" s="258" t="str">
        <f>IFERROR(__xludf.DUMMYFUNCTION("""COMPUTED_VALUE"""),"A few times a year")</f>
        <v>A few times a year</v>
      </c>
      <c r="H1272" s="258" t="str">
        <f>IFERROR(__xludf.DUMMYFUNCTION("""COMPUTED_VALUE"""),"Once or twice a year")</f>
        <v>Once or twice a year</v>
      </c>
      <c r="I1272" s="258" t="str">
        <f>IFERROR(__xludf.DUMMYFUNCTION("""COMPUTED_VALUE"""),"Never")</f>
        <v>Never</v>
      </c>
      <c r="J1272" s="260">
        <f>IFERROR(__xludf.DUMMYFUNCTION("""COMPUTED_VALUE"""),0.9)</f>
        <v>0.9</v>
      </c>
      <c r="K1272" s="258">
        <f>IFERROR(__xludf.DUMMYFUNCTION("""COMPUTED_VALUE"""),265.0)</f>
        <v>265</v>
      </c>
      <c r="L1272" s="258" t="str">
        <f>IFERROR(__xludf.DUMMYFUNCTION("""COMPUTED_VALUE"""),"")</f>
        <v/>
      </c>
      <c r="M1272" s="261">
        <f>IFERROR(__xludf.DUMMYFUNCTION("""COMPUTED_VALUE"""),325.0)</f>
        <v>325</v>
      </c>
      <c r="N1272" s="262" t="str">
        <f>IFERROR(__xludf.DUMMYFUNCTION("""COMPUTED_VALUE"""),"")</f>
        <v/>
      </c>
      <c r="O1272" s="259" t="str">
        <f>IFERROR(__xludf.DUMMYFUNCTION("""COMPUTED_VALUE"""),"")</f>
        <v/>
      </c>
      <c r="P1272" s="259">
        <f>IFERROR(__xludf.DUMMYFUNCTION("""COMPUTED_VALUE"""),43682.0)</f>
        <v>43682</v>
      </c>
      <c r="Q1272" s="258">
        <f>IFERROR(__xludf.DUMMYFUNCTION("""COMPUTED_VALUE"""),98534.0)</f>
        <v>98534</v>
      </c>
      <c r="R1272" s="261">
        <f>IFERROR(__xludf.DUMMYFUNCTION("""COMPUTED_VALUE"""),221.0)</f>
        <v>221</v>
      </c>
      <c r="S1272" s="258">
        <v>266.0</v>
      </c>
      <c r="T1272" s="263">
        <v>0.8308270676691729</v>
      </c>
      <c r="U1272" s="264">
        <v>98534.0</v>
      </c>
      <c r="V1272" s="265">
        <v>158575.0</v>
      </c>
      <c r="W1272" s="264">
        <v>98534.0</v>
      </c>
      <c r="X1272" s="266"/>
      <c r="Y1272" s="267">
        <v>-0.01</v>
      </c>
      <c r="Z1272" s="267">
        <v>0.9329876626784444</v>
      </c>
      <c r="AA1272" s="269"/>
      <c r="AB1272" s="270"/>
      <c r="AC1272" s="270"/>
      <c r="AD1272" s="270"/>
      <c r="AE1272" s="270"/>
    </row>
    <row r="1273">
      <c r="A1273" s="256">
        <f>IFERROR(__xludf.DUMMYFUNCTION("""COMPUTED_VALUE"""),43131.68819444445)</f>
        <v>43131.68819</v>
      </c>
      <c r="B1273" s="257" t="str">
        <f>IFERROR(__xludf.DUMMYFUNCTION("""COMPUTED_VALUE"""),"sdragon")</f>
        <v>sdragon</v>
      </c>
      <c r="C1273" s="258" t="str">
        <f>IFERROR(__xludf.DUMMYFUNCTION("""COMPUTED_VALUE"""),"Europe (excluding UK) &amp; Asia Pacific")</f>
        <v>Europe (excluding UK) &amp; Asia Pacific</v>
      </c>
      <c r="D1273" s="258" t="str">
        <f>IFERROR(__xludf.DUMMYFUNCTION("""COMPUTED_VALUE"""),"km. My car displays range in kilometres and I will enter all range numbers in kilometres.")</f>
        <v>km. My car displays range in kilometres and I will enter all range numbers in kilometres.</v>
      </c>
      <c r="E1273" s="259">
        <f>IFERROR(__xludf.DUMMYFUNCTION("""COMPUTED_VALUE"""),42849.0)</f>
        <v>42849</v>
      </c>
      <c r="F1273" s="258" t="str">
        <f>IFERROR(__xludf.DUMMYFUNCTION("""COMPUTED_VALUE"""),"Model S 75D")</f>
        <v>Model S 75D</v>
      </c>
      <c r="G1273" s="258" t="str">
        <f>IFERROR(__xludf.DUMMYFUNCTION("""COMPUTED_VALUE"""),"Twice a month")</f>
        <v>Twice a month</v>
      </c>
      <c r="H1273" s="258" t="str">
        <f>IFERROR(__xludf.DUMMYFUNCTION("""COMPUTED_VALUE"""),"Monthly")</f>
        <v>Monthly</v>
      </c>
      <c r="I1273" s="258" t="str">
        <f>IFERROR(__xludf.DUMMYFUNCTION("""COMPUTED_VALUE"""),"Never")</f>
        <v>Never</v>
      </c>
      <c r="J1273" s="260">
        <f>IFERROR(__xludf.DUMMYFUNCTION("""COMPUTED_VALUE"""),0.9)</f>
        <v>0.9</v>
      </c>
      <c r="K1273" s="258">
        <f>IFERROR(__xludf.DUMMYFUNCTION("""COMPUTED_VALUE"""),388.0)</f>
        <v>388</v>
      </c>
      <c r="L1273" s="258" t="str">
        <f>IFERROR(__xludf.DUMMYFUNCTION("""COMPUTED_VALUE"""),"")</f>
        <v/>
      </c>
      <c r="M1273" s="261">
        <f>IFERROR(__xludf.DUMMYFUNCTION("""COMPUTED_VALUE"""),198.0)</f>
        <v>198</v>
      </c>
      <c r="N1273" s="262" t="str">
        <f>IFERROR(__xludf.DUMMYFUNCTION("""COMPUTED_VALUE"""),"")</f>
        <v/>
      </c>
      <c r="O1273" s="259" t="str">
        <f>IFERROR(__xludf.DUMMYFUNCTION("""COMPUTED_VALUE"""),"")</f>
        <v/>
      </c>
      <c r="P1273" s="259">
        <f>IFERROR(__xludf.DUMMYFUNCTION("""COMPUTED_VALUE"""),43131.0)</f>
        <v>43131</v>
      </c>
      <c r="Q1273" s="258">
        <f>IFERROR(__xludf.DUMMYFUNCTION("""COMPUTED_VALUE"""),18375.0)</f>
        <v>18375</v>
      </c>
      <c r="R1273" s="261">
        <f>IFERROR(__xludf.DUMMYFUNCTION("""COMPUTED_VALUE"""),384.0)</f>
        <v>384</v>
      </c>
      <c r="S1273" s="258">
        <v>384.0</v>
      </c>
      <c r="T1273" s="263">
        <v>1.0</v>
      </c>
      <c r="U1273" s="264">
        <v>11418.0</v>
      </c>
      <c r="V1273" s="265">
        <v>18375.0</v>
      </c>
      <c r="W1273" s="264">
        <v>11418.0</v>
      </c>
      <c r="X1273" s="266"/>
      <c r="Y1273" s="267">
        <v>-0.01</v>
      </c>
      <c r="Z1273" s="267">
        <v>0.9757803289182742</v>
      </c>
      <c r="AA1273" s="269"/>
      <c r="AB1273" s="270"/>
      <c r="AC1273" s="270"/>
      <c r="AD1273" s="270"/>
      <c r="AE1273" s="270"/>
    </row>
    <row r="1274">
      <c r="A1274" s="256">
        <f>IFERROR(__xludf.DUMMYFUNCTION("""COMPUTED_VALUE"""),43143.69652777778)</f>
        <v>43143.69653</v>
      </c>
      <c r="B1274" s="257" t="str">
        <f>IFERROR(__xludf.DUMMYFUNCTION("""COMPUTED_VALUE"""),"sdragon")</f>
        <v>sdragon</v>
      </c>
      <c r="C1274" s="258" t="str">
        <f>IFERROR(__xludf.DUMMYFUNCTION("""COMPUTED_VALUE"""),"Europe (excluding UK) &amp; Asia Pacific")</f>
        <v>Europe (excluding UK) &amp; Asia Pacific</v>
      </c>
      <c r="D1274" s="258" t="str">
        <f>IFERROR(__xludf.DUMMYFUNCTION("""COMPUTED_VALUE"""),"km. My car displays range in kilometres and I will enter all range numbers in kilometres.")</f>
        <v>km. My car displays range in kilometres and I will enter all range numbers in kilometres.</v>
      </c>
      <c r="E1274" s="259">
        <f>IFERROR(__xludf.DUMMYFUNCTION("""COMPUTED_VALUE"""),42849.0)</f>
        <v>42849</v>
      </c>
      <c r="F1274" s="258" t="str">
        <f>IFERROR(__xludf.DUMMYFUNCTION("""COMPUTED_VALUE"""),"Model S 75D")</f>
        <v>Model S 75D</v>
      </c>
      <c r="G1274" s="258" t="str">
        <f>IFERROR(__xludf.DUMMYFUNCTION("""COMPUTED_VALUE"""),"Twice a month")</f>
        <v>Twice a month</v>
      </c>
      <c r="H1274" s="258" t="str">
        <f>IFERROR(__xludf.DUMMYFUNCTION("""COMPUTED_VALUE"""),"Monthly")</f>
        <v>Monthly</v>
      </c>
      <c r="I1274" s="258" t="str">
        <f>IFERROR(__xludf.DUMMYFUNCTION("""COMPUTED_VALUE"""),"Never")</f>
        <v>Never</v>
      </c>
      <c r="J1274" s="260">
        <f>IFERROR(__xludf.DUMMYFUNCTION("""COMPUTED_VALUE"""),0.9)</f>
        <v>0.9</v>
      </c>
      <c r="K1274" s="258">
        <f>IFERROR(__xludf.DUMMYFUNCTION("""COMPUTED_VALUE"""),387.0)</f>
        <v>387</v>
      </c>
      <c r="L1274" s="258" t="str">
        <f>IFERROR(__xludf.DUMMYFUNCTION("""COMPUTED_VALUE"""),"")</f>
        <v/>
      </c>
      <c r="M1274" s="261">
        <f>IFERROR(__xludf.DUMMYFUNCTION("""COMPUTED_VALUE"""),198.0)</f>
        <v>198</v>
      </c>
      <c r="N1274" s="262" t="str">
        <f>IFERROR(__xludf.DUMMYFUNCTION("""COMPUTED_VALUE"""),"")</f>
        <v/>
      </c>
      <c r="O1274" s="259" t="str">
        <f>IFERROR(__xludf.DUMMYFUNCTION("""COMPUTED_VALUE"""),"")</f>
        <v/>
      </c>
      <c r="P1274" s="259">
        <f>IFERROR(__xludf.DUMMYFUNCTION("""COMPUTED_VALUE"""),43143.0)</f>
        <v>43143</v>
      </c>
      <c r="Q1274" s="258">
        <f>IFERROR(__xludf.DUMMYFUNCTION("""COMPUTED_VALUE"""),19529.0)</f>
        <v>19529</v>
      </c>
      <c r="R1274" s="261">
        <f>IFERROR(__xludf.DUMMYFUNCTION("""COMPUTED_VALUE"""),383.0)</f>
        <v>383</v>
      </c>
      <c r="S1274" s="258">
        <v>384.0</v>
      </c>
      <c r="T1274" s="263">
        <v>0.9973958333333334</v>
      </c>
      <c r="U1274" s="264">
        <v>12135.0</v>
      </c>
      <c r="V1274" s="265">
        <v>19529.0</v>
      </c>
      <c r="W1274" s="264">
        <v>12135.0</v>
      </c>
      <c r="X1274" s="266"/>
      <c r="Y1274" s="267">
        <v>-0.01</v>
      </c>
      <c r="Z1274" s="267">
        <v>0.9748354608881741</v>
      </c>
      <c r="AA1274" s="269"/>
      <c r="AB1274" s="270"/>
      <c r="AC1274" s="270"/>
      <c r="AD1274" s="270"/>
      <c r="AE1274" s="270"/>
    </row>
    <row r="1275">
      <c r="A1275" s="256">
        <f>IFERROR(__xludf.DUMMYFUNCTION("""COMPUTED_VALUE"""),42268.76736111111)</f>
        <v>42268.76736</v>
      </c>
      <c r="B1275" s="257" t="str">
        <f>IFERROR(__xludf.DUMMYFUNCTION("""COMPUTED_VALUE"""),"Sean O")</f>
        <v>Sean O</v>
      </c>
      <c r="C1275" s="258" t="str">
        <f>IFERROR(__xludf.DUMMYFUNCTION("""COMPUTED_VALUE"""),"USA")</f>
        <v>USA</v>
      </c>
      <c r="D1275" s="258" t="str">
        <f>IFERROR(__xludf.DUMMYFUNCTION("""COMPUTED_VALUE"""),"mi. My car displays range in miles and I will enter all range numbers in miles.")</f>
        <v>mi. My car displays range in miles and I will enter all range numbers in miles.</v>
      </c>
      <c r="E1275" s="259">
        <f>IFERROR(__xludf.DUMMYFUNCTION("""COMPUTED_VALUE"""),42078.0)</f>
        <v>42078</v>
      </c>
      <c r="F1275" s="258" t="str">
        <f>IFERROR(__xludf.DUMMYFUNCTION("""COMPUTED_VALUE"""),"Model S 85")</f>
        <v>Model S 85</v>
      </c>
      <c r="G1275" s="258" t="str">
        <f>IFERROR(__xludf.DUMMYFUNCTION("""COMPUTED_VALUE"""),"Twice a month")</f>
        <v>Twice a month</v>
      </c>
      <c r="H1275" s="258" t="str">
        <f>IFERROR(__xludf.DUMMYFUNCTION("""COMPUTED_VALUE"""),"A few times a year")</f>
        <v>A few times a year</v>
      </c>
      <c r="I1275" s="258" t="str">
        <f>IFERROR(__xludf.DUMMYFUNCTION("""COMPUTED_VALUE"""),"Once or twice a year")</f>
        <v>Once or twice a year</v>
      </c>
      <c r="J1275" s="260">
        <f>IFERROR(__xludf.DUMMYFUNCTION("""COMPUTED_VALUE"""),0.8)</f>
        <v>0.8</v>
      </c>
      <c r="K1275" s="258">
        <f>IFERROR(__xludf.DUMMYFUNCTION("""COMPUTED_VALUE"""),256.0)</f>
        <v>256</v>
      </c>
      <c r="L1275" s="258" t="str">
        <f>IFERROR(__xludf.DUMMYFUNCTION("""COMPUTED_VALUE"""),"")</f>
        <v/>
      </c>
      <c r="M1275" s="261">
        <f>IFERROR(__xludf.DUMMYFUNCTION("""COMPUTED_VALUE"""),338.0)</f>
        <v>338</v>
      </c>
      <c r="N1275" s="262" t="str">
        <f>IFERROR(__xludf.DUMMYFUNCTION("""COMPUTED_VALUE"""),"")</f>
        <v/>
      </c>
      <c r="O1275" s="259" t="str">
        <f>IFERROR(__xludf.DUMMYFUNCTION("""COMPUTED_VALUE"""),"")</f>
        <v/>
      </c>
      <c r="P1275" s="259">
        <f>IFERROR(__xludf.DUMMYFUNCTION("""COMPUTED_VALUE"""),42268.0)</f>
        <v>42268</v>
      </c>
      <c r="Q1275" s="258">
        <f>IFERROR(__xludf.DUMMYFUNCTION("""COMPUTED_VALUE"""),11500.0)</f>
        <v>11500</v>
      </c>
      <c r="R1275" s="261">
        <f>IFERROR(__xludf.DUMMYFUNCTION("""COMPUTED_VALUE"""),250.0)</f>
        <v>250</v>
      </c>
      <c r="S1275" s="258">
        <v>266.0</v>
      </c>
      <c r="T1275" s="263">
        <v>0.9398496240601504</v>
      </c>
      <c r="U1275" s="264">
        <v>11500.0</v>
      </c>
      <c r="V1275" s="265">
        <v>18507.0</v>
      </c>
      <c r="W1275" s="264">
        <v>11500.0</v>
      </c>
      <c r="X1275" s="266"/>
      <c r="Y1275" s="267">
        <v>-0.01</v>
      </c>
      <c r="Z1275" s="267">
        <v>0.9756699242001595</v>
      </c>
      <c r="AA1275" s="269"/>
      <c r="AB1275" s="270"/>
      <c r="AC1275" s="270"/>
      <c r="AD1275" s="270"/>
      <c r="AE1275" s="270"/>
    </row>
    <row r="1276">
      <c r="A1276" s="256">
        <f>IFERROR(__xludf.DUMMYFUNCTION("""COMPUTED_VALUE"""),42781.820138888885)</f>
        <v>42781.82014</v>
      </c>
      <c r="B1276" s="257" t="str">
        <f>IFERROR(__xludf.DUMMYFUNCTION("""COMPUTED_VALUE"""),"SeanMichaelMitchell")</f>
        <v>SeanMichaelMitchell</v>
      </c>
      <c r="C1276" s="258" t="str">
        <f>IFERROR(__xludf.DUMMYFUNCTION("""COMPUTED_VALUE"""),"USA")</f>
        <v>USA</v>
      </c>
      <c r="D1276" s="258" t="str">
        <f>IFERROR(__xludf.DUMMYFUNCTION("""COMPUTED_VALUE"""),"mi. My car displays range in miles and I will enter all range numbers in miles.")</f>
        <v>mi. My car displays range in miles and I will enter all range numbers in miles.</v>
      </c>
      <c r="E1276" s="259">
        <f>IFERROR(__xludf.DUMMYFUNCTION("""COMPUTED_VALUE"""),41275.0)</f>
        <v>41275</v>
      </c>
      <c r="F1276" s="258" t="str">
        <f>IFERROR(__xludf.DUMMYFUNCTION("""COMPUTED_VALUE"""),"Model S 60")</f>
        <v>Model S 60</v>
      </c>
      <c r="G1276" s="258" t="str">
        <f>IFERROR(__xludf.DUMMYFUNCTION("""COMPUTED_VALUE"""),"Daily")</f>
        <v>Daily</v>
      </c>
      <c r="H1276" s="258" t="str">
        <f>IFERROR(__xludf.DUMMYFUNCTION("""COMPUTED_VALUE"""),"Daily")</f>
        <v>Daily</v>
      </c>
      <c r="I1276" s="258" t="str">
        <f>IFERROR(__xludf.DUMMYFUNCTION("""COMPUTED_VALUE"""),"A few times a year")</f>
        <v>A few times a year</v>
      </c>
      <c r="J1276" s="260">
        <f>IFERROR(__xludf.DUMMYFUNCTION("""COMPUTED_VALUE"""),1.0)</f>
        <v>1</v>
      </c>
      <c r="K1276" s="258" t="str">
        <f>IFERROR(__xludf.DUMMYFUNCTION("""COMPUTED_VALUE"""),"")</f>
        <v/>
      </c>
      <c r="L1276" s="258" t="str">
        <f>IFERROR(__xludf.DUMMYFUNCTION("""COMPUTED_VALUE"""),"")</f>
        <v/>
      </c>
      <c r="M1276" s="261">
        <f>IFERROR(__xludf.DUMMYFUNCTION("""COMPUTED_VALUE"""),319.0)</f>
        <v>319</v>
      </c>
      <c r="N1276" s="262" t="str">
        <f>IFERROR(__xludf.DUMMYFUNCTION("""COMPUTED_VALUE"""),"")</f>
        <v/>
      </c>
      <c r="O1276" s="259" t="str">
        <f>IFERROR(__xludf.DUMMYFUNCTION("""COMPUTED_VALUE"""),"")</f>
        <v/>
      </c>
      <c r="P1276" s="259">
        <f>IFERROR(__xludf.DUMMYFUNCTION("""COMPUTED_VALUE"""),42781.0)</f>
        <v>42781</v>
      </c>
      <c r="Q1276" s="258">
        <f>IFERROR(__xludf.DUMMYFUNCTION("""COMPUTED_VALUE"""),45500.0)</f>
        <v>45500</v>
      </c>
      <c r="R1276" s="261">
        <f>IFERROR(__xludf.DUMMYFUNCTION("""COMPUTED_VALUE"""),201.0)</f>
        <v>201</v>
      </c>
      <c r="S1276" s="258">
        <v>207.0</v>
      </c>
      <c r="T1276" s="263">
        <v>0.9710144927536232</v>
      </c>
      <c r="U1276" s="264">
        <v>45500.0</v>
      </c>
      <c r="V1276" s="265">
        <v>73225.0</v>
      </c>
      <c r="W1276" s="264">
        <v>45500.0</v>
      </c>
      <c r="X1276" s="266"/>
      <c r="Y1276" s="267">
        <v>-0.01</v>
      </c>
      <c r="Z1276" s="267">
        <v>0.9531014350968406</v>
      </c>
      <c r="AA1276" s="269"/>
      <c r="AB1276" s="270"/>
      <c r="AC1276" s="270"/>
      <c r="AD1276" s="270"/>
      <c r="AE1276" s="270"/>
    </row>
    <row r="1277">
      <c r="A1277" s="256">
        <f>IFERROR(__xludf.DUMMYFUNCTION("""COMPUTED_VALUE"""),41907.018055555556)</f>
        <v>41907.01806</v>
      </c>
      <c r="B1277" s="257" t="str">
        <f>IFERROR(__xludf.DUMMYFUNCTION("""COMPUTED_VALUE"""),"selsrog")</f>
        <v>selsrog</v>
      </c>
      <c r="C1277" s="258" t="str">
        <f>IFERROR(__xludf.DUMMYFUNCTION("""COMPUTED_VALUE"""),"Europe (excluding UK) &amp; Asia Pacific")</f>
        <v>Europe (excluding UK) &amp; Asia Pacific</v>
      </c>
      <c r="D1277" s="258" t="str">
        <f>IFERROR(__xludf.DUMMYFUNCTION("""COMPUTED_VALUE"""),"km. My car displays range in kilometres and I will enter all range numbers in kilometres.")</f>
        <v>km. My car displays range in kilometres and I will enter all range numbers in kilometres.</v>
      </c>
      <c r="E1277" s="259">
        <f>IFERROR(__xludf.DUMMYFUNCTION("""COMPUTED_VALUE"""),41810.0)</f>
        <v>41810</v>
      </c>
      <c r="F1277" s="258" t="str">
        <f>IFERROR(__xludf.DUMMYFUNCTION("""COMPUTED_VALUE"""),"Model S 85")</f>
        <v>Model S 85</v>
      </c>
      <c r="G1277" s="258" t="str">
        <f>IFERROR(__xludf.DUMMYFUNCTION("""COMPUTED_VALUE"""),"A few times a year")</f>
        <v>A few times a year</v>
      </c>
      <c r="H1277" s="258" t="str">
        <f>IFERROR(__xludf.DUMMYFUNCTION("""COMPUTED_VALUE"""),"A few times a year")</f>
        <v>A few times a year</v>
      </c>
      <c r="I1277" s="258" t="str">
        <f>IFERROR(__xludf.DUMMYFUNCTION("""COMPUTED_VALUE"""),"Never")</f>
        <v>Never</v>
      </c>
      <c r="J1277" s="260" t="str">
        <f>IFERROR(__xludf.DUMMYFUNCTION("""COMPUTED_VALUE"""),"")</f>
        <v/>
      </c>
      <c r="K1277" s="258" t="str">
        <f>IFERROR(__xludf.DUMMYFUNCTION("""COMPUTED_VALUE"""),"")</f>
        <v/>
      </c>
      <c r="L1277" s="258" t="str">
        <f>IFERROR(__xludf.DUMMYFUNCTION("""COMPUTED_VALUE"""),"")</f>
        <v/>
      </c>
      <c r="M1277" s="261">
        <f>IFERROR(__xludf.DUMMYFUNCTION("""COMPUTED_VALUE"""),235.0)</f>
        <v>235</v>
      </c>
      <c r="N1277" s="262" t="str">
        <f>IFERROR(__xludf.DUMMYFUNCTION("""COMPUTED_VALUE"""),"")</f>
        <v/>
      </c>
      <c r="O1277" s="259" t="str">
        <f>IFERROR(__xludf.DUMMYFUNCTION("""COMPUTED_VALUE"""),"")</f>
        <v/>
      </c>
      <c r="P1277" s="259">
        <f>IFERROR(__xludf.DUMMYFUNCTION("""COMPUTED_VALUE"""),41907.0)</f>
        <v>41907</v>
      </c>
      <c r="Q1277" s="258">
        <f>IFERROR(__xludf.DUMMYFUNCTION("""COMPUTED_VALUE"""),8598.0)</f>
        <v>8598</v>
      </c>
      <c r="R1277" s="261">
        <f>IFERROR(__xludf.DUMMYFUNCTION("""COMPUTED_VALUE"""),388.0)</f>
        <v>388</v>
      </c>
      <c r="S1277" s="258">
        <v>395.0</v>
      </c>
      <c r="T1277" s="263">
        <v>0.9822784810126582</v>
      </c>
      <c r="U1277" s="264">
        <v>5343.0</v>
      </c>
      <c r="V1277" s="265">
        <v>8598.0</v>
      </c>
      <c r="W1277" s="264">
        <v>5343.0</v>
      </c>
      <c r="X1277" s="266"/>
      <c r="Y1277" s="267">
        <v>-0.01</v>
      </c>
      <c r="Z1277" s="267">
        <v>0.9860416390582106</v>
      </c>
      <c r="AA1277" s="269"/>
      <c r="AB1277" s="270"/>
      <c r="AC1277" s="270"/>
      <c r="AD1277" s="270"/>
      <c r="AE1277" s="270"/>
    </row>
    <row r="1278">
      <c r="A1278" s="256">
        <f>IFERROR(__xludf.DUMMYFUNCTION("""COMPUTED_VALUE"""),42023.06041666667)</f>
        <v>42023.06042</v>
      </c>
      <c r="B1278" s="257" t="str">
        <f>IFERROR(__xludf.DUMMYFUNCTION("""COMPUTED_VALUE"""),"selsrog")</f>
        <v>selsrog</v>
      </c>
      <c r="C1278" s="258" t="str">
        <f>IFERROR(__xludf.DUMMYFUNCTION("""COMPUTED_VALUE"""),"Europe (excluding UK) &amp; Asia Pacific")</f>
        <v>Europe (excluding UK) &amp; Asia Pacific</v>
      </c>
      <c r="D1278" s="258" t="str">
        <f>IFERROR(__xludf.DUMMYFUNCTION("""COMPUTED_VALUE"""),"km. My car displays range in kilometres and I will enter all range numbers in kilometres.")</f>
        <v>km. My car displays range in kilometres and I will enter all range numbers in kilometres.</v>
      </c>
      <c r="E1278" s="259">
        <f>IFERROR(__xludf.DUMMYFUNCTION("""COMPUTED_VALUE"""),41810.0)</f>
        <v>41810</v>
      </c>
      <c r="F1278" s="258" t="str">
        <f>IFERROR(__xludf.DUMMYFUNCTION("""COMPUTED_VALUE"""),"Model S 85")</f>
        <v>Model S 85</v>
      </c>
      <c r="G1278" s="258" t="str">
        <f>IFERROR(__xludf.DUMMYFUNCTION("""COMPUTED_VALUE"""),"Monthly")</f>
        <v>Monthly</v>
      </c>
      <c r="H1278" s="258" t="str">
        <f>IFERROR(__xludf.DUMMYFUNCTION("""COMPUTED_VALUE"""),"A few times a year")</f>
        <v>A few times a year</v>
      </c>
      <c r="I1278" s="258" t="str">
        <f>IFERROR(__xludf.DUMMYFUNCTION("""COMPUTED_VALUE"""),"Once or twice a year")</f>
        <v>Once or twice a year</v>
      </c>
      <c r="J1278" s="260" t="str">
        <f>IFERROR(__xludf.DUMMYFUNCTION("""COMPUTED_VALUE"""),"")</f>
        <v/>
      </c>
      <c r="K1278" s="258" t="str">
        <f>IFERROR(__xludf.DUMMYFUNCTION("""COMPUTED_VALUE"""),"")</f>
        <v/>
      </c>
      <c r="L1278" s="258" t="str">
        <f>IFERROR(__xludf.DUMMYFUNCTION("""COMPUTED_VALUE"""),"")</f>
        <v/>
      </c>
      <c r="M1278" s="261">
        <f>IFERROR(__xludf.DUMMYFUNCTION("""COMPUTED_VALUE"""),240.0)</f>
        <v>240</v>
      </c>
      <c r="N1278" s="262" t="str">
        <f>IFERROR(__xludf.DUMMYFUNCTION("""COMPUTED_VALUE"""),"")</f>
        <v/>
      </c>
      <c r="O1278" s="259" t="str">
        <f>IFERROR(__xludf.DUMMYFUNCTION("""COMPUTED_VALUE"""),"")</f>
        <v/>
      </c>
      <c r="P1278" s="259">
        <f>IFERROR(__xludf.DUMMYFUNCTION("""COMPUTED_VALUE"""),42023.0)</f>
        <v>42023</v>
      </c>
      <c r="Q1278" s="258">
        <f>IFERROR(__xludf.DUMMYFUNCTION("""COMPUTED_VALUE"""),18500.0)</f>
        <v>18500</v>
      </c>
      <c r="R1278" s="261">
        <f>IFERROR(__xludf.DUMMYFUNCTION("""COMPUTED_VALUE"""),381.0)</f>
        <v>381</v>
      </c>
      <c r="S1278" s="258">
        <v>395.0</v>
      </c>
      <c r="T1278" s="263">
        <v>0.9645569620253165</v>
      </c>
      <c r="U1278" s="264">
        <v>11495.0</v>
      </c>
      <c r="V1278" s="265">
        <v>18500.0</v>
      </c>
      <c r="W1278" s="264">
        <v>11495.0</v>
      </c>
      <c r="X1278" s="266"/>
      <c r="Y1278" s="267">
        <v>-0.01</v>
      </c>
      <c r="Z1278" s="267">
        <v>0.9756757636054932</v>
      </c>
      <c r="AA1278" s="269"/>
      <c r="AB1278" s="270"/>
      <c r="AC1278" s="270"/>
      <c r="AD1278" s="270"/>
      <c r="AE1278" s="270"/>
    </row>
    <row r="1279">
      <c r="A1279" s="256">
        <f>IFERROR(__xludf.DUMMYFUNCTION("""COMPUTED_VALUE"""),42104.09236111111)</f>
        <v>42104.09236</v>
      </c>
      <c r="B1279" s="257" t="str">
        <f>IFERROR(__xludf.DUMMYFUNCTION("""COMPUTED_VALUE"""),"selsrog")</f>
        <v>selsrog</v>
      </c>
      <c r="C1279" s="258" t="str">
        <f>IFERROR(__xludf.DUMMYFUNCTION("""COMPUTED_VALUE"""),"Europe (excluding UK) &amp; Asia Pacific")</f>
        <v>Europe (excluding UK) &amp; Asia Pacific</v>
      </c>
      <c r="D1279" s="258" t="str">
        <f>IFERROR(__xludf.DUMMYFUNCTION("""COMPUTED_VALUE"""),"km. My car displays range in kilometres and I will enter all range numbers in kilometres.")</f>
        <v>km. My car displays range in kilometres and I will enter all range numbers in kilometres.</v>
      </c>
      <c r="E1279" s="259">
        <f>IFERROR(__xludf.DUMMYFUNCTION("""COMPUTED_VALUE"""),41810.0)</f>
        <v>41810</v>
      </c>
      <c r="F1279" s="258" t="str">
        <f>IFERROR(__xludf.DUMMYFUNCTION("""COMPUTED_VALUE"""),"Model S 85")</f>
        <v>Model S 85</v>
      </c>
      <c r="G1279" s="258" t="str">
        <f>IFERROR(__xludf.DUMMYFUNCTION("""COMPUTED_VALUE"""),"Twice a month")</f>
        <v>Twice a month</v>
      </c>
      <c r="H1279" s="258" t="str">
        <f>IFERROR(__xludf.DUMMYFUNCTION("""COMPUTED_VALUE"""),"A few times a year")</f>
        <v>A few times a year</v>
      </c>
      <c r="I1279" s="258" t="str">
        <f>IFERROR(__xludf.DUMMYFUNCTION("""COMPUTED_VALUE"""),"Once or twice a year")</f>
        <v>Once or twice a year</v>
      </c>
      <c r="J1279" s="260" t="str">
        <f>IFERROR(__xludf.DUMMYFUNCTION("""COMPUTED_VALUE"""),"")</f>
        <v/>
      </c>
      <c r="K1279" s="258" t="str">
        <f>IFERROR(__xludf.DUMMYFUNCTION("""COMPUTED_VALUE"""),"")</f>
        <v/>
      </c>
      <c r="L1279" s="258" t="str">
        <f>IFERROR(__xludf.DUMMYFUNCTION("""COMPUTED_VALUE"""),"")</f>
        <v/>
      </c>
      <c r="M1279" s="261">
        <f>IFERROR(__xludf.DUMMYFUNCTION("""COMPUTED_VALUE"""),250.0)</f>
        <v>250</v>
      </c>
      <c r="N1279" s="262" t="str">
        <f>IFERROR(__xludf.DUMMYFUNCTION("""COMPUTED_VALUE"""),"")</f>
        <v/>
      </c>
      <c r="O1279" s="259" t="str">
        <f>IFERROR(__xludf.DUMMYFUNCTION("""COMPUTED_VALUE"""),"")</f>
        <v/>
      </c>
      <c r="P1279" s="259">
        <f>IFERROR(__xludf.DUMMYFUNCTION("""COMPUTED_VALUE"""),42104.0)</f>
        <v>42104</v>
      </c>
      <c r="Q1279" s="258">
        <f>IFERROR(__xludf.DUMMYFUNCTION("""COMPUTED_VALUE"""),27000.0)</f>
        <v>27000</v>
      </c>
      <c r="R1279" s="261">
        <f>IFERROR(__xludf.DUMMYFUNCTION("""COMPUTED_VALUE"""),382.0)</f>
        <v>382</v>
      </c>
      <c r="S1279" s="258">
        <v>395.0</v>
      </c>
      <c r="T1279" s="263">
        <v>0.9670886075949368</v>
      </c>
      <c r="U1279" s="264">
        <v>16777.0</v>
      </c>
      <c r="V1279" s="265">
        <v>27000.0</v>
      </c>
      <c r="W1279" s="264">
        <v>16777.0</v>
      </c>
      <c r="X1279" s="266"/>
      <c r="Y1279" s="267">
        <v>-0.01</v>
      </c>
      <c r="Z1279" s="267">
        <v>0.9696665000394786</v>
      </c>
      <c r="AA1279" s="269"/>
      <c r="AB1279" s="270"/>
      <c r="AC1279" s="270"/>
      <c r="AD1279" s="270"/>
      <c r="AE1279" s="270"/>
    </row>
    <row r="1280">
      <c r="A1280" s="256">
        <f>IFERROR(__xludf.DUMMYFUNCTION("""COMPUTED_VALUE"""),42233.225)</f>
        <v>42233.225</v>
      </c>
      <c r="B1280" s="257" t="str">
        <f>IFERROR(__xludf.DUMMYFUNCTION("""COMPUTED_VALUE"""),"selsrog")</f>
        <v>selsrog</v>
      </c>
      <c r="C1280" s="258" t="str">
        <f>IFERROR(__xludf.DUMMYFUNCTION("""COMPUTED_VALUE"""),"Europe (excluding UK) &amp; Asia Pacific")</f>
        <v>Europe (excluding UK) &amp; Asia Pacific</v>
      </c>
      <c r="D1280" s="258" t="str">
        <f>IFERROR(__xludf.DUMMYFUNCTION("""COMPUTED_VALUE"""),"km. My car displays range in kilometres and I will enter all range numbers in kilometres.")</f>
        <v>km. My car displays range in kilometres and I will enter all range numbers in kilometres.</v>
      </c>
      <c r="E1280" s="259">
        <f>IFERROR(__xludf.DUMMYFUNCTION("""COMPUTED_VALUE"""),41810.0)</f>
        <v>41810</v>
      </c>
      <c r="F1280" s="258" t="str">
        <f>IFERROR(__xludf.DUMMYFUNCTION("""COMPUTED_VALUE"""),"Model S 85")</f>
        <v>Model S 85</v>
      </c>
      <c r="G1280" s="258" t="str">
        <f>IFERROR(__xludf.DUMMYFUNCTION("""COMPUTED_VALUE"""),"Monthly")</f>
        <v>Monthly</v>
      </c>
      <c r="H1280" s="258" t="str">
        <f>IFERROR(__xludf.DUMMYFUNCTION("""COMPUTED_VALUE"""),"Monthly")</f>
        <v>Monthly</v>
      </c>
      <c r="I1280" s="258" t="str">
        <f>IFERROR(__xludf.DUMMYFUNCTION("""COMPUTED_VALUE"""),"A few times a year")</f>
        <v>A few times a year</v>
      </c>
      <c r="J1280" s="260">
        <f>IFERROR(__xludf.DUMMYFUNCTION("""COMPUTED_VALUE"""),0.8)</f>
        <v>0.8</v>
      </c>
      <c r="K1280" s="258" t="str">
        <f>IFERROR(__xludf.DUMMYFUNCTION("""COMPUTED_VALUE"""),"")</f>
        <v/>
      </c>
      <c r="L1280" s="258" t="str">
        <f>IFERROR(__xludf.DUMMYFUNCTION("""COMPUTED_VALUE"""),"")</f>
        <v/>
      </c>
      <c r="M1280" s="261">
        <f>IFERROR(__xludf.DUMMYFUNCTION("""COMPUTED_VALUE"""),237.0)</f>
        <v>237</v>
      </c>
      <c r="N1280" s="262" t="str">
        <f>IFERROR(__xludf.DUMMYFUNCTION("""COMPUTED_VALUE"""),"")</f>
        <v/>
      </c>
      <c r="O1280" s="259" t="str">
        <f>IFERROR(__xludf.DUMMYFUNCTION("""COMPUTED_VALUE"""),"")</f>
        <v/>
      </c>
      <c r="P1280" s="259">
        <f>IFERROR(__xludf.DUMMYFUNCTION("""COMPUTED_VALUE"""),42233.0)</f>
        <v>42233</v>
      </c>
      <c r="Q1280" s="258">
        <f>IFERROR(__xludf.DUMMYFUNCTION("""COMPUTED_VALUE"""),36743.0)</f>
        <v>36743</v>
      </c>
      <c r="R1280" s="261">
        <f>IFERROR(__xludf.DUMMYFUNCTION("""COMPUTED_VALUE"""),368.0)</f>
        <v>368</v>
      </c>
      <c r="S1280" s="258">
        <v>395.0</v>
      </c>
      <c r="T1280" s="263">
        <v>0.9316455696202531</v>
      </c>
      <c r="U1280" s="264">
        <v>22831.0</v>
      </c>
      <c r="V1280" s="265">
        <v>36743.0</v>
      </c>
      <c r="W1280" s="264">
        <v>22831.0</v>
      </c>
      <c r="X1280" s="266"/>
      <c r="Y1280" s="267">
        <v>-0.01</v>
      </c>
      <c r="Z1280" s="267">
        <v>0.9646798660170495</v>
      </c>
      <c r="AA1280" s="269"/>
      <c r="AB1280" s="270"/>
      <c r="AC1280" s="270"/>
      <c r="AD1280" s="270"/>
      <c r="AE1280" s="270"/>
    </row>
    <row r="1281">
      <c r="A1281" s="256">
        <f>IFERROR(__xludf.DUMMYFUNCTION("""COMPUTED_VALUE"""),42355.34513888889)</f>
        <v>42355.34514</v>
      </c>
      <c r="B1281" s="257" t="str">
        <f>IFERROR(__xludf.DUMMYFUNCTION("""COMPUTED_VALUE"""),"selsrog")</f>
        <v>selsrog</v>
      </c>
      <c r="C1281" s="258" t="str">
        <f>IFERROR(__xludf.DUMMYFUNCTION("""COMPUTED_VALUE"""),"Europe (excluding UK) &amp; Asia Pacific")</f>
        <v>Europe (excluding UK) &amp; Asia Pacific</v>
      </c>
      <c r="D1281" s="258" t="str">
        <f>IFERROR(__xludf.DUMMYFUNCTION("""COMPUTED_VALUE"""),"km. My car displays range in kilometres and I will enter all range numbers in kilometres.")</f>
        <v>km. My car displays range in kilometres and I will enter all range numbers in kilometres.</v>
      </c>
      <c r="E1281" s="259">
        <f>IFERROR(__xludf.DUMMYFUNCTION("""COMPUTED_VALUE"""),41810.0)</f>
        <v>41810</v>
      </c>
      <c r="F1281" s="258" t="str">
        <f>IFERROR(__xludf.DUMMYFUNCTION("""COMPUTED_VALUE"""),"Model S 85")</f>
        <v>Model S 85</v>
      </c>
      <c r="G1281" s="258" t="str">
        <f>IFERROR(__xludf.DUMMYFUNCTION("""COMPUTED_VALUE"""),"A few times a year")</f>
        <v>A few times a year</v>
      </c>
      <c r="H1281" s="258" t="str">
        <f>IFERROR(__xludf.DUMMYFUNCTION("""COMPUTED_VALUE"""),"A few times a year")</f>
        <v>A few times a year</v>
      </c>
      <c r="I1281" s="258" t="str">
        <f>IFERROR(__xludf.DUMMYFUNCTION("""COMPUTED_VALUE"""),"Once or twice a year")</f>
        <v>Once or twice a year</v>
      </c>
      <c r="J1281" s="260">
        <f>IFERROR(__xludf.DUMMYFUNCTION("""COMPUTED_VALUE"""),0.8)</f>
        <v>0.8</v>
      </c>
      <c r="K1281" s="258" t="str">
        <f>IFERROR(__xludf.DUMMYFUNCTION("""COMPUTED_VALUE"""),"")</f>
        <v/>
      </c>
      <c r="L1281" s="258" t="str">
        <f>IFERROR(__xludf.DUMMYFUNCTION("""COMPUTED_VALUE"""),"")</f>
        <v/>
      </c>
      <c r="M1281" s="261">
        <f>IFERROR(__xludf.DUMMYFUNCTION("""COMPUTED_VALUE"""),221.0)</f>
        <v>221</v>
      </c>
      <c r="N1281" s="262" t="str">
        <f>IFERROR(__xludf.DUMMYFUNCTION("""COMPUTED_VALUE"""),"")</f>
        <v/>
      </c>
      <c r="O1281" s="259" t="str">
        <f>IFERROR(__xludf.DUMMYFUNCTION("""COMPUTED_VALUE"""),"")</f>
        <v/>
      </c>
      <c r="P1281" s="259">
        <f>IFERROR(__xludf.DUMMYFUNCTION("""COMPUTED_VALUE"""),42355.0)</f>
        <v>42355</v>
      </c>
      <c r="Q1281" s="258">
        <f>IFERROR(__xludf.DUMMYFUNCTION("""COMPUTED_VALUE"""),46534.0)</f>
        <v>46534</v>
      </c>
      <c r="R1281" s="261">
        <f>IFERROR(__xludf.DUMMYFUNCTION("""COMPUTED_VALUE"""),361.0)</f>
        <v>361</v>
      </c>
      <c r="S1281" s="258">
        <v>395.0</v>
      </c>
      <c r="T1281" s="263">
        <v>0.9139240506329114</v>
      </c>
      <c r="U1281" s="264">
        <v>28915.0</v>
      </c>
      <c r="V1281" s="265">
        <v>46534.0</v>
      </c>
      <c r="W1281" s="264">
        <v>28915.0</v>
      </c>
      <c r="X1281" s="266"/>
      <c r="Y1281" s="267">
        <v>-0.01</v>
      </c>
      <c r="Z1281" s="267">
        <v>0.9608611879791367</v>
      </c>
      <c r="AA1281" s="269"/>
      <c r="AB1281" s="270"/>
      <c r="AC1281" s="270"/>
      <c r="AD1281" s="270"/>
      <c r="AE1281" s="270"/>
    </row>
    <row r="1282">
      <c r="A1282" s="256">
        <f>IFERROR(__xludf.DUMMYFUNCTION("""COMPUTED_VALUE"""),42457.34583333333)</f>
        <v>42457.34583</v>
      </c>
      <c r="B1282" s="257" t="str">
        <f>IFERROR(__xludf.DUMMYFUNCTION("""COMPUTED_VALUE"""),"selsrog")</f>
        <v>selsrog</v>
      </c>
      <c r="C1282" s="258" t="str">
        <f>IFERROR(__xludf.DUMMYFUNCTION("""COMPUTED_VALUE"""),"Europe (excluding UK) &amp; Asia Pacific")</f>
        <v>Europe (excluding UK) &amp; Asia Pacific</v>
      </c>
      <c r="D1282" s="258" t="str">
        <f>IFERROR(__xludf.DUMMYFUNCTION("""COMPUTED_VALUE"""),"km. My car displays range in kilometres and I will enter all range numbers in kilometres.")</f>
        <v>km. My car displays range in kilometres and I will enter all range numbers in kilometres.</v>
      </c>
      <c r="E1282" s="259">
        <f>IFERROR(__xludf.DUMMYFUNCTION("""COMPUTED_VALUE"""),41810.0)</f>
        <v>41810</v>
      </c>
      <c r="F1282" s="258" t="str">
        <f>IFERROR(__xludf.DUMMYFUNCTION("""COMPUTED_VALUE"""),"Model S 85")</f>
        <v>Model S 85</v>
      </c>
      <c r="G1282" s="258" t="str">
        <f>IFERROR(__xludf.DUMMYFUNCTION("""COMPUTED_VALUE"""),"A few times a year")</f>
        <v>A few times a year</v>
      </c>
      <c r="H1282" s="258" t="str">
        <f>IFERROR(__xludf.DUMMYFUNCTION("""COMPUTED_VALUE"""),"A few times a year")</f>
        <v>A few times a year</v>
      </c>
      <c r="I1282" s="258" t="str">
        <f>IFERROR(__xludf.DUMMYFUNCTION("""COMPUTED_VALUE"""),"Once or twice a year")</f>
        <v>Once or twice a year</v>
      </c>
      <c r="J1282" s="260">
        <f>IFERROR(__xludf.DUMMYFUNCTION("""COMPUTED_VALUE"""),0.8)</f>
        <v>0.8</v>
      </c>
      <c r="K1282" s="258" t="str">
        <f>IFERROR(__xludf.DUMMYFUNCTION("""COMPUTED_VALUE"""),"")</f>
        <v/>
      </c>
      <c r="L1282" s="258" t="str">
        <f>IFERROR(__xludf.DUMMYFUNCTION("""COMPUTED_VALUE"""),"")</f>
        <v/>
      </c>
      <c r="M1282" s="261">
        <f>IFERROR(__xludf.DUMMYFUNCTION("""COMPUTED_VALUE"""),221.0)</f>
        <v>221</v>
      </c>
      <c r="N1282" s="262" t="str">
        <f>IFERROR(__xludf.DUMMYFUNCTION("""COMPUTED_VALUE"""),"")</f>
        <v/>
      </c>
      <c r="O1282" s="259" t="str">
        <f>IFERROR(__xludf.DUMMYFUNCTION("""COMPUTED_VALUE"""),"")</f>
        <v/>
      </c>
      <c r="P1282" s="259">
        <f>IFERROR(__xludf.DUMMYFUNCTION("""COMPUTED_VALUE"""),42457.0)</f>
        <v>42457</v>
      </c>
      <c r="Q1282" s="258">
        <f>IFERROR(__xludf.DUMMYFUNCTION("""COMPUTED_VALUE"""),53226.0)</f>
        <v>53226</v>
      </c>
      <c r="R1282" s="261">
        <f>IFERROR(__xludf.DUMMYFUNCTION("""COMPUTED_VALUE"""),364.0)</f>
        <v>364</v>
      </c>
      <c r="S1282" s="258">
        <v>395.0</v>
      </c>
      <c r="T1282" s="263">
        <v>0.9215189873417722</v>
      </c>
      <c r="U1282" s="264">
        <v>33073.0</v>
      </c>
      <c r="V1282" s="265">
        <v>53226.0</v>
      </c>
      <c r="W1282" s="264">
        <v>33073.0</v>
      </c>
      <c r="X1282" s="266"/>
      <c r="Y1282" s="267">
        <v>-0.01</v>
      </c>
      <c r="Z1282" s="267">
        <v>0.9586619137417793</v>
      </c>
      <c r="AA1282" s="269"/>
      <c r="AB1282" s="270"/>
      <c r="AC1282" s="270"/>
      <c r="AD1282" s="270"/>
      <c r="AE1282" s="270"/>
    </row>
    <row r="1283">
      <c r="A1283" s="256">
        <f>IFERROR(__xludf.DUMMYFUNCTION("""COMPUTED_VALUE"""),42891.83819444444)</f>
        <v>42891.83819</v>
      </c>
      <c r="B1283" s="257" t="str">
        <f>IFERROR(__xludf.DUMMYFUNCTION("""COMPUTED_VALUE"""),"sgblank")</f>
        <v>sgblank</v>
      </c>
      <c r="C1283" s="258" t="str">
        <f>IFERROR(__xludf.DUMMYFUNCTION("""COMPUTED_VALUE"""),"USA")</f>
        <v>USA</v>
      </c>
      <c r="D1283" s="258" t="str">
        <f>IFERROR(__xludf.DUMMYFUNCTION("""COMPUTED_VALUE"""),"mi. My car displays range in miles and I will enter all range numbers in miles.")</f>
        <v>mi. My car displays range in miles and I will enter all range numbers in miles.</v>
      </c>
      <c r="E1283" s="259">
        <f>IFERROR(__xludf.DUMMYFUNCTION("""COMPUTED_VALUE"""),41334.0)</f>
        <v>41334</v>
      </c>
      <c r="F1283" s="258" t="str">
        <f>IFERROR(__xludf.DUMMYFUNCTION("""COMPUTED_VALUE"""),"Model S P85")</f>
        <v>Model S P85</v>
      </c>
      <c r="G1283" s="258" t="str">
        <f>IFERROR(__xludf.DUMMYFUNCTION("""COMPUTED_VALUE"""),"A few times a year")</f>
        <v>A few times a year</v>
      </c>
      <c r="H1283" s="258" t="str">
        <f>IFERROR(__xludf.DUMMYFUNCTION("""COMPUTED_VALUE"""),"Once or twice a year")</f>
        <v>Once or twice a year</v>
      </c>
      <c r="I1283" s="258" t="str">
        <f>IFERROR(__xludf.DUMMYFUNCTION("""COMPUTED_VALUE"""),"Never")</f>
        <v>Never</v>
      </c>
      <c r="J1283" s="260">
        <f>IFERROR(__xludf.DUMMYFUNCTION("""COMPUTED_VALUE"""),0.9)</f>
        <v>0.9</v>
      </c>
      <c r="K1283" s="258">
        <f>IFERROR(__xludf.DUMMYFUNCTION("""COMPUTED_VALUE"""),265.0)</f>
        <v>265</v>
      </c>
      <c r="L1283" s="258" t="str">
        <f>IFERROR(__xludf.DUMMYFUNCTION("""COMPUTED_VALUE"""),"")</f>
        <v/>
      </c>
      <c r="M1283" s="261">
        <f>IFERROR(__xludf.DUMMYFUNCTION("""COMPUTED_VALUE"""),330.0)</f>
        <v>330</v>
      </c>
      <c r="N1283" s="262" t="str">
        <f>IFERROR(__xludf.DUMMYFUNCTION("""COMPUTED_VALUE"""),"")</f>
        <v/>
      </c>
      <c r="O1283" s="259" t="str">
        <f>IFERROR(__xludf.DUMMYFUNCTION("""COMPUTED_VALUE"""),"")</f>
        <v/>
      </c>
      <c r="P1283" s="259">
        <f>IFERROR(__xludf.DUMMYFUNCTION("""COMPUTED_VALUE"""),42891.0)</f>
        <v>42891</v>
      </c>
      <c r="Q1283" s="258">
        <f>IFERROR(__xludf.DUMMYFUNCTION("""COMPUTED_VALUE"""),54297.0)</f>
        <v>54297</v>
      </c>
      <c r="R1283" s="261">
        <f>IFERROR(__xludf.DUMMYFUNCTION("""COMPUTED_VALUE"""),255.0)</f>
        <v>255</v>
      </c>
      <c r="S1283" s="258">
        <v>266.0</v>
      </c>
      <c r="T1283" s="263">
        <v>0.9586466165413534</v>
      </c>
      <c r="U1283" s="264">
        <v>54297.0</v>
      </c>
      <c r="V1283" s="265">
        <v>87383.0</v>
      </c>
      <c r="W1283" s="264">
        <v>54297.0</v>
      </c>
      <c r="X1283" s="266"/>
      <c r="Y1283" s="267">
        <v>-0.01</v>
      </c>
      <c r="Z1283" s="267">
        <v>0.9495941285184769</v>
      </c>
      <c r="AA1283" s="269"/>
      <c r="AB1283" s="270"/>
      <c r="AC1283" s="270"/>
      <c r="AD1283" s="270"/>
      <c r="AE1283" s="270"/>
    </row>
    <row r="1284">
      <c r="A1284" s="256">
        <f>IFERROR(__xludf.DUMMYFUNCTION("""COMPUTED_VALUE"""),42142.19791666667)</f>
        <v>42142.19792</v>
      </c>
      <c r="B1284" s="257" t="str">
        <f>IFERROR(__xludf.DUMMYFUNCTION("""COMPUTED_VALUE"""),"Sh3xCod")</f>
        <v>Sh3xCod</v>
      </c>
      <c r="C1284" s="258" t="str">
        <f>IFERROR(__xludf.DUMMYFUNCTION("""COMPUTED_VALUE"""),"Europe (excluding UK) &amp; Asia Pacific")</f>
        <v>Europe (excluding UK) &amp; Asia Pacific</v>
      </c>
      <c r="D1284" s="258" t="str">
        <f>IFERROR(__xludf.DUMMYFUNCTION("""COMPUTED_VALUE"""),"km. My car displays range in kilometres and I will enter all range numbers in kilometres.")</f>
        <v>km. My car displays range in kilometres and I will enter all range numbers in kilometres.</v>
      </c>
      <c r="E1284" s="259">
        <f>IFERROR(__xludf.DUMMYFUNCTION("""COMPUTED_VALUE"""),42077.0)</f>
        <v>42077</v>
      </c>
      <c r="F1284" s="258" t="str">
        <f>IFERROR(__xludf.DUMMYFUNCTION("""COMPUTED_VALUE"""),"Model S 85D")</f>
        <v>Model S 85D</v>
      </c>
      <c r="G1284" s="258" t="str">
        <f>IFERROR(__xludf.DUMMYFUNCTION("""COMPUTED_VALUE"""),"Monthly")</f>
        <v>Monthly</v>
      </c>
      <c r="H1284" s="258" t="str">
        <f>IFERROR(__xludf.DUMMYFUNCTION("""COMPUTED_VALUE"""),"Monthly")</f>
        <v>Monthly</v>
      </c>
      <c r="I1284" s="258" t="str">
        <f>IFERROR(__xludf.DUMMYFUNCTION("""COMPUTED_VALUE"""),"Monthly")</f>
        <v>Monthly</v>
      </c>
      <c r="J1284" s="260">
        <f>IFERROR(__xludf.DUMMYFUNCTION("""COMPUTED_VALUE"""),0.8)</f>
        <v>0.8</v>
      </c>
      <c r="K1284" s="258">
        <f>IFERROR(__xludf.DUMMYFUNCTION("""COMPUTED_VALUE"""),403.0)</f>
        <v>403</v>
      </c>
      <c r="L1284" s="258" t="str">
        <f>IFERROR(__xludf.DUMMYFUNCTION("""COMPUTED_VALUE"""),"")</f>
        <v/>
      </c>
      <c r="M1284" s="261">
        <f>IFERROR(__xludf.DUMMYFUNCTION("""COMPUTED_VALUE"""),234.0)</f>
        <v>234</v>
      </c>
      <c r="N1284" s="262" t="str">
        <f>IFERROR(__xludf.DUMMYFUNCTION("""COMPUTED_VALUE"""),"")</f>
        <v/>
      </c>
      <c r="O1284" s="259" t="str">
        <f>IFERROR(__xludf.DUMMYFUNCTION("""COMPUTED_VALUE"""),"")</f>
        <v/>
      </c>
      <c r="P1284" s="259">
        <f>IFERROR(__xludf.DUMMYFUNCTION("""COMPUTED_VALUE"""),42142.0)</f>
        <v>42142</v>
      </c>
      <c r="Q1284" s="258">
        <f>IFERROR(__xludf.DUMMYFUNCTION("""COMPUTED_VALUE"""),5165.0)</f>
        <v>5165</v>
      </c>
      <c r="R1284" s="261">
        <f>IFERROR(__xludf.DUMMYFUNCTION("""COMPUTED_VALUE"""),407.0)</f>
        <v>407</v>
      </c>
      <c r="S1284" s="258">
        <v>425.0</v>
      </c>
      <c r="T1284" s="263">
        <v>0.9576470588235294</v>
      </c>
      <c r="U1284" s="264">
        <v>3209.0</v>
      </c>
      <c r="V1284" s="265">
        <v>5165.0</v>
      </c>
      <c r="W1284" s="264">
        <v>3209.0</v>
      </c>
      <c r="X1284" s="266"/>
      <c r="Y1284" s="267">
        <v>-0.01</v>
      </c>
      <c r="Z1284" s="267">
        <v>0.9909125297216247</v>
      </c>
      <c r="AA1284" s="269"/>
      <c r="AB1284" s="270"/>
      <c r="AC1284" s="270"/>
      <c r="AD1284" s="270"/>
      <c r="AE1284" s="270"/>
    </row>
    <row r="1285">
      <c r="A1285" s="256">
        <f>IFERROR(__xludf.DUMMYFUNCTION("""COMPUTED_VALUE"""),42226.19861111111)</f>
        <v>42226.19861</v>
      </c>
      <c r="B1285" s="257" t="str">
        <f>IFERROR(__xludf.DUMMYFUNCTION("""COMPUTED_VALUE"""),"Sh3xCod")</f>
        <v>Sh3xCod</v>
      </c>
      <c r="C1285" s="258" t="str">
        <f>IFERROR(__xludf.DUMMYFUNCTION("""COMPUTED_VALUE"""),"Europe (excluding UK) &amp; Asia Pacific")</f>
        <v>Europe (excluding UK) &amp; Asia Pacific</v>
      </c>
      <c r="D1285" s="258" t="str">
        <f>IFERROR(__xludf.DUMMYFUNCTION("""COMPUTED_VALUE"""),"km. My car displays range in kilometres and I will enter all range numbers in kilometres.")</f>
        <v>km. My car displays range in kilometres and I will enter all range numbers in kilometres.</v>
      </c>
      <c r="E1285" s="259">
        <f>IFERROR(__xludf.DUMMYFUNCTION("""COMPUTED_VALUE"""),42077.0)</f>
        <v>42077</v>
      </c>
      <c r="F1285" s="258" t="str">
        <f>IFERROR(__xludf.DUMMYFUNCTION("""COMPUTED_VALUE"""),"Model S 85D")</f>
        <v>Model S 85D</v>
      </c>
      <c r="G1285" s="258" t="str">
        <f>IFERROR(__xludf.DUMMYFUNCTION("""COMPUTED_VALUE"""),"Monthly")</f>
        <v>Monthly</v>
      </c>
      <c r="H1285" s="258" t="str">
        <f>IFERROR(__xludf.DUMMYFUNCTION("""COMPUTED_VALUE"""),"Monthly")</f>
        <v>Monthly</v>
      </c>
      <c r="I1285" s="258" t="str">
        <f>IFERROR(__xludf.DUMMYFUNCTION("""COMPUTED_VALUE"""),"Monthly")</f>
        <v>Monthly</v>
      </c>
      <c r="J1285" s="260">
        <f>IFERROR(__xludf.DUMMYFUNCTION("""COMPUTED_VALUE"""),0.8)</f>
        <v>0.8</v>
      </c>
      <c r="K1285" s="258">
        <f>IFERROR(__xludf.DUMMYFUNCTION("""COMPUTED_VALUE"""),403.0)</f>
        <v>403</v>
      </c>
      <c r="L1285" s="258" t="str">
        <f>IFERROR(__xludf.DUMMYFUNCTION("""COMPUTED_VALUE"""),"")</f>
        <v/>
      </c>
      <c r="M1285" s="261">
        <f>IFERROR(__xludf.DUMMYFUNCTION("""COMPUTED_VALUE"""),233.0)</f>
        <v>233</v>
      </c>
      <c r="N1285" s="262" t="str">
        <f>IFERROR(__xludf.DUMMYFUNCTION("""COMPUTED_VALUE"""),"")</f>
        <v/>
      </c>
      <c r="O1285" s="259" t="str">
        <f>IFERROR(__xludf.DUMMYFUNCTION("""COMPUTED_VALUE"""),"")</f>
        <v/>
      </c>
      <c r="P1285" s="259">
        <f>IFERROR(__xludf.DUMMYFUNCTION("""COMPUTED_VALUE"""),42226.0)</f>
        <v>42226</v>
      </c>
      <c r="Q1285" s="258">
        <f>IFERROR(__xludf.DUMMYFUNCTION("""COMPUTED_VALUE"""),7400.0)</f>
        <v>7400</v>
      </c>
      <c r="R1285" s="261">
        <f>IFERROR(__xludf.DUMMYFUNCTION("""COMPUTED_VALUE"""),409.0)</f>
        <v>409</v>
      </c>
      <c r="S1285" s="258">
        <v>425.0</v>
      </c>
      <c r="T1285" s="263">
        <v>0.9623529411764706</v>
      </c>
      <c r="U1285" s="264">
        <v>4598.0</v>
      </c>
      <c r="V1285" s="265">
        <v>7400.0</v>
      </c>
      <c r="W1285" s="264">
        <v>4598.0</v>
      </c>
      <c r="X1285" s="266"/>
      <c r="Y1285" s="267">
        <v>-0.01</v>
      </c>
      <c r="Z1285" s="267">
        <v>0.9876499283577365</v>
      </c>
      <c r="AA1285" s="269"/>
      <c r="AB1285" s="270"/>
      <c r="AC1285" s="270"/>
      <c r="AD1285" s="270"/>
      <c r="AE1285" s="270"/>
    </row>
    <row r="1286">
      <c r="A1286" s="256">
        <f>IFERROR(__xludf.DUMMYFUNCTION("""COMPUTED_VALUE"""),42342.90486111111)</f>
        <v>42342.90486</v>
      </c>
      <c r="B1286" s="257" t="str">
        <f>IFERROR(__xludf.DUMMYFUNCTION("""COMPUTED_VALUE"""),"Sheffie")</f>
        <v>Sheffie</v>
      </c>
      <c r="C1286" s="258" t="str">
        <f>IFERROR(__xludf.DUMMYFUNCTION("""COMPUTED_VALUE"""),"Canada")</f>
        <v>Canada</v>
      </c>
      <c r="D1286" s="258" t="str">
        <f>IFERROR(__xludf.DUMMYFUNCTION("""COMPUTED_VALUE"""),"km. My car displays range in kilometres and I will enter all range numbers in kilometres.")</f>
        <v>km. My car displays range in kilometres and I will enter all range numbers in kilometres.</v>
      </c>
      <c r="E1286" s="259">
        <f>IFERROR(__xludf.DUMMYFUNCTION("""COMPUTED_VALUE"""),42045.0)</f>
        <v>42045</v>
      </c>
      <c r="F1286" s="258" t="str">
        <f>IFERROR(__xludf.DUMMYFUNCTION("""COMPUTED_VALUE"""),"Model S P85D")</f>
        <v>Model S P85D</v>
      </c>
      <c r="G1286" s="258" t="str">
        <f>IFERROR(__xludf.DUMMYFUNCTION("""COMPUTED_VALUE"""),"Monthly")</f>
        <v>Monthly</v>
      </c>
      <c r="H1286" s="258" t="str">
        <f>IFERROR(__xludf.DUMMYFUNCTION("""COMPUTED_VALUE"""),"Monthly")</f>
        <v>Monthly</v>
      </c>
      <c r="I1286" s="258" t="str">
        <f>IFERROR(__xludf.DUMMYFUNCTION("""COMPUTED_VALUE"""),"Once or twice a year")</f>
        <v>Once or twice a year</v>
      </c>
      <c r="J1286" s="260">
        <f>IFERROR(__xludf.DUMMYFUNCTION("""COMPUTED_VALUE"""),0.9)</f>
        <v>0.9</v>
      </c>
      <c r="K1286" s="258">
        <f>IFERROR(__xludf.DUMMYFUNCTION("""COMPUTED_VALUE"""),408.0)</f>
        <v>408</v>
      </c>
      <c r="L1286" s="258" t="str">
        <f>IFERROR(__xludf.DUMMYFUNCTION("""COMPUTED_VALUE"""),"")</f>
        <v/>
      </c>
      <c r="M1286" s="261">
        <f>IFERROR(__xludf.DUMMYFUNCTION("""COMPUTED_VALUE"""),225.0)</f>
        <v>225</v>
      </c>
      <c r="N1286" s="262" t="str">
        <f>IFERROR(__xludf.DUMMYFUNCTION("""COMPUTED_VALUE"""),"")</f>
        <v/>
      </c>
      <c r="O1286" s="259" t="str">
        <f>IFERROR(__xludf.DUMMYFUNCTION("""COMPUTED_VALUE"""),"")</f>
        <v/>
      </c>
      <c r="P1286" s="259">
        <f>IFERROR(__xludf.DUMMYFUNCTION("""COMPUTED_VALUE"""),42342.0)</f>
        <v>42342</v>
      </c>
      <c r="Q1286" s="258">
        <f>IFERROR(__xludf.DUMMYFUNCTION("""COMPUTED_VALUE"""),19985.0)</f>
        <v>19985</v>
      </c>
      <c r="R1286" s="261">
        <f>IFERROR(__xludf.DUMMYFUNCTION("""COMPUTED_VALUE"""),408.0)</f>
        <v>408</v>
      </c>
      <c r="S1286" s="258">
        <v>407.0</v>
      </c>
      <c r="T1286" s="263">
        <v>1.0024570024570025</v>
      </c>
      <c r="U1286" s="264">
        <v>12418.0</v>
      </c>
      <c r="V1286" s="265">
        <v>19985.0</v>
      </c>
      <c r="W1286" s="264">
        <v>12418.0</v>
      </c>
      <c r="X1286" s="266"/>
      <c r="Y1286" s="267">
        <v>-0.01</v>
      </c>
      <c r="Z1286" s="267">
        <v>0.9744744019054432</v>
      </c>
      <c r="AA1286" s="269"/>
      <c r="AB1286" s="270"/>
      <c r="AC1286" s="270"/>
      <c r="AD1286" s="270"/>
      <c r="AE1286" s="270"/>
    </row>
    <row r="1287">
      <c r="A1287" s="256">
        <f>IFERROR(__xludf.DUMMYFUNCTION("""COMPUTED_VALUE"""),42228.15694444445)</f>
        <v>42228.15694</v>
      </c>
      <c r="B1287" s="257" t="str">
        <f>IFERROR(__xludf.DUMMYFUNCTION("""COMPUTED_VALUE"""),"shoot72")</f>
        <v>shoot72</v>
      </c>
      <c r="C1287" s="258" t="str">
        <f>IFERROR(__xludf.DUMMYFUNCTION("""COMPUTED_VALUE"""),"Europe (excluding UK) &amp; Asia Pacific")</f>
        <v>Europe (excluding UK) &amp; Asia Pacific</v>
      </c>
      <c r="D1287" s="258" t="str">
        <f>IFERROR(__xludf.DUMMYFUNCTION("""COMPUTED_VALUE"""),"km. My car displays range in kilometres and I will enter all range numbers in kilometres.")</f>
        <v>km. My car displays range in kilometres and I will enter all range numbers in kilometres.</v>
      </c>
      <c r="E1287" s="259">
        <f>IFERROR(__xludf.DUMMYFUNCTION("""COMPUTED_VALUE"""),42160.0)</f>
        <v>42160</v>
      </c>
      <c r="F1287" s="258" t="str">
        <f>IFERROR(__xludf.DUMMYFUNCTION("""COMPUTED_VALUE"""),"Model S 85D")</f>
        <v>Model S 85D</v>
      </c>
      <c r="G1287" s="258" t="str">
        <f>IFERROR(__xludf.DUMMYFUNCTION("""COMPUTED_VALUE"""),"Twice a week")</f>
        <v>Twice a week</v>
      </c>
      <c r="H1287" s="258" t="str">
        <f>IFERROR(__xludf.DUMMYFUNCTION("""COMPUTED_VALUE"""),"Twice a month")</f>
        <v>Twice a month</v>
      </c>
      <c r="I1287" s="258" t="str">
        <f>IFERROR(__xludf.DUMMYFUNCTION("""COMPUTED_VALUE"""),"Never")</f>
        <v>Never</v>
      </c>
      <c r="J1287" s="260">
        <f>IFERROR(__xludf.DUMMYFUNCTION("""COMPUTED_VALUE"""),0.9)</f>
        <v>0.9</v>
      </c>
      <c r="K1287" s="258">
        <f>IFERROR(__xludf.DUMMYFUNCTION("""COMPUTED_VALUE"""),404.0)</f>
        <v>404</v>
      </c>
      <c r="L1287" s="258" t="str">
        <f>IFERROR(__xludf.DUMMYFUNCTION("""COMPUTED_VALUE"""),"")</f>
        <v/>
      </c>
      <c r="M1287" s="261">
        <f>IFERROR(__xludf.DUMMYFUNCTION("""COMPUTED_VALUE"""),207.0)</f>
        <v>207</v>
      </c>
      <c r="N1287" s="262" t="str">
        <f>IFERROR(__xludf.DUMMYFUNCTION("""COMPUTED_VALUE"""),"")</f>
        <v/>
      </c>
      <c r="O1287" s="259" t="str">
        <f>IFERROR(__xludf.DUMMYFUNCTION("""COMPUTED_VALUE"""),"")</f>
        <v/>
      </c>
      <c r="P1287" s="259">
        <f>IFERROR(__xludf.DUMMYFUNCTION("""COMPUTED_VALUE"""),42228.0)</f>
        <v>42228</v>
      </c>
      <c r="Q1287" s="258">
        <f>IFERROR(__xludf.DUMMYFUNCTION("""COMPUTED_VALUE"""),18650.0)</f>
        <v>18650</v>
      </c>
      <c r="R1287" s="261">
        <f>IFERROR(__xludf.DUMMYFUNCTION("""COMPUTED_VALUE"""),398.0)</f>
        <v>398</v>
      </c>
      <c r="S1287" s="258">
        <v>425.0</v>
      </c>
      <c r="T1287" s="263">
        <v>0.9364705882352942</v>
      </c>
      <c r="U1287" s="264">
        <v>11589.0</v>
      </c>
      <c r="V1287" s="265">
        <v>18650.0</v>
      </c>
      <c r="W1287" s="264">
        <v>11589.0</v>
      </c>
      <c r="X1287" s="266"/>
      <c r="Y1287" s="267">
        <v>-0.01</v>
      </c>
      <c r="Z1287" s="267">
        <v>0.9755510087688118</v>
      </c>
      <c r="AA1287" s="269"/>
      <c r="AB1287" s="270"/>
      <c r="AC1287" s="270"/>
      <c r="AD1287" s="270"/>
      <c r="AE1287" s="270"/>
    </row>
    <row r="1288">
      <c r="A1288" s="256">
        <f>IFERROR(__xludf.DUMMYFUNCTION("""COMPUTED_VALUE"""),42288.197222222225)</f>
        <v>42288.19722</v>
      </c>
      <c r="B1288" s="257" t="str">
        <f>IFERROR(__xludf.DUMMYFUNCTION("""COMPUTED_VALUE"""),"shoot72")</f>
        <v>shoot72</v>
      </c>
      <c r="C1288" s="258" t="str">
        <f>IFERROR(__xludf.DUMMYFUNCTION("""COMPUTED_VALUE"""),"Europe (excluding UK) &amp; Asia Pacific")</f>
        <v>Europe (excluding UK) &amp; Asia Pacific</v>
      </c>
      <c r="D1288" s="258" t="str">
        <f>IFERROR(__xludf.DUMMYFUNCTION("""COMPUTED_VALUE"""),"km. My car displays range in kilometres and I will enter all range numbers in kilometres.")</f>
        <v>km. My car displays range in kilometres and I will enter all range numbers in kilometres.</v>
      </c>
      <c r="E1288" s="259">
        <f>IFERROR(__xludf.DUMMYFUNCTION("""COMPUTED_VALUE"""),42160.0)</f>
        <v>42160</v>
      </c>
      <c r="F1288" s="258" t="str">
        <f>IFERROR(__xludf.DUMMYFUNCTION("""COMPUTED_VALUE"""),"Model S 85D")</f>
        <v>Model S 85D</v>
      </c>
      <c r="G1288" s="258" t="str">
        <f>IFERROR(__xludf.DUMMYFUNCTION("""COMPUTED_VALUE"""),"Weekly")</f>
        <v>Weekly</v>
      </c>
      <c r="H1288" s="258" t="str">
        <f>IFERROR(__xludf.DUMMYFUNCTION("""COMPUTED_VALUE"""),"A few times a year")</f>
        <v>A few times a year</v>
      </c>
      <c r="I1288" s="258" t="str">
        <f>IFERROR(__xludf.DUMMYFUNCTION("""COMPUTED_VALUE"""),"Never")</f>
        <v>Never</v>
      </c>
      <c r="J1288" s="260">
        <f>IFERROR(__xludf.DUMMYFUNCTION("""COMPUTED_VALUE"""),0.9)</f>
        <v>0.9</v>
      </c>
      <c r="K1288" s="258" t="str">
        <f>IFERROR(__xludf.DUMMYFUNCTION("""COMPUTED_VALUE"""),"")</f>
        <v/>
      </c>
      <c r="L1288" s="258" t="str">
        <f>IFERROR(__xludf.DUMMYFUNCTION("""COMPUTED_VALUE"""),"")</f>
        <v/>
      </c>
      <c r="M1288" s="261">
        <f>IFERROR(__xludf.DUMMYFUNCTION("""COMPUTED_VALUE"""),207.0)</f>
        <v>207</v>
      </c>
      <c r="N1288" s="262" t="str">
        <f>IFERROR(__xludf.DUMMYFUNCTION("""COMPUTED_VALUE"""),"")</f>
        <v/>
      </c>
      <c r="O1288" s="259" t="str">
        <f>IFERROR(__xludf.DUMMYFUNCTION("""COMPUTED_VALUE"""),"")</f>
        <v/>
      </c>
      <c r="P1288" s="259">
        <f>IFERROR(__xludf.DUMMYFUNCTION("""COMPUTED_VALUE"""),42288.0)</f>
        <v>42288</v>
      </c>
      <c r="Q1288" s="258">
        <f>IFERROR(__xludf.DUMMYFUNCTION("""COMPUTED_VALUE"""),26085.0)</f>
        <v>26085</v>
      </c>
      <c r="R1288" s="261">
        <f>IFERROR(__xludf.DUMMYFUNCTION("""COMPUTED_VALUE"""),395.0)</f>
        <v>395</v>
      </c>
      <c r="S1288" s="258">
        <v>425.0</v>
      </c>
      <c r="T1288" s="263">
        <v>0.9294117647058824</v>
      </c>
      <c r="U1288" s="264">
        <v>16208.0</v>
      </c>
      <c r="V1288" s="265">
        <v>26085.0</v>
      </c>
      <c r="W1288" s="264">
        <v>16208.0</v>
      </c>
      <c r="X1288" s="266"/>
      <c r="Y1288" s="267">
        <v>-0.01</v>
      </c>
      <c r="Z1288" s="267">
        <v>0.9702236456278225</v>
      </c>
      <c r="AA1288" s="269"/>
      <c r="AB1288" s="270"/>
      <c r="AC1288" s="270"/>
      <c r="AD1288" s="270"/>
      <c r="AE1288" s="270"/>
    </row>
    <row r="1289">
      <c r="A1289" s="256">
        <f>IFERROR(__xludf.DUMMYFUNCTION("""COMPUTED_VALUE"""),42412.28680555556)</f>
        <v>42412.28681</v>
      </c>
      <c r="B1289" s="257" t="str">
        <f>IFERROR(__xludf.DUMMYFUNCTION("""COMPUTED_VALUE"""),"shoot72")</f>
        <v>shoot72</v>
      </c>
      <c r="C1289" s="258" t="str">
        <f>IFERROR(__xludf.DUMMYFUNCTION("""COMPUTED_VALUE"""),"Europe (excluding UK) &amp; Asia Pacific")</f>
        <v>Europe (excluding UK) &amp; Asia Pacific</v>
      </c>
      <c r="D1289" s="258" t="str">
        <f>IFERROR(__xludf.DUMMYFUNCTION("""COMPUTED_VALUE"""),"km. My car displays range in kilometres and I will enter all range numbers in kilometres.")</f>
        <v>km. My car displays range in kilometres and I will enter all range numbers in kilometres.</v>
      </c>
      <c r="E1289" s="259">
        <f>IFERROR(__xludf.DUMMYFUNCTION("""COMPUTED_VALUE"""),42160.0)</f>
        <v>42160</v>
      </c>
      <c r="F1289" s="258" t="str">
        <f>IFERROR(__xludf.DUMMYFUNCTION("""COMPUTED_VALUE"""),"Model S 85D")</f>
        <v>Model S 85D</v>
      </c>
      <c r="G1289" s="258" t="str">
        <f>IFERROR(__xludf.DUMMYFUNCTION("""COMPUTED_VALUE"""),"Weekly")</f>
        <v>Weekly</v>
      </c>
      <c r="H1289" s="258" t="str">
        <f>IFERROR(__xludf.DUMMYFUNCTION("""COMPUTED_VALUE"""),"A few times a year")</f>
        <v>A few times a year</v>
      </c>
      <c r="I1289" s="258" t="str">
        <f>IFERROR(__xludf.DUMMYFUNCTION("""COMPUTED_VALUE"""),"Once or twice a year")</f>
        <v>Once or twice a year</v>
      </c>
      <c r="J1289" s="260">
        <f>IFERROR(__xludf.DUMMYFUNCTION("""COMPUTED_VALUE"""),0.9)</f>
        <v>0.9</v>
      </c>
      <c r="K1289" s="258" t="str">
        <f>IFERROR(__xludf.DUMMYFUNCTION("""COMPUTED_VALUE"""),"")</f>
        <v/>
      </c>
      <c r="L1289" s="258" t="str">
        <f>IFERROR(__xludf.DUMMYFUNCTION("""COMPUTED_VALUE"""),"")</f>
        <v/>
      </c>
      <c r="M1289" s="261">
        <f>IFERROR(__xludf.DUMMYFUNCTION("""COMPUTED_VALUE"""),211.0)</f>
        <v>211</v>
      </c>
      <c r="N1289" s="262" t="str">
        <f>IFERROR(__xludf.DUMMYFUNCTION("""COMPUTED_VALUE"""),"")</f>
        <v/>
      </c>
      <c r="O1289" s="259" t="str">
        <f>IFERROR(__xludf.DUMMYFUNCTION("""COMPUTED_VALUE"""),"")</f>
        <v/>
      </c>
      <c r="P1289" s="259">
        <f>IFERROR(__xludf.DUMMYFUNCTION("""COMPUTED_VALUE"""),42412.0)</f>
        <v>42412</v>
      </c>
      <c r="Q1289" s="258">
        <f>IFERROR(__xludf.DUMMYFUNCTION("""COMPUTED_VALUE"""),39100.0)</f>
        <v>39100</v>
      </c>
      <c r="R1289" s="261">
        <f>IFERROR(__xludf.DUMMYFUNCTION("""COMPUTED_VALUE"""),409.0)</f>
        <v>409</v>
      </c>
      <c r="S1289" s="258">
        <v>425.0</v>
      </c>
      <c r="T1289" s="263">
        <v>0.9623529411764706</v>
      </c>
      <c r="U1289" s="264">
        <v>24296.0</v>
      </c>
      <c r="V1289" s="265">
        <v>39100.0</v>
      </c>
      <c r="W1289" s="264">
        <v>24296.0</v>
      </c>
      <c r="X1289" s="266"/>
      <c r="Y1289" s="267">
        <v>-0.01</v>
      </c>
      <c r="Z1289" s="267">
        <v>0.9636758504060811</v>
      </c>
      <c r="AA1289" s="269"/>
      <c r="AB1289" s="270"/>
      <c r="AC1289" s="270"/>
      <c r="AD1289" s="270"/>
      <c r="AE1289" s="270"/>
    </row>
    <row r="1290">
      <c r="A1290" s="256">
        <f>IFERROR(__xludf.DUMMYFUNCTION("""COMPUTED_VALUE"""),42477.32708333334)</f>
        <v>42477.32708</v>
      </c>
      <c r="B1290" s="257" t="str">
        <f>IFERROR(__xludf.DUMMYFUNCTION("""COMPUTED_VALUE"""),"shoot72")</f>
        <v>shoot72</v>
      </c>
      <c r="C1290" s="258" t="str">
        <f>IFERROR(__xludf.DUMMYFUNCTION("""COMPUTED_VALUE"""),"Europe (excluding UK) &amp; Asia Pacific")</f>
        <v>Europe (excluding UK) &amp; Asia Pacific</v>
      </c>
      <c r="D1290" s="258" t="str">
        <f>IFERROR(__xludf.DUMMYFUNCTION("""COMPUTED_VALUE"""),"km. My car displays range in kilometres and I will enter all range numbers in kilometres.")</f>
        <v>km. My car displays range in kilometres and I will enter all range numbers in kilometres.</v>
      </c>
      <c r="E1290" s="259">
        <f>IFERROR(__xludf.DUMMYFUNCTION("""COMPUTED_VALUE"""),42160.0)</f>
        <v>42160</v>
      </c>
      <c r="F1290" s="258" t="str">
        <f>IFERROR(__xludf.DUMMYFUNCTION("""COMPUTED_VALUE"""),"Model S 85D")</f>
        <v>Model S 85D</v>
      </c>
      <c r="G1290" s="258" t="str">
        <f>IFERROR(__xludf.DUMMYFUNCTION("""COMPUTED_VALUE"""),"Weekly")</f>
        <v>Weekly</v>
      </c>
      <c r="H1290" s="258" t="str">
        <f>IFERROR(__xludf.DUMMYFUNCTION("""COMPUTED_VALUE"""),"Monthly")</f>
        <v>Monthly</v>
      </c>
      <c r="I1290" s="258" t="str">
        <f>IFERROR(__xludf.DUMMYFUNCTION("""COMPUTED_VALUE"""),"Never")</f>
        <v>Never</v>
      </c>
      <c r="J1290" s="260">
        <f>IFERROR(__xludf.DUMMYFUNCTION("""COMPUTED_VALUE"""),0.9)</f>
        <v>0.9</v>
      </c>
      <c r="K1290" s="258" t="str">
        <f>IFERROR(__xludf.DUMMYFUNCTION("""COMPUTED_VALUE"""),"")</f>
        <v/>
      </c>
      <c r="L1290" s="258" t="str">
        <f>IFERROR(__xludf.DUMMYFUNCTION("""COMPUTED_VALUE"""),"")</f>
        <v/>
      </c>
      <c r="M1290" s="261">
        <f>IFERROR(__xludf.DUMMYFUNCTION("""COMPUTED_VALUE"""),210.0)</f>
        <v>210</v>
      </c>
      <c r="N1290" s="262" t="str">
        <f>IFERROR(__xludf.DUMMYFUNCTION("""COMPUTED_VALUE"""),"")</f>
        <v/>
      </c>
      <c r="O1290" s="259" t="str">
        <f>IFERROR(__xludf.DUMMYFUNCTION("""COMPUTED_VALUE"""),"")</f>
        <v/>
      </c>
      <c r="P1290" s="259">
        <f>IFERROR(__xludf.DUMMYFUNCTION("""COMPUTED_VALUE"""),42477.0)</f>
        <v>42477</v>
      </c>
      <c r="Q1290" s="258">
        <f>IFERROR(__xludf.DUMMYFUNCTION("""COMPUTED_VALUE"""),43210.0)</f>
        <v>43210</v>
      </c>
      <c r="R1290" s="261">
        <f>IFERROR(__xludf.DUMMYFUNCTION("""COMPUTED_VALUE"""),410.0)</f>
        <v>410</v>
      </c>
      <c r="S1290" s="258">
        <v>425.0</v>
      </c>
      <c r="T1290" s="263">
        <v>0.9647058823529412</v>
      </c>
      <c r="U1290" s="264">
        <v>26849.0</v>
      </c>
      <c r="V1290" s="265">
        <v>43210.0</v>
      </c>
      <c r="W1290" s="264">
        <v>26849.0</v>
      </c>
      <c r="X1290" s="266"/>
      <c r="Y1290" s="267">
        <v>-0.01</v>
      </c>
      <c r="Z1290" s="267">
        <v>0.9620616255586234</v>
      </c>
      <c r="AA1290" s="269"/>
      <c r="AB1290" s="270"/>
      <c r="AC1290" s="270"/>
      <c r="AD1290" s="270"/>
      <c r="AE1290" s="270"/>
    </row>
    <row r="1291">
      <c r="A1291" s="256">
        <f>IFERROR(__xludf.DUMMYFUNCTION("""COMPUTED_VALUE"""),42526.34236111111)</f>
        <v>42526.34236</v>
      </c>
      <c r="B1291" s="257" t="str">
        <f>IFERROR(__xludf.DUMMYFUNCTION("""COMPUTED_VALUE"""),"shoot72")</f>
        <v>shoot72</v>
      </c>
      <c r="C1291" s="258" t="str">
        <f>IFERROR(__xludf.DUMMYFUNCTION("""COMPUTED_VALUE"""),"Europe (excluding UK) &amp; Asia Pacific")</f>
        <v>Europe (excluding UK) &amp; Asia Pacific</v>
      </c>
      <c r="D1291" s="258" t="str">
        <f>IFERROR(__xludf.DUMMYFUNCTION("""COMPUTED_VALUE"""),"km. My car displays range in kilometres and I will enter all range numbers in kilometres.")</f>
        <v>km. My car displays range in kilometres and I will enter all range numbers in kilometres.</v>
      </c>
      <c r="E1291" s="259">
        <f>IFERROR(__xludf.DUMMYFUNCTION("""COMPUTED_VALUE"""),42160.0)</f>
        <v>42160</v>
      </c>
      <c r="F1291" s="258" t="str">
        <f>IFERROR(__xludf.DUMMYFUNCTION("""COMPUTED_VALUE"""),"Model S 85D")</f>
        <v>Model S 85D</v>
      </c>
      <c r="G1291" s="258" t="str">
        <f>IFERROR(__xludf.DUMMYFUNCTION("""COMPUTED_VALUE"""),"Weekly")</f>
        <v>Weekly</v>
      </c>
      <c r="H1291" s="258" t="str">
        <f>IFERROR(__xludf.DUMMYFUNCTION("""COMPUTED_VALUE"""),"Monthly")</f>
        <v>Monthly</v>
      </c>
      <c r="I1291" s="258" t="str">
        <f>IFERROR(__xludf.DUMMYFUNCTION("""COMPUTED_VALUE"""),"A few times a year")</f>
        <v>A few times a year</v>
      </c>
      <c r="J1291" s="260">
        <f>IFERROR(__xludf.DUMMYFUNCTION("""COMPUTED_VALUE"""),0.9)</f>
        <v>0.9</v>
      </c>
      <c r="K1291" s="258" t="str">
        <f>IFERROR(__xludf.DUMMYFUNCTION("""COMPUTED_VALUE"""),"")</f>
        <v/>
      </c>
      <c r="L1291" s="258" t="str">
        <f>IFERROR(__xludf.DUMMYFUNCTION("""COMPUTED_VALUE"""),"")</f>
        <v/>
      </c>
      <c r="M1291" s="261">
        <f>IFERROR(__xludf.DUMMYFUNCTION("""COMPUTED_VALUE"""),212.0)</f>
        <v>212</v>
      </c>
      <c r="N1291" s="262" t="str">
        <f>IFERROR(__xludf.DUMMYFUNCTION("""COMPUTED_VALUE"""),"")</f>
        <v/>
      </c>
      <c r="O1291" s="259" t="str">
        <f>IFERROR(__xludf.DUMMYFUNCTION("""COMPUTED_VALUE"""),"")</f>
        <v/>
      </c>
      <c r="P1291" s="259">
        <f>IFERROR(__xludf.DUMMYFUNCTION("""COMPUTED_VALUE"""),42526.0)</f>
        <v>42526</v>
      </c>
      <c r="Q1291" s="258">
        <f>IFERROR(__xludf.DUMMYFUNCTION("""COMPUTED_VALUE"""),47128.0)</f>
        <v>47128</v>
      </c>
      <c r="R1291" s="261">
        <f>IFERROR(__xludf.DUMMYFUNCTION("""COMPUTED_VALUE"""),419.0)</f>
        <v>419</v>
      </c>
      <c r="S1291" s="258">
        <v>425.0</v>
      </c>
      <c r="T1291" s="263">
        <v>0.9858823529411764</v>
      </c>
      <c r="U1291" s="264">
        <v>29284.0</v>
      </c>
      <c r="V1291" s="265">
        <v>47128.0</v>
      </c>
      <c r="W1291" s="264">
        <v>29284.0</v>
      </c>
      <c r="X1291" s="266"/>
      <c r="Y1291" s="267">
        <v>-0.01</v>
      </c>
      <c r="Z1291" s="267">
        <v>0.960655117751798</v>
      </c>
      <c r="AA1291" s="269"/>
      <c r="AB1291" s="270"/>
      <c r="AC1291" s="270"/>
      <c r="AD1291" s="270"/>
      <c r="AE1291" s="270"/>
    </row>
    <row r="1292">
      <c r="A1292" s="256">
        <f>IFERROR(__xludf.DUMMYFUNCTION("""COMPUTED_VALUE"""),42567.36458333333)</f>
        <v>42567.36458</v>
      </c>
      <c r="B1292" s="257" t="str">
        <f>IFERROR(__xludf.DUMMYFUNCTION("""COMPUTED_VALUE"""),"shoot72")</f>
        <v>shoot72</v>
      </c>
      <c r="C1292" s="258" t="str">
        <f>IFERROR(__xludf.DUMMYFUNCTION("""COMPUTED_VALUE"""),"Europe (excluding UK) &amp; Asia Pacific")</f>
        <v>Europe (excluding UK) &amp; Asia Pacific</v>
      </c>
      <c r="D1292" s="258" t="str">
        <f>IFERROR(__xludf.DUMMYFUNCTION("""COMPUTED_VALUE"""),"km. My car displays range in kilometres and I will enter all range numbers in kilometres.")</f>
        <v>km. My car displays range in kilometres and I will enter all range numbers in kilometres.</v>
      </c>
      <c r="E1292" s="259">
        <f>IFERROR(__xludf.DUMMYFUNCTION("""COMPUTED_VALUE"""),42160.0)</f>
        <v>42160</v>
      </c>
      <c r="F1292" s="258" t="str">
        <f>IFERROR(__xludf.DUMMYFUNCTION("""COMPUTED_VALUE"""),"Model S 85D")</f>
        <v>Model S 85D</v>
      </c>
      <c r="G1292" s="258" t="str">
        <f>IFERROR(__xludf.DUMMYFUNCTION("""COMPUTED_VALUE"""),"Weekly")</f>
        <v>Weekly</v>
      </c>
      <c r="H1292" s="258" t="str">
        <f>IFERROR(__xludf.DUMMYFUNCTION("""COMPUTED_VALUE"""),"Monthly")</f>
        <v>Monthly</v>
      </c>
      <c r="I1292" s="258" t="str">
        <f>IFERROR(__xludf.DUMMYFUNCTION("""COMPUTED_VALUE"""),"Once or twice a year")</f>
        <v>Once or twice a year</v>
      </c>
      <c r="J1292" s="260">
        <f>IFERROR(__xludf.DUMMYFUNCTION("""COMPUTED_VALUE"""),0.9)</f>
        <v>0.9</v>
      </c>
      <c r="K1292" s="258" t="str">
        <f>IFERROR(__xludf.DUMMYFUNCTION("""COMPUTED_VALUE"""),"")</f>
        <v/>
      </c>
      <c r="L1292" s="258" t="str">
        <f>IFERROR(__xludf.DUMMYFUNCTION("""COMPUTED_VALUE"""),"")</f>
        <v/>
      </c>
      <c r="M1292" s="261">
        <f>IFERROR(__xludf.DUMMYFUNCTION("""COMPUTED_VALUE"""),211.0)</f>
        <v>211</v>
      </c>
      <c r="N1292" s="262" t="str">
        <f>IFERROR(__xludf.DUMMYFUNCTION("""COMPUTED_VALUE"""),"")</f>
        <v/>
      </c>
      <c r="O1292" s="259" t="str">
        <f>IFERROR(__xludf.DUMMYFUNCTION("""COMPUTED_VALUE"""),"")</f>
        <v/>
      </c>
      <c r="P1292" s="259">
        <f>IFERROR(__xludf.DUMMYFUNCTION("""COMPUTED_VALUE"""),42567.0)</f>
        <v>42567</v>
      </c>
      <c r="Q1292" s="258">
        <f>IFERROR(__xludf.DUMMYFUNCTION("""COMPUTED_VALUE"""),52600.0)</f>
        <v>52600</v>
      </c>
      <c r="R1292" s="261">
        <f>IFERROR(__xludf.DUMMYFUNCTION("""COMPUTED_VALUE"""),419.0)</f>
        <v>419</v>
      </c>
      <c r="S1292" s="258">
        <v>425.0</v>
      </c>
      <c r="T1292" s="263">
        <v>0.9858823529411764</v>
      </c>
      <c r="U1292" s="264">
        <v>32684.0</v>
      </c>
      <c r="V1292" s="265">
        <v>52600.0</v>
      </c>
      <c r="W1292" s="264">
        <v>32684.0</v>
      </c>
      <c r="X1292" s="266"/>
      <c r="Y1292" s="267">
        <v>-0.01</v>
      </c>
      <c r="Z1292" s="267">
        <v>0.9588574063630249</v>
      </c>
      <c r="AA1292" s="269"/>
      <c r="AB1292" s="270"/>
      <c r="AC1292" s="270"/>
      <c r="AD1292" s="270"/>
      <c r="AE1292" s="270"/>
    </row>
    <row r="1293">
      <c r="A1293" s="256">
        <f>IFERROR(__xludf.DUMMYFUNCTION("""COMPUTED_VALUE"""),42604.39027777778)</f>
        <v>42604.39028</v>
      </c>
      <c r="B1293" s="257" t="str">
        <f>IFERROR(__xludf.DUMMYFUNCTION("""COMPUTED_VALUE"""),"shoot72")</f>
        <v>shoot72</v>
      </c>
      <c r="C1293" s="258" t="str">
        <f>IFERROR(__xludf.DUMMYFUNCTION("""COMPUTED_VALUE"""),"Europe (excluding UK) &amp; Asia Pacific")</f>
        <v>Europe (excluding UK) &amp; Asia Pacific</v>
      </c>
      <c r="D1293" s="258" t="str">
        <f>IFERROR(__xludf.DUMMYFUNCTION("""COMPUTED_VALUE"""),"km. My car displays range in kilometres and I will enter all range numbers in kilometres.")</f>
        <v>km. My car displays range in kilometres and I will enter all range numbers in kilometres.</v>
      </c>
      <c r="E1293" s="259">
        <f>IFERROR(__xludf.DUMMYFUNCTION("""COMPUTED_VALUE"""),42160.0)</f>
        <v>42160</v>
      </c>
      <c r="F1293" s="258" t="str">
        <f>IFERROR(__xludf.DUMMYFUNCTION("""COMPUTED_VALUE"""),"Model S 85D")</f>
        <v>Model S 85D</v>
      </c>
      <c r="G1293" s="258" t="str">
        <f>IFERROR(__xludf.DUMMYFUNCTION("""COMPUTED_VALUE"""),"Weekly")</f>
        <v>Weekly</v>
      </c>
      <c r="H1293" s="258" t="str">
        <f>IFERROR(__xludf.DUMMYFUNCTION("""COMPUTED_VALUE"""),"Monthly")</f>
        <v>Monthly</v>
      </c>
      <c r="I1293" s="258" t="str">
        <f>IFERROR(__xludf.DUMMYFUNCTION("""COMPUTED_VALUE"""),"Once or twice a year")</f>
        <v>Once or twice a year</v>
      </c>
      <c r="J1293" s="260">
        <f>IFERROR(__xludf.DUMMYFUNCTION("""COMPUTED_VALUE"""),0.9)</f>
        <v>0.9</v>
      </c>
      <c r="K1293" s="258" t="str">
        <f>IFERROR(__xludf.DUMMYFUNCTION("""COMPUTED_VALUE"""),"")</f>
        <v/>
      </c>
      <c r="L1293" s="258" t="str">
        <f>IFERROR(__xludf.DUMMYFUNCTION("""COMPUTED_VALUE"""),"")</f>
        <v/>
      </c>
      <c r="M1293" s="261">
        <f>IFERROR(__xludf.DUMMYFUNCTION("""COMPUTED_VALUE"""),211.0)</f>
        <v>211</v>
      </c>
      <c r="N1293" s="262" t="str">
        <f>IFERROR(__xludf.DUMMYFUNCTION("""COMPUTED_VALUE"""),"")</f>
        <v/>
      </c>
      <c r="O1293" s="259" t="str">
        <f>IFERROR(__xludf.DUMMYFUNCTION("""COMPUTED_VALUE"""),"")</f>
        <v/>
      </c>
      <c r="P1293" s="259">
        <f>IFERROR(__xludf.DUMMYFUNCTION("""COMPUTED_VALUE"""),42604.0)</f>
        <v>42604</v>
      </c>
      <c r="Q1293" s="258">
        <f>IFERROR(__xludf.DUMMYFUNCTION("""COMPUTED_VALUE"""),57583.0)</f>
        <v>57583</v>
      </c>
      <c r="R1293" s="261">
        <f>IFERROR(__xludf.DUMMYFUNCTION("""COMPUTED_VALUE"""),413.0)</f>
        <v>413</v>
      </c>
      <c r="S1293" s="258">
        <v>425.0</v>
      </c>
      <c r="T1293" s="263">
        <v>0.971764705882353</v>
      </c>
      <c r="U1293" s="264">
        <v>35780.0</v>
      </c>
      <c r="V1293" s="265">
        <v>57583.0</v>
      </c>
      <c r="W1293" s="264">
        <v>35780.0</v>
      </c>
      <c r="X1293" s="266"/>
      <c r="Y1293" s="267">
        <v>-0.01</v>
      </c>
      <c r="Z1293" s="267">
        <v>0.9573484346499149</v>
      </c>
      <c r="AA1293" s="269"/>
      <c r="AB1293" s="270"/>
      <c r="AC1293" s="270"/>
      <c r="AD1293" s="270"/>
      <c r="AE1293" s="270"/>
    </row>
    <row r="1294">
      <c r="A1294" s="256">
        <f>IFERROR(__xludf.DUMMYFUNCTION("""COMPUTED_VALUE"""),42796.513194444444)</f>
        <v>42796.51319</v>
      </c>
      <c r="B1294" s="257" t="str">
        <f>IFERROR(__xludf.DUMMYFUNCTION("""COMPUTED_VALUE"""),"shoot72")</f>
        <v>shoot72</v>
      </c>
      <c r="C1294" s="258" t="str">
        <f>IFERROR(__xludf.DUMMYFUNCTION("""COMPUTED_VALUE"""),"Europe (excluding UK) &amp; Asia Pacific")</f>
        <v>Europe (excluding UK) &amp; Asia Pacific</v>
      </c>
      <c r="D1294" s="258" t="str">
        <f>IFERROR(__xludf.DUMMYFUNCTION("""COMPUTED_VALUE"""),"km. My car displays range in kilometres and I will enter all range numbers in kilometres.")</f>
        <v>km. My car displays range in kilometres and I will enter all range numbers in kilometres.</v>
      </c>
      <c r="E1294" s="259">
        <f>IFERROR(__xludf.DUMMYFUNCTION("""COMPUTED_VALUE"""),42160.0)</f>
        <v>42160</v>
      </c>
      <c r="F1294" s="258" t="str">
        <f>IFERROR(__xludf.DUMMYFUNCTION("""COMPUTED_VALUE"""),"Model S 85D")</f>
        <v>Model S 85D</v>
      </c>
      <c r="G1294" s="258" t="str">
        <f>IFERROR(__xludf.DUMMYFUNCTION("""COMPUTED_VALUE"""),"Weekly")</f>
        <v>Weekly</v>
      </c>
      <c r="H1294" s="258" t="str">
        <f>IFERROR(__xludf.DUMMYFUNCTION("""COMPUTED_VALUE"""),"")</f>
        <v/>
      </c>
      <c r="I1294" s="258" t="str">
        <f>IFERROR(__xludf.DUMMYFUNCTION("""COMPUTED_VALUE"""),"A few times a year")</f>
        <v>A few times a year</v>
      </c>
      <c r="J1294" s="260">
        <f>IFERROR(__xludf.DUMMYFUNCTION("""COMPUTED_VALUE"""),0.9)</f>
        <v>0.9</v>
      </c>
      <c r="K1294" s="258" t="str">
        <f>IFERROR(__xludf.DUMMYFUNCTION("""COMPUTED_VALUE"""),"")</f>
        <v/>
      </c>
      <c r="L1294" s="258" t="str">
        <f>IFERROR(__xludf.DUMMYFUNCTION("""COMPUTED_VALUE"""),"")</f>
        <v/>
      </c>
      <c r="M1294" s="261">
        <f>IFERROR(__xludf.DUMMYFUNCTION("""COMPUTED_VALUE"""),215.0)</f>
        <v>215</v>
      </c>
      <c r="N1294" s="262" t="str">
        <f>IFERROR(__xludf.DUMMYFUNCTION("""COMPUTED_VALUE"""),"")</f>
        <v/>
      </c>
      <c r="O1294" s="259" t="str">
        <f>IFERROR(__xludf.DUMMYFUNCTION("""COMPUTED_VALUE"""),"")</f>
        <v/>
      </c>
      <c r="P1294" s="259">
        <f>IFERROR(__xludf.DUMMYFUNCTION("""COMPUTED_VALUE"""),42796.0)</f>
        <v>42796</v>
      </c>
      <c r="Q1294" s="258">
        <f>IFERROR(__xludf.DUMMYFUNCTION("""COMPUTED_VALUE"""),78500.0)</f>
        <v>78500</v>
      </c>
      <c r="R1294" s="261">
        <f>IFERROR(__xludf.DUMMYFUNCTION("""COMPUTED_VALUE"""),412.0)</f>
        <v>412</v>
      </c>
      <c r="S1294" s="258">
        <v>425.0</v>
      </c>
      <c r="T1294" s="263">
        <v>0.9694117647058823</v>
      </c>
      <c r="U1294" s="264">
        <v>48778.0</v>
      </c>
      <c r="V1294" s="265">
        <v>78500.0</v>
      </c>
      <c r="W1294" s="264">
        <v>48778.0</v>
      </c>
      <c r="X1294" s="266"/>
      <c r="Y1294" s="267">
        <v>-0.01</v>
      </c>
      <c r="Z1294" s="267">
        <v>0.9517709195642237</v>
      </c>
      <c r="AA1294" s="269"/>
      <c r="AB1294" s="270"/>
      <c r="AC1294" s="270"/>
      <c r="AD1294" s="270"/>
      <c r="AE1294" s="270"/>
    </row>
    <row r="1295">
      <c r="A1295" s="256">
        <f>IFERROR(__xludf.DUMMYFUNCTION("""COMPUTED_VALUE"""),43070.63958333334)</f>
        <v>43070.63958</v>
      </c>
      <c r="B1295" s="257" t="str">
        <f>IFERROR(__xludf.DUMMYFUNCTION("""COMPUTED_VALUE"""),"shoot72")</f>
        <v>shoot72</v>
      </c>
      <c r="C1295" s="258" t="str">
        <f>IFERROR(__xludf.DUMMYFUNCTION("""COMPUTED_VALUE"""),"Europe (excluding UK) &amp; Asia Pacific")</f>
        <v>Europe (excluding UK) &amp; Asia Pacific</v>
      </c>
      <c r="D1295" s="258" t="str">
        <f>IFERROR(__xludf.DUMMYFUNCTION("""COMPUTED_VALUE"""),"km. My car displays range in kilometres and I will enter all range numbers in kilometres.")</f>
        <v>km. My car displays range in kilometres and I will enter all range numbers in kilometres.</v>
      </c>
      <c r="E1295" s="259">
        <f>IFERROR(__xludf.DUMMYFUNCTION("""COMPUTED_VALUE"""),42160.0)</f>
        <v>42160</v>
      </c>
      <c r="F1295" s="258" t="str">
        <f>IFERROR(__xludf.DUMMYFUNCTION("""COMPUTED_VALUE"""),"Model S 85D")</f>
        <v>Model S 85D</v>
      </c>
      <c r="G1295" s="258" t="str">
        <f>IFERROR(__xludf.DUMMYFUNCTION("""COMPUTED_VALUE"""),"Weekly")</f>
        <v>Weekly</v>
      </c>
      <c r="H1295" s="258" t="str">
        <f>IFERROR(__xludf.DUMMYFUNCTION("""COMPUTED_VALUE"""),"Twice a month")</f>
        <v>Twice a month</v>
      </c>
      <c r="I1295" s="258" t="str">
        <f>IFERROR(__xludf.DUMMYFUNCTION("""COMPUTED_VALUE"""),"A few times a year")</f>
        <v>A few times a year</v>
      </c>
      <c r="J1295" s="260">
        <f>IFERROR(__xludf.DUMMYFUNCTION("""COMPUTED_VALUE"""),0.9)</f>
        <v>0.9</v>
      </c>
      <c r="K1295" s="258">
        <f>IFERROR(__xludf.DUMMYFUNCTION("""COMPUTED_VALUE"""),418.0)</f>
        <v>418</v>
      </c>
      <c r="L1295" s="258" t="str">
        <f>IFERROR(__xludf.DUMMYFUNCTION("""COMPUTED_VALUE"""),"")</f>
        <v/>
      </c>
      <c r="M1295" s="261">
        <f>IFERROR(__xludf.DUMMYFUNCTION("""COMPUTED_VALUE"""),215.0)</f>
        <v>215</v>
      </c>
      <c r="N1295" s="262" t="str">
        <f>IFERROR(__xludf.DUMMYFUNCTION("""COMPUTED_VALUE"""),"")</f>
        <v/>
      </c>
      <c r="O1295" s="259" t="str">
        <f>IFERROR(__xludf.DUMMYFUNCTION("""COMPUTED_VALUE"""),"")</f>
        <v/>
      </c>
      <c r="P1295" s="259">
        <f>IFERROR(__xludf.DUMMYFUNCTION("""COMPUTED_VALUE"""),43070.0)</f>
        <v>43070</v>
      </c>
      <c r="Q1295" s="258">
        <f>IFERROR(__xludf.DUMMYFUNCTION("""COMPUTED_VALUE"""),109111.0)</f>
        <v>109111</v>
      </c>
      <c r="R1295" s="261">
        <f>IFERROR(__xludf.DUMMYFUNCTION("""COMPUTED_VALUE"""),410.0)</f>
        <v>410</v>
      </c>
      <c r="S1295" s="258">
        <v>425.0</v>
      </c>
      <c r="T1295" s="263">
        <v>0.9647058823529412</v>
      </c>
      <c r="U1295" s="264">
        <v>67798.0</v>
      </c>
      <c r="V1295" s="265">
        <v>109111.0</v>
      </c>
      <c r="W1295" s="264">
        <v>67798.0</v>
      </c>
      <c r="X1295" s="266"/>
      <c r="Y1295" s="267">
        <v>-0.01</v>
      </c>
      <c r="Z1295" s="267">
        <v>0.9444468800109875</v>
      </c>
      <c r="AA1295" s="269"/>
      <c r="AB1295" s="270"/>
      <c r="AC1295" s="270"/>
      <c r="AD1295" s="270"/>
      <c r="AE1295" s="270"/>
    </row>
    <row r="1296">
      <c r="A1296" s="256">
        <f>IFERROR(__xludf.DUMMYFUNCTION("""COMPUTED_VALUE"""),43126.68125)</f>
        <v>43126.68125</v>
      </c>
      <c r="B1296" s="257" t="str">
        <f>IFERROR(__xludf.DUMMYFUNCTION("""COMPUTED_VALUE"""),"Shoot72")</f>
        <v>Shoot72</v>
      </c>
      <c r="C1296" s="258" t="str">
        <f>IFERROR(__xludf.DUMMYFUNCTION("""COMPUTED_VALUE"""),"Europe (excluding UK) &amp; Asia Pacific")</f>
        <v>Europe (excluding UK) &amp; Asia Pacific</v>
      </c>
      <c r="D1296" s="258" t="str">
        <f>IFERROR(__xludf.DUMMYFUNCTION("""COMPUTED_VALUE"""),"km. My car displays range in kilometres and I will enter all range numbers in kilometres.")</f>
        <v>km. My car displays range in kilometres and I will enter all range numbers in kilometres.</v>
      </c>
      <c r="E1296" s="259">
        <f>IFERROR(__xludf.DUMMYFUNCTION("""COMPUTED_VALUE"""),42160.0)</f>
        <v>42160</v>
      </c>
      <c r="F1296" s="258" t="str">
        <f>IFERROR(__xludf.DUMMYFUNCTION("""COMPUTED_VALUE"""),"Model S 85D")</f>
        <v>Model S 85D</v>
      </c>
      <c r="G1296" s="258" t="str">
        <f>IFERROR(__xludf.DUMMYFUNCTION("""COMPUTED_VALUE"""),"Weekly")</f>
        <v>Weekly</v>
      </c>
      <c r="H1296" s="258" t="str">
        <f>IFERROR(__xludf.DUMMYFUNCTION("""COMPUTED_VALUE"""),"Monthly")</f>
        <v>Monthly</v>
      </c>
      <c r="I1296" s="258" t="str">
        <f>IFERROR(__xludf.DUMMYFUNCTION("""COMPUTED_VALUE"""),"A few times a year")</f>
        <v>A few times a year</v>
      </c>
      <c r="J1296" s="260">
        <f>IFERROR(__xludf.DUMMYFUNCTION("""COMPUTED_VALUE"""),0.9)</f>
        <v>0.9</v>
      </c>
      <c r="K1296" s="258">
        <f>IFERROR(__xludf.DUMMYFUNCTION("""COMPUTED_VALUE"""),404.0)</f>
        <v>404</v>
      </c>
      <c r="L1296" s="258" t="str">
        <f>IFERROR(__xludf.DUMMYFUNCTION("""COMPUTED_VALUE"""),"")</f>
        <v/>
      </c>
      <c r="M1296" s="261">
        <f>IFERROR(__xludf.DUMMYFUNCTION("""COMPUTED_VALUE"""),217.0)</f>
        <v>217</v>
      </c>
      <c r="N1296" s="262" t="str">
        <f>IFERROR(__xludf.DUMMYFUNCTION("""COMPUTED_VALUE"""),"")</f>
        <v/>
      </c>
      <c r="O1296" s="259" t="str">
        <f>IFERROR(__xludf.DUMMYFUNCTION("""COMPUTED_VALUE"""),"")</f>
        <v/>
      </c>
      <c r="P1296" s="259">
        <f>IFERROR(__xludf.DUMMYFUNCTION("""COMPUTED_VALUE"""),43126.0)</f>
        <v>43126</v>
      </c>
      <c r="Q1296" s="258">
        <f>IFERROR(__xludf.DUMMYFUNCTION("""COMPUTED_VALUE"""),112809.0)</f>
        <v>112809</v>
      </c>
      <c r="R1296" s="261">
        <f>IFERROR(__xludf.DUMMYFUNCTION("""COMPUTED_VALUE"""),405.0)</f>
        <v>405</v>
      </c>
      <c r="S1296" s="258">
        <v>425.0</v>
      </c>
      <c r="T1296" s="263">
        <v>0.9529411764705882</v>
      </c>
      <c r="U1296" s="264">
        <v>70096.0</v>
      </c>
      <c r="V1296" s="265">
        <v>112809.0</v>
      </c>
      <c r="W1296" s="264">
        <v>70096.0</v>
      </c>
      <c r="X1296" s="266"/>
      <c r="Y1296" s="267">
        <v>-0.01</v>
      </c>
      <c r="Z1296" s="267">
        <v>0.943583595413408</v>
      </c>
      <c r="AA1296" s="269"/>
      <c r="AB1296" s="270"/>
      <c r="AC1296" s="270"/>
      <c r="AD1296" s="270"/>
      <c r="AE1296" s="270"/>
    </row>
    <row r="1297">
      <c r="A1297" s="256">
        <f>IFERROR(__xludf.DUMMYFUNCTION("""COMPUTED_VALUE"""),43090.649305555555)</f>
        <v>43090.64931</v>
      </c>
      <c r="B1297" s="257" t="str">
        <f>IFERROR(__xludf.DUMMYFUNCTION("""COMPUTED_VALUE"""),"shoot72 S100D")</f>
        <v>shoot72 S100D</v>
      </c>
      <c r="C1297" s="258" t="str">
        <f>IFERROR(__xludf.DUMMYFUNCTION("""COMPUTED_VALUE"""),"Europe (excluding UK) &amp; Asia Pacific")</f>
        <v>Europe (excluding UK) &amp; Asia Pacific</v>
      </c>
      <c r="D1297" s="258" t="str">
        <f>IFERROR(__xludf.DUMMYFUNCTION("""COMPUTED_VALUE"""),"km. My car displays range in kilometres and I will enter all range numbers in kilometres.")</f>
        <v>km. My car displays range in kilometres and I will enter all range numbers in kilometres.</v>
      </c>
      <c r="E1297" s="259">
        <f>IFERROR(__xludf.DUMMYFUNCTION("""COMPUTED_VALUE"""),43090.0)</f>
        <v>43090</v>
      </c>
      <c r="F1297" s="258" t="str">
        <f>IFERROR(__xludf.DUMMYFUNCTION("""COMPUTED_VALUE"""),"Model S 100D")</f>
        <v>Model S 100D</v>
      </c>
      <c r="G1297" s="258" t="str">
        <f>IFERROR(__xludf.DUMMYFUNCTION("""COMPUTED_VALUE"""),"Weekly")</f>
        <v>Weekly</v>
      </c>
      <c r="H1297" s="258" t="str">
        <f>IFERROR(__xludf.DUMMYFUNCTION("""COMPUTED_VALUE"""),"Monthly")</f>
        <v>Monthly</v>
      </c>
      <c r="I1297" s="258" t="str">
        <f>IFERROR(__xludf.DUMMYFUNCTION("""COMPUTED_VALUE"""),"Never")</f>
        <v>Never</v>
      </c>
      <c r="J1297" s="260">
        <f>IFERROR(__xludf.DUMMYFUNCTION("""COMPUTED_VALUE"""),0.9)</f>
        <v>0.9</v>
      </c>
      <c r="K1297" s="258">
        <f>IFERROR(__xludf.DUMMYFUNCTION("""COMPUTED_VALUE"""),509.0)</f>
        <v>509</v>
      </c>
      <c r="L1297" s="258" t="str">
        <f>IFERROR(__xludf.DUMMYFUNCTION("""COMPUTED_VALUE"""),"")</f>
        <v/>
      </c>
      <c r="M1297" s="261">
        <f>IFERROR(__xludf.DUMMYFUNCTION("""COMPUTED_VALUE"""),220.0)</f>
        <v>220</v>
      </c>
      <c r="N1297" s="262" t="str">
        <f>IFERROR(__xludf.DUMMYFUNCTION("""COMPUTED_VALUE"""),"")</f>
        <v/>
      </c>
      <c r="O1297" s="259" t="str">
        <f>IFERROR(__xludf.DUMMYFUNCTION("""COMPUTED_VALUE"""),"")</f>
        <v/>
      </c>
      <c r="P1297" s="259">
        <f>IFERROR(__xludf.DUMMYFUNCTION("""COMPUTED_VALUE"""),43090.0)</f>
        <v>43090</v>
      </c>
      <c r="Q1297" s="258">
        <f>IFERROR(__xludf.DUMMYFUNCTION("""COMPUTED_VALUE"""),150.0)</f>
        <v>150</v>
      </c>
      <c r="R1297" s="261">
        <f>IFERROR(__xludf.DUMMYFUNCTION("""COMPUTED_VALUE"""),509.0)</f>
        <v>509</v>
      </c>
      <c r="S1297" s="258">
        <v>510.0</v>
      </c>
      <c r="T1297" s="263">
        <v>0.9980392156862745</v>
      </c>
      <c r="U1297" s="264">
        <v>93.0</v>
      </c>
      <c r="V1297" s="265">
        <v>150.0</v>
      </c>
      <c r="W1297" s="264">
        <v>93.0</v>
      </c>
      <c r="X1297" s="266"/>
      <c r="Y1297" s="267">
        <v>-0.01</v>
      </c>
      <c r="Z1297" s="267">
        <v>0.9997010876515637</v>
      </c>
      <c r="AA1297" s="269"/>
      <c r="AB1297" s="270"/>
      <c r="AC1297" s="270"/>
      <c r="AD1297" s="270"/>
      <c r="AE1297" s="270"/>
    </row>
    <row r="1298">
      <c r="A1298" s="256">
        <f>IFERROR(__xludf.DUMMYFUNCTION("""COMPUTED_VALUE"""),43578.700879097225)</f>
        <v>43578.70088</v>
      </c>
      <c r="B1298" s="257" t="str">
        <f>IFERROR(__xludf.DUMMYFUNCTION("""COMPUTED_VALUE"""),"shred")</f>
        <v>shred</v>
      </c>
      <c r="C1298" s="258" t="str">
        <f>IFERROR(__xludf.DUMMYFUNCTION("""COMPUTED_VALUE"""),"USA")</f>
        <v>USA</v>
      </c>
      <c r="D1298" s="258" t="str">
        <f>IFERROR(__xludf.DUMMYFUNCTION("""COMPUTED_VALUE"""),"mi. My car displays range in miles and I will enter all range numbers in miles.")</f>
        <v>mi. My car displays range in miles and I will enter all range numbers in miles.</v>
      </c>
      <c r="E1298" s="259">
        <f>IFERROR(__xludf.DUMMYFUNCTION("""COMPUTED_VALUE"""),43780.0)</f>
        <v>43780</v>
      </c>
      <c r="F1298" s="258" t="str">
        <f>IFERROR(__xludf.DUMMYFUNCTION("""COMPUTED_VALUE"""),"Model S 85D")</f>
        <v>Model S 85D</v>
      </c>
      <c r="G1298" s="258" t="str">
        <f>IFERROR(__xludf.DUMMYFUNCTION("""COMPUTED_VALUE"""),"Once or twice a year")</f>
        <v>Once or twice a year</v>
      </c>
      <c r="H1298" s="258" t="str">
        <f>IFERROR(__xludf.DUMMYFUNCTION("""COMPUTED_VALUE"""),"Once or twice a year")</f>
        <v>Once or twice a year</v>
      </c>
      <c r="I1298" s="258" t="str">
        <f>IFERROR(__xludf.DUMMYFUNCTION("""COMPUTED_VALUE"""),"Never")</f>
        <v>Never</v>
      </c>
      <c r="J1298" s="260">
        <f>IFERROR(__xludf.DUMMYFUNCTION("""COMPUTED_VALUE"""),0.7)</f>
        <v>0.7</v>
      </c>
      <c r="K1298" s="258" t="str">
        <f>IFERROR(__xludf.DUMMYFUNCTION("""COMPUTED_VALUE"""),"")</f>
        <v/>
      </c>
      <c r="L1298" s="258" t="str">
        <f>IFERROR(__xludf.DUMMYFUNCTION("""COMPUTED_VALUE"""),"")</f>
        <v/>
      </c>
      <c r="M1298" s="261" t="str">
        <f>IFERROR(__xludf.DUMMYFUNCTION("""COMPUTED_VALUE"""),"")</f>
        <v/>
      </c>
      <c r="N1298" s="262" t="str">
        <f>IFERROR(__xludf.DUMMYFUNCTION("""COMPUTED_VALUE"""),"")</f>
        <v/>
      </c>
      <c r="O1298" s="259" t="str">
        <f>IFERROR(__xludf.DUMMYFUNCTION("""COMPUTED_VALUE"""),"")</f>
        <v/>
      </c>
      <c r="P1298" s="259">
        <f>IFERROR(__xludf.DUMMYFUNCTION("""COMPUTED_VALUE"""),43525.0)</f>
        <v>43525</v>
      </c>
      <c r="Q1298" s="258">
        <f>IFERROR(__xludf.DUMMYFUNCTION("""COMPUTED_VALUE"""),42500.0)</f>
        <v>42500</v>
      </c>
      <c r="R1298" s="261">
        <f>IFERROR(__xludf.DUMMYFUNCTION("""COMPUTED_VALUE"""),262.0)</f>
        <v>262</v>
      </c>
      <c r="S1298" s="258">
        <v>270.0</v>
      </c>
      <c r="T1298" s="263">
        <v>0.9703703703703703</v>
      </c>
      <c r="U1298" s="264">
        <v>42500.0</v>
      </c>
      <c r="V1298" s="265">
        <v>68397.0</v>
      </c>
      <c r="W1298" s="264">
        <v>42500.0</v>
      </c>
      <c r="X1298" s="266"/>
      <c r="Y1298" s="267">
        <v>-0.01</v>
      </c>
      <c r="Z1298" s="267">
        <v>0.9543546873074774</v>
      </c>
      <c r="AA1298" s="269"/>
      <c r="AB1298" s="270"/>
      <c r="AC1298" s="270"/>
      <c r="AD1298" s="270"/>
      <c r="AE1298" s="270"/>
    </row>
    <row r="1299">
      <c r="A1299" s="256">
        <f>IFERROR(__xludf.DUMMYFUNCTION("""COMPUTED_VALUE"""),43756.44665215278)</f>
        <v>43756.44665</v>
      </c>
      <c r="B1299" s="257" t="str">
        <f>IFERROR(__xludf.DUMMYFUNCTION("""COMPUTED_VALUE"""),"Siempie76")</f>
        <v>Siempie76</v>
      </c>
      <c r="C1299" s="258" t="str">
        <f>IFERROR(__xludf.DUMMYFUNCTION("""COMPUTED_VALUE"""),"Europe (excluding UK) &amp; Asia Pacific")</f>
        <v>Europe (excluding UK) &amp; Asia Pacific</v>
      </c>
      <c r="D1299" s="258" t="str">
        <f>IFERROR(__xludf.DUMMYFUNCTION("""COMPUTED_VALUE"""),"km. My car displays range in kilometres and I will enter all range numbers in kilometres.")</f>
        <v>km. My car displays range in kilometres and I will enter all range numbers in kilometres.</v>
      </c>
      <c r="E1299" s="259">
        <f>IFERROR(__xludf.DUMMYFUNCTION("""COMPUTED_VALUE"""),41944.0)</f>
        <v>41944</v>
      </c>
      <c r="F1299" s="258" t="str">
        <f>IFERROR(__xludf.DUMMYFUNCTION("""COMPUTED_VALUE"""),"Model S 85")</f>
        <v>Model S 85</v>
      </c>
      <c r="G1299" s="258" t="str">
        <f>IFERROR(__xludf.DUMMYFUNCTION("""COMPUTED_VALUE"""),"A few times a year")</f>
        <v>A few times a year</v>
      </c>
      <c r="H1299" s="258" t="str">
        <f>IFERROR(__xludf.DUMMYFUNCTION("""COMPUTED_VALUE"""),"A few times a year")</f>
        <v>A few times a year</v>
      </c>
      <c r="I1299" s="258" t="str">
        <f>IFERROR(__xludf.DUMMYFUNCTION("""COMPUTED_VALUE"""),"Never")</f>
        <v>Never</v>
      </c>
      <c r="J1299" s="260">
        <f>IFERROR(__xludf.DUMMYFUNCTION("""COMPUTED_VALUE"""),0.9)</f>
        <v>0.9</v>
      </c>
      <c r="K1299" s="258" t="str">
        <f>IFERROR(__xludf.DUMMYFUNCTION("""COMPUTED_VALUE"""),"")</f>
        <v/>
      </c>
      <c r="L1299" s="258" t="str">
        <f>IFERROR(__xludf.DUMMYFUNCTION("""COMPUTED_VALUE"""),"")</f>
        <v/>
      </c>
      <c r="M1299" s="261">
        <f>IFERROR(__xludf.DUMMYFUNCTION("""COMPUTED_VALUE"""),208.0)</f>
        <v>208</v>
      </c>
      <c r="N1299" s="262" t="str">
        <f>IFERROR(__xludf.DUMMYFUNCTION("""COMPUTED_VALUE"""),"")</f>
        <v/>
      </c>
      <c r="O1299" s="259" t="str">
        <f>IFERROR(__xludf.DUMMYFUNCTION("""COMPUTED_VALUE"""),"")</f>
        <v/>
      </c>
      <c r="P1299" s="259">
        <f>IFERROR(__xludf.DUMMYFUNCTION("""COMPUTED_VALUE"""),43755.0)</f>
        <v>43755</v>
      </c>
      <c r="Q1299" s="258">
        <f>IFERROR(__xludf.DUMMYFUNCTION("""COMPUTED_VALUE"""),132603.0)</f>
        <v>132603</v>
      </c>
      <c r="R1299" s="261">
        <f>IFERROR(__xludf.DUMMYFUNCTION("""COMPUTED_VALUE"""),373.0)</f>
        <v>373</v>
      </c>
      <c r="S1299" s="258">
        <v>395.0</v>
      </c>
      <c r="T1299" s="263">
        <v>0.9443037974683545</v>
      </c>
      <c r="U1299" s="264">
        <v>82396.0</v>
      </c>
      <c r="V1299" s="265">
        <v>132603.0</v>
      </c>
      <c r="W1299" s="264">
        <v>82396.0</v>
      </c>
      <c r="X1299" s="266"/>
      <c r="Y1299" s="267">
        <v>-0.01</v>
      </c>
      <c r="Z1299" s="267">
        <v>0.9389886647843781</v>
      </c>
      <c r="AA1299" s="269"/>
      <c r="AB1299" s="270"/>
      <c r="AC1299" s="270"/>
      <c r="AD1299" s="270"/>
      <c r="AE1299" s="270"/>
    </row>
    <row r="1300">
      <c r="A1300" s="256">
        <f>IFERROR(__xludf.DUMMYFUNCTION("""COMPUTED_VALUE"""),42941.575694444444)</f>
        <v>42941.57569</v>
      </c>
      <c r="B1300" s="257" t="str">
        <f>IFERROR(__xludf.DUMMYFUNCTION("""COMPUTED_VALUE"""),"Siggy101")</f>
        <v>Siggy101</v>
      </c>
      <c r="C1300" s="258" t="str">
        <f>IFERROR(__xludf.DUMMYFUNCTION("""COMPUTED_VALUE"""),"Europe (excluding UK) &amp; Asia Pacific")</f>
        <v>Europe (excluding UK) &amp; Asia Pacific</v>
      </c>
      <c r="D1300" s="258" t="str">
        <f>IFERROR(__xludf.DUMMYFUNCTION("""COMPUTED_VALUE"""),"km. My car displays range in kilometres and I will enter all range numbers in kilometres.")</f>
        <v>km. My car displays range in kilometres and I will enter all range numbers in kilometres.</v>
      </c>
      <c r="E1300" s="259">
        <f>IFERROR(__xludf.DUMMYFUNCTION("""COMPUTED_VALUE"""),42794.0)</f>
        <v>42794</v>
      </c>
      <c r="F1300" s="258" t="str">
        <f>IFERROR(__xludf.DUMMYFUNCTION("""COMPUTED_VALUE"""),"Model S 90D")</f>
        <v>Model S 90D</v>
      </c>
      <c r="G1300" s="258" t="str">
        <f>IFERROR(__xludf.DUMMYFUNCTION("""COMPUTED_VALUE"""),"A few times a year")</f>
        <v>A few times a year</v>
      </c>
      <c r="H1300" s="258" t="str">
        <f>IFERROR(__xludf.DUMMYFUNCTION("""COMPUTED_VALUE"""),"Once or twice a year")</f>
        <v>Once or twice a year</v>
      </c>
      <c r="I1300" s="258" t="str">
        <f>IFERROR(__xludf.DUMMYFUNCTION("""COMPUTED_VALUE"""),"Never")</f>
        <v>Never</v>
      </c>
      <c r="J1300" s="260">
        <f>IFERROR(__xludf.DUMMYFUNCTION("""COMPUTED_VALUE"""),0.9)</f>
        <v>0.9</v>
      </c>
      <c r="K1300" s="258" t="str">
        <f>IFERROR(__xludf.DUMMYFUNCTION("""COMPUTED_VALUE"""),"")</f>
        <v/>
      </c>
      <c r="L1300" s="258" t="str">
        <f>IFERROR(__xludf.DUMMYFUNCTION("""COMPUTED_VALUE"""),"")</f>
        <v/>
      </c>
      <c r="M1300" s="261">
        <f>IFERROR(__xludf.DUMMYFUNCTION("""COMPUTED_VALUE"""),193.0)</f>
        <v>193</v>
      </c>
      <c r="N1300" s="262" t="str">
        <f>IFERROR(__xludf.DUMMYFUNCTION("""COMPUTED_VALUE"""),"")</f>
        <v/>
      </c>
      <c r="O1300" s="259" t="str">
        <f>IFERROR(__xludf.DUMMYFUNCTION("""COMPUTED_VALUE"""),"")</f>
        <v/>
      </c>
      <c r="P1300" s="259">
        <f>IFERROR(__xludf.DUMMYFUNCTION("""COMPUTED_VALUE"""),42941.0)</f>
        <v>42941</v>
      </c>
      <c r="Q1300" s="258">
        <f>IFERROR(__xludf.DUMMYFUNCTION("""COMPUTED_VALUE"""),5500.0)</f>
        <v>5500</v>
      </c>
      <c r="R1300" s="261">
        <f>IFERROR(__xludf.DUMMYFUNCTION("""COMPUTED_VALUE"""),450.0)</f>
        <v>450</v>
      </c>
      <c r="S1300" s="258">
        <v>447.0</v>
      </c>
      <c r="T1300" s="263">
        <v>1.0067114093959733</v>
      </c>
      <c r="U1300" s="264">
        <v>3418.0</v>
      </c>
      <c r="V1300" s="265">
        <v>5500.0</v>
      </c>
      <c r="W1300" s="264">
        <v>3418.0</v>
      </c>
      <c r="X1300" s="266"/>
      <c r="Y1300" s="267">
        <v>-0.01</v>
      </c>
      <c r="Z1300" s="267">
        <v>0.9904004213120717</v>
      </c>
      <c r="AA1300" s="269"/>
      <c r="AB1300" s="270"/>
      <c r="AC1300" s="270"/>
      <c r="AD1300" s="270"/>
      <c r="AE1300" s="270"/>
    </row>
    <row r="1301">
      <c r="A1301" s="256">
        <f>IFERROR(__xludf.DUMMYFUNCTION("""COMPUTED_VALUE"""),42993.60833333334)</f>
        <v>42993.60833</v>
      </c>
      <c r="B1301" s="257" t="str">
        <f>IFERROR(__xludf.DUMMYFUNCTION("""COMPUTED_VALUE"""),"Siggy101")</f>
        <v>Siggy101</v>
      </c>
      <c r="C1301" s="258" t="str">
        <f>IFERROR(__xludf.DUMMYFUNCTION("""COMPUTED_VALUE"""),"Europe (excluding UK) &amp; Asia Pacific")</f>
        <v>Europe (excluding UK) &amp; Asia Pacific</v>
      </c>
      <c r="D1301" s="258" t="str">
        <f>IFERROR(__xludf.DUMMYFUNCTION("""COMPUTED_VALUE"""),"km. My car displays range in kilometres and I will enter all range numbers in kilometres.")</f>
        <v>km. My car displays range in kilometres and I will enter all range numbers in kilometres.</v>
      </c>
      <c r="E1301" s="259">
        <f>IFERROR(__xludf.DUMMYFUNCTION("""COMPUTED_VALUE"""),42794.0)</f>
        <v>42794</v>
      </c>
      <c r="F1301" s="258" t="str">
        <f>IFERROR(__xludf.DUMMYFUNCTION("""COMPUTED_VALUE"""),"Model S 90D")</f>
        <v>Model S 90D</v>
      </c>
      <c r="G1301" s="258" t="str">
        <f>IFERROR(__xludf.DUMMYFUNCTION("""COMPUTED_VALUE"""),"Monthly")</f>
        <v>Monthly</v>
      </c>
      <c r="H1301" s="258" t="str">
        <f>IFERROR(__xludf.DUMMYFUNCTION("""COMPUTED_VALUE"""),"Once or twice a year")</f>
        <v>Once or twice a year</v>
      </c>
      <c r="I1301" s="258" t="str">
        <f>IFERROR(__xludf.DUMMYFUNCTION("""COMPUTED_VALUE"""),"Never")</f>
        <v>Never</v>
      </c>
      <c r="J1301" s="260">
        <f>IFERROR(__xludf.DUMMYFUNCTION("""COMPUTED_VALUE"""),0.9)</f>
        <v>0.9</v>
      </c>
      <c r="K1301" s="258" t="str">
        <f>IFERROR(__xludf.DUMMYFUNCTION("""COMPUTED_VALUE"""),"")</f>
        <v/>
      </c>
      <c r="L1301" s="258" t="str">
        <f>IFERROR(__xludf.DUMMYFUNCTION("""COMPUTED_VALUE"""),"")</f>
        <v/>
      </c>
      <c r="M1301" s="261">
        <f>IFERROR(__xludf.DUMMYFUNCTION("""COMPUTED_VALUE"""),193.0)</f>
        <v>193</v>
      </c>
      <c r="N1301" s="262" t="str">
        <f>IFERROR(__xludf.DUMMYFUNCTION("""COMPUTED_VALUE"""),"")</f>
        <v/>
      </c>
      <c r="O1301" s="259" t="str">
        <f>IFERROR(__xludf.DUMMYFUNCTION("""COMPUTED_VALUE"""),"")</f>
        <v/>
      </c>
      <c r="P1301" s="259">
        <f>IFERROR(__xludf.DUMMYFUNCTION("""COMPUTED_VALUE"""),42993.0)</f>
        <v>42993</v>
      </c>
      <c r="Q1301" s="258">
        <f>IFERROR(__xludf.DUMMYFUNCTION("""COMPUTED_VALUE"""),8200.0)</f>
        <v>8200</v>
      </c>
      <c r="R1301" s="261">
        <f>IFERROR(__xludf.DUMMYFUNCTION("""COMPUTED_VALUE"""),449.0)</f>
        <v>449</v>
      </c>
      <c r="S1301" s="258">
        <v>447.0</v>
      </c>
      <c r="T1301" s="263">
        <v>1.0044742729306488</v>
      </c>
      <c r="U1301" s="264">
        <v>5095.0</v>
      </c>
      <c r="V1301" s="265">
        <v>8200.0</v>
      </c>
      <c r="W1301" s="264">
        <v>5095.0</v>
      </c>
      <c r="X1301" s="266"/>
      <c r="Y1301" s="267">
        <v>-0.01</v>
      </c>
      <c r="Z1301" s="267">
        <v>0.9865656956182876</v>
      </c>
      <c r="AA1301" s="269"/>
      <c r="AB1301" s="270"/>
      <c r="AC1301" s="270"/>
      <c r="AD1301" s="270"/>
      <c r="AE1301" s="270"/>
    </row>
    <row r="1302">
      <c r="A1302" s="256">
        <f>IFERROR(__xludf.DUMMYFUNCTION("""COMPUTED_VALUE"""),42241.17361111111)</f>
        <v>42241.17361</v>
      </c>
      <c r="B1302" s="257" t="str">
        <f>IFERROR(__xludf.DUMMYFUNCTION("""COMPUTED_VALUE"""),"Silent Bolt")</f>
        <v>Silent Bolt</v>
      </c>
      <c r="C1302" s="258" t="str">
        <f>IFERROR(__xludf.DUMMYFUNCTION("""COMPUTED_VALUE"""),"Europe (excluding UK) &amp; Asia Pacific")</f>
        <v>Europe (excluding UK) &amp; Asia Pacific</v>
      </c>
      <c r="D1302" s="258" t="str">
        <f>IFERROR(__xludf.DUMMYFUNCTION("""COMPUTED_VALUE"""),"km. My car displays range in kilometres and I will enter all range numbers in kilometres.")</f>
        <v>km. My car displays range in kilometres and I will enter all range numbers in kilometres.</v>
      </c>
      <c r="E1302" s="259">
        <f>IFERROR(__xludf.DUMMYFUNCTION("""COMPUTED_VALUE"""),42179.0)</f>
        <v>42179</v>
      </c>
      <c r="F1302" s="258" t="str">
        <f>IFERROR(__xludf.DUMMYFUNCTION("""COMPUTED_VALUE"""),"Model S 85D")</f>
        <v>Model S 85D</v>
      </c>
      <c r="G1302" s="258" t="str">
        <f>IFERROR(__xludf.DUMMYFUNCTION("""COMPUTED_VALUE"""),"A few times a year")</f>
        <v>A few times a year</v>
      </c>
      <c r="H1302" s="258" t="str">
        <f>IFERROR(__xludf.DUMMYFUNCTION("""COMPUTED_VALUE"""),"A few times a year")</f>
        <v>A few times a year</v>
      </c>
      <c r="I1302" s="258" t="str">
        <f>IFERROR(__xludf.DUMMYFUNCTION("""COMPUTED_VALUE"""),"Never")</f>
        <v>Never</v>
      </c>
      <c r="J1302" s="260">
        <f>IFERROR(__xludf.DUMMYFUNCTION("""COMPUTED_VALUE"""),0.9)</f>
        <v>0.9</v>
      </c>
      <c r="K1302" s="258" t="str">
        <f>IFERROR(__xludf.DUMMYFUNCTION("""COMPUTED_VALUE"""),"")</f>
        <v/>
      </c>
      <c r="L1302" s="258" t="str">
        <f>IFERROR(__xludf.DUMMYFUNCTION("""COMPUTED_VALUE"""),"")</f>
        <v/>
      </c>
      <c r="M1302" s="261">
        <f>IFERROR(__xludf.DUMMYFUNCTION("""COMPUTED_VALUE"""),218.0)</f>
        <v>218</v>
      </c>
      <c r="N1302" s="262" t="str">
        <f>IFERROR(__xludf.DUMMYFUNCTION("""COMPUTED_VALUE"""),"")</f>
        <v/>
      </c>
      <c r="O1302" s="259" t="str">
        <f>IFERROR(__xludf.DUMMYFUNCTION("""COMPUTED_VALUE"""),"")</f>
        <v/>
      </c>
      <c r="P1302" s="259">
        <f>IFERROR(__xludf.DUMMYFUNCTION("""COMPUTED_VALUE"""),42241.0)</f>
        <v>42241</v>
      </c>
      <c r="Q1302" s="258">
        <f>IFERROR(__xludf.DUMMYFUNCTION("""COMPUTED_VALUE"""),2200.0)</f>
        <v>2200</v>
      </c>
      <c r="R1302" s="261">
        <f>IFERROR(__xludf.DUMMYFUNCTION("""COMPUTED_VALUE"""),404.0)</f>
        <v>404</v>
      </c>
      <c r="S1302" s="258">
        <v>425.0</v>
      </c>
      <c r="T1302" s="263">
        <v>0.9505882352941176</v>
      </c>
      <c r="U1302" s="264">
        <v>1367.0</v>
      </c>
      <c r="V1302" s="265">
        <v>2200.0</v>
      </c>
      <c r="W1302" s="264">
        <v>1367.0</v>
      </c>
      <c r="X1302" s="266"/>
      <c r="Y1302" s="267">
        <v>-0.01</v>
      </c>
      <c r="Z1302" s="267">
        <v>0.9958377444851584</v>
      </c>
      <c r="AA1302" s="269"/>
      <c r="AB1302" s="270"/>
      <c r="AC1302" s="270"/>
      <c r="AD1302" s="270"/>
      <c r="AE1302" s="270"/>
    </row>
    <row r="1303">
      <c r="A1303" s="256">
        <f>IFERROR(__xludf.DUMMYFUNCTION("""COMPUTED_VALUE"""),43159.69930555555)</f>
        <v>43159.69931</v>
      </c>
      <c r="B1303" s="257" t="str">
        <f>IFERROR(__xludf.DUMMYFUNCTION("""COMPUTED_VALUE"""),"Simen1")</f>
        <v>Simen1</v>
      </c>
      <c r="C1303" s="258" t="str">
        <f>IFERROR(__xludf.DUMMYFUNCTION("""COMPUTED_VALUE"""),"Europe (excluding UK) &amp; Asia Pacific")</f>
        <v>Europe (excluding UK) &amp; Asia Pacific</v>
      </c>
      <c r="D1303" s="258" t="str">
        <f>IFERROR(__xludf.DUMMYFUNCTION("""COMPUTED_VALUE"""),"km. My car displays range in kilometres and I will enter all range numbers in kilometres.")</f>
        <v>km. My car displays range in kilometres and I will enter all range numbers in kilometres.</v>
      </c>
      <c r="E1303" s="259">
        <f>IFERROR(__xludf.DUMMYFUNCTION("""COMPUTED_VALUE"""),41606.0)</f>
        <v>41606</v>
      </c>
      <c r="F1303" s="258" t="str">
        <f>IFERROR(__xludf.DUMMYFUNCTION("""COMPUTED_VALUE"""),"Model S P85")</f>
        <v>Model S P85</v>
      </c>
      <c r="G1303" s="258" t="str">
        <f>IFERROR(__xludf.DUMMYFUNCTION("""COMPUTED_VALUE"""),"A few times a year")</f>
        <v>A few times a year</v>
      </c>
      <c r="H1303" s="258" t="str">
        <f>IFERROR(__xludf.DUMMYFUNCTION("""COMPUTED_VALUE"""),"Once or twice a year")</f>
        <v>Once or twice a year</v>
      </c>
      <c r="I1303" s="258" t="str">
        <f>IFERROR(__xludf.DUMMYFUNCTION("""COMPUTED_VALUE"""),"Never")</f>
        <v>Never</v>
      </c>
      <c r="J1303" s="260">
        <f>IFERROR(__xludf.DUMMYFUNCTION("""COMPUTED_VALUE"""),0.8)</f>
        <v>0.8</v>
      </c>
      <c r="K1303" s="258" t="str">
        <f>IFERROR(__xludf.DUMMYFUNCTION("""COMPUTED_VALUE"""),"")</f>
        <v/>
      </c>
      <c r="L1303" s="258" t="str">
        <f>IFERROR(__xludf.DUMMYFUNCTION("""COMPUTED_VALUE"""),"")</f>
        <v/>
      </c>
      <c r="M1303" s="261">
        <f>IFERROR(__xludf.DUMMYFUNCTION("""COMPUTED_VALUE"""),206.0)</f>
        <v>206</v>
      </c>
      <c r="N1303" s="262">
        <f>IFERROR(__xludf.DUMMYFUNCTION("""COMPUTED_VALUE"""),51284.0)</f>
        <v>51284</v>
      </c>
      <c r="O1303" s="259" t="str">
        <f>IFERROR(__xludf.DUMMYFUNCTION("""COMPUTED_VALUE"""),"I don't know")</f>
        <v>I don't know</v>
      </c>
      <c r="P1303" s="259">
        <f>IFERROR(__xludf.DUMMYFUNCTION("""COMPUTED_VALUE"""),43159.0)</f>
        <v>43159</v>
      </c>
      <c r="Q1303" s="258">
        <f>IFERROR(__xludf.DUMMYFUNCTION("""COMPUTED_VALUE"""),131600.0)</f>
        <v>131600</v>
      </c>
      <c r="R1303" s="261">
        <f>IFERROR(__xludf.DUMMYFUNCTION("""COMPUTED_VALUE"""),375.0)</f>
        <v>375</v>
      </c>
      <c r="S1303" s="258">
        <v>395.0</v>
      </c>
      <c r="T1303" s="263">
        <v>0.9493670886075949</v>
      </c>
      <c r="U1303" s="264">
        <v>81772.0</v>
      </c>
      <c r="V1303" s="265">
        <v>131600.0</v>
      </c>
      <c r="W1303" s="264">
        <v>81772.0</v>
      </c>
      <c r="X1303" s="266"/>
      <c r="Y1303" s="267">
        <v>-0.01</v>
      </c>
      <c r="Z1303" s="267">
        <v>0.93922082364591</v>
      </c>
      <c r="AA1303" s="269"/>
      <c r="AB1303" s="270"/>
      <c r="AC1303" s="270"/>
      <c r="AD1303" s="270"/>
      <c r="AE1303" s="270"/>
    </row>
    <row r="1304">
      <c r="A1304" s="256">
        <f>IFERROR(__xludf.DUMMYFUNCTION("""COMPUTED_VALUE"""),42300.89097222222)</f>
        <v>42300.89097</v>
      </c>
      <c r="B1304" s="257" t="str">
        <f>IFERROR(__xludf.DUMMYFUNCTION("""COMPUTED_VALUE"""),"Simon Mac")</f>
        <v>Simon Mac</v>
      </c>
      <c r="C1304" s="258" t="str">
        <f>IFERROR(__xludf.DUMMYFUNCTION("""COMPUTED_VALUE"""),"UK")</f>
        <v>UK</v>
      </c>
      <c r="D1304" s="258" t="str">
        <f>IFERROR(__xludf.DUMMYFUNCTION("""COMPUTED_VALUE"""),"mi. My car displays range in miles and I will enter all range numbers in miles.")</f>
        <v>mi. My car displays range in miles and I will enter all range numbers in miles.</v>
      </c>
      <c r="E1304" s="259">
        <f>IFERROR(__xludf.DUMMYFUNCTION("""COMPUTED_VALUE"""),41780.0)</f>
        <v>41780</v>
      </c>
      <c r="F1304" s="258" t="str">
        <f>IFERROR(__xludf.DUMMYFUNCTION("""COMPUTED_VALUE"""),"Model S 60")</f>
        <v>Model S 60</v>
      </c>
      <c r="G1304" s="258" t="str">
        <f>IFERROR(__xludf.DUMMYFUNCTION("""COMPUTED_VALUE"""),"Once or twice a year")</f>
        <v>Once or twice a year</v>
      </c>
      <c r="H1304" s="258" t="str">
        <f>IFERROR(__xludf.DUMMYFUNCTION("""COMPUTED_VALUE"""),"A few times a year")</f>
        <v>A few times a year</v>
      </c>
      <c r="I1304" s="258" t="str">
        <f>IFERROR(__xludf.DUMMYFUNCTION("""COMPUTED_VALUE"""),"Once or twice a year")</f>
        <v>Once or twice a year</v>
      </c>
      <c r="J1304" s="260">
        <f>IFERROR(__xludf.DUMMYFUNCTION("""COMPUTED_VALUE"""),0.7)</f>
        <v>0.7</v>
      </c>
      <c r="K1304" s="258">
        <f>IFERROR(__xludf.DUMMYFUNCTION("""COMPUTED_VALUE"""),240.0)</f>
        <v>240</v>
      </c>
      <c r="L1304" s="258" t="str">
        <f>IFERROR(__xludf.DUMMYFUNCTION("""COMPUTED_VALUE"""),"")</f>
        <v/>
      </c>
      <c r="M1304" s="261">
        <f>IFERROR(__xludf.DUMMYFUNCTION("""COMPUTED_VALUE"""),353.0)</f>
        <v>353</v>
      </c>
      <c r="N1304" s="262" t="str">
        <f>IFERROR(__xludf.DUMMYFUNCTION("""COMPUTED_VALUE"""),"")</f>
        <v/>
      </c>
      <c r="O1304" s="259" t="str">
        <f>IFERROR(__xludf.DUMMYFUNCTION("""COMPUTED_VALUE"""),"")</f>
        <v/>
      </c>
      <c r="P1304" s="259">
        <f>IFERROR(__xludf.DUMMYFUNCTION("""COMPUTED_VALUE"""),42300.0)</f>
        <v>42300</v>
      </c>
      <c r="Q1304" s="258">
        <f>IFERROR(__xludf.DUMMYFUNCTION("""COMPUTED_VALUE"""),10500.0)</f>
        <v>10500</v>
      </c>
      <c r="R1304" s="261">
        <f>IFERROR(__xludf.DUMMYFUNCTION("""COMPUTED_VALUE"""),180.0)</f>
        <v>180</v>
      </c>
      <c r="S1304" s="258">
        <v>176.0</v>
      </c>
      <c r="T1304" s="263">
        <v>1.0227272727272727</v>
      </c>
      <c r="U1304" s="264">
        <v>10500.0</v>
      </c>
      <c r="V1304" s="265">
        <v>16898.0</v>
      </c>
      <c r="W1304" s="264">
        <v>10500.0</v>
      </c>
      <c r="X1304" s="266"/>
      <c r="Y1304" s="267">
        <v>-0.01</v>
      </c>
      <c r="Z1304" s="267">
        <v>0.9770588185618637</v>
      </c>
      <c r="AA1304" s="269"/>
      <c r="AB1304" s="270"/>
      <c r="AC1304" s="270"/>
      <c r="AD1304" s="270"/>
      <c r="AE1304" s="270"/>
    </row>
    <row r="1305">
      <c r="A1305" s="256">
        <f>IFERROR(__xludf.DUMMYFUNCTION("""COMPUTED_VALUE"""),43708.55832349537)</f>
        <v>43708.55832</v>
      </c>
      <c r="B1305" s="257" t="str">
        <f>IFERROR(__xludf.DUMMYFUNCTION("""COMPUTED_VALUE"""),"Simone")</f>
        <v>Simone</v>
      </c>
      <c r="C1305" s="258" t="str">
        <f>IFERROR(__xludf.DUMMYFUNCTION("""COMPUTED_VALUE"""),"Europe (excluding UK) &amp; Asia Pacific")</f>
        <v>Europe (excluding UK) &amp; Asia Pacific</v>
      </c>
      <c r="D1305" s="258" t="str">
        <f>IFERROR(__xludf.DUMMYFUNCTION("""COMPUTED_VALUE"""),"km. My car displays range in kilometres and I will enter all range numbers in kilometres.")</f>
        <v>km. My car displays range in kilometres and I will enter all range numbers in kilometres.</v>
      </c>
      <c r="E1305" s="259">
        <f>IFERROR(__xludf.DUMMYFUNCTION("""COMPUTED_VALUE"""),43344.0)</f>
        <v>43344</v>
      </c>
      <c r="F1305" s="258" t="str">
        <f>IFERROR(__xludf.DUMMYFUNCTION("""COMPUTED_VALUE"""),"Model X 75D")</f>
        <v>Model X 75D</v>
      </c>
      <c r="G1305" s="258" t="str">
        <f>IFERROR(__xludf.DUMMYFUNCTION("""COMPUTED_VALUE"""),"")</f>
        <v/>
      </c>
      <c r="H1305" s="258" t="str">
        <f>IFERROR(__xludf.DUMMYFUNCTION("""COMPUTED_VALUE"""),"Once or twice a year")</f>
        <v>Once or twice a year</v>
      </c>
      <c r="I1305" s="258" t="str">
        <f>IFERROR(__xludf.DUMMYFUNCTION("""COMPUTED_VALUE"""),"Once or twice a year")</f>
        <v>Once or twice a year</v>
      </c>
      <c r="J1305" s="260">
        <f>IFERROR(__xludf.DUMMYFUNCTION("""COMPUTED_VALUE"""),0.7)</f>
        <v>0.7</v>
      </c>
      <c r="K1305" s="258">
        <f>IFERROR(__xludf.DUMMYFUNCTION("""COMPUTED_VALUE"""),414.0)</f>
        <v>414</v>
      </c>
      <c r="L1305" s="258" t="str">
        <f>IFERROR(__xludf.DUMMYFUNCTION("""COMPUTED_VALUE"""),"")</f>
        <v/>
      </c>
      <c r="M1305" s="261">
        <f>IFERROR(__xludf.DUMMYFUNCTION("""COMPUTED_VALUE"""),250.0)</f>
        <v>250</v>
      </c>
      <c r="N1305" s="262" t="str">
        <f>IFERROR(__xludf.DUMMYFUNCTION("""COMPUTED_VALUE"""),"")</f>
        <v/>
      </c>
      <c r="O1305" s="259" t="str">
        <f>IFERROR(__xludf.DUMMYFUNCTION("""COMPUTED_VALUE"""),"")</f>
        <v/>
      </c>
      <c r="P1305" s="259">
        <f>IFERROR(__xludf.DUMMYFUNCTION("""COMPUTED_VALUE"""),43169.0)</f>
        <v>43169</v>
      </c>
      <c r="Q1305" s="258">
        <f>IFERROR(__xludf.DUMMYFUNCTION("""COMPUTED_VALUE"""),700.0)</f>
        <v>700</v>
      </c>
      <c r="R1305" s="261">
        <f>IFERROR(__xludf.DUMMYFUNCTION("""COMPUTED_VALUE"""),414.0)</f>
        <v>414</v>
      </c>
      <c r="S1305" s="258">
        <v>329.0</v>
      </c>
      <c r="T1305" s="263">
        <v>1.2583586626139818</v>
      </c>
      <c r="U1305" s="264">
        <v>435.0</v>
      </c>
      <c r="V1305" s="265">
        <v>700.0</v>
      </c>
      <c r="W1305" s="264">
        <v>435.0</v>
      </c>
      <c r="X1305" s="266"/>
      <c r="Y1305" s="267">
        <v>-0.01</v>
      </c>
      <c r="Z1305" s="267">
        <v>0.9986245601592171</v>
      </c>
      <c r="AA1305" s="269"/>
      <c r="AB1305" s="270"/>
      <c r="AC1305" s="270"/>
      <c r="AD1305" s="270"/>
      <c r="AE1305" s="270"/>
    </row>
    <row r="1306">
      <c r="A1306" s="256">
        <f>IFERROR(__xludf.DUMMYFUNCTION("""COMPUTED_VALUE"""),42415.288194444445)</f>
        <v>42415.28819</v>
      </c>
      <c r="B1306" s="257" t="str">
        <f>IFERROR(__xludf.DUMMYFUNCTION("""COMPUTED_VALUE"""),"sjøhyene")</f>
        <v>sjøhyene</v>
      </c>
      <c r="C1306" s="258" t="str">
        <f>IFERROR(__xludf.DUMMYFUNCTION("""COMPUTED_VALUE"""),"Europe (excluding UK) &amp; Asia Pacific")</f>
        <v>Europe (excluding UK) &amp; Asia Pacific</v>
      </c>
      <c r="D1306" s="258" t="str">
        <f>IFERROR(__xludf.DUMMYFUNCTION("""COMPUTED_VALUE"""),"km. My car displays range in kilometres and I will enter all range numbers in kilometres.")</f>
        <v>km. My car displays range in kilometres and I will enter all range numbers in kilometres.</v>
      </c>
      <c r="E1306" s="259">
        <f>IFERROR(__xludf.DUMMYFUNCTION("""COMPUTED_VALUE"""),41701.0)</f>
        <v>41701</v>
      </c>
      <c r="F1306" s="258" t="str">
        <f>IFERROR(__xludf.DUMMYFUNCTION("""COMPUTED_VALUE"""),"Model S 85")</f>
        <v>Model S 85</v>
      </c>
      <c r="G1306" s="258" t="str">
        <f>IFERROR(__xludf.DUMMYFUNCTION("""COMPUTED_VALUE"""),"Monthly")</f>
        <v>Monthly</v>
      </c>
      <c r="H1306" s="258" t="str">
        <f>IFERROR(__xludf.DUMMYFUNCTION("""COMPUTED_VALUE"""),"Once or twice a year")</f>
        <v>Once or twice a year</v>
      </c>
      <c r="I1306" s="258" t="str">
        <f>IFERROR(__xludf.DUMMYFUNCTION("""COMPUTED_VALUE"""),"Once or twice a year")</f>
        <v>Once or twice a year</v>
      </c>
      <c r="J1306" s="260">
        <f>IFERROR(__xludf.DUMMYFUNCTION("""COMPUTED_VALUE"""),0.8)</f>
        <v>0.8</v>
      </c>
      <c r="K1306" s="258" t="str">
        <f>IFERROR(__xludf.DUMMYFUNCTION("""COMPUTED_VALUE"""),"")</f>
        <v/>
      </c>
      <c r="L1306" s="258" t="str">
        <f>IFERROR(__xludf.DUMMYFUNCTION("""COMPUTED_VALUE"""),"")</f>
        <v/>
      </c>
      <c r="M1306" s="261">
        <f>IFERROR(__xludf.DUMMYFUNCTION("""COMPUTED_VALUE"""),220.0)</f>
        <v>220</v>
      </c>
      <c r="N1306" s="262" t="str">
        <f>IFERROR(__xludf.DUMMYFUNCTION("""COMPUTED_VALUE"""),"")</f>
        <v/>
      </c>
      <c r="O1306" s="259" t="str">
        <f>IFERROR(__xludf.DUMMYFUNCTION("""COMPUTED_VALUE"""),"")</f>
        <v/>
      </c>
      <c r="P1306" s="259">
        <f>IFERROR(__xludf.DUMMYFUNCTION("""COMPUTED_VALUE"""),42415.0)</f>
        <v>42415</v>
      </c>
      <c r="Q1306" s="258">
        <f>IFERROR(__xludf.DUMMYFUNCTION("""COMPUTED_VALUE"""),45777.0)</f>
        <v>45777</v>
      </c>
      <c r="R1306" s="261">
        <f>IFERROR(__xludf.DUMMYFUNCTION("""COMPUTED_VALUE"""),365.0)</f>
        <v>365</v>
      </c>
      <c r="S1306" s="258">
        <v>395.0</v>
      </c>
      <c r="T1306" s="263">
        <v>0.9240506329113924</v>
      </c>
      <c r="U1306" s="264">
        <v>28445.0</v>
      </c>
      <c r="V1306" s="265">
        <v>45777.0</v>
      </c>
      <c r="W1306" s="264">
        <v>28445.0</v>
      </c>
      <c r="X1306" s="266"/>
      <c r="Y1306" s="267">
        <v>-0.01</v>
      </c>
      <c r="Z1306" s="267">
        <v>0.9611273344793929</v>
      </c>
      <c r="AA1306" s="269"/>
      <c r="AB1306" s="270"/>
      <c r="AC1306" s="270"/>
      <c r="AD1306" s="270"/>
      <c r="AE1306" s="270"/>
    </row>
    <row r="1307">
      <c r="A1307" s="256">
        <f>IFERROR(__xludf.DUMMYFUNCTION("""COMPUTED_VALUE"""),43884.51511150463)</f>
        <v>43884.51511</v>
      </c>
      <c r="B1307" s="257" t="str">
        <f>IFERROR(__xludf.DUMMYFUNCTION("""COMPUTED_VALUE"""),"SLJC")</f>
        <v>SLJC</v>
      </c>
      <c r="C1307" s="258" t="str">
        <f>IFERROR(__xludf.DUMMYFUNCTION("""COMPUTED_VALUE"""),"Canada")</f>
        <v>Canada</v>
      </c>
      <c r="D1307" s="258" t="str">
        <f>IFERROR(__xludf.DUMMYFUNCTION("""COMPUTED_VALUE"""),"km. My car displays range in kilometres and I will enter all range numbers in kilometres.")</f>
        <v>km. My car displays range in kilometres and I will enter all range numbers in kilometres.</v>
      </c>
      <c r="E1307" s="259">
        <f>IFERROR(__xludf.DUMMYFUNCTION("""COMPUTED_VALUE"""),43817.0)</f>
        <v>43817</v>
      </c>
      <c r="F1307" s="258" t="str">
        <f>IFERROR(__xludf.DUMMYFUNCTION("""COMPUTED_VALUE"""),"Model 3 LR AWD")</f>
        <v>Model 3 LR AWD</v>
      </c>
      <c r="G1307" s="258" t="str">
        <f>IFERROR(__xludf.DUMMYFUNCTION("""COMPUTED_VALUE"""),"A few times a year")</f>
        <v>A few times a year</v>
      </c>
      <c r="H1307" s="258" t="str">
        <f>IFERROR(__xludf.DUMMYFUNCTION("""COMPUTED_VALUE"""),"A few times a year")</f>
        <v>A few times a year</v>
      </c>
      <c r="I1307" s="258" t="str">
        <f>IFERROR(__xludf.DUMMYFUNCTION("""COMPUTED_VALUE"""),"Never")</f>
        <v>Never</v>
      </c>
      <c r="J1307" s="260">
        <f>IFERROR(__xludf.DUMMYFUNCTION("""COMPUTED_VALUE"""),0.8)</f>
        <v>0.8</v>
      </c>
      <c r="K1307" s="258">
        <f>IFERROR(__xludf.DUMMYFUNCTION("""COMPUTED_VALUE"""),502.0)</f>
        <v>502</v>
      </c>
      <c r="L1307" s="258">
        <f>IFERROR(__xludf.DUMMYFUNCTION("""COMPUTED_VALUE"""),215.0)</f>
        <v>215</v>
      </c>
      <c r="M1307" s="261" t="str">
        <f>IFERROR(__xludf.DUMMYFUNCTION("""COMPUTED_VALUE"""),"")</f>
        <v/>
      </c>
      <c r="N1307" s="262" t="str">
        <f>IFERROR(__xludf.DUMMYFUNCTION("""COMPUTED_VALUE"""),"")</f>
        <v/>
      </c>
      <c r="O1307" s="259" t="str">
        <f>IFERROR(__xludf.DUMMYFUNCTION("""COMPUTED_VALUE"""),"")</f>
        <v/>
      </c>
      <c r="P1307" s="259">
        <f>IFERROR(__xludf.DUMMYFUNCTION("""COMPUTED_VALUE"""),43884.0)</f>
        <v>43884</v>
      </c>
      <c r="Q1307" s="258">
        <f>IFERROR(__xludf.DUMMYFUNCTION("""COMPUTED_VALUE"""),5693.0)</f>
        <v>5693</v>
      </c>
      <c r="R1307" s="261">
        <f>IFERROR(__xludf.DUMMYFUNCTION("""COMPUTED_VALUE"""),502.0)</f>
        <v>502</v>
      </c>
      <c r="S1307" s="258">
        <v>499.0</v>
      </c>
      <c r="T1307" s="263">
        <v>1.006012024048096</v>
      </c>
      <c r="U1307" s="264">
        <v>3537.0</v>
      </c>
      <c r="V1307" s="265">
        <v>5693.0</v>
      </c>
      <c r="W1307" s="264">
        <v>3537.0</v>
      </c>
      <c r="X1307" s="266"/>
      <c r="Y1307" s="267">
        <v>-0.01</v>
      </c>
      <c r="Z1307" s="267">
        <v>0.9901092041684469</v>
      </c>
      <c r="AA1307" s="269"/>
      <c r="AB1307" s="270"/>
      <c r="AC1307" s="270"/>
      <c r="AD1307" s="270"/>
      <c r="AE1307" s="270"/>
    </row>
    <row r="1308">
      <c r="A1308" s="256">
        <f>IFERROR(__xludf.DUMMYFUNCTION("""COMPUTED_VALUE"""),42319.90625)</f>
        <v>42319.90625</v>
      </c>
      <c r="B1308" s="257" t="str">
        <f>IFERROR(__xludf.DUMMYFUNCTION("""COMPUTED_VALUE"""),"SmartElectric")</f>
        <v>SmartElectric</v>
      </c>
      <c r="C1308" s="258" t="str">
        <f>IFERROR(__xludf.DUMMYFUNCTION("""COMPUTED_VALUE"""),"Canada")</f>
        <v>Canada</v>
      </c>
      <c r="D1308" s="258" t="str">
        <f>IFERROR(__xludf.DUMMYFUNCTION("""COMPUTED_VALUE"""),"km. My car displays range in kilometres and I will enter all range numbers in kilometres.")</f>
        <v>km. My car displays range in kilometres and I will enter all range numbers in kilometres.</v>
      </c>
      <c r="E1308" s="259">
        <f>IFERROR(__xludf.DUMMYFUNCTION("""COMPUTED_VALUE"""),41307.0)</f>
        <v>41307</v>
      </c>
      <c r="F1308" s="258" t="str">
        <f>IFERROR(__xludf.DUMMYFUNCTION("""COMPUTED_VALUE"""),"Model S 85")</f>
        <v>Model S 85</v>
      </c>
      <c r="G1308" s="258" t="str">
        <f>IFERROR(__xludf.DUMMYFUNCTION("""COMPUTED_VALUE"""),"Twice a month")</f>
        <v>Twice a month</v>
      </c>
      <c r="H1308" s="258" t="str">
        <f>IFERROR(__xludf.DUMMYFUNCTION("""COMPUTED_VALUE"""),"Twice a month")</f>
        <v>Twice a month</v>
      </c>
      <c r="I1308" s="258" t="str">
        <f>IFERROR(__xludf.DUMMYFUNCTION("""COMPUTED_VALUE"""),"A few times a year")</f>
        <v>A few times a year</v>
      </c>
      <c r="J1308" s="260">
        <f>IFERROR(__xludf.DUMMYFUNCTION("""COMPUTED_VALUE"""),0.9)</f>
        <v>0.9</v>
      </c>
      <c r="K1308" s="258">
        <f>IFERROR(__xludf.DUMMYFUNCTION("""COMPUTED_VALUE"""),425.0)</f>
        <v>425</v>
      </c>
      <c r="L1308" s="258" t="str">
        <f>IFERROR(__xludf.DUMMYFUNCTION("""COMPUTED_VALUE"""),"")</f>
        <v/>
      </c>
      <c r="M1308" s="261">
        <f>IFERROR(__xludf.DUMMYFUNCTION("""COMPUTED_VALUE"""),220.0)</f>
        <v>220</v>
      </c>
      <c r="N1308" s="262" t="str">
        <f>IFERROR(__xludf.DUMMYFUNCTION("""COMPUTED_VALUE"""),"")</f>
        <v/>
      </c>
      <c r="O1308" s="259" t="str">
        <f>IFERROR(__xludf.DUMMYFUNCTION("""COMPUTED_VALUE"""),"")</f>
        <v/>
      </c>
      <c r="P1308" s="259">
        <f>IFERROR(__xludf.DUMMYFUNCTION("""COMPUTED_VALUE"""),42319.0)</f>
        <v>42319</v>
      </c>
      <c r="Q1308" s="258">
        <f>IFERROR(__xludf.DUMMYFUNCTION("""COMPUTED_VALUE"""),70000.0)</f>
        <v>70000</v>
      </c>
      <c r="R1308" s="261">
        <f>IFERROR(__xludf.DUMMYFUNCTION("""COMPUTED_VALUE"""),410.0)</f>
        <v>410</v>
      </c>
      <c r="S1308" s="258">
        <v>428.0</v>
      </c>
      <c r="T1308" s="263">
        <v>0.9579439252336449</v>
      </c>
      <c r="U1308" s="264">
        <v>43496.0</v>
      </c>
      <c r="V1308" s="265">
        <v>70000.0</v>
      </c>
      <c r="W1308" s="264">
        <v>43496.0</v>
      </c>
      <c r="X1308" s="266"/>
      <c r="Y1308" s="267">
        <v>-0.01</v>
      </c>
      <c r="Z1308" s="267">
        <v>0.9539341706223706</v>
      </c>
      <c r="AA1308" s="269"/>
      <c r="AB1308" s="270"/>
      <c r="AC1308" s="270"/>
      <c r="AD1308" s="270"/>
      <c r="AE1308" s="270"/>
    </row>
    <row r="1309">
      <c r="A1309" s="256">
        <f>IFERROR(__xludf.DUMMYFUNCTION("""COMPUTED_VALUE"""),43705.75728834491)</f>
        <v>43705.75729</v>
      </c>
      <c r="B1309" s="257" t="str">
        <f>IFERROR(__xludf.DUMMYFUNCTION("""COMPUTED_VALUE"""),"SmartElectric")</f>
        <v>SmartElectric</v>
      </c>
      <c r="C1309" s="258" t="str">
        <f>IFERROR(__xludf.DUMMYFUNCTION("""COMPUTED_VALUE"""),"Canada")</f>
        <v>Canada</v>
      </c>
      <c r="D1309" s="258" t="str">
        <f>IFERROR(__xludf.DUMMYFUNCTION("""COMPUTED_VALUE"""),"km. My car displays range in kilometres and I will enter all range numbers in kilometres.")</f>
        <v>km. My car displays range in kilometres and I will enter all range numbers in kilometres.</v>
      </c>
      <c r="E1309" s="259">
        <f>IFERROR(__xludf.DUMMYFUNCTION("""COMPUTED_VALUE"""),41307.0)</f>
        <v>41307</v>
      </c>
      <c r="F1309" s="258" t="str">
        <f>IFERROR(__xludf.DUMMYFUNCTION("""COMPUTED_VALUE"""),"Model S 85")</f>
        <v>Model S 85</v>
      </c>
      <c r="G1309" s="258" t="str">
        <f>IFERROR(__xludf.DUMMYFUNCTION("""COMPUTED_VALUE"""),"Weekly")</f>
        <v>Weekly</v>
      </c>
      <c r="H1309" s="258" t="str">
        <f>IFERROR(__xludf.DUMMYFUNCTION("""COMPUTED_VALUE"""),"Twice a month")</f>
        <v>Twice a month</v>
      </c>
      <c r="I1309" s="258" t="str">
        <f>IFERROR(__xludf.DUMMYFUNCTION("""COMPUTED_VALUE"""),"A few times a year")</f>
        <v>A few times a year</v>
      </c>
      <c r="J1309" s="260">
        <f>IFERROR(__xludf.DUMMYFUNCTION("""COMPUTED_VALUE"""),0.9)</f>
        <v>0.9</v>
      </c>
      <c r="K1309" s="258">
        <f>IFERROR(__xludf.DUMMYFUNCTION("""COMPUTED_VALUE"""),425.0)</f>
        <v>425</v>
      </c>
      <c r="L1309" s="258" t="str">
        <f>IFERROR(__xludf.DUMMYFUNCTION("""COMPUTED_VALUE"""),"")</f>
        <v/>
      </c>
      <c r="M1309" s="261" t="str">
        <f>IFERROR(__xludf.DUMMYFUNCTION("""COMPUTED_VALUE"""),"")</f>
        <v/>
      </c>
      <c r="N1309" s="262" t="str">
        <f>IFERROR(__xludf.DUMMYFUNCTION("""COMPUTED_VALUE"""),"")</f>
        <v/>
      </c>
      <c r="O1309" s="259" t="str">
        <f>IFERROR(__xludf.DUMMYFUNCTION("""COMPUTED_VALUE"""),"")</f>
        <v/>
      </c>
      <c r="P1309" s="259">
        <f>IFERROR(__xludf.DUMMYFUNCTION("""COMPUTED_VALUE"""),43687.0)</f>
        <v>43687</v>
      </c>
      <c r="Q1309" s="258">
        <f>IFERROR(__xludf.DUMMYFUNCTION("""COMPUTED_VALUE"""),140000.0)</f>
        <v>140000</v>
      </c>
      <c r="R1309" s="261">
        <f>IFERROR(__xludf.DUMMYFUNCTION("""COMPUTED_VALUE"""),410.0)</f>
        <v>410</v>
      </c>
      <c r="S1309" s="258">
        <v>428.0</v>
      </c>
      <c r="T1309" s="263">
        <v>0.9579439252336449</v>
      </c>
      <c r="U1309" s="264">
        <v>86992.0</v>
      </c>
      <c r="V1309" s="265">
        <v>140000.0</v>
      </c>
      <c r="W1309" s="264">
        <v>86992.0</v>
      </c>
      <c r="X1309" s="266"/>
      <c r="Y1309" s="267">
        <v>-0.01</v>
      </c>
      <c r="Z1309" s="267">
        <v>0.9372777962751196</v>
      </c>
      <c r="AA1309" s="269"/>
      <c r="AB1309" s="270"/>
      <c r="AC1309" s="270"/>
      <c r="AD1309" s="270"/>
      <c r="AE1309" s="270"/>
    </row>
    <row r="1310">
      <c r="A1310" s="256">
        <f>IFERROR(__xludf.DUMMYFUNCTION("""COMPUTED_VALUE"""),42497.79583333334)</f>
        <v>42497.79583</v>
      </c>
      <c r="B1310" s="257" t="str">
        <f>IFERROR(__xludf.DUMMYFUNCTION("""COMPUTED_VALUE"""),"Smartypnz")</f>
        <v>Smartypnz</v>
      </c>
      <c r="C1310" s="258" t="str">
        <f>IFERROR(__xludf.DUMMYFUNCTION("""COMPUTED_VALUE"""),"USA")</f>
        <v>USA</v>
      </c>
      <c r="D1310" s="258" t="str">
        <f>IFERROR(__xludf.DUMMYFUNCTION("""COMPUTED_VALUE"""),"mi. My car displays range in miles and I will enter all range numbers in miles.")</f>
        <v>mi. My car displays range in miles and I will enter all range numbers in miles.</v>
      </c>
      <c r="E1310" s="259">
        <f>IFERROR(__xludf.DUMMYFUNCTION("""COMPUTED_VALUE"""),41393.0)</f>
        <v>41393</v>
      </c>
      <c r="F1310" s="258" t="str">
        <f>IFERROR(__xludf.DUMMYFUNCTION("""COMPUTED_VALUE"""),"Model S 85")</f>
        <v>Model S 85</v>
      </c>
      <c r="G1310" s="258" t="str">
        <f>IFERROR(__xludf.DUMMYFUNCTION("""COMPUTED_VALUE"""),"Twice a week")</f>
        <v>Twice a week</v>
      </c>
      <c r="H1310" s="258" t="str">
        <f>IFERROR(__xludf.DUMMYFUNCTION("""COMPUTED_VALUE"""),"Twice a month")</f>
        <v>Twice a month</v>
      </c>
      <c r="I1310" s="258" t="str">
        <f>IFERROR(__xludf.DUMMYFUNCTION("""COMPUTED_VALUE"""),"Never")</f>
        <v>Never</v>
      </c>
      <c r="J1310" s="260">
        <f>IFERROR(__xludf.DUMMYFUNCTION("""COMPUTED_VALUE"""),0.9)</f>
        <v>0.9</v>
      </c>
      <c r="K1310" s="258">
        <f>IFERROR(__xludf.DUMMYFUNCTION("""COMPUTED_VALUE"""),270.0)</f>
        <v>270</v>
      </c>
      <c r="L1310" s="258" t="str">
        <f>IFERROR(__xludf.DUMMYFUNCTION("""COMPUTED_VALUE"""),"")</f>
        <v/>
      </c>
      <c r="M1310" s="261">
        <f>IFERROR(__xludf.DUMMYFUNCTION("""COMPUTED_VALUE"""),322.0)</f>
        <v>322</v>
      </c>
      <c r="N1310" s="262" t="str">
        <f>IFERROR(__xludf.DUMMYFUNCTION("""COMPUTED_VALUE"""),"")</f>
        <v/>
      </c>
      <c r="O1310" s="259" t="str">
        <f>IFERROR(__xludf.DUMMYFUNCTION("""COMPUTED_VALUE"""),"")</f>
        <v/>
      </c>
      <c r="P1310" s="259">
        <f>IFERROR(__xludf.DUMMYFUNCTION("""COMPUTED_VALUE"""),42497.0)</f>
        <v>42497</v>
      </c>
      <c r="Q1310" s="258">
        <f>IFERROR(__xludf.DUMMYFUNCTION("""COMPUTED_VALUE"""),78926.0)</f>
        <v>78926</v>
      </c>
      <c r="R1310" s="261">
        <f>IFERROR(__xludf.DUMMYFUNCTION("""COMPUTED_VALUE"""),254.0)</f>
        <v>254</v>
      </c>
      <c r="S1310" s="258">
        <v>266.0</v>
      </c>
      <c r="T1310" s="263">
        <v>0.9548872180451128</v>
      </c>
      <c r="U1310" s="264">
        <v>78926.0</v>
      </c>
      <c r="V1310" s="265">
        <v>127019.0</v>
      </c>
      <c r="W1310" s="264">
        <v>78926.0</v>
      </c>
      <c r="X1310" s="266"/>
      <c r="Y1310" s="267">
        <v>-0.01</v>
      </c>
      <c r="Z1310" s="267">
        <v>0.94028183476834</v>
      </c>
      <c r="AA1310" s="269"/>
      <c r="AB1310" s="270"/>
      <c r="AC1310" s="270"/>
      <c r="AD1310" s="270"/>
      <c r="AE1310" s="270"/>
    </row>
    <row r="1311">
      <c r="A1311" s="256">
        <f>IFERROR(__xludf.DUMMYFUNCTION("""COMPUTED_VALUE"""),42527.79791666666)</f>
        <v>42527.79792</v>
      </c>
      <c r="B1311" s="257" t="str">
        <f>IFERROR(__xludf.DUMMYFUNCTION("""COMPUTED_VALUE"""),"snail3")</f>
        <v>snail3</v>
      </c>
      <c r="C1311" s="258" t="str">
        <f>IFERROR(__xludf.DUMMYFUNCTION("""COMPUTED_VALUE"""),"USA")</f>
        <v>USA</v>
      </c>
      <c r="D1311" s="258" t="str">
        <f>IFERROR(__xludf.DUMMYFUNCTION("""COMPUTED_VALUE"""),"mi. My car displays range in miles and I will enter all range numbers in miles.")</f>
        <v>mi. My car displays range in miles and I will enter all range numbers in miles.</v>
      </c>
      <c r="E1311" s="259">
        <f>IFERROR(__xludf.DUMMYFUNCTION("""COMPUTED_VALUE"""),42192.0)</f>
        <v>42192</v>
      </c>
      <c r="F1311" s="258" t="str">
        <f>IFERROR(__xludf.DUMMYFUNCTION("""COMPUTED_VALUE"""),"Model S 70D")</f>
        <v>Model S 70D</v>
      </c>
      <c r="G1311" s="258" t="str">
        <f>IFERROR(__xludf.DUMMYFUNCTION("""COMPUTED_VALUE"""),"Weekly")</f>
        <v>Weekly</v>
      </c>
      <c r="H1311" s="258" t="str">
        <f>IFERROR(__xludf.DUMMYFUNCTION("""COMPUTED_VALUE"""),"Monthly")</f>
        <v>Monthly</v>
      </c>
      <c r="I1311" s="258" t="str">
        <f>IFERROR(__xludf.DUMMYFUNCTION("""COMPUTED_VALUE"""),"A few times a year")</f>
        <v>A few times a year</v>
      </c>
      <c r="J1311" s="260">
        <f>IFERROR(__xludf.DUMMYFUNCTION("""COMPUTED_VALUE"""),0.9)</f>
        <v>0.9</v>
      </c>
      <c r="K1311" s="258" t="str">
        <f>IFERROR(__xludf.DUMMYFUNCTION("""COMPUTED_VALUE"""),"")</f>
        <v/>
      </c>
      <c r="L1311" s="258" t="str">
        <f>IFERROR(__xludf.DUMMYFUNCTION("""COMPUTED_VALUE"""),"")</f>
        <v/>
      </c>
      <c r="M1311" s="261">
        <f>IFERROR(__xludf.DUMMYFUNCTION("""COMPUTED_VALUE"""),280.0)</f>
        <v>280</v>
      </c>
      <c r="N1311" s="262" t="str">
        <f>IFERROR(__xludf.DUMMYFUNCTION("""COMPUTED_VALUE"""),"")</f>
        <v/>
      </c>
      <c r="O1311" s="259" t="str">
        <f>IFERROR(__xludf.DUMMYFUNCTION("""COMPUTED_VALUE"""),"")</f>
        <v/>
      </c>
      <c r="P1311" s="259">
        <f>IFERROR(__xludf.DUMMYFUNCTION("""COMPUTED_VALUE"""),42527.0)</f>
        <v>42527</v>
      </c>
      <c r="Q1311" s="258">
        <f>IFERROR(__xludf.DUMMYFUNCTION("""COMPUTED_VALUE"""),20506.0)</f>
        <v>20506</v>
      </c>
      <c r="R1311" s="261">
        <f>IFERROR(__xludf.DUMMYFUNCTION("""COMPUTED_VALUE"""),230.0)</f>
        <v>230</v>
      </c>
      <c r="S1311" s="258">
        <v>240.0</v>
      </c>
      <c r="T1311" s="263">
        <v>0.9583333333333334</v>
      </c>
      <c r="U1311" s="264">
        <v>20506.0</v>
      </c>
      <c r="V1311" s="265">
        <v>33001.0</v>
      </c>
      <c r="W1311" s="264">
        <v>20506.0</v>
      </c>
      <c r="X1311" s="266"/>
      <c r="Y1311" s="267">
        <v>-0.01</v>
      </c>
      <c r="Z1311" s="267">
        <v>0.9664166756607006</v>
      </c>
      <c r="AA1311" s="269"/>
      <c r="AB1311" s="270"/>
      <c r="AC1311" s="270"/>
      <c r="AD1311" s="270"/>
      <c r="AE1311" s="270"/>
    </row>
    <row r="1312">
      <c r="A1312" s="256">
        <f>IFERROR(__xludf.DUMMYFUNCTION("""COMPUTED_VALUE"""),43139.694444444445)</f>
        <v>43139.69444</v>
      </c>
      <c r="B1312" s="257" t="str">
        <f>IFERROR(__xludf.DUMMYFUNCTION("""COMPUTED_VALUE"""),"Snakefun")</f>
        <v>Snakefun</v>
      </c>
      <c r="C1312" s="258" t="str">
        <f>IFERROR(__xludf.DUMMYFUNCTION("""COMPUTED_VALUE"""),"Europe (excluding UK) &amp; Asia Pacific")</f>
        <v>Europe (excluding UK) &amp; Asia Pacific</v>
      </c>
      <c r="D1312" s="258" t="str">
        <f>IFERROR(__xludf.DUMMYFUNCTION("""COMPUTED_VALUE"""),"km. My car displays range in kilometres and I will enter all range numbers in kilometres.")</f>
        <v>km. My car displays range in kilometres and I will enter all range numbers in kilometres.</v>
      </c>
      <c r="E1312" s="259">
        <f>IFERROR(__xludf.DUMMYFUNCTION("""COMPUTED_VALUE"""),41997.0)</f>
        <v>41997</v>
      </c>
      <c r="F1312" s="258" t="str">
        <f>IFERROR(__xludf.DUMMYFUNCTION("""COMPUTED_VALUE"""),"Model S 85")</f>
        <v>Model S 85</v>
      </c>
      <c r="G1312" s="258" t="str">
        <f>IFERROR(__xludf.DUMMYFUNCTION("""COMPUTED_VALUE"""),"Monthly")</f>
        <v>Monthly</v>
      </c>
      <c r="H1312" s="258" t="str">
        <f>IFERROR(__xludf.DUMMYFUNCTION("""COMPUTED_VALUE"""),"A few times a year")</f>
        <v>A few times a year</v>
      </c>
      <c r="I1312" s="258" t="str">
        <f>IFERROR(__xludf.DUMMYFUNCTION("""COMPUTED_VALUE"""),"Never")</f>
        <v>Never</v>
      </c>
      <c r="J1312" s="260">
        <f>IFERROR(__xludf.DUMMYFUNCTION("""COMPUTED_VALUE"""),0.9)</f>
        <v>0.9</v>
      </c>
      <c r="K1312" s="258" t="str">
        <f>IFERROR(__xludf.DUMMYFUNCTION("""COMPUTED_VALUE"""),"")</f>
        <v/>
      </c>
      <c r="L1312" s="258" t="str">
        <f>IFERROR(__xludf.DUMMYFUNCTION("""COMPUTED_VALUE"""),"")</f>
        <v/>
      </c>
      <c r="M1312" s="261">
        <f>IFERROR(__xludf.DUMMYFUNCTION("""COMPUTED_VALUE"""),195.0)</f>
        <v>195</v>
      </c>
      <c r="N1312" s="262" t="str">
        <f>IFERROR(__xludf.DUMMYFUNCTION("""COMPUTED_VALUE"""),"")</f>
        <v/>
      </c>
      <c r="O1312" s="259" t="str">
        <f>IFERROR(__xludf.DUMMYFUNCTION("""COMPUTED_VALUE"""),"")</f>
        <v/>
      </c>
      <c r="P1312" s="259">
        <f>IFERROR(__xludf.DUMMYFUNCTION("""COMPUTED_VALUE"""),43139.0)</f>
        <v>43139</v>
      </c>
      <c r="Q1312" s="258">
        <f>IFERROR(__xludf.DUMMYFUNCTION("""COMPUTED_VALUE"""),42419.0)</f>
        <v>42419</v>
      </c>
      <c r="R1312" s="261">
        <f>IFERROR(__xludf.DUMMYFUNCTION("""COMPUTED_VALUE"""),377.0)</f>
        <v>377</v>
      </c>
      <c r="S1312" s="258">
        <v>395.0</v>
      </c>
      <c r="T1312" s="263">
        <v>0.9544303797468354</v>
      </c>
      <c r="U1312" s="264">
        <v>26358.0</v>
      </c>
      <c r="V1312" s="265">
        <v>42419.0</v>
      </c>
      <c r="W1312" s="264">
        <v>26358.0</v>
      </c>
      <c r="X1312" s="266"/>
      <c r="Y1312" s="267">
        <v>-0.01</v>
      </c>
      <c r="Z1312" s="267">
        <v>0.9623602351419578</v>
      </c>
      <c r="AA1312" s="269"/>
      <c r="AB1312" s="270"/>
      <c r="AC1312" s="270"/>
      <c r="AD1312" s="270"/>
      <c r="AE1312" s="270"/>
    </row>
    <row r="1313">
      <c r="A1313" s="256">
        <f>IFERROR(__xludf.DUMMYFUNCTION("""COMPUTED_VALUE"""),43087.927777777775)</f>
        <v>43087.92778</v>
      </c>
      <c r="B1313" s="257" t="str">
        <f>IFERROR(__xludf.DUMMYFUNCTION("""COMPUTED_VALUE"""),"Sometimes")</f>
        <v>Sometimes</v>
      </c>
      <c r="C1313" s="258" t="str">
        <f>IFERROR(__xludf.DUMMYFUNCTION("""COMPUTED_VALUE"""),"Canada")</f>
        <v>Canada</v>
      </c>
      <c r="D1313" s="258" t="str">
        <f>IFERROR(__xludf.DUMMYFUNCTION("""COMPUTED_VALUE"""),"km. My car displays range in kilometres and I will enter all range numbers in kilometres.")</f>
        <v>km. My car displays range in kilometres and I will enter all range numbers in kilometres.</v>
      </c>
      <c r="E1313" s="259">
        <f>IFERROR(__xludf.DUMMYFUNCTION("""COMPUTED_VALUE"""),42856.0)</f>
        <v>42856</v>
      </c>
      <c r="F1313" s="258" t="str">
        <f>IFERROR(__xludf.DUMMYFUNCTION("""COMPUTED_VALUE"""),"Model X 100D")</f>
        <v>Model X 100D</v>
      </c>
      <c r="G1313" s="258" t="str">
        <f>IFERROR(__xludf.DUMMYFUNCTION("""COMPUTED_VALUE"""),"A few times a year")</f>
        <v>A few times a year</v>
      </c>
      <c r="H1313" s="258" t="str">
        <f>IFERROR(__xludf.DUMMYFUNCTION("""COMPUTED_VALUE"""),"A few times a year")</f>
        <v>A few times a year</v>
      </c>
      <c r="I1313" s="258" t="str">
        <f>IFERROR(__xludf.DUMMYFUNCTION("""COMPUTED_VALUE"""),"Never")</f>
        <v>Never</v>
      </c>
      <c r="J1313" s="260">
        <f>IFERROR(__xludf.DUMMYFUNCTION("""COMPUTED_VALUE"""),0.8)</f>
        <v>0.8</v>
      </c>
      <c r="K1313" s="258" t="str">
        <f>IFERROR(__xludf.DUMMYFUNCTION("""COMPUTED_VALUE"""),"")</f>
        <v/>
      </c>
      <c r="L1313" s="258" t="str">
        <f>IFERROR(__xludf.DUMMYFUNCTION("""COMPUTED_VALUE"""),"")</f>
        <v/>
      </c>
      <c r="M1313" s="261">
        <f>IFERROR(__xludf.DUMMYFUNCTION("""COMPUTED_VALUE"""),271.0)</f>
        <v>271</v>
      </c>
      <c r="N1313" s="262" t="str">
        <f>IFERROR(__xludf.DUMMYFUNCTION("""COMPUTED_VALUE"""),"")</f>
        <v/>
      </c>
      <c r="O1313" s="259" t="str">
        <f>IFERROR(__xludf.DUMMYFUNCTION("""COMPUTED_VALUE"""),"")</f>
        <v/>
      </c>
      <c r="P1313" s="259">
        <f>IFERROR(__xludf.DUMMYFUNCTION("""COMPUTED_VALUE"""),43087.0)</f>
        <v>43087</v>
      </c>
      <c r="Q1313" s="258">
        <f>IFERROR(__xludf.DUMMYFUNCTION("""COMPUTED_VALUE"""),20690.0)</f>
        <v>20690</v>
      </c>
      <c r="R1313" s="261">
        <f>IFERROR(__xludf.DUMMYFUNCTION("""COMPUTED_VALUE"""),475.0)</f>
        <v>475</v>
      </c>
      <c r="S1313" s="258">
        <v>470.0</v>
      </c>
      <c r="T1313" s="263">
        <v>1.0106382978723405</v>
      </c>
      <c r="U1313" s="264">
        <v>12856.0</v>
      </c>
      <c r="V1313" s="265">
        <v>20690.0</v>
      </c>
      <c r="W1313" s="264">
        <v>12856.0</v>
      </c>
      <c r="X1313" s="266"/>
      <c r="Y1313" s="267">
        <v>-0.01</v>
      </c>
      <c r="Z1313" s="267">
        <v>0.973929299182311</v>
      </c>
      <c r="AA1313" s="269"/>
      <c r="AB1313" s="270"/>
      <c r="AC1313" s="270"/>
      <c r="AD1313" s="270"/>
      <c r="AE1313" s="270"/>
    </row>
    <row r="1314">
      <c r="A1314" s="256">
        <f>IFERROR(__xludf.DUMMYFUNCTION("""COMPUTED_VALUE"""),43087.92847222222)</f>
        <v>43087.92847</v>
      </c>
      <c r="B1314" s="257" t="str">
        <f>IFERROR(__xludf.DUMMYFUNCTION("""COMPUTED_VALUE"""),"Sometimes")</f>
        <v>Sometimes</v>
      </c>
      <c r="C1314" s="258" t="str">
        <f>IFERROR(__xludf.DUMMYFUNCTION("""COMPUTED_VALUE"""),"Canada")</f>
        <v>Canada</v>
      </c>
      <c r="D1314" s="258" t="str">
        <f>IFERROR(__xludf.DUMMYFUNCTION("""COMPUTED_VALUE"""),"km. My car displays range in kilometres and I will enter all range numbers in kilometres.")</f>
        <v>km. My car displays range in kilometres and I will enter all range numbers in kilometres.</v>
      </c>
      <c r="E1314" s="259">
        <f>IFERROR(__xludf.DUMMYFUNCTION("""COMPUTED_VALUE"""),41579.0)</f>
        <v>41579</v>
      </c>
      <c r="F1314" s="258" t="str">
        <f>IFERROR(__xludf.DUMMYFUNCTION("""COMPUTED_VALUE"""),"Model S 85")</f>
        <v>Model S 85</v>
      </c>
      <c r="G1314" s="258" t="str">
        <f>IFERROR(__xludf.DUMMYFUNCTION("""COMPUTED_VALUE"""),"A few times a year")</f>
        <v>A few times a year</v>
      </c>
      <c r="H1314" s="258" t="str">
        <f>IFERROR(__xludf.DUMMYFUNCTION("""COMPUTED_VALUE"""),"A few times a year")</f>
        <v>A few times a year</v>
      </c>
      <c r="I1314" s="258" t="str">
        <f>IFERROR(__xludf.DUMMYFUNCTION("""COMPUTED_VALUE"""),"Never")</f>
        <v>Never</v>
      </c>
      <c r="J1314" s="260">
        <f>IFERROR(__xludf.DUMMYFUNCTION("""COMPUTED_VALUE"""),0.8)</f>
        <v>0.8</v>
      </c>
      <c r="K1314" s="258" t="str">
        <f>IFERROR(__xludf.DUMMYFUNCTION("""COMPUTED_VALUE"""),"")</f>
        <v/>
      </c>
      <c r="L1314" s="258" t="str">
        <f>IFERROR(__xludf.DUMMYFUNCTION("""COMPUTED_VALUE"""),"")</f>
        <v/>
      </c>
      <c r="M1314" s="261">
        <f>IFERROR(__xludf.DUMMYFUNCTION("""COMPUTED_VALUE"""),272.0)</f>
        <v>272</v>
      </c>
      <c r="N1314" s="262">
        <f>IFERROR(__xludf.DUMMYFUNCTION("""COMPUTED_VALUE"""),138000.0)</f>
        <v>138000</v>
      </c>
      <c r="O1314" s="259" t="str">
        <f>IFERROR(__xludf.DUMMYFUNCTION("""COMPUTED_VALUE"""),"I don't know")</f>
        <v>I don't know</v>
      </c>
      <c r="P1314" s="259">
        <f>IFERROR(__xludf.DUMMYFUNCTION("""COMPUTED_VALUE"""),43087.0)</f>
        <v>43087</v>
      </c>
      <c r="Q1314" s="258">
        <f>IFERROR(__xludf.DUMMYFUNCTION("""COMPUTED_VALUE"""),145708.0)</f>
        <v>145708</v>
      </c>
      <c r="R1314" s="261">
        <f>IFERROR(__xludf.DUMMYFUNCTION("""COMPUTED_VALUE"""),426.0)</f>
        <v>426</v>
      </c>
      <c r="S1314" s="258">
        <v>428.0</v>
      </c>
      <c r="T1314" s="263">
        <v>0.9953271028037384</v>
      </c>
      <c r="U1314" s="264">
        <v>90539.0</v>
      </c>
      <c r="V1314" s="265">
        <v>145708.0</v>
      </c>
      <c r="W1314" s="264">
        <v>90539.0</v>
      </c>
      <c r="X1314" s="266"/>
      <c r="Y1314" s="267">
        <v>-0.01</v>
      </c>
      <c r="Z1314" s="267">
        <v>0.9359587548229844</v>
      </c>
      <c r="AA1314" s="269"/>
      <c r="AB1314" s="270"/>
      <c r="AC1314" s="270"/>
      <c r="AD1314" s="270"/>
      <c r="AE1314" s="270"/>
    </row>
    <row r="1315">
      <c r="A1315" s="256">
        <f>IFERROR(__xludf.DUMMYFUNCTION("""COMPUTED_VALUE"""),43730.380252696756)</f>
        <v>43730.38025</v>
      </c>
      <c r="B1315" s="257" t="str">
        <f>IFERROR(__xludf.DUMMYFUNCTION("""COMPUTED_VALUE"""),"Spacklewoof")</f>
        <v>Spacklewoof</v>
      </c>
      <c r="C1315" s="258" t="str">
        <f>IFERROR(__xludf.DUMMYFUNCTION("""COMPUTED_VALUE"""),"USA")</f>
        <v>USA</v>
      </c>
      <c r="D1315" s="258" t="str">
        <f>IFERROR(__xludf.DUMMYFUNCTION("""COMPUTED_VALUE"""),"mi. My car displays range in miles and I will enter all range numbers in miles.")</f>
        <v>mi. My car displays range in miles and I will enter all range numbers in miles.</v>
      </c>
      <c r="E1315" s="259">
        <f>IFERROR(__xludf.DUMMYFUNCTION("""COMPUTED_VALUE"""),41253.0)</f>
        <v>41253</v>
      </c>
      <c r="F1315" s="258" t="str">
        <f>IFERROR(__xludf.DUMMYFUNCTION("""COMPUTED_VALUE"""),"Model S 85")</f>
        <v>Model S 85</v>
      </c>
      <c r="G1315" s="258" t="str">
        <f>IFERROR(__xludf.DUMMYFUNCTION("""COMPUTED_VALUE"""),"A few times a year")</f>
        <v>A few times a year</v>
      </c>
      <c r="H1315" s="258" t="str">
        <f>IFERROR(__xludf.DUMMYFUNCTION("""COMPUTED_VALUE"""),"A few times a year")</f>
        <v>A few times a year</v>
      </c>
      <c r="I1315" s="258" t="str">
        <f>IFERROR(__xludf.DUMMYFUNCTION("""COMPUTED_VALUE"""),"Never")</f>
        <v>Never</v>
      </c>
      <c r="J1315" s="260">
        <f>IFERROR(__xludf.DUMMYFUNCTION("""COMPUTED_VALUE"""),0.6)</f>
        <v>0.6</v>
      </c>
      <c r="K1315" s="258" t="str">
        <f>IFERROR(__xludf.DUMMYFUNCTION("""COMPUTED_VALUE"""),"")</f>
        <v/>
      </c>
      <c r="L1315" s="258">
        <f>IFERROR(__xludf.DUMMYFUNCTION("""COMPUTED_VALUE"""),329.0)</f>
        <v>329</v>
      </c>
      <c r="M1315" s="261">
        <f>IFERROR(__xludf.DUMMYFUNCTION("""COMPUTED_VALUE"""),430.0)</f>
        <v>430</v>
      </c>
      <c r="N1315" s="262" t="str">
        <f>IFERROR(__xludf.DUMMYFUNCTION("""COMPUTED_VALUE"""),"")</f>
        <v/>
      </c>
      <c r="O1315" s="259" t="str">
        <f>IFERROR(__xludf.DUMMYFUNCTION("""COMPUTED_VALUE"""),"")</f>
        <v/>
      </c>
      <c r="P1315" s="259">
        <f>IFERROR(__xludf.DUMMYFUNCTION("""COMPUTED_VALUE"""),43666.0)</f>
        <v>43666</v>
      </c>
      <c r="Q1315" s="258">
        <f>IFERROR(__xludf.DUMMYFUNCTION("""COMPUTED_VALUE"""),57159.0)</f>
        <v>57159</v>
      </c>
      <c r="R1315" s="261">
        <f>IFERROR(__xludf.DUMMYFUNCTION("""COMPUTED_VALUE"""),250.0)</f>
        <v>250</v>
      </c>
      <c r="S1315" s="258">
        <v>266.0</v>
      </c>
      <c r="T1315" s="263">
        <v>0.9398496240601504</v>
      </c>
      <c r="U1315" s="264">
        <v>57159.0</v>
      </c>
      <c r="V1315" s="265">
        <v>91988.0</v>
      </c>
      <c r="W1315" s="264">
        <v>57159.0</v>
      </c>
      <c r="X1315" s="266"/>
      <c r="Y1315" s="267">
        <v>-0.01</v>
      </c>
      <c r="Z1315" s="267">
        <v>0.9484875441673919</v>
      </c>
      <c r="AA1315" s="269"/>
      <c r="AB1315" s="270"/>
      <c r="AC1315" s="270"/>
      <c r="AD1315" s="270"/>
      <c r="AE1315" s="270"/>
    </row>
    <row r="1316">
      <c r="A1316" s="256">
        <f>IFERROR(__xludf.DUMMYFUNCTION("""COMPUTED_VALUE"""),42157.742361111115)</f>
        <v>42157.74236</v>
      </c>
      <c r="B1316" s="257" t="str">
        <f>IFERROR(__xludf.DUMMYFUNCTION("""COMPUTED_VALUE"""),"Sparky")</f>
        <v>Sparky</v>
      </c>
      <c r="C1316" s="258" t="str">
        <f>IFERROR(__xludf.DUMMYFUNCTION("""COMPUTED_VALUE"""),"USA")</f>
        <v>USA</v>
      </c>
      <c r="D1316" s="258" t="str">
        <f>IFERROR(__xludf.DUMMYFUNCTION("""COMPUTED_VALUE"""),"mi. My car displays range in miles and I will enter all range numbers in miles.")</f>
        <v>mi. My car displays range in miles and I will enter all range numbers in miles.</v>
      </c>
      <c r="E1316" s="259">
        <f>IFERROR(__xludf.DUMMYFUNCTION("""COMPUTED_VALUE"""),41727.0)</f>
        <v>41727</v>
      </c>
      <c r="F1316" s="258" t="str">
        <f>IFERROR(__xludf.DUMMYFUNCTION("""COMPUTED_VALUE"""),"Model S 85")</f>
        <v>Model S 85</v>
      </c>
      <c r="G1316" s="258" t="str">
        <f>IFERROR(__xludf.DUMMYFUNCTION("""COMPUTED_VALUE"""),"Twice a month")</f>
        <v>Twice a month</v>
      </c>
      <c r="H1316" s="258" t="str">
        <f>IFERROR(__xludf.DUMMYFUNCTION("""COMPUTED_VALUE"""),"A few times a year")</f>
        <v>A few times a year</v>
      </c>
      <c r="I1316" s="258" t="str">
        <f>IFERROR(__xludf.DUMMYFUNCTION("""COMPUTED_VALUE"""),"Never")</f>
        <v>Never</v>
      </c>
      <c r="J1316" s="260" t="str">
        <f>IFERROR(__xludf.DUMMYFUNCTION("""COMPUTED_VALUE"""),"")</f>
        <v/>
      </c>
      <c r="K1316" s="258" t="str">
        <f>IFERROR(__xludf.DUMMYFUNCTION("""COMPUTED_VALUE"""),"")</f>
        <v/>
      </c>
      <c r="L1316" s="258" t="str">
        <f>IFERROR(__xludf.DUMMYFUNCTION("""COMPUTED_VALUE"""),"")</f>
        <v/>
      </c>
      <c r="M1316" s="261">
        <f>IFERROR(__xludf.DUMMYFUNCTION("""COMPUTED_VALUE"""),329.0)</f>
        <v>329</v>
      </c>
      <c r="N1316" s="262" t="str">
        <f>IFERROR(__xludf.DUMMYFUNCTION("""COMPUTED_VALUE"""),"")</f>
        <v/>
      </c>
      <c r="O1316" s="259" t="str">
        <f>IFERROR(__xludf.DUMMYFUNCTION("""COMPUTED_VALUE"""),"")</f>
        <v/>
      </c>
      <c r="P1316" s="259">
        <f>IFERROR(__xludf.DUMMYFUNCTION("""COMPUTED_VALUE"""),42157.0)</f>
        <v>42157</v>
      </c>
      <c r="Q1316" s="258">
        <f>IFERROR(__xludf.DUMMYFUNCTION("""COMPUTED_VALUE"""),27744.0)</f>
        <v>27744</v>
      </c>
      <c r="R1316" s="261">
        <f>IFERROR(__xludf.DUMMYFUNCTION("""COMPUTED_VALUE"""),261.0)</f>
        <v>261</v>
      </c>
      <c r="S1316" s="258">
        <v>266.0</v>
      </c>
      <c r="T1316" s="263">
        <v>0.981203007518797</v>
      </c>
      <c r="U1316" s="264">
        <v>27744.0</v>
      </c>
      <c r="V1316" s="265">
        <v>44650.0</v>
      </c>
      <c r="W1316" s="264">
        <v>27744.0</v>
      </c>
      <c r="X1316" s="266"/>
      <c r="Y1316" s="267">
        <v>-0.01</v>
      </c>
      <c r="Z1316" s="267">
        <v>0.9615312524858829</v>
      </c>
      <c r="AA1316" s="269"/>
      <c r="AB1316" s="270"/>
      <c r="AC1316" s="270"/>
      <c r="AD1316" s="270"/>
      <c r="AE1316" s="270"/>
    </row>
    <row r="1317">
      <c r="A1317" s="256">
        <f>IFERROR(__xludf.DUMMYFUNCTION("""COMPUTED_VALUE"""),42188.74791666667)</f>
        <v>42188.74792</v>
      </c>
      <c r="B1317" s="257" t="str">
        <f>IFERROR(__xludf.DUMMYFUNCTION("""COMPUTED_VALUE"""),"Sparky")</f>
        <v>Sparky</v>
      </c>
      <c r="C1317" s="258" t="str">
        <f>IFERROR(__xludf.DUMMYFUNCTION("""COMPUTED_VALUE"""),"USA")</f>
        <v>USA</v>
      </c>
      <c r="D1317" s="258" t="str">
        <f>IFERROR(__xludf.DUMMYFUNCTION("""COMPUTED_VALUE"""),"mi. My car displays range in miles and I will enter all range numbers in miles.")</f>
        <v>mi. My car displays range in miles and I will enter all range numbers in miles.</v>
      </c>
      <c r="E1317" s="259">
        <f>IFERROR(__xludf.DUMMYFUNCTION("""COMPUTED_VALUE"""),41727.0)</f>
        <v>41727</v>
      </c>
      <c r="F1317" s="258" t="str">
        <f>IFERROR(__xludf.DUMMYFUNCTION("""COMPUTED_VALUE"""),"Model S 85")</f>
        <v>Model S 85</v>
      </c>
      <c r="G1317" s="258" t="str">
        <f>IFERROR(__xludf.DUMMYFUNCTION("""COMPUTED_VALUE"""),"Twice a month")</f>
        <v>Twice a month</v>
      </c>
      <c r="H1317" s="258" t="str">
        <f>IFERROR(__xludf.DUMMYFUNCTION("""COMPUTED_VALUE"""),"A few times a year")</f>
        <v>A few times a year</v>
      </c>
      <c r="I1317" s="258" t="str">
        <f>IFERROR(__xludf.DUMMYFUNCTION("""COMPUTED_VALUE"""),"Never")</f>
        <v>Never</v>
      </c>
      <c r="J1317" s="260" t="str">
        <f>IFERROR(__xludf.DUMMYFUNCTION("""COMPUTED_VALUE"""),"")</f>
        <v/>
      </c>
      <c r="K1317" s="258" t="str">
        <f>IFERROR(__xludf.DUMMYFUNCTION("""COMPUTED_VALUE"""),"")</f>
        <v/>
      </c>
      <c r="L1317" s="258" t="str">
        <f>IFERROR(__xludf.DUMMYFUNCTION("""COMPUTED_VALUE"""),"")</f>
        <v/>
      </c>
      <c r="M1317" s="261">
        <f>IFERROR(__xludf.DUMMYFUNCTION("""COMPUTED_VALUE"""),329.0)</f>
        <v>329</v>
      </c>
      <c r="N1317" s="262" t="str">
        <f>IFERROR(__xludf.DUMMYFUNCTION("""COMPUTED_VALUE"""),"")</f>
        <v/>
      </c>
      <c r="O1317" s="259" t="str">
        <f>IFERROR(__xludf.DUMMYFUNCTION("""COMPUTED_VALUE"""),"")</f>
        <v/>
      </c>
      <c r="P1317" s="259">
        <f>IFERROR(__xludf.DUMMYFUNCTION("""COMPUTED_VALUE"""),42188.0)</f>
        <v>42188</v>
      </c>
      <c r="Q1317" s="258">
        <f>IFERROR(__xludf.DUMMYFUNCTION("""COMPUTED_VALUE"""),32016.0)</f>
        <v>32016</v>
      </c>
      <c r="R1317" s="261">
        <f>IFERROR(__xludf.DUMMYFUNCTION("""COMPUTED_VALUE"""),262.0)</f>
        <v>262</v>
      </c>
      <c r="S1317" s="258">
        <v>266.0</v>
      </c>
      <c r="T1317" s="263">
        <v>0.9849624060150376</v>
      </c>
      <c r="U1317" s="264">
        <v>32016.0</v>
      </c>
      <c r="V1317" s="265">
        <v>51525.0</v>
      </c>
      <c r="W1317" s="264">
        <v>32016.0</v>
      </c>
      <c r="X1317" s="266"/>
      <c r="Y1317" s="267">
        <v>-0.01</v>
      </c>
      <c r="Z1317" s="267">
        <v>0.9591975752976926</v>
      </c>
      <c r="AA1317" s="269"/>
      <c r="AB1317" s="270"/>
      <c r="AC1317" s="270"/>
      <c r="AD1317" s="270"/>
      <c r="AE1317" s="270"/>
    </row>
    <row r="1318">
      <c r="A1318" s="256">
        <f>IFERROR(__xludf.DUMMYFUNCTION("""COMPUTED_VALUE"""),42626.80625)</f>
        <v>42626.80625</v>
      </c>
      <c r="B1318" s="257" t="str">
        <f>IFERROR(__xludf.DUMMYFUNCTION("""COMPUTED_VALUE"""),"Spence")</f>
        <v>Spence</v>
      </c>
      <c r="C1318" s="258" t="str">
        <f>IFERROR(__xludf.DUMMYFUNCTION("""COMPUTED_VALUE"""),"USA")</f>
        <v>USA</v>
      </c>
      <c r="D1318" s="258" t="str">
        <f>IFERROR(__xludf.DUMMYFUNCTION("""COMPUTED_VALUE"""),"mi. My car displays range in miles and I will enter all range numbers in miles.")</f>
        <v>mi. My car displays range in miles and I will enter all range numbers in miles.</v>
      </c>
      <c r="E1318" s="259">
        <f>IFERROR(__xludf.DUMMYFUNCTION("""COMPUTED_VALUE"""),41346.0)</f>
        <v>41346</v>
      </c>
      <c r="F1318" s="258" t="str">
        <f>IFERROR(__xludf.DUMMYFUNCTION("""COMPUTED_VALUE"""),"Model S 85")</f>
        <v>Model S 85</v>
      </c>
      <c r="G1318" s="258" t="str">
        <f>IFERROR(__xludf.DUMMYFUNCTION("""COMPUTED_VALUE"""),"Weekly")</f>
        <v>Weekly</v>
      </c>
      <c r="H1318" s="258" t="str">
        <f>IFERROR(__xludf.DUMMYFUNCTION("""COMPUTED_VALUE"""),"Monthly")</f>
        <v>Monthly</v>
      </c>
      <c r="I1318" s="258" t="str">
        <f>IFERROR(__xludf.DUMMYFUNCTION("""COMPUTED_VALUE"""),"A few times a year")</f>
        <v>A few times a year</v>
      </c>
      <c r="J1318" s="260">
        <f>IFERROR(__xludf.DUMMYFUNCTION("""COMPUTED_VALUE"""),0.9)</f>
        <v>0.9</v>
      </c>
      <c r="K1318" s="258" t="str">
        <f>IFERROR(__xludf.DUMMYFUNCTION("""COMPUTED_VALUE"""),"")</f>
        <v/>
      </c>
      <c r="L1318" s="258" t="str">
        <f>IFERROR(__xludf.DUMMYFUNCTION("""COMPUTED_VALUE"""),"")</f>
        <v/>
      </c>
      <c r="M1318" s="261">
        <f>IFERROR(__xludf.DUMMYFUNCTION("""COMPUTED_VALUE"""),321.0)</f>
        <v>321</v>
      </c>
      <c r="N1318" s="262" t="str">
        <f>IFERROR(__xludf.DUMMYFUNCTION("""COMPUTED_VALUE"""),"")</f>
        <v/>
      </c>
      <c r="O1318" s="259" t="str">
        <f>IFERROR(__xludf.DUMMYFUNCTION("""COMPUTED_VALUE"""),"")</f>
        <v/>
      </c>
      <c r="P1318" s="259">
        <f>IFERROR(__xludf.DUMMYFUNCTION("""COMPUTED_VALUE"""),42626.0)</f>
        <v>42626</v>
      </c>
      <c r="Q1318" s="258">
        <f>IFERROR(__xludf.DUMMYFUNCTION("""COMPUTED_VALUE"""),50225.0)</f>
        <v>50225</v>
      </c>
      <c r="R1318" s="261">
        <f>IFERROR(__xludf.DUMMYFUNCTION("""COMPUTED_VALUE"""),251.0)</f>
        <v>251</v>
      </c>
      <c r="S1318" s="258">
        <v>266.0</v>
      </c>
      <c r="T1318" s="263">
        <v>0.943609022556391</v>
      </c>
      <c r="U1318" s="264">
        <v>50225.0</v>
      </c>
      <c r="V1318" s="265">
        <v>80829.0</v>
      </c>
      <c r="W1318" s="264">
        <v>50225.0</v>
      </c>
      <c r="X1318" s="266"/>
      <c r="Y1318" s="267">
        <v>-0.01</v>
      </c>
      <c r="Z1318" s="267">
        <v>0.9511935708499413</v>
      </c>
      <c r="AA1318" s="269"/>
      <c r="AB1318" s="270"/>
      <c r="AC1318" s="270"/>
      <c r="AD1318" s="270"/>
      <c r="AE1318" s="270"/>
    </row>
    <row r="1319">
      <c r="A1319" s="256">
        <f>IFERROR(__xludf.DUMMYFUNCTION("""COMPUTED_VALUE"""),43101.87152777778)</f>
        <v>43101.87153</v>
      </c>
      <c r="B1319" s="257" t="str">
        <f>IFERROR(__xludf.DUMMYFUNCTION("""COMPUTED_VALUE"""),"SS")</f>
        <v>SS</v>
      </c>
      <c r="C1319" s="258" t="str">
        <f>IFERROR(__xludf.DUMMYFUNCTION("""COMPUTED_VALUE"""),"USA")</f>
        <v>USA</v>
      </c>
      <c r="D1319" s="258" t="str">
        <f>IFERROR(__xludf.DUMMYFUNCTION("""COMPUTED_VALUE"""),"mi. My car displays range in miles and I will enter all range numbers in miles.")</f>
        <v>mi. My car displays range in miles and I will enter all range numbers in miles.</v>
      </c>
      <c r="E1319" s="259">
        <f>IFERROR(__xludf.DUMMYFUNCTION("""COMPUTED_VALUE"""),42430.0)</f>
        <v>42430</v>
      </c>
      <c r="F1319" s="258" t="str">
        <f>IFERROR(__xludf.DUMMYFUNCTION("""COMPUTED_VALUE"""),"Model X 90D")</f>
        <v>Model X 90D</v>
      </c>
      <c r="G1319" s="258" t="str">
        <f>IFERROR(__xludf.DUMMYFUNCTION("""COMPUTED_VALUE"""),"")</f>
        <v/>
      </c>
      <c r="H1319" s="258" t="str">
        <f>IFERROR(__xludf.DUMMYFUNCTION("""COMPUTED_VALUE"""),"")</f>
        <v/>
      </c>
      <c r="I1319" s="258" t="str">
        <f>IFERROR(__xludf.DUMMYFUNCTION("""COMPUTED_VALUE"""),"")</f>
        <v/>
      </c>
      <c r="J1319" s="260" t="str">
        <f>IFERROR(__xludf.DUMMYFUNCTION("""COMPUTED_VALUE"""),"")</f>
        <v/>
      </c>
      <c r="K1319" s="258" t="str">
        <f>IFERROR(__xludf.DUMMYFUNCTION("""COMPUTED_VALUE"""),"")</f>
        <v/>
      </c>
      <c r="L1319" s="258" t="str">
        <f>IFERROR(__xludf.DUMMYFUNCTION("""COMPUTED_VALUE"""),"")</f>
        <v/>
      </c>
      <c r="M1319" s="261">
        <f>IFERROR(__xludf.DUMMYFUNCTION("""COMPUTED_VALUE"""),375.0)</f>
        <v>375</v>
      </c>
      <c r="N1319" s="262" t="str">
        <f>IFERROR(__xludf.DUMMYFUNCTION("""COMPUTED_VALUE"""),"")</f>
        <v/>
      </c>
      <c r="O1319" s="259" t="str">
        <f>IFERROR(__xludf.DUMMYFUNCTION("""COMPUTED_VALUE"""),"")</f>
        <v/>
      </c>
      <c r="P1319" s="259">
        <f>IFERROR(__xludf.DUMMYFUNCTION("""COMPUTED_VALUE"""),43101.0)</f>
        <v>43101</v>
      </c>
      <c r="Q1319" s="258">
        <f>IFERROR(__xludf.DUMMYFUNCTION("""COMPUTED_VALUE"""),20362.0)</f>
        <v>20362</v>
      </c>
      <c r="R1319" s="261">
        <f>IFERROR(__xludf.DUMMYFUNCTION("""COMPUTED_VALUE"""),242.0)</f>
        <v>242</v>
      </c>
      <c r="S1319" s="258">
        <v>257.0</v>
      </c>
      <c r="T1319" s="263">
        <v>0.9416342412451362</v>
      </c>
      <c r="U1319" s="264">
        <v>20362.0</v>
      </c>
      <c r="V1319" s="265">
        <v>32769.0</v>
      </c>
      <c r="W1319" s="264">
        <v>20362.0</v>
      </c>
      <c r="X1319" s="266"/>
      <c r="Y1319" s="267">
        <v>-0.01</v>
      </c>
      <c r="Z1319" s="267">
        <v>0.9665308704334349</v>
      </c>
      <c r="AA1319" s="269"/>
      <c r="AB1319" s="270"/>
      <c r="AC1319" s="270"/>
      <c r="AD1319" s="270"/>
      <c r="AE1319" s="270"/>
    </row>
    <row r="1320">
      <c r="A1320" s="256">
        <f>IFERROR(__xludf.DUMMYFUNCTION("""COMPUTED_VALUE"""),42063.07916666666)</f>
        <v>42063.07917</v>
      </c>
      <c r="B1320" s="257" t="str">
        <f>IFERROR(__xludf.DUMMYFUNCTION("""COMPUTED_VALUE"""),"SSc3010")</f>
        <v>SSc3010</v>
      </c>
      <c r="C1320" s="258" t="str">
        <f>IFERROR(__xludf.DUMMYFUNCTION("""COMPUTED_VALUE"""),"Europe (excluding UK) &amp; Asia Pacific")</f>
        <v>Europe (excluding UK) &amp; Asia Pacific</v>
      </c>
      <c r="D1320" s="258" t="str">
        <f>IFERROR(__xludf.DUMMYFUNCTION("""COMPUTED_VALUE"""),"km. My car displays range in kilometres and I will enter all range numbers in kilometres.")</f>
        <v>km. My car displays range in kilometres and I will enter all range numbers in kilometres.</v>
      </c>
      <c r="E1320" s="259">
        <f>IFERROR(__xludf.DUMMYFUNCTION("""COMPUTED_VALUE"""),41794.0)</f>
        <v>41794</v>
      </c>
      <c r="F1320" s="258" t="str">
        <f>IFERROR(__xludf.DUMMYFUNCTION("""COMPUTED_VALUE"""),"Model S 85")</f>
        <v>Model S 85</v>
      </c>
      <c r="G1320" s="258" t="str">
        <f>IFERROR(__xludf.DUMMYFUNCTION("""COMPUTED_VALUE"""),"Weekly")</f>
        <v>Weekly</v>
      </c>
      <c r="H1320" s="258" t="str">
        <f>IFERROR(__xludf.DUMMYFUNCTION("""COMPUTED_VALUE"""),"Monthly")</f>
        <v>Monthly</v>
      </c>
      <c r="I1320" s="258" t="str">
        <f>IFERROR(__xludf.DUMMYFUNCTION("""COMPUTED_VALUE"""),"Never")</f>
        <v>Never</v>
      </c>
      <c r="J1320" s="260" t="str">
        <f>IFERROR(__xludf.DUMMYFUNCTION("""COMPUTED_VALUE"""),"")</f>
        <v/>
      </c>
      <c r="K1320" s="258" t="str">
        <f>IFERROR(__xludf.DUMMYFUNCTION("""COMPUTED_VALUE"""),"")</f>
        <v/>
      </c>
      <c r="L1320" s="258" t="str">
        <f>IFERROR(__xludf.DUMMYFUNCTION("""COMPUTED_VALUE"""),"")</f>
        <v/>
      </c>
      <c r="M1320" s="261">
        <f>IFERROR(__xludf.DUMMYFUNCTION("""COMPUTED_VALUE"""),195.0)</f>
        <v>195</v>
      </c>
      <c r="N1320" s="262" t="str">
        <f>IFERROR(__xludf.DUMMYFUNCTION("""COMPUTED_VALUE"""),"")</f>
        <v/>
      </c>
      <c r="O1320" s="259" t="str">
        <f>IFERROR(__xludf.DUMMYFUNCTION("""COMPUTED_VALUE"""),"")</f>
        <v/>
      </c>
      <c r="P1320" s="259">
        <f>IFERROR(__xludf.DUMMYFUNCTION("""COMPUTED_VALUE"""),42063.0)</f>
        <v>42063</v>
      </c>
      <c r="Q1320" s="258">
        <f>IFERROR(__xludf.DUMMYFUNCTION("""COMPUTED_VALUE"""),37042.0)</f>
        <v>37042</v>
      </c>
      <c r="R1320" s="261">
        <f>IFERROR(__xludf.DUMMYFUNCTION("""COMPUTED_VALUE"""),380.0)</f>
        <v>380</v>
      </c>
      <c r="S1320" s="258">
        <v>395.0</v>
      </c>
      <c r="T1320" s="263">
        <v>0.9620253164556962</v>
      </c>
      <c r="U1320" s="264">
        <v>23017.0</v>
      </c>
      <c r="V1320" s="265">
        <v>37042.0</v>
      </c>
      <c r="W1320" s="264">
        <v>23017.0</v>
      </c>
      <c r="X1320" s="266"/>
      <c r="Y1320" s="267">
        <v>-0.01</v>
      </c>
      <c r="Z1320" s="267">
        <v>0.9645489475755001</v>
      </c>
      <c r="AA1320" s="269"/>
      <c r="AB1320" s="270"/>
      <c r="AC1320" s="270"/>
      <c r="AD1320" s="270"/>
      <c r="AE1320" s="270"/>
    </row>
    <row r="1321">
      <c r="A1321" s="256">
        <f>IFERROR(__xludf.DUMMYFUNCTION("""COMPUTED_VALUE"""),42106.09375)</f>
        <v>42106.09375</v>
      </c>
      <c r="B1321" s="257" t="str">
        <f>IFERROR(__xludf.DUMMYFUNCTION("""COMPUTED_VALUE"""),"SSc3010")</f>
        <v>SSc3010</v>
      </c>
      <c r="C1321" s="258" t="str">
        <f>IFERROR(__xludf.DUMMYFUNCTION("""COMPUTED_VALUE"""),"Europe (excluding UK) &amp; Asia Pacific")</f>
        <v>Europe (excluding UK) &amp; Asia Pacific</v>
      </c>
      <c r="D1321" s="258" t="str">
        <f>IFERROR(__xludf.DUMMYFUNCTION("""COMPUTED_VALUE"""),"km. My car displays range in kilometres and I will enter all range numbers in kilometres.")</f>
        <v>km. My car displays range in kilometres and I will enter all range numbers in kilometres.</v>
      </c>
      <c r="E1321" s="259">
        <f>IFERROR(__xludf.DUMMYFUNCTION("""COMPUTED_VALUE"""),41794.0)</f>
        <v>41794</v>
      </c>
      <c r="F1321" s="258" t="str">
        <f>IFERROR(__xludf.DUMMYFUNCTION("""COMPUTED_VALUE"""),"Model S 85")</f>
        <v>Model S 85</v>
      </c>
      <c r="G1321" s="258" t="str">
        <f>IFERROR(__xludf.DUMMYFUNCTION("""COMPUTED_VALUE"""),"Weekly")</f>
        <v>Weekly</v>
      </c>
      <c r="H1321" s="258" t="str">
        <f>IFERROR(__xludf.DUMMYFUNCTION("""COMPUTED_VALUE"""),"Monthly")</f>
        <v>Monthly</v>
      </c>
      <c r="I1321" s="258" t="str">
        <f>IFERROR(__xludf.DUMMYFUNCTION("""COMPUTED_VALUE"""),"Never")</f>
        <v>Never</v>
      </c>
      <c r="J1321" s="260" t="str">
        <f>IFERROR(__xludf.DUMMYFUNCTION("""COMPUTED_VALUE"""),"")</f>
        <v/>
      </c>
      <c r="K1321" s="258" t="str">
        <f>IFERROR(__xludf.DUMMYFUNCTION("""COMPUTED_VALUE"""),"")</f>
        <v/>
      </c>
      <c r="L1321" s="258" t="str">
        <f>IFERROR(__xludf.DUMMYFUNCTION("""COMPUTED_VALUE"""),"")</f>
        <v/>
      </c>
      <c r="M1321" s="261">
        <f>IFERROR(__xludf.DUMMYFUNCTION("""COMPUTED_VALUE"""),194.0)</f>
        <v>194</v>
      </c>
      <c r="N1321" s="262" t="str">
        <f>IFERROR(__xludf.DUMMYFUNCTION("""COMPUTED_VALUE"""),"")</f>
        <v/>
      </c>
      <c r="O1321" s="259" t="str">
        <f>IFERROR(__xludf.DUMMYFUNCTION("""COMPUTED_VALUE"""),"")</f>
        <v/>
      </c>
      <c r="P1321" s="259">
        <f>IFERROR(__xludf.DUMMYFUNCTION("""COMPUTED_VALUE"""),42106.0)</f>
        <v>42106</v>
      </c>
      <c r="Q1321" s="258">
        <f>IFERROR(__xludf.DUMMYFUNCTION("""COMPUTED_VALUE"""),42379.0)</f>
        <v>42379</v>
      </c>
      <c r="R1321" s="261">
        <f>IFERROR(__xludf.DUMMYFUNCTION("""COMPUTED_VALUE"""),379.0)</f>
        <v>379</v>
      </c>
      <c r="S1321" s="258">
        <v>395.0</v>
      </c>
      <c r="T1321" s="263">
        <v>0.959493670886076</v>
      </c>
      <c r="U1321" s="264">
        <v>26333.0</v>
      </c>
      <c r="V1321" s="265">
        <v>42379.0</v>
      </c>
      <c r="W1321" s="264">
        <v>26333.0</v>
      </c>
      <c r="X1321" s="266"/>
      <c r="Y1321" s="267">
        <v>-0.01</v>
      </c>
      <c r="Z1321" s="267">
        <v>0.9623754786087751</v>
      </c>
      <c r="AA1321" s="269"/>
      <c r="AB1321" s="270"/>
      <c r="AC1321" s="270"/>
      <c r="AD1321" s="270"/>
      <c r="AE1321" s="270"/>
    </row>
    <row r="1322">
      <c r="A1322" s="256">
        <f>IFERROR(__xludf.DUMMYFUNCTION("""COMPUTED_VALUE"""),42144.12361111111)</f>
        <v>42144.12361</v>
      </c>
      <c r="B1322" s="257" t="str">
        <f>IFERROR(__xludf.DUMMYFUNCTION("""COMPUTED_VALUE"""),"SSc3010")</f>
        <v>SSc3010</v>
      </c>
      <c r="C1322" s="258" t="str">
        <f>IFERROR(__xludf.DUMMYFUNCTION("""COMPUTED_VALUE"""),"Europe (excluding UK) &amp; Asia Pacific")</f>
        <v>Europe (excluding UK) &amp; Asia Pacific</v>
      </c>
      <c r="D1322" s="258" t="str">
        <f>IFERROR(__xludf.DUMMYFUNCTION("""COMPUTED_VALUE"""),"km. My car displays range in kilometres and I will enter all range numbers in kilometres.")</f>
        <v>km. My car displays range in kilometres and I will enter all range numbers in kilometres.</v>
      </c>
      <c r="E1322" s="259">
        <f>IFERROR(__xludf.DUMMYFUNCTION("""COMPUTED_VALUE"""),41794.0)</f>
        <v>41794</v>
      </c>
      <c r="F1322" s="258" t="str">
        <f>IFERROR(__xludf.DUMMYFUNCTION("""COMPUTED_VALUE"""),"Model S 85")</f>
        <v>Model S 85</v>
      </c>
      <c r="G1322" s="258" t="str">
        <f>IFERROR(__xludf.DUMMYFUNCTION("""COMPUTED_VALUE"""),"Twice a week")</f>
        <v>Twice a week</v>
      </c>
      <c r="H1322" s="258" t="str">
        <f>IFERROR(__xludf.DUMMYFUNCTION("""COMPUTED_VALUE"""),"Daily")</f>
        <v>Daily</v>
      </c>
      <c r="I1322" s="258" t="str">
        <f>IFERROR(__xludf.DUMMYFUNCTION("""COMPUTED_VALUE"""),"A few times a year")</f>
        <v>A few times a year</v>
      </c>
      <c r="J1322" s="260">
        <f>IFERROR(__xludf.DUMMYFUNCTION("""COMPUTED_VALUE"""),0.9)</f>
        <v>0.9</v>
      </c>
      <c r="K1322" s="258" t="str">
        <f>IFERROR(__xludf.DUMMYFUNCTION("""COMPUTED_VALUE"""),"")</f>
        <v/>
      </c>
      <c r="L1322" s="258" t="str">
        <f>IFERROR(__xludf.DUMMYFUNCTION("""COMPUTED_VALUE"""),"")</f>
        <v/>
      </c>
      <c r="M1322" s="261">
        <f>IFERROR(__xludf.DUMMYFUNCTION("""COMPUTED_VALUE"""),192.0)</f>
        <v>192</v>
      </c>
      <c r="N1322" s="262" t="str">
        <f>IFERROR(__xludf.DUMMYFUNCTION("""COMPUTED_VALUE"""),"")</f>
        <v/>
      </c>
      <c r="O1322" s="259" t="str">
        <f>IFERROR(__xludf.DUMMYFUNCTION("""COMPUTED_VALUE"""),"")</f>
        <v/>
      </c>
      <c r="P1322" s="259">
        <f>IFERROR(__xludf.DUMMYFUNCTION("""COMPUTED_VALUE"""),42144.0)</f>
        <v>42144</v>
      </c>
      <c r="Q1322" s="258">
        <f>IFERROR(__xludf.DUMMYFUNCTION("""COMPUTED_VALUE"""),48407.0)</f>
        <v>48407</v>
      </c>
      <c r="R1322" s="261">
        <f>IFERROR(__xludf.DUMMYFUNCTION("""COMPUTED_VALUE"""),377.0)</f>
        <v>377</v>
      </c>
      <c r="S1322" s="258">
        <v>395.0</v>
      </c>
      <c r="T1322" s="263">
        <v>0.9544303797468354</v>
      </c>
      <c r="U1322" s="264">
        <v>30079.0</v>
      </c>
      <c r="V1322" s="265">
        <v>48407.0</v>
      </c>
      <c r="W1322" s="264">
        <v>30079.0</v>
      </c>
      <c r="X1322" s="266"/>
      <c r="Y1322" s="267">
        <v>-0.01</v>
      </c>
      <c r="Z1322" s="267">
        <v>0.9602192627360153</v>
      </c>
      <c r="AA1322" s="269"/>
      <c r="AB1322" s="270"/>
      <c r="AC1322" s="270"/>
      <c r="AD1322" s="270"/>
      <c r="AE1322" s="270"/>
    </row>
    <row r="1323">
      <c r="A1323" s="256">
        <f>IFERROR(__xludf.DUMMYFUNCTION("""COMPUTED_VALUE"""),42148.12430555555)</f>
        <v>42148.12431</v>
      </c>
      <c r="B1323" s="257" t="str">
        <f>IFERROR(__xludf.DUMMYFUNCTION("""COMPUTED_VALUE"""),"SSc3010")</f>
        <v>SSc3010</v>
      </c>
      <c r="C1323" s="258" t="str">
        <f>IFERROR(__xludf.DUMMYFUNCTION("""COMPUTED_VALUE"""),"Europe (excluding UK) &amp; Asia Pacific")</f>
        <v>Europe (excluding UK) &amp; Asia Pacific</v>
      </c>
      <c r="D1323" s="258" t="str">
        <f>IFERROR(__xludf.DUMMYFUNCTION("""COMPUTED_VALUE"""),"km. My car displays range in kilometres and I will enter all range numbers in kilometres.")</f>
        <v>km. My car displays range in kilometres and I will enter all range numbers in kilometres.</v>
      </c>
      <c r="E1323" s="259">
        <f>IFERROR(__xludf.DUMMYFUNCTION("""COMPUTED_VALUE"""),41794.0)</f>
        <v>41794</v>
      </c>
      <c r="F1323" s="258" t="str">
        <f>IFERROR(__xludf.DUMMYFUNCTION("""COMPUTED_VALUE"""),"Model S 85")</f>
        <v>Model S 85</v>
      </c>
      <c r="G1323" s="258" t="str">
        <f>IFERROR(__xludf.DUMMYFUNCTION("""COMPUTED_VALUE"""),"Twice a week")</f>
        <v>Twice a week</v>
      </c>
      <c r="H1323" s="258" t="str">
        <f>IFERROR(__xludf.DUMMYFUNCTION("""COMPUTED_VALUE"""),"")</f>
        <v/>
      </c>
      <c r="I1323" s="258" t="str">
        <f>IFERROR(__xludf.DUMMYFUNCTION("""COMPUTED_VALUE"""),"A few times a year")</f>
        <v>A few times a year</v>
      </c>
      <c r="J1323" s="260">
        <f>IFERROR(__xludf.DUMMYFUNCTION("""COMPUTED_VALUE"""),0.9)</f>
        <v>0.9</v>
      </c>
      <c r="K1323" s="258" t="str">
        <f>IFERROR(__xludf.DUMMYFUNCTION("""COMPUTED_VALUE"""),"")</f>
        <v/>
      </c>
      <c r="L1323" s="258" t="str">
        <f>IFERROR(__xludf.DUMMYFUNCTION("""COMPUTED_VALUE"""),"")</f>
        <v/>
      </c>
      <c r="M1323" s="261">
        <f>IFERROR(__xludf.DUMMYFUNCTION("""COMPUTED_VALUE"""),192.0)</f>
        <v>192</v>
      </c>
      <c r="N1323" s="262" t="str">
        <f>IFERROR(__xludf.DUMMYFUNCTION("""COMPUTED_VALUE"""),"")</f>
        <v/>
      </c>
      <c r="O1323" s="259" t="str">
        <f>IFERROR(__xludf.DUMMYFUNCTION("""COMPUTED_VALUE"""),"")</f>
        <v/>
      </c>
      <c r="P1323" s="259">
        <f>IFERROR(__xludf.DUMMYFUNCTION("""COMPUTED_VALUE"""),42148.0)</f>
        <v>42148</v>
      </c>
      <c r="Q1323" s="258">
        <f>IFERROR(__xludf.DUMMYFUNCTION("""COMPUTED_VALUE"""),49693.0)</f>
        <v>49693</v>
      </c>
      <c r="R1323" s="261">
        <f>IFERROR(__xludf.DUMMYFUNCTION("""COMPUTED_VALUE"""),378.0)</f>
        <v>378</v>
      </c>
      <c r="S1323" s="258">
        <v>395.0</v>
      </c>
      <c r="T1323" s="263">
        <v>0.9569620253164557</v>
      </c>
      <c r="U1323" s="264">
        <v>30878.0</v>
      </c>
      <c r="V1323" s="265">
        <v>49693.0</v>
      </c>
      <c r="W1323" s="264">
        <v>30878.0</v>
      </c>
      <c r="X1323" s="266"/>
      <c r="Y1323" s="267">
        <v>-0.01</v>
      </c>
      <c r="Z1323" s="267">
        <v>0.9597911982100596</v>
      </c>
      <c r="AA1323" s="269"/>
      <c r="AB1323" s="270"/>
      <c r="AC1323" s="270"/>
      <c r="AD1323" s="270"/>
      <c r="AE1323" s="270"/>
    </row>
    <row r="1324">
      <c r="A1324" s="256">
        <f>IFERROR(__xludf.DUMMYFUNCTION("""COMPUTED_VALUE"""),42209.16180555556)</f>
        <v>42209.16181</v>
      </c>
      <c r="B1324" s="257" t="str">
        <f>IFERROR(__xludf.DUMMYFUNCTION("""COMPUTED_VALUE"""),"SSc3010")</f>
        <v>SSc3010</v>
      </c>
      <c r="C1324" s="258" t="str">
        <f>IFERROR(__xludf.DUMMYFUNCTION("""COMPUTED_VALUE"""),"Europe (excluding UK) &amp; Asia Pacific")</f>
        <v>Europe (excluding UK) &amp; Asia Pacific</v>
      </c>
      <c r="D1324" s="258" t="str">
        <f>IFERROR(__xludf.DUMMYFUNCTION("""COMPUTED_VALUE"""),"km. My car displays range in kilometres and I will enter all range numbers in kilometres.")</f>
        <v>km. My car displays range in kilometres and I will enter all range numbers in kilometres.</v>
      </c>
      <c r="E1324" s="259">
        <f>IFERROR(__xludf.DUMMYFUNCTION("""COMPUTED_VALUE"""),41794.0)</f>
        <v>41794</v>
      </c>
      <c r="F1324" s="258" t="str">
        <f>IFERROR(__xludf.DUMMYFUNCTION("""COMPUTED_VALUE"""),"Model S 85")</f>
        <v>Model S 85</v>
      </c>
      <c r="G1324" s="258" t="str">
        <f>IFERROR(__xludf.DUMMYFUNCTION("""COMPUTED_VALUE"""),"Weekly")</f>
        <v>Weekly</v>
      </c>
      <c r="H1324" s="258" t="str">
        <f>IFERROR(__xludf.DUMMYFUNCTION("""COMPUTED_VALUE"""),"A few times a year")</f>
        <v>A few times a year</v>
      </c>
      <c r="I1324" s="258" t="str">
        <f>IFERROR(__xludf.DUMMYFUNCTION("""COMPUTED_VALUE"""),"A few times a year")</f>
        <v>A few times a year</v>
      </c>
      <c r="J1324" s="260">
        <f>IFERROR(__xludf.DUMMYFUNCTION("""COMPUTED_VALUE"""),0.9)</f>
        <v>0.9</v>
      </c>
      <c r="K1324" s="258">
        <f>IFERROR(__xludf.DUMMYFUNCTION("""COMPUTED_VALUE"""),398.0)</f>
        <v>398</v>
      </c>
      <c r="L1324" s="258" t="str">
        <f>IFERROR(__xludf.DUMMYFUNCTION("""COMPUTED_VALUE"""),"")</f>
        <v/>
      </c>
      <c r="M1324" s="261">
        <f>IFERROR(__xludf.DUMMYFUNCTION("""COMPUTED_VALUE"""),189.0)</f>
        <v>189</v>
      </c>
      <c r="N1324" s="262" t="str">
        <f>IFERROR(__xludf.DUMMYFUNCTION("""COMPUTED_VALUE"""),"")</f>
        <v/>
      </c>
      <c r="O1324" s="259" t="str">
        <f>IFERROR(__xludf.DUMMYFUNCTION("""COMPUTED_VALUE"""),"")</f>
        <v/>
      </c>
      <c r="P1324" s="259">
        <f>IFERROR(__xludf.DUMMYFUNCTION("""COMPUTED_VALUE"""),42209.0)</f>
        <v>42209</v>
      </c>
      <c r="Q1324" s="258">
        <f>IFERROR(__xludf.DUMMYFUNCTION("""COMPUTED_VALUE"""),60689.0)</f>
        <v>60689</v>
      </c>
      <c r="R1324" s="261">
        <f>IFERROR(__xludf.DUMMYFUNCTION("""COMPUTED_VALUE"""),374.0)</f>
        <v>374</v>
      </c>
      <c r="S1324" s="258">
        <v>395.0</v>
      </c>
      <c r="T1324" s="263">
        <v>0.9468354430379747</v>
      </c>
      <c r="U1324" s="264">
        <v>37710.0</v>
      </c>
      <c r="V1324" s="265">
        <v>60689.0</v>
      </c>
      <c r="W1324" s="264">
        <v>37710.0</v>
      </c>
      <c r="X1324" s="266"/>
      <c r="Y1324" s="267">
        <v>-0.01</v>
      </c>
      <c r="Z1324" s="267">
        <v>0.9564552175567048</v>
      </c>
      <c r="AA1324" s="269"/>
      <c r="AB1324" s="270"/>
      <c r="AC1324" s="270"/>
      <c r="AD1324" s="270"/>
      <c r="AE1324" s="270"/>
    </row>
    <row r="1325">
      <c r="A1325" s="256">
        <f>IFERROR(__xludf.DUMMYFUNCTION("""COMPUTED_VALUE"""),42216.1625)</f>
        <v>42216.1625</v>
      </c>
      <c r="B1325" s="257" t="str">
        <f>IFERROR(__xludf.DUMMYFUNCTION("""COMPUTED_VALUE"""),"SSc3010")</f>
        <v>SSc3010</v>
      </c>
      <c r="C1325" s="258" t="str">
        <f>IFERROR(__xludf.DUMMYFUNCTION("""COMPUTED_VALUE"""),"Europe (excluding UK) &amp; Asia Pacific")</f>
        <v>Europe (excluding UK) &amp; Asia Pacific</v>
      </c>
      <c r="D1325" s="258" t="str">
        <f>IFERROR(__xludf.DUMMYFUNCTION("""COMPUTED_VALUE"""),"km. My car displays range in kilometres and I will enter all range numbers in kilometres.")</f>
        <v>km. My car displays range in kilometres and I will enter all range numbers in kilometres.</v>
      </c>
      <c r="E1325" s="259">
        <f>IFERROR(__xludf.DUMMYFUNCTION("""COMPUTED_VALUE"""),41794.0)</f>
        <v>41794</v>
      </c>
      <c r="F1325" s="258" t="str">
        <f>IFERROR(__xludf.DUMMYFUNCTION("""COMPUTED_VALUE"""),"Model S 85")</f>
        <v>Model S 85</v>
      </c>
      <c r="G1325" s="258" t="str">
        <f>IFERROR(__xludf.DUMMYFUNCTION("""COMPUTED_VALUE"""),"Weekly")</f>
        <v>Weekly</v>
      </c>
      <c r="H1325" s="258" t="str">
        <f>IFERROR(__xludf.DUMMYFUNCTION("""COMPUTED_VALUE"""),"A few times a year")</f>
        <v>A few times a year</v>
      </c>
      <c r="I1325" s="258" t="str">
        <f>IFERROR(__xludf.DUMMYFUNCTION("""COMPUTED_VALUE"""),"A few times a year")</f>
        <v>A few times a year</v>
      </c>
      <c r="J1325" s="260">
        <f>IFERROR(__xludf.DUMMYFUNCTION("""COMPUTED_VALUE"""),0.9)</f>
        <v>0.9</v>
      </c>
      <c r="K1325" s="258">
        <f>IFERROR(__xludf.DUMMYFUNCTION("""COMPUTED_VALUE"""),398.0)</f>
        <v>398</v>
      </c>
      <c r="L1325" s="258" t="str">
        <f>IFERROR(__xludf.DUMMYFUNCTION("""COMPUTED_VALUE"""),"")</f>
        <v/>
      </c>
      <c r="M1325" s="261">
        <f>IFERROR(__xludf.DUMMYFUNCTION("""COMPUTED_VALUE"""),189.0)</f>
        <v>189</v>
      </c>
      <c r="N1325" s="262" t="str">
        <f>IFERROR(__xludf.DUMMYFUNCTION("""COMPUTED_VALUE"""),"")</f>
        <v/>
      </c>
      <c r="O1325" s="259" t="str">
        <f>IFERROR(__xludf.DUMMYFUNCTION("""COMPUTED_VALUE"""),"")</f>
        <v/>
      </c>
      <c r="P1325" s="259">
        <f>IFERROR(__xludf.DUMMYFUNCTION("""COMPUTED_VALUE"""),42216.0)</f>
        <v>42216</v>
      </c>
      <c r="Q1325" s="258">
        <f>IFERROR(__xludf.DUMMYFUNCTION("""COMPUTED_VALUE"""),61228.0)</f>
        <v>61228</v>
      </c>
      <c r="R1325" s="261">
        <f>IFERROR(__xludf.DUMMYFUNCTION("""COMPUTED_VALUE"""),376.0)</f>
        <v>376</v>
      </c>
      <c r="S1325" s="258">
        <v>395.0</v>
      </c>
      <c r="T1325" s="263">
        <v>0.9518987341772152</v>
      </c>
      <c r="U1325" s="264">
        <v>38045.0</v>
      </c>
      <c r="V1325" s="265">
        <v>61228.0</v>
      </c>
      <c r="W1325" s="264">
        <v>38045.0</v>
      </c>
      <c r="X1325" s="266"/>
      <c r="Y1325" s="267">
        <v>-0.01</v>
      </c>
      <c r="Z1325" s="267">
        <v>0.9563033344926299</v>
      </c>
      <c r="AA1325" s="269"/>
      <c r="AB1325" s="270"/>
      <c r="AC1325" s="270"/>
      <c r="AD1325" s="270"/>
      <c r="AE1325" s="270"/>
    </row>
    <row r="1326">
      <c r="A1326" s="256">
        <f>IFERROR(__xludf.DUMMYFUNCTION("""COMPUTED_VALUE"""),42217.163194444445)</f>
        <v>42217.16319</v>
      </c>
      <c r="B1326" s="257" t="str">
        <f>IFERROR(__xludf.DUMMYFUNCTION("""COMPUTED_VALUE"""),"SSc3010")</f>
        <v>SSc3010</v>
      </c>
      <c r="C1326" s="258" t="str">
        <f>IFERROR(__xludf.DUMMYFUNCTION("""COMPUTED_VALUE"""),"Europe (excluding UK) &amp; Asia Pacific")</f>
        <v>Europe (excluding UK) &amp; Asia Pacific</v>
      </c>
      <c r="D1326" s="258" t="str">
        <f>IFERROR(__xludf.DUMMYFUNCTION("""COMPUTED_VALUE"""),"km. My car displays range in kilometres and I will enter all range numbers in kilometres.")</f>
        <v>km. My car displays range in kilometres and I will enter all range numbers in kilometres.</v>
      </c>
      <c r="E1326" s="259">
        <f>IFERROR(__xludf.DUMMYFUNCTION("""COMPUTED_VALUE"""),41794.0)</f>
        <v>41794</v>
      </c>
      <c r="F1326" s="258" t="str">
        <f>IFERROR(__xludf.DUMMYFUNCTION("""COMPUTED_VALUE"""),"Model S 85")</f>
        <v>Model S 85</v>
      </c>
      <c r="G1326" s="258" t="str">
        <f>IFERROR(__xludf.DUMMYFUNCTION("""COMPUTED_VALUE"""),"Weekly")</f>
        <v>Weekly</v>
      </c>
      <c r="H1326" s="258" t="str">
        <f>IFERROR(__xludf.DUMMYFUNCTION("""COMPUTED_VALUE"""),"A few times a year")</f>
        <v>A few times a year</v>
      </c>
      <c r="I1326" s="258" t="str">
        <f>IFERROR(__xludf.DUMMYFUNCTION("""COMPUTED_VALUE"""),"A few times a year")</f>
        <v>A few times a year</v>
      </c>
      <c r="J1326" s="260">
        <f>IFERROR(__xludf.DUMMYFUNCTION("""COMPUTED_VALUE"""),0.9)</f>
        <v>0.9</v>
      </c>
      <c r="K1326" s="258">
        <f>IFERROR(__xludf.DUMMYFUNCTION("""COMPUTED_VALUE"""),398.0)</f>
        <v>398</v>
      </c>
      <c r="L1326" s="258" t="str">
        <f>IFERROR(__xludf.DUMMYFUNCTION("""COMPUTED_VALUE"""),"")</f>
        <v/>
      </c>
      <c r="M1326" s="261">
        <f>IFERROR(__xludf.DUMMYFUNCTION("""COMPUTED_VALUE"""),189.0)</f>
        <v>189</v>
      </c>
      <c r="N1326" s="262" t="str">
        <f>IFERROR(__xludf.DUMMYFUNCTION("""COMPUTED_VALUE"""),"")</f>
        <v/>
      </c>
      <c r="O1326" s="259" t="str">
        <f>IFERROR(__xludf.DUMMYFUNCTION("""COMPUTED_VALUE"""),"")</f>
        <v/>
      </c>
      <c r="P1326" s="259">
        <f>IFERROR(__xludf.DUMMYFUNCTION("""COMPUTED_VALUE"""),42217.0)</f>
        <v>42217</v>
      </c>
      <c r="Q1326" s="258">
        <f>IFERROR(__xludf.DUMMYFUNCTION("""COMPUTED_VALUE"""),62102.0)</f>
        <v>62102</v>
      </c>
      <c r="R1326" s="261">
        <f>IFERROR(__xludf.DUMMYFUNCTION("""COMPUTED_VALUE"""),377.0)</f>
        <v>377</v>
      </c>
      <c r="S1326" s="258">
        <v>395.0</v>
      </c>
      <c r="T1326" s="263">
        <v>0.9544303797468354</v>
      </c>
      <c r="U1326" s="264">
        <v>38588.0</v>
      </c>
      <c r="V1326" s="265">
        <v>62102.0</v>
      </c>
      <c r="W1326" s="264">
        <v>38588.0</v>
      </c>
      <c r="X1326" s="266"/>
      <c r="Y1326" s="267">
        <v>-0.01</v>
      </c>
      <c r="Z1326" s="267">
        <v>0.9560588487289976</v>
      </c>
      <c r="AA1326" s="269"/>
      <c r="AB1326" s="270"/>
      <c r="AC1326" s="270"/>
      <c r="AD1326" s="270"/>
      <c r="AE1326" s="270"/>
    </row>
    <row r="1327">
      <c r="A1327" s="256">
        <f>IFERROR(__xludf.DUMMYFUNCTION("""COMPUTED_VALUE"""),42220.163888888885)</f>
        <v>42220.16389</v>
      </c>
      <c r="B1327" s="257" t="str">
        <f>IFERROR(__xludf.DUMMYFUNCTION("""COMPUTED_VALUE"""),"SSc3010")</f>
        <v>SSc3010</v>
      </c>
      <c r="C1327" s="258" t="str">
        <f>IFERROR(__xludf.DUMMYFUNCTION("""COMPUTED_VALUE"""),"Europe (excluding UK) &amp; Asia Pacific")</f>
        <v>Europe (excluding UK) &amp; Asia Pacific</v>
      </c>
      <c r="D1327" s="258" t="str">
        <f>IFERROR(__xludf.DUMMYFUNCTION("""COMPUTED_VALUE"""),"km. My car displays range in kilometres and I will enter all range numbers in kilometres.")</f>
        <v>km. My car displays range in kilometres and I will enter all range numbers in kilometres.</v>
      </c>
      <c r="E1327" s="259">
        <f>IFERROR(__xludf.DUMMYFUNCTION("""COMPUTED_VALUE"""),41794.0)</f>
        <v>41794</v>
      </c>
      <c r="F1327" s="258" t="str">
        <f>IFERROR(__xludf.DUMMYFUNCTION("""COMPUTED_VALUE"""),"Model S 85")</f>
        <v>Model S 85</v>
      </c>
      <c r="G1327" s="258" t="str">
        <f>IFERROR(__xludf.DUMMYFUNCTION("""COMPUTED_VALUE"""),"Weekly")</f>
        <v>Weekly</v>
      </c>
      <c r="H1327" s="258" t="str">
        <f>IFERROR(__xludf.DUMMYFUNCTION("""COMPUTED_VALUE"""),"A few times a year")</f>
        <v>A few times a year</v>
      </c>
      <c r="I1327" s="258" t="str">
        <f>IFERROR(__xludf.DUMMYFUNCTION("""COMPUTED_VALUE"""),"A few times a year")</f>
        <v>A few times a year</v>
      </c>
      <c r="J1327" s="260">
        <f>IFERROR(__xludf.DUMMYFUNCTION("""COMPUTED_VALUE"""),0.9)</f>
        <v>0.9</v>
      </c>
      <c r="K1327" s="258">
        <f>IFERROR(__xludf.DUMMYFUNCTION("""COMPUTED_VALUE"""),398.0)</f>
        <v>398</v>
      </c>
      <c r="L1327" s="258" t="str">
        <f>IFERROR(__xludf.DUMMYFUNCTION("""COMPUTED_VALUE"""),"")</f>
        <v/>
      </c>
      <c r="M1327" s="261">
        <f>IFERROR(__xludf.DUMMYFUNCTION("""COMPUTED_VALUE"""),189.0)</f>
        <v>189</v>
      </c>
      <c r="N1327" s="262" t="str">
        <f>IFERROR(__xludf.DUMMYFUNCTION("""COMPUTED_VALUE"""),"")</f>
        <v/>
      </c>
      <c r="O1327" s="259" t="str">
        <f>IFERROR(__xludf.DUMMYFUNCTION("""COMPUTED_VALUE"""),"")</f>
        <v/>
      </c>
      <c r="P1327" s="259">
        <f>IFERROR(__xludf.DUMMYFUNCTION("""COMPUTED_VALUE"""),42220.0)</f>
        <v>42220</v>
      </c>
      <c r="Q1327" s="258">
        <f>IFERROR(__xludf.DUMMYFUNCTION("""COMPUTED_VALUE"""),62375.0)</f>
        <v>62375</v>
      </c>
      <c r="R1327" s="261">
        <f>IFERROR(__xludf.DUMMYFUNCTION("""COMPUTED_VALUE"""),376.0)</f>
        <v>376</v>
      </c>
      <c r="S1327" s="258">
        <v>395.0</v>
      </c>
      <c r="T1327" s="263">
        <v>0.9518987341772152</v>
      </c>
      <c r="U1327" s="264">
        <v>38758.0</v>
      </c>
      <c r="V1327" s="265">
        <v>62375.0</v>
      </c>
      <c r="W1327" s="264">
        <v>38758.0</v>
      </c>
      <c r="X1327" s="266"/>
      <c r="Y1327" s="267">
        <v>-0.01</v>
      </c>
      <c r="Z1327" s="267">
        <v>0.9559829225890291</v>
      </c>
      <c r="AA1327" s="269"/>
      <c r="AB1327" s="270"/>
      <c r="AC1327" s="270"/>
      <c r="AD1327" s="270"/>
      <c r="AE1327" s="270"/>
    </row>
    <row r="1328">
      <c r="A1328" s="256">
        <f>IFERROR(__xludf.DUMMYFUNCTION("""COMPUTED_VALUE"""),42221.16458333333)</f>
        <v>42221.16458</v>
      </c>
      <c r="B1328" s="257" t="str">
        <f>IFERROR(__xludf.DUMMYFUNCTION("""COMPUTED_VALUE"""),"SSc3010")</f>
        <v>SSc3010</v>
      </c>
      <c r="C1328" s="258" t="str">
        <f>IFERROR(__xludf.DUMMYFUNCTION("""COMPUTED_VALUE"""),"Europe (excluding UK) &amp; Asia Pacific")</f>
        <v>Europe (excluding UK) &amp; Asia Pacific</v>
      </c>
      <c r="D1328" s="258" t="str">
        <f>IFERROR(__xludf.DUMMYFUNCTION("""COMPUTED_VALUE"""),"km. My car displays range in kilometres and I will enter all range numbers in kilometres.")</f>
        <v>km. My car displays range in kilometres and I will enter all range numbers in kilometres.</v>
      </c>
      <c r="E1328" s="259">
        <f>IFERROR(__xludf.DUMMYFUNCTION("""COMPUTED_VALUE"""),41794.0)</f>
        <v>41794</v>
      </c>
      <c r="F1328" s="258" t="str">
        <f>IFERROR(__xludf.DUMMYFUNCTION("""COMPUTED_VALUE"""),"Model S 85")</f>
        <v>Model S 85</v>
      </c>
      <c r="G1328" s="258" t="str">
        <f>IFERROR(__xludf.DUMMYFUNCTION("""COMPUTED_VALUE"""),"Weekly")</f>
        <v>Weekly</v>
      </c>
      <c r="H1328" s="258" t="str">
        <f>IFERROR(__xludf.DUMMYFUNCTION("""COMPUTED_VALUE"""),"A few times a year")</f>
        <v>A few times a year</v>
      </c>
      <c r="I1328" s="258" t="str">
        <f>IFERROR(__xludf.DUMMYFUNCTION("""COMPUTED_VALUE"""),"A few times a year")</f>
        <v>A few times a year</v>
      </c>
      <c r="J1328" s="260">
        <f>IFERROR(__xludf.DUMMYFUNCTION("""COMPUTED_VALUE"""),0.9)</f>
        <v>0.9</v>
      </c>
      <c r="K1328" s="258">
        <f>IFERROR(__xludf.DUMMYFUNCTION("""COMPUTED_VALUE"""),398.0)</f>
        <v>398</v>
      </c>
      <c r="L1328" s="258" t="str">
        <f>IFERROR(__xludf.DUMMYFUNCTION("""COMPUTED_VALUE"""),"")</f>
        <v/>
      </c>
      <c r="M1328" s="261">
        <f>IFERROR(__xludf.DUMMYFUNCTION("""COMPUTED_VALUE"""),189.0)</f>
        <v>189</v>
      </c>
      <c r="N1328" s="262" t="str">
        <f>IFERROR(__xludf.DUMMYFUNCTION("""COMPUTED_VALUE"""),"")</f>
        <v/>
      </c>
      <c r="O1328" s="259" t="str">
        <f>IFERROR(__xludf.DUMMYFUNCTION("""COMPUTED_VALUE"""),"")</f>
        <v/>
      </c>
      <c r="P1328" s="259">
        <f>IFERROR(__xludf.DUMMYFUNCTION("""COMPUTED_VALUE"""),42221.0)</f>
        <v>42221</v>
      </c>
      <c r="Q1328" s="258">
        <f>IFERROR(__xludf.DUMMYFUNCTION("""COMPUTED_VALUE"""),62465.0)</f>
        <v>62465</v>
      </c>
      <c r="R1328" s="261">
        <f>IFERROR(__xludf.DUMMYFUNCTION("""COMPUTED_VALUE"""),377.0)</f>
        <v>377</v>
      </c>
      <c r="S1328" s="258">
        <v>395.0</v>
      </c>
      <c r="T1328" s="263">
        <v>0.9544303797468354</v>
      </c>
      <c r="U1328" s="264">
        <v>38814.0</v>
      </c>
      <c r="V1328" s="265">
        <v>62465.0</v>
      </c>
      <c r="W1328" s="264">
        <v>38814.0</v>
      </c>
      <c r="X1328" s="266"/>
      <c r="Y1328" s="267">
        <v>-0.01</v>
      </c>
      <c r="Z1328" s="267">
        <v>0.9559579368793358</v>
      </c>
      <c r="AA1328" s="269"/>
      <c r="AB1328" s="270"/>
      <c r="AC1328" s="270"/>
      <c r="AD1328" s="270"/>
      <c r="AE1328" s="270"/>
    </row>
    <row r="1329">
      <c r="A1329" s="256">
        <f>IFERROR(__xludf.DUMMYFUNCTION("""COMPUTED_VALUE"""),42223.16527777778)</f>
        <v>42223.16528</v>
      </c>
      <c r="B1329" s="257" t="str">
        <f>IFERROR(__xludf.DUMMYFUNCTION("""COMPUTED_VALUE"""),"SSc3010")</f>
        <v>SSc3010</v>
      </c>
      <c r="C1329" s="258" t="str">
        <f>IFERROR(__xludf.DUMMYFUNCTION("""COMPUTED_VALUE"""),"Europe (excluding UK) &amp; Asia Pacific")</f>
        <v>Europe (excluding UK) &amp; Asia Pacific</v>
      </c>
      <c r="D1329" s="258" t="str">
        <f>IFERROR(__xludf.DUMMYFUNCTION("""COMPUTED_VALUE"""),"km. My car displays range in kilometres and I will enter all range numbers in kilometres.")</f>
        <v>km. My car displays range in kilometres and I will enter all range numbers in kilometres.</v>
      </c>
      <c r="E1329" s="259">
        <f>IFERROR(__xludf.DUMMYFUNCTION("""COMPUTED_VALUE"""),41794.0)</f>
        <v>41794</v>
      </c>
      <c r="F1329" s="258" t="str">
        <f>IFERROR(__xludf.DUMMYFUNCTION("""COMPUTED_VALUE"""),"Model S 85")</f>
        <v>Model S 85</v>
      </c>
      <c r="G1329" s="258" t="str">
        <f>IFERROR(__xludf.DUMMYFUNCTION("""COMPUTED_VALUE"""),"Weekly")</f>
        <v>Weekly</v>
      </c>
      <c r="H1329" s="258" t="str">
        <f>IFERROR(__xludf.DUMMYFUNCTION("""COMPUTED_VALUE"""),"A few times a year")</f>
        <v>A few times a year</v>
      </c>
      <c r="I1329" s="258" t="str">
        <f>IFERROR(__xludf.DUMMYFUNCTION("""COMPUTED_VALUE"""),"A few times a year")</f>
        <v>A few times a year</v>
      </c>
      <c r="J1329" s="260">
        <f>IFERROR(__xludf.DUMMYFUNCTION("""COMPUTED_VALUE"""),0.9)</f>
        <v>0.9</v>
      </c>
      <c r="K1329" s="258">
        <f>IFERROR(__xludf.DUMMYFUNCTION("""COMPUTED_VALUE"""),398.0)</f>
        <v>398</v>
      </c>
      <c r="L1329" s="258" t="str">
        <f>IFERROR(__xludf.DUMMYFUNCTION("""COMPUTED_VALUE"""),"")</f>
        <v/>
      </c>
      <c r="M1329" s="261">
        <f>IFERROR(__xludf.DUMMYFUNCTION("""COMPUTED_VALUE"""),189.0)</f>
        <v>189</v>
      </c>
      <c r="N1329" s="262" t="str">
        <f>IFERROR(__xludf.DUMMYFUNCTION("""COMPUTED_VALUE"""),"")</f>
        <v/>
      </c>
      <c r="O1329" s="259" t="str">
        <f>IFERROR(__xludf.DUMMYFUNCTION("""COMPUTED_VALUE"""),"")</f>
        <v/>
      </c>
      <c r="P1329" s="259">
        <f>IFERROR(__xludf.DUMMYFUNCTION("""COMPUTED_VALUE"""),42223.0)</f>
        <v>42223</v>
      </c>
      <c r="Q1329" s="258">
        <f>IFERROR(__xludf.DUMMYFUNCTION("""COMPUTED_VALUE"""),62669.0)</f>
        <v>62669</v>
      </c>
      <c r="R1329" s="261">
        <f>IFERROR(__xludf.DUMMYFUNCTION("""COMPUTED_VALUE"""),378.0)</f>
        <v>378</v>
      </c>
      <c r="S1329" s="258">
        <v>395.0</v>
      </c>
      <c r="T1329" s="263">
        <v>0.9569620253164557</v>
      </c>
      <c r="U1329" s="264">
        <v>38941.0</v>
      </c>
      <c r="V1329" s="265">
        <v>62669.0</v>
      </c>
      <c r="W1329" s="264">
        <v>38941.0</v>
      </c>
      <c r="X1329" s="266"/>
      <c r="Y1329" s="267">
        <v>-0.01</v>
      </c>
      <c r="Z1329" s="267">
        <v>0.9559013841053283</v>
      </c>
      <c r="AA1329" s="269"/>
      <c r="AB1329" s="270"/>
      <c r="AC1329" s="270"/>
      <c r="AD1329" s="270"/>
      <c r="AE1329" s="270"/>
    </row>
    <row r="1330">
      <c r="A1330" s="256">
        <f>IFERROR(__xludf.DUMMYFUNCTION("""COMPUTED_VALUE"""),42225.165972222225)</f>
        <v>42225.16597</v>
      </c>
      <c r="B1330" s="257" t="str">
        <f>IFERROR(__xludf.DUMMYFUNCTION("""COMPUTED_VALUE"""),"SSc3010")</f>
        <v>SSc3010</v>
      </c>
      <c r="C1330" s="258" t="str">
        <f>IFERROR(__xludf.DUMMYFUNCTION("""COMPUTED_VALUE"""),"Europe (excluding UK) &amp; Asia Pacific")</f>
        <v>Europe (excluding UK) &amp; Asia Pacific</v>
      </c>
      <c r="D1330" s="258" t="str">
        <f>IFERROR(__xludf.DUMMYFUNCTION("""COMPUTED_VALUE"""),"km. My car displays range in kilometres and I will enter all range numbers in kilometres.")</f>
        <v>km. My car displays range in kilometres and I will enter all range numbers in kilometres.</v>
      </c>
      <c r="E1330" s="259">
        <f>IFERROR(__xludf.DUMMYFUNCTION("""COMPUTED_VALUE"""),41794.0)</f>
        <v>41794</v>
      </c>
      <c r="F1330" s="258" t="str">
        <f>IFERROR(__xludf.DUMMYFUNCTION("""COMPUTED_VALUE"""),"Model S 85")</f>
        <v>Model S 85</v>
      </c>
      <c r="G1330" s="258" t="str">
        <f>IFERROR(__xludf.DUMMYFUNCTION("""COMPUTED_VALUE"""),"Weekly")</f>
        <v>Weekly</v>
      </c>
      <c r="H1330" s="258" t="str">
        <f>IFERROR(__xludf.DUMMYFUNCTION("""COMPUTED_VALUE"""),"A few times a year")</f>
        <v>A few times a year</v>
      </c>
      <c r="I1330" s="258" t="str">
        <f>IFERROR(__xludf.DUMMYFUNCTION("""COMPUTED_VALUE"""),"A few times a year")</f>
        <v>A few times a year</v>
      </c>
      <c r="J1330" s="260">
        <f>IFERROR(__xludf.DUMMYFUNCTION("""COMPUTED_VALUE"""),0.9)</f>
        <v>0.9</v>
      </c>
      <c r="K1330" s="258">
        <f>IFERROR(__xludf.DUMMYFUNCTION("""COMPUTED_VALUE"""),398.0)</f>
        <v>398</v>
      </c>
      <c r="L1330" s="258" t="str">
        <f>IFERROR(__xludf.DUMMYFUNCTION("""COMPUTED_VALUE"""),"")</f>
        <v/>
      </c>
      <c r="M1330" s="261">
        <f>IFERROR(__xludf.DUMMYFUNCTION("""COMPUTED_VALUE"""),189.0)</f>
        <v>189</v>
      </c>
      <c r="N1330" s="262" t="str">
        <f>IFERROR(__xludf.DUMMYFUNCTION("""COMPUTED_VALUE"""),"")</f>
        <v/>
      </c>
      <c r="O1330" s="259" t="str">
        <f>IFERROR(__xludf.DUMMYFUNCTION("""COMPUTED_VALUE"""),"")</f>
        <v/>
      </c>
      <c r="P1330" s="259">
        <f>IFERROR(__xludf.DUMMYFUNCTION("""COMPUTED_VALUE"""),42225.0)</f>
        <v>42225</v>
      </c>
      <c r="Q1330" s="258">
        <f>IFERROR(__xludf.DUMMYFUNCTION("""COMPUTED_VALUE"""),62764.0)</f>
        <v>62764</v>
      </c>
      <c r="R1330" s="261">
        <f>IFERROR(__xludf.DUMMYFUNCTION("""COMPUTED_VALUE"""),378.0)</f>
        <v>378</v>
      </c>
      <c r="S1330" s="258">
        <v>395.0</v>
      </c>
      <c r="T1330" s="263">
        <v>0.9569620253164557</v>
      </c>
      <c r="U1330" s="264">
        <v>39000.0</v>
      </c>
      <c r="V1330" s="265">
        <v>62764.0</v>
      </c>
      <c r="W1330" s="264">
        <v>39000.0</v>
      </c>
      <c r="X1330" s="266"/>
      <c r="Y1330" s="267">
        <v>-0.01</v>
      </c>
      <c r="Z1330" s="267">
        <v>0.9558750865643086</v>
      </c>
      <c r="AA1330" s="269"/>
      <c r="AB1330" s="270"/>
      <c r="AC1330" s="270"/>
      <c r="AD1330" s="270"/>
      <c r="AE1330" s="270"/>
    </row>
    <row r="1331">
      <c r="A1331" s="256">
        <f>IFERROR(__xludf.DUMMYFUNCTION("""COMPUTED_VALUE"""),42229.16666666667)</f>
        <v>42229.16667</v>
      </c>
      <c r="B1331" s="257" t="str">
        <f>IFERROR(__xludf.DUMMYFUNCTION("""COMPUTED_VALUE"""),"SSc3010")</f>
        <v>SSc3010</v>
      </c>
      <c r="C1331" s="258" t="str">
        <f>IFERROR(__xludf.DUMMYFUNCTION("""COMPUTED_VALUE"""),"Europe (excluding UK) &amp; Asia Pacific")</f>
        <v>Europe (excluding UK) &amp; Asia Pacific</v>
      </c>
      <c r="D1331" s="258" t="str">
        <f>IFERROR(__xludf.DUMMYFUNCTION("""COMPUTED_VALUE"""),"km. My car displays range in kilometres and I will enter all range numbers in kilometres.")</f>
        <v>km. My car displays range in kilometres and I will enter all range numbers in kilometres.</v>
      </c>
      <c r="E1331" s="259">
        <f>IFERROR(__xludf.DUMMYFUNCTION("""COMPUTED_VALUE"""),41794.0)</f>
        <v>41794</v>
      </c>
      <c r="F1331" s="258" t="str">
        <f>IFERROR(__xludf.DUMMYFUNCTION("""COMPUTED_VALUE"""),"Model S 85")</f>
        <v>Model S 85</v>
      </c>
      <c r="G1331" s="258" t="str">
        <f>IFERROR(__xludf.DUMMYFUNCTION("""COMPUTED_VALUE"""),"Weekly")</f>
        <v>Weekly</v>
      </c>
      <c r="H1331" s="258" t="str">
        <f>IFERROR(__xludf.DUMMYFUNCTION("""COMPUTED_VALUE"""),"A few times a year")</f>
        <v>A few times a year</v>
      </c>
      <c r="I1331" s="258" t="str">
        <f>IFERROR(__xludf.DUMMYFUNCTION("""COMPUTED_VALUE"""),"A few times a year")</f>
        <v>A few times a year</v>
      </c>
      <c r="J1331" s="260">
        <f>IFERROR(__xludf.DUMMYFUNCTION("""COMPUTED_VALUE"""),0.9)</f>
        <v>0.9</v>
      </c>
      <c r="K1331" s="258">
        <f>IFERROR(__xludf.DUMMYFUNCTION("""COMPUTED_VALUE"""),398.0)</f>
        <v>398</v>
      </c>
      <c r="L1331" s="258" t="str">
        <f>IFERROR(__xludf.DUMMYFUNCTION("""COMPUTED_VALUE"""),"")</f>
        <v/>
      </c>
      <c r="M1331" s="261">
        <f>IFERROR(__xludf.DUMMYFUNCTION("""COMPUTED_VALUE"""),189.0)</f>
        <v>189</v>
      </c>
      <c r="N1331" s="262" t="str">
        <f>IFERROR(__xludf.DUMMYFUNCTION("""COMPUTED_VALUE"""),"")</f>
        <v/>
      </c>
      <c r="O1331" s="259" t="str">
        <f>IFERROR(__xludf.DUMMYFUNCTION("""COMPUTED_VALUE"""),"")</f>
        <v/>
      </c>
      <c r="P1331" s="259">
        <f>IFERROR(__xludf.DUMMYFUNCTION("""COMPUTED_VALUE"""),42229.0)</f>
        <v>42229</v>
      </c>
      <c r="Q1331" s="258">
        <f>IFERROR(__xludf.DUMMYFUNCTION("""COMPUTED_VALUE"""),63103.0)</f>
        <v>63103</v>
      </c>
      <c r="R1331" s="261">
        <f>IFERROR(__xludf.DUMMYFUNCTION("""COMPUTED_VALUE"""),379.0)</f>
        <v>379</v>
      </c>
      <c r="S1331" s="258">
        <v>395.0</v>
      </c>
      <c r="T1331" s="263">
        <v>0.959493670886076</v>
      </c>
      <c r="U1331" s="264">
        <v>39210.0</v>
      </c>
      <c r="V1331" s="265">
        <v>63103.0</v>
      </c>
      <c r="W1331" s="264">
        <v>39210.0</v>
      </c>
      <c r="X1331" s="266"/>
      <c r="Y1331" s="267">
        <v>-0.01</v>
      </c>
      <c r="Z1331" s="267">
        <v>0.9557814418563477</v>
      </c>
      <c r="AA1331" s="269"/>
      <c r="AB1331" s="270"/>
      <c r="AC1331" s="270"/>
      <c r="AD1331" s="270"/>
      <c r="AE1331" s="270"/>
    </row>
    <row r="1332">
      <c r="A1332" s="256">
        <f>IFERROR(__xludf.DUMMYFUNCTION("""COMPUTED_VALUE"""),42262.18125)</f>
        <v>42262.18125</v>
      </c>
      <c r="B1332" s="257" t="str">
        <f>IFERROR(__xludf.DUMMYFUNCTION("""COMPUTED_VALUE"""),"SSc3010")</f>
        <v>SSc3010</v>
      </c>
      <c r="C1332" s="258" t="str">
        <f>IFERROR(__xludf.DUMMYFUNCTION("""COMPUTED_VALUE"""),"Europe (excluding UK) &amp; Asia Pacific")</f>
        <v>Europe (excluding UK) &amp; Asia Pacific</v>
      </c>
      <c r="D1332" s="258" t="str">
        <f>IFERROR(__xludf.DUMMYFUNCTION("""COMPUTED_VALUE"""),"km. My car displays range in kilometres and I will enter all range numbers in kilometres.")</f>
        <v>km. My car displays range in kilometres and I will enter all range numbers in kilometres.</v>
      </c>
      <c r="E1332" s="259">
        <f>IFERROR(__xludf.DUMMYFUNCTION("""COMPUTED_VALUE"""),41794.0)</f>
        <v>41794</v>
      </c>
      <c r="F1332" s="258" t="str">
        <f>IFERROR(__xludf.DUMMYFUNCTION("""COMPUTED_VALUE"""),"Model S 85")</f>
        <v>Model S 85</v>
      </c>
      <c r="G1332" s="258" t="str">
        <f>IFERROR(__xludf.DUMMYFUNCTION("""COMPUTED_VALUE"""),"Twice a month")</f>
        <v>Twice a month</v>
      </c>
      <c r="H1332" s="258" t="str">
        <f>IFERROR(__xludf.DUMMYFUNCTION("""COMPUTED_VALUE"""),"A few times a year")</f>
        <v>A few times a year</v>
      </c>
      <c r="I1332" s="258" t="str">
        <f>IFERROR(__xludf.DUMMYFUNCTION("""COMPUTED_VALUE"""),"A few times a year")</f>
        <v>A few times a year</v>
      </c>
      <c r="J1332" s="260">
        <f>IFERROR(__xludf.DUMMYFUNCTION("""COMPUTED_VALUE"""),0.9)</f>
        <v>0.9</v>
      </c>
      <c r="K1332" s="258" t="str">
        <f>IFERROR(__xludf.DUMMYFUNCTION("""COMPUTED_VALUE"""),"")</f>
        <v/>
      </c>
      <c r="L1332" s="258" t="str">
        <f>IFERROR(__xludf.DUMMYFUNCTION("""COMPUTED_VALUE"""),"")</f>
        <v/>
      </c>
      <c r="M1332" s="261">
        <f>IFERROR(__xludf.DUMMYFUNCTION("""COMPUTED_VALUE"""),187.0)</f>
        <v>187</v>
      </c>
      <c r="N1332" s="262" t="str">
        <f>IFERROR(__xludf.DUMMYFUNCTION("""COMPUTED_VALUE"""),"")</f>
        <v/>
      </c>
      <c r="O1332" s="259" t="str">
        <f>IFERROR(__xludf.DUMMYFUNCTION("""COMPUTED_VALUE"""),"")</f>
        <v/>
      </c>
      <c r="P1332" s="259">
        <f>IFERROR(__xludf.DUMMYFUNCTION("""COMPUTED_VALUE"""),42262.0)</f>
        <v>42262</v>
      </c>
      <c r="Q1332" s="258">
        <f>IFERROR(__xludf.DUMMYFUNCTION("""COMPUTED_VALUE"""),69239.0)</f>
        <v>69239</v>
      </c>
      <c r="R1332" s="261">
        <f>IFERROR(__xludf.DUMMYFUNCTION("""COMPUTED_VALUE"""),365.0)</f>
        <v>365</v>
      </c>
      <c r="S1332" s="258">
        <v>395.0</v>
      </c>
      <c r="T1332" s="263">
        <v>0.9240506329113924</v>
      </c>
      <c r="U1332" s="264">
        <v>43023.0</v>
      </c>
      <c r="V1332" s="265">
        <v>69239.0</v>
      </c>
      <c r="W1332" s="264">
        <v>43023.0</v>
      </c>
      <c r="X1332" s="266"/>
      <c r="Y1332" s="267">
        <v>-0.01</v>
      </c>
      <c r="Z1332" s="267">
        <v>0.9541332149542443</v>
      </c>
      <c r="AA1332" s="269"/>
      <c r="AB1332" s="270"/>
      <c r="AC1332" s="270"/>
      <c r="AD1332" s="270"/>
      <c r="AE1332" s="270"/>
    </row>
    <row r="1333">
      <c r="A1333" s="256">
        <f>IFERROR(__xludf.DUMMYFUNCTION("""COMPUTED_VALUE"""),42295.21319444444)</f>
        <v>42295.21319</v>
      </c>
      <c r="B1333" s="257" t="str">
        <f>IFERROR(__xludf.DUMMYFUNCTION("""COMPUTED_VALUE"""),"SSc3010")</f>
        <v>SSc3010</v>
      </c>
      <c r="C1333" s="258" t="str">
        <f>IFERROR(__xludf.DUMMYFUNCTION("""COMPUTED_VALUE"""),"Europe (excluding UK) &amp; Asia Pacific")</f>
        <v>Europe (excluding UK) &amp; Asia Pacific</v>
      </c>
      <c r="D1333" s="258" t="str">
        <f>IFERROR(__xludf.DUMMYFUNCTION("""COMPUTED_VALUE"""),"km. My car displays range in kilometres and I will enter all range numbers in kilometres.")</f>
        <v>km. My car displays range in kilometres and I will enter all range numbers in kilometres.</v>
      </c>
      <c r="E1333" s="259">
        <f>IFERROR(__xludf.DUMMYFUNCTION("""COMPUTED_VALUE"""),41794.0)</f>
        <v>41794</v>
      </c>
      <c r="F1333" s="258" t="str">
        <f>IFERROR(__xludf.DUMMYFUNCTION("""COMPUTED_VALUE"""),"Model S 85")</f>
        <v>Model S 85</v>
      </c>
      <c r="G1333" s="258" t="str">
        <f>IFERROR(__xludf.DUMMYFUNCTION("""COMPUTED_VALUE"""),"Weekly")</f>
        <v>Weekly</v>
      </c>
      <c r="H1333" s="258" t="str">
        <f>IFERROR(__xludf.DUMMYFUNCTION("""COMPUTED_VALUE"""),"")</f>
        <v/>
      </c>
      <c r="I1333" s="258" t="str">
        <f>IFERROR(__xludf.DUMMYFUNCTION("""COMPUTED_VALUE"""),"A few times a year")</f>
        <v>A few times a year</v>
      </c>
      <c r="J1333" s="260">
        <f>IFERROR(__xludf.DUMMYFUNCTION("""COMPUTED_VALUE"""),0.9)</f>
        <v>0.9</v>
      </c>
      <c r="K1333" s="258">
        <f>IFERROR(__xludf.DUMMYFUNCTION("""COMPUTED_VALUE"""),399.0)</f>
        <v>399</v>
      </c>
      <c r="L1333" s="258" t="str">
        <f>IFERROR(__xludf.DUMMYFUNCTION("""COMPUTED_VALUE"""),"")</f>
        <v/>
      </c>
      <c r="M1333" s="261">
        <f>IFERROR(__xludf.DUMMYFUNCTION("""COMPUTED_VALUE"""),186.0)</f>
        <v>186</v>
      </c>
      <c r="N1333" s="262" t="str">
        <f>IFERROR(__xludf.DUMMYFUNCTION("""COMPUTED_VALUE"""),"")</f>
        <v/>
      </c>
      <c r="O1333" s="259" t="str">
        <f>IFERROR(__xludf.DUMMYFUNCTION("""COMPUTED_VALUE"""),"")</f>
        <v/>
      </c>
      <c r="P1333" s="259">
        <f>IFERROR(__xludf.DUMMYFUNCTION("""COMPUTED_VALUE"""),42295.0)</f>
        <v>42295</v>
      </c>
      <c r="Q1333" s="258">
        <f>IFERROR(__xludf.DUMMYFUNCTION("""COMPUTED_VALUE"""),74631.0)</f>
        <v>74631</v>
      </c>
      <c r="R1333" s="261">
        <f>IFERROR(__xludf.DUMMYFUNCTION("""COMPUTED_VALUE"""),364.0)</f>
        <v>364</v>
      </c>
      <c r="S1333" s="258">
        <v>395.0</v>
      </c>
      <c r="T1333" s="263">
        <v>0.9215189873417722</v>
      </c>
      <c r="U1333" s="264">
        <v>46374.0</v>
      </c>
      <c r="V1333" s="265">
        <v>74631.0</v>
      </c>
      <c r="W1333" s="264">
        <v>46374.0</v>
      </c>
      <c r="X1333" s="266"/>
      <c r="Y1333" s="267">
        <v>-0.01</v>
      </c>
      <c r="Z1333" s="267">
        <v>0.9527433099962177</v>
      </c>
      <c r="AA1333" s="269"/>
      <c r="AB1333" s="270"/>
      <c r="AC1333" s="270"/>
      <c r="AD1333" s="270"/>
      <c r="AE1333" s="270"/>
    </row>
    <row r="1334">
      <c r="A1334" s="256">
        <f>IFERROR(__xludf.DUMMYFUNCTION("""COMPUTED_VALUE"""),42331.23333333334)</f>
        <v>42331.23333</v>
      </c>
      <c r="B1334" s="257" t="str">
        <f>IFERROR(__xludf.DUMMYFUNCTION("""COMPUTED_VALUE"""),"SSc3010")</f>
        <v>SSc3010</v>
      </c>
      <c r="C1334" s="258" t="str">
        <f>IFERROR(__xludf.DUMMYFUNCTION("""COMPUTED_VALUE"""),"Europe (excluding UK) &amp; Asia Pacific")</f>
        <v>Europe (excluding UK) &amp; Asia Pacific</v>
      </c>
      <c r="D1334" s="258" t="str">
        <f>IFERROR(__xludf.DUMMYFUNCTION("""COMPUTED_VALUE"""),"km. My car displays range in kilometres and I will enter all range numbers in kilometres.")</f>
        <v>km. My car displays range in kilometres and I will enter all range numbers in kilometres.</v>
      </c>
      <c r="E1334" s="259">
        <f>IFERROR(__xludf.DUMMYFUNCTION("""COMPUTED_VALUE"""),41794.0)</f>
        <v>41794</v>
      </c>
      <c r="F1334" s="258" t="str">
        <f>IFERROR(__xludf.DUMMYFUNCTION("""COMPUTED_VALUE"""),"Model S 85")</f>
        <v>Model S 85</v>
      </c>
      <c r="G1334" s="258" t="str">
        <f>IFERROR(__xludf.DUMMYFUNCTION("""COMPUTED_VALUE"""),"Twice a month")</f>
        <v>Twice a month</v>
      </c>
      <c r="H1334" s="258" t="str">
        <f>IFERROR(__xludf.DUMMYFUNCTION("""COMPUTED_VALUE"""),"Monthly")</f>
        <v>Monthly</v>
      </c>
      <c r="I1334" s="258" t="str">
        <f>IFERROR(__xludf.DUMMYFUNCTION("""COMPUTED_VALUE"""),"A few times a year")</f>
        <v>A few times a year</v>
      </c>
      <c r="J1334" s="260">
        <f>IFERROR(__xludf.DUMMYFUNCTION("""COMPUTED_VALUE"""),0.9)</f>
        <v>0.9</v>
      </c>
      <c r="K1334" s="258">
        <f>IFERROR(__xludf.DUMMYFUNCTION("""COMPUTED_VALUE"""),399.0)</f>
        <v>399</v>
      </c>
      <c r="L1334" s="258" t="str">
        <f>IFERROR(__xludf.DUMMYFUNCTION("""COMPUTED_VALUE"""),"")</f>
        <v/>
      </c>
      <c r="M1334" s="261">
        <f>IFERROR(__xludf.DUMMYFUNCTION("""COMPUTED_VALUE"""),185.0)</f>
        <v>185</v>
      </c>
      <c r="N1334" s="262" t="str">
        <f>IFERROR(__xludf.DUMMYFUNCTION("""COMPUTED_VALUE"""),"")</f>
        <v/>
      </c>
      <c r="O1334" s="259" t="str">
        <f>IFERROR(__xludf.DUMMYFUNCTION("""COMPUTED_VALUE"""),"")</f>
        <v/>
      </c>
      <c r="P1334" s="259">
        <f>IFERROR(__xludf.DUMMYFUNCTION("""COMPUTED_VALUE"""),42331.0)</f>
        <v>42331</v>
      </c>
      <c r="Q1334" s="258">
        <f>IFERROR(__xludf.DUMMYFUNCTION("""COMPUTED_VALUE"""),81552.0)</f>
        <v>81552</v>
      </c>
      <c r="R1334" s="261">
        <f>IFERROR(__xludf.DUMMYFUNCTION("""COMPUTED_VALUE"""),366.0)</f>
        <v>366</v>
      </c>
      <c r="S1334" s="258">
        <v>395.0</v>
      </c>
      <c r="T1334" s="263">
        <v>0.9265822784810127</v>
      </c>
      <c r="U1334" s="264">
        <v>50674.0</v>
      </c>
      <c r="V1334" s="265">
        <v>81552.0</v>
      </c>
      <c r="W1334" s="264">
        <v>50674.0</v>
      </c>
      <c r="X1334" s="266"/>
      <c r="Y1334" s="267">
        <v>-0.01</v>
      </c>
      <c r="Z1334" s="267">
        <v>0.951015408997926</v>
      </c>
      <c r="AA1334" s="269"/>
      <c r="AB1334" s="270"/>
      <c r="AC1334" s="270"/>
      <c r="AD1334" s="270"/>
      <c r="AE1334" s="270"/>
    </row>
    <row r="1335">
      <c r="A1335" s="256">
        <f>IFERROR(__xludf.DUMMYFUNCTION("""COMPUTED_VALUE"""),42363.259722222225)</f>
        <v>42363.25972</v>
      </c>
      <c r="B1335" s="257" t="str">
        <f>IFERROR(__xludf.DUMMYFUNCTION("""COMPUTED_VALUE"""),"SSc3010")</f>
        <v>SSc3010</v>
      </c>
      <c r="C1335" s="258" t="str">
        <f>IFERROR(__xludf.DUMMYFUNCTION("""COMPUTED_VALUE"""),"Europe (excluding UK) &amp; Asia Pacific")</f>
        <v>Europe (excluding UK) &amp; Asia Pacific</v>
      </c>
      <c r="D1335" s="258" t="str">
        <f>IFERROR(__xludf.DUMMYFUNCTION("""COMPUTED_VALUE"""),"km. My car displays range in kilometres and I will enter all range numbers in kilometres.")</f>
        <v>km. My car displays range in kilometres and I will enter all range numbers in kilometres.</v>
      </c>
      <c r="E1335" s="259">
        <f>IFERROR(__xludf.DUMMYFUNCTION("""COMPUTED_VALUE"""),41794.0)</f>
        <v>41794</v>
      </c>
      <c r="F1335" s="258" t="str">
        <f>IFERROR(__xludf.DUMMYFUNCTION("""COMPUTED_VALUE"""),"Model S 85")</f>
        <v>Model S 85</v>
      </c>
      <c r="G1335" s="258" t="str">
        <f>IFERROR(__xludf.DUMMYFUNCTION("""COMPUTED_VALUE"""),"Twice a month")</f>
        <v>Twice a month</v>
      </c>
      <c r="H1335" s="258" t="str">
        <f>IFERROR(__xludf.DUMMYFUNCTION("""COMPUTED_VALUE"""),"Monthly")</f>
        <v>Monthly</v>
      </c>
      <c r="I1335" s="258" t="str">
        <f>IFERROR(__xludf.DUMMYFUNCTION("""COMPUTED_VALUE"""),"A few times a year")</f>
        <v>A few times a year</v>
      </c>
      <c r="J1335" s="260">
        <f>IFERROR(__xludf.DUMMYFUNCTION("""COMPUTED_VALUE"""),0.9)</f>
        <v>0.9</v>
      </c>
      <c r="K1335" s="258">
        <f>IFERROR(__xludf.DUMMYFUNCTION("""COMPUTED_VALUE"""),398.0)</f>
        <v>398</v>
      </c>
      <c r="L1335" s="258" t="str">
        <f>IFERROR(__xludf.DUMMYFUNCTION("""COMPUTED_VALUE"""),"")</f>
        <v/>
      </c>
      <c r="M1335" s="261">
        <f>IFERROR(__xludf.DUMMYFUNCTION("""COMPUTED_VALUE"""),185.0)</f>
        <v>185</v>
      </c>
      <c r="N1335" s="262" t="str">
        <f>IFERROR(__xludf.DUMMYFUNCTION("""COMPUTED_VALUE"""),"")</f>
        <v/>
      </c>
      <c r="O1335" s="259" t="str">
        <f>IFERROR(__xludf.DUMMYFUNCTION("""COMPUTED_VALUE"""),"")</f>
        <v/>
      </c>
      <c r="P1335" s="259">
        <f>IFERROR(__xludf.DUMMYFUNCTION("""COMPUTED_VALUE"""),42363.0)</f>
        <v>42363</v>
      </c>
      <c r="Q1335" s="258">
        <f>IFERROR(__xludf.DUMMYFUNCTION("""COMPUTED_VALUE"""),86781.0)</f>
        <v>86781</v>
      </c>
      <c r="R1335" s="261">
        <f>IFERROR(__xludf.DUMMYFUNCTION("""COMPUTED_VALUE"""),375.0)</f>
        <v>375</v>
      </c>
      <c r="S1335" s="258">
        <v>395.0</v>
      </c>
      <c r="T1335" s="263">
        <v>0.9493670886075949</v>
      </c>
      <c r="U1335" s="264">
        <v>53923.0</v>
      </c>
      <c r="V1335" s="265">
        <v>86781.0</v>
      </c>
      <c r="W1335" s="264">
        <v>53923.0</v>
      </c>
      <c r="X1335" s="266"/>
      <c r="Y1335" s="267">
        <v>-0.01</v>
      </c>
      <c r="Z1335" s="267">
        <v>0.949739719410221</v>
      </c>
      <c r="AA1335" s="269"/>
      <c r="AB1335" s="270"/>
      <c r="AC1335" s="270"/>
      <c r="AD1335" s="270"/>
      <c r="AE1335" s="270"/>
    </row>
    <row r="1336">
      <c r="A1336" s="256">
        <f>IFERROR(__xludf.DUMMYFUNCTION("""COMPUTED_VALUE"""),42403.28194444445)</f>
        <v>42403.28194</v>
      </c>
      <c r="B1336" s="257" t="str">
        <f>IFERROR(__xludf.DUMMYFUNCTION("""COMPUTED_VALUE"""),"SSc3010")</f>
        <v>SSc3010</v>
      </c>
      <c r="C1336" s="258" t="str">
        <f>IFERROR(__xludf.DUMMYFUNCTION("""COMPUTED_VALUE"""),"Europe (excluding UK) &amp; Asia Pacific")</f>
        <v>Europe (excluding UK) &amp; Asia Pacific</v>
      </c>
      <c r="D1336" s="258" t="str">
        <f>IFERROR(__xludf.DUMMYFUNCTION("""COMPUTED_VALUE"""),"km. My car displays range in kilometres and I will enter all range numbers in kilometres.")</f>
        <v>km. My car displays range in kilometres and I will enter all range numbers in kilometres.</v>
      </c>
      <c r="E1336" s="259">
        <f>IFERROR(__xludf.DUMMYFUNCTION("""COMPUTED_VALUE"""),41794.0)</f>
        <v>41794</v>
      </c>
      <c r="F1336" s="258" t="str">
        <f>IFERROR(__xludf.DUMMYFUNCTION("""COMPUTED_VALUE"""),"Model S 85")</f>
        <v>Model S 85</v>
      </c>
      <c r="G1336" s="258" t="str">
        <f>IFERROR(__xludf.DUMMYFUNCTION("""COMPUTED_VALUE"""),"Weekly")</f>
        <v>Weekly</v>
      </c>
      <c r="H1336" s="258" t="str">
        <f>IFERROR(__xludf.DUMMYFUNCTION("""COMPUTED_VALUE"""),"A few times a year")</f>
        <v>A few times a year</v>
      </c>
      <c r="I1336" s="258" t="str">
        <f>IFERROR(__xludf.DUMMYFUNCTION("""COMPUTED_VALUE"""),"A few times a year")</f>
        <v>A few times a year</v>
      </c>
      <c r="J1336" s="260">
        <f>IFERROR(__xludf.DUMMYFUNCTION("""COMPUTED_VALUE"""),0.9)</f>
        <v>0.9</v>
      </c>
      <c r="K1336" s="258">
        <f>IFERROR(__xludf.DUMMYFUNCTION("""COMPUTED_VALUE"""),398.0)</f>
        <v>398</v>
      </c>
      <c r="L1336" s="258" t="str">
        <f>IFERROR(__xludf.DUMMYFUNCTION("""COMPUTED_VALUE"""),"")</f>
        <v/>
      </c>
      <c r="M1336" s="261">
        <f>IFERROR(__xludf.DUMMYFUNCTION("""COMPUTED_VALUE"""),186.0)</f>
        <v>186</v>
      </c>
      <c r="N1336" s="262" t="str">
        <f>IFERROR(__xludf.DUMMYFUNCTION("""COMPUTED_VALUE"""),"")</f>
        <v/>
      </c>
      <c r="O1336" s="259" t="str">
        <f>IFERROR(__xludf.DUMMYFUNCTION("""COMPUTED_VALUE"""),"")</f>
        <v/>
      </c>
      <c r="P1336" s="259">
        <f>IFERROR(__xludf.DUMMYFUNCTION("""COMPUTED_VALUE"""),42403.0)</f>
        <v>42403</v>
      </c>
      <c r="Q1336" s="258">
        <f>IFERROR(__xludf.DUMMYFUNCTION("""COMPUTED_VALUE"""),93058.0)</f>
        <v>93058</v>
      </c>
      <c r="R1336" s="261">
        <f>IFERROR(__xludf.DUMMYFUNCTION("""COMPUTED_VALUE"""),371.0)</f>
        <v>371</v>
      </c>
      <c r="S1336" s="258">
        <v>395.0</v>
      </c>
      <c r="T1336" s="263">
        <v>0.9392405063291139</v>
      </c>
      <c r="U1336" s="264">
        <v>57824.0</v>
      </c>
      <c r="V1336" s="265">
        <v>93058.0</v>
      </c>
      <c r="W1336" s="264">
        <v>57824.0</v>
      </c>
      <c r="X1336" s="266"/>
      <c r="Y1336" s="267">
        <v>-0.01</v>
      </c>
      <c r="Z1336" s="267">
        <v>0.9482320181070458</v>
      </c>
      <c r="AA1336" s="269"/>
      <c r="AB1336" s="270"/>
      <c r="AC1336" s="270"/>
      <c r="AD1336" s="270"/>
      <c r="AE1336" s="270"/>
    </row>
    <row r="1337">
      <c r="A1337" s="256">
        <f>IFERROR(__xludf.DUMMYFUNCTION("""COMPUTED_VALUE"""),42490.33263888889)</f>
        <v>42490.33264</v>
      </c>
      <c r="B1337" s="257" t="str">
        <f>IFERROR(__xludf.DUMMYFUNCTION("""COMPUTED_VALUE"""),"SSc3010")</f>
        <v>SSc3010</v>
      </c>
      <c r="C1337" s="258" t="str">
        <f>IFERROR(__xludf.DUMMYFUNCTION("""COMPUTED_VALUE"""),"Europe (excluding UK) &amp; Asia Pacific")</f>
        <v>Europe (excluding UK) &amp; Asia Pacific</v>
      </c>
      <c r="D1337" s="258" t="str">
        <f>IFERROR(__xludf.DUMMYFUNCTION("""COMPUTED_VALUE"""),"km. My car displays range in kilometres and I will enter all range numbers in kilometres.")</f>
        <v>km. My car displays range in kilometres and I will enter all range numbers in kilometres.</v>
      </c>
      <c r="E1337" s="259">
        <f>IFERROR(__xludf.DUMMYFUNCTION("""COMPUTED_VALUE"""),41794.0)</f>
        <v>41794</v>
      </c>
      <c r="F1337" s="258" t="str">
        <f>IFERROR(__xludf.DUMMYFUNCTION("""COMPUTED_VALUE"""),"Model S 85")</f>
        <v>Model S 85</v>
      </c>
      <c r="G1337" s="258" t="str">
        <f>IFERROR(__xludf.DUMMYFUNCTION("""COMPUTED_VALUE"""),"Weekly")</f>
        <v>Weekly</v>
      </c>
      <c r="H1337" s="258" t="str">
        <f>IFERROR(__xludf.DUMMYFUNCTION("""COMPUTED_VALUE"""),"A few times a year")</f>
        <v>A few times a year</v>
      </c>
      <c r="I1337" s="258" t="str">
        <f>IFERROR(__xludf.DUMMYFUNCTION("""COMPUTED_VALUE"""),"A few times a year")</f>
        <v>A few times a year</v>
      </c>
      <c r="J1337" s="260">
        <f>IFERROR(__xludf.DUMMYFUNCTION("""COMPUTED_VALUE"""),0.9)</f>
        <v>0.9</v>
      </c>
      <c r="K1337" s="258">
        <f>IFERROR(__xludf.DUMMYFUNCTION("""COMPUTED_VALUE"""),398.0)</f>
        <v>398</v>
      </c>
      <c r="L1337" s="258" t="str">
        <f>IFERROR(__xludf.DUMMYFUNCTION("""COMPUTED_VALUE"""),"")</f>
        <v/>
      </c>
      <c r="M1337" s="261">
        <f>IFERROR(__xludf.DUMMYFUNCTION("""COMPUTED_VALUE"""),185.0)</f>
        <v>185</v>
      </c>
      <c r="N1337" s="262" t="str">
        <f>IFERROR(__xludf.DUMMYFUNCTION("""COMPUTED_VALUE"""),"")</f>
        <v/>
      </c>
      <c r="O1337" s="259" t="str">
        <f>IFERROR(__xludf.DUMMYFUNCTION("""COMPUTED_VALUE"""),"")</f>
        <v/>
      </c>
      <c r="P1337" s="259">
        <f>IFERROR(__xludf.DUMMYFUNCTION("""COMPUTED_VALUE"""),42490.0)</f>
        <v>42490</v>
      </c>
      <c r="Q1337" s="258">
        <f>IFERROR(__xludf.DUMMYFUNCTION("""COMPUTED_VALUE"""),108644.0)</f>
        <v>108644</v>
      </c>
      <c r="R1337" s="261">
        <f>IFERROR(__xludf.DUMMYFUNCTION("""COMPUTED_VALUE"""),374.0)</f>
        <v>374</v>
      </c>
      <c r="S1337" s="258">
        <v>395.0</v>
      </c>
      <c r="T1337" s="263">
        <v>0.9468354430379747</v>
      </c>
      <c r="U1337" s="264">
        <v>67508.0</v>
      </c>
      <c r="V1337" s="265">
        <v>108644.0</v>
      </c>
      <c r="W1337" s="264">
        <v>67508.0</v>
      </c>
      <c r="X1337" s="266"/>
      <c r="Y1337" s="267">
        <v>-0.01</v>
      </c>
      <c r="Z1337" s="267">
        <v>0.9445560649245414</v>
      </c>
      <c r="AA1337" s="269"/>
      <c r="AB1337" s="270"/>
      <c r="AC1337" s="270"/>
      <c r="AD1337" s="270"/>
      <c r="AE1337" s="270"/>
    </row>
    <row r="1338">
      <c r="A1338" s="256">
        <f>IFERROR(__xludf.DUMMYFUNCTION("""COMPUTED_VALUE"""),42517.34027777778)</f>
        <v>42517.34028</v>
      </c>
      <c r="B1338" s="257" t="str">
        <f>IFERROR(__xludf.DUMMYFUNCTION("""COMPUTED_VALUE"""),"SSc3010")</f>
        <v>SSc3010</v>
      </c>
      <c r="C1338" s="258" t="str">
        <f>IFERROR(__xludf.DUMMYFUNCTION("""COMPUTED_VALUE"""),"Europe (excluding UK) &amp; Asia Pacific")</f>
        <v>Europe (excluding UK) &amp; Asia Pacific</v>
      </c>
      <c r="D1338" s="258" t="str">
        <f>IFERROR(__xludf.DUMMYFUNCTION("""COMPUTED_VALUE"""),"km. My car displays range in kilometres and I will enter all range numbers in kilometres.")</f>
        <v>km. My car displays range in kilometres and I will enter all range numbers in kilometres.</v>
      </c>
      <c r="E1338" s="259">
        <f>IFERROR(__xludf.DUMMYFUNCTION("""COMPUTED_VALUE"""),41794.0)</f>
        <v>41794</v>
      </c>
      <c r="F1338" s="258" t="str">
        <f>IFERROR(__xludf.DUMMYFUNCTION("""COMPUTED_VALUE"""),"Model S 85")</f>
        <v>Model S 85</v>
      </c>
      <c r="G1338" s="258" t="str">
        <f>IFERROR(__xludf.DUMMYFUNCTION("""COMPUTED_VALUE"""),"Weekly")</f>
        <v>Weekly</v>
      </c>
      <c r="H1338" s="258" t="str">
        <f>IFERROR(__xludf.DUMMYFUNCTION("""COMPUTED_VALUE"""),"A few times a year")</f>
        <v>A few times a year</v>
      </c>
      <c r="I1338" s="258" t="str">
        <f>IFERROR(__xludf.DUMMYFUNCTION("""COMPUTED_VALUE"""),"A few times a year")</f>
        <v>A few times a year</v>
      </c>
      <c r="J1338" s="260">
        <f>IFERROR(__xludf.DUMMYFUNCTION("""COMPUTED_VALUE"""),0.9)</f>
        <v>0.9</v>
      </c>
      <c r="K1338" s="258">
        <f>IFERROR(__xludf.DUMMYFUNCTION("""COMPUTED_VALUE"""),398.0)</f>
        <v>398</v>
      </c>
      <c r="L1338" s="258" t="str">
        <f>IFERROR(__xludf.DUMMYFUNCTION("""COMPUTED_VALUE"""),"")</f>
        <v/>
      </c>
      <c r="M1338" s="261">
        <f>IFERROR(__xludf.DUMMYFUNCTION("""COMPUTED_VALUE"""),184.0)</f>
        <v>184</v>
      </c>
      <c r="N1338" s="262" t="str">
        <f>IFERROR(__xludf.DUMMYFUNCTION("""COMPUTED_VALUE"""),"")</f>
        <v/>
      </c>
      <c r="O1338" s="259" t="str">
        <f>IFERROR(__xludf.DUMMYFUNCTION("""COMPUTED_VALUE"""),"")</f>
        <v/>
      </c>
      <c r="P1338" s="259">
        <f>IFERROR(__xludf.DUMMYFUNCTION("""COMPUTED_VALUE"""),42517.0)</f>
        <v>42517</v>
      </c>
      <c r="Q1338" s="258">
        <f>IFERROR(__xludf.DUMMYFUNCTION("""COMPUTED_VALUE"""),112723.0)</f>
        <v>112723</v>
      </c>
      <c r="R1338" s="261">
        <f>IFERROR(__xludf.DUMMYFUNCTION("""COMPUTED_VALUE"""),375.0)</f>
        <v>375</v>
      </c>
      <c r="S1338" s="258">
        <v>395.0</v>
      </c>
      <c r="T1338" s="263">
        <v>0.9493670886075949</v>
      </c>
      <c r="U1338" s="264">
        <v>70043.0</v>
      </c>
      <c r="V1338" s="265">
        <v>112723.0</v>
      </c>
      <c r="W1338" s="264">
        <v>70043.0</v>
      </c>
      <c r="X1338" s="266"/>
      <c r="Y1338" s="267">
        <v>-0.01</v>
      </c>
      <c r="Z1338" s="267">
        <v>0.9436036473865534</v>
      </c>
      <c r="AA1338" s="269"/>
      <c r="AB1338" s="270"/>
      <c r="AC1338" s="270"/>
      <c r="AD1338" s="270"/>
      <c r="AE1338" s="270"/>
    </row>
    <row r="1339">
      <c r="A1339" s="256">
        <f>IFERROR(__xludf.DUMMYFUNCTION("""COMPUTED_VALUE"""),42519.34097222222)</f>
        <v>42519.34097</v>
      </c>
      <c r="B1339" s="257" t="str">
        <f>IFERROR(__xludf.DUMMYFUNCTION("""COMPUTED_VALUE"""),"SSc3010")</f>
        <v>SSc3010</v>
      </c>
      <c r="C1339" s="258" t="str">
        <f>IFERROR(__xludf.DUMMYFUNCTION("""COMPUTED_VALUE"""),"Europe (excluding UK) &amp; Asia Pacific")</f>
        <v>Europe (excluding UK) &amp; Asia Pacific</v>
      </c>
      <c r="D1339" s="258" t="str">
        <f>IFERROR(__xludf.DUMMYFUNCTION("""COMPUTED_VALUE"""),"km. My car displays range in kilometres and I will enter all range numbers in kilometres.")</f>
        <v>km. My car displays range in kilometres and I will enter all range numbers in kilometres.</v>
      </c>
      <c r="E1339" s="259">
        <f>IFERROR(__xludf.DUMMYFUNCTION("""COMPUTED_VALUE"""),41794.0)</f>
        <v>41794</v>
      </c>
      <c r="F1339" s="258" t="str">
        <f>IFERROR(__xludf.DUMMYFUNCTION("""COMPUTED_VALUE"""),"Model S 85")</f>
        <v>Model S 85</v>
      </c>
      <c r="G1339" s="258" t="str">
        <f>IFERROR(__xludf.DUMMYFUNCTION("""COMPUTED_VALUE"""),"Weekly")</f>
        <v>Weekly</v>
      </c>
      <c r="H1339" s="258" t="str">
        <f>IFERROR(__xludf.DUMMYFUNCTION("""COMPUTED_VALUE"""),"A few times a year")</f>
        <v>A few times a year</v>
      </c>
      <c r="I1339" s="258" t="str">
        <f>IFERROR(__xludf.DUMMYFUNCTION("""COMPUTED_VALUE"""),"")</f>
        <v/>
      </c>
      <c r="J1339" s="260">
        <f>IFERROR(__xludf.DUMMYFUNCTION("""COMPUTED_VALUE"""),0.9)</f>
        <v>0.9</v>
      </c>
      <c r="K1339" s="258">
        <f>IFERROR(__xludf.DUMMYFUNCTION("""COMPUTED_VALUE"""),398.0)</f>
        <v>398</v>
      </c>
      <c r="L1339" s="258" t="str">
        <f>IFERROR(__xludf.DUMMYFUNCTION("""COMPUTED_VALUE"""),"")</f>
        <v/>
      </c>
      <c r="M1339" s="261">
        <f>IFERROR(__xludf.DUMMYFUNCTION("""COMPUTED_VALUE"""),184.0)</f>
        <v>184</v>
      </c>
      <c r="N1339" s="262" t="str">
        <f>IFERROR(__xludf.DUMMYFUNCTION("""COMPUTED_VALUE"""),"")</f>
        <v/>
      </c>
      <c r="O1339" s="259" t="str">
        <f>IFERROR(__xludf.DUMMYFUNCTION("""COMPUTED_VALUE"""),"")</f>
        <v/>
      </c>
      <c r="P1339" s="259">
        <f>IFERROR(__xludf.DUMMYFUNCTION("""COMPUTED_VALUE"""),42519.0)</f>
        <v>42519</v>
      </c>
      <c r="Q1339" s="258">
        <f>IFERROR(__xludf.DUMMYFUNCTION("""COMPUTED_VALUE"""),113170.0)</f>
        <v>113170</v>
      </c>
      <c r="R1339" s="261">
        <f>IFERROR(__xludf.DUMMYFUNCTION("""COMPUTED_VALUE"""),373.0)</f>
        <v>373</v>
      </c>
      <c r="S1339" s="258">
        <v>395.0</v>
      </c>
      <c r="T1339" s="263">
        <v>0.9443037974683545</v>
      </c>
      <c r="U1339" s="264">
        <v>70321.0</v>
      </c>
      <c r="V1339" s="265">
        <v>113170.0</v>
      </c>
      <c r="W1339" s="264">
        <v>70321.0</v>
      </c>
      <c r="X1339" s="266"/>
      <c r="Y1339" s="267">
        <v>-0.01</v>
      </c>
      <c r="Z1339" s="267">
        <v>0.9434994354666445</v>
      </c>
      <c r="AA1339" s="269"/>
      <c r="AB1339" s="270"/>
      <c r="AC1339" s="270"/>
      <c r="AD1339" s="270"/>
      <c r="AE1339" s="270"/>
    </row>
    <row r="1340">
      <c r="A1340" s="256">
        <f>IFERROR(__xludf.DUMMYFUNCTION("""COMPUTED_VALUE"""),42587.381944444445)</f>
        <v>42587.38194</v>
      </c>
      <c r="B1340" s="257" t="str">
        <f>IFERROR(__xludf.DUMMYFUNCTION("""COMPUTED_VALUE"""),"SSc3010")</f>
        <v>SSc3010</v>
      </c>
      <c r="C1340" s="258" t="str">
        <f>IFERROR(__xludf.DUMMYFUNCTION("""COMPUTED_VALUE"""),"Europe (excluding UK) &amp; Asia Pacific")</f>
        <v>Europe (excluding UK) &amp; Asia Pacific</v>
      </c>
      <c r="D1340" s="258" t="str">
        <f>IFERROR(__xludf.DUMMYFUNCTION("""COMPUTED_VALUE"""),"km. My car displays range in kilometres and I will enter all range numbers in kilometres.")</f>
        <v>km. My car displays range in kilometres and I will enter all range numbers in kilometres.</v>
      </c>
      <c r="E1340" s="259">
        <f>IFERROR(__xludf.DUMMYFUNCTION("""COMPUTED_VALUE"""),41794.0)</f>
        <v>41794</v>
      </c>
      <c r="F1340" s="258" t="str">
        <f>IFERROR(__xludf.DUMMYFUNCTION("""COMPUTED_VALUE"""),"Model S 85")</f>
        <v>Model S 85</v>
      </c>
      <c r="G1340" s="258" t="str">
        <f>IFERROR(__xludf.DUMMYFUNCTION("""COMPUTED_VALUE"""),"Twice a month")</f>
        <v>Twice a month</v>
      </c>
      <c r="H1340" s="258" t="str">
        <f>IFERROR(__xludf.DUMMYFUNCTION("""COMPUTED_VALUE"""),"A few times a year")</f>
        <v>A few times a year</v>
      </c>
      <c r="I1340" s="258" t="str">
        <f>IFERROR(__xludf.DUMMYFUNCTION("""COMPUTED_VALUE"""),"A few times a year")</f>
        <v>A few times a year</v>
      </c>
      <c r="J1340" s="260">
        <f>IFERROR(__xludf.DUMMYFUNCTION("""COMPUTED_VALUE"""),0.9)</f>
        <v>0.9</v>
      </c>
      <c r="K1340" s="258" t="str">
        <f>IFERROR(__xludf.DUMMYFUNCTION("""COMPUTED_VALUE"""),"")</f>
        <v/>
      </c>
      <c r="L1340" s="258" t="str">
        <f>IFERROR(__xludf.DUMMYFUNCTION("""COMPUTED_VALUE"""),"")</f>
        <v/>
      </c>
      <c r="M1340" s="261">
        <f>IFERROR(__xludf.DUMMYFUNCTION("""COMPUTED_VALUE"""),182.0)</f>
        <v>182</v>
      </c>
      <c r="N1340" s="262" t="str">
        <f>IFERROR(__xludf.DUMMYFUNCTION("""COMPUTED_VALUE"""),"")</f>
        <v/>
      </c>
      <c r="O1340" s="259" t="str">
        <f>IFERROR(__xludf.DUMMYFUNCTION("""COMPUTED_VALUE"""),"")</f>
        <v/>
      </c>
      <c r="P1340" s="259">
        <f>IFERROR(__xludf.DUMMYFUNCTION("""COMPUTED_VALUE"""),42587.0)</f>
        <v>42587</v>
      </c>
      <c r="Q1340" s="258">
        <f>IFERROR(__xludf.DUMMYFUNCTION("""COMPUTED_VALUE"""),123275.0)</f>
        <v>123275</v>
      </c>
      <c r="R1340" s="261">
        <f>IFERROR(__xludf.DUMMYFUNCTION("""COMPUTED_VALUE"""),376.0)</f>
        <v>376</v>
      </c>
      <c r="S1340" s="258">
        <v>395.0</v>
      </c>
      <c r="T1340" s="263">
        <v>0.9518987341772152</v>
      </c>
      <c r="U1340" s="264">
        <v>76600.0</v>
      </c>
      <c r="V1340" s="265">
        <v>123275.0</v>
      </c>
      <c r="W1340" s="264">
        <v>76600.0</v>
      </c>
      <c r="X1340" s="266"/>
      <c r="Y1340" s="267">
        <v>-0.01</v>
      </c>
      <c r="Z1340" s="267">
        <v>0.9411499712206751</v>
      </c>
      <c r="AA1340" s="269"/>
      <c r="AB1340" s="270"/>
      <c r="AC1340" s="270"/>
      <c r="AD1340" s="270"/>
      <c r="AE1340" s="270"/>
    </row>
    <row r="1341">
      <c r="A1341" s="256">
        <f>IFERROR(__xludf.DUMMYFUNCTION("""COMPUTED_VALUE"""),42640.40694444445)</f>
        <v>42640.40694</v>
      </c>
      <c r="B1341" s="257" t="str">
        <f>IFERROR(__xludf.DUMMYFUNCTION("""COMPUTED_VALUE"""),"SSc3010")</f>
        <v>SSc3010</v>
      </c>
      <c r="C1341" s="258" t="str">
        <f>IFERROR(__xludf.DUMMYFUNCTION("""COMPUTED_VALUE"""),"Europe (excluding UK) &amp; Asia Pacific")</f>
        <v>Europe (excluding UK) &amp; Asia Pacific</v>
      </c>
      <c r="D1341" s="258" t="str">
        <f>IFERROR(__xludf.DUMMYFUNCTION("""COMPUTED_VALUE"""),"km. My car displays range in kilometres and I will enter all range numbers in kilometres.")</f>
        <v>km. My car displays range in kilometres and I will enter all range numbers in kilometres.</v>
      </c>
      <c r="E1341" s="259">
        <f>IFERROR(__xludf.DUMMYFUNCTION("""COMPUTED_VALUE"""),41794.0)</f>
        <v>41794</v>
      </c>
      <c r="F1341" s="258" t="str">
        <f>IFERROR(__xludf.DUMMYFUNCTION("""COMPUTED_VALUE"""),"Model S 85")</f>
        <v>Model S 85</v>
      </c>
      <c r="G1341" s="258" t="str">
        <f>IFERROR(__xludf.DUMMYFUNCTION("""COMPUTED_VALUE"""),"Twice a month")</f>
        <v>Twice a month</v>
      </c>
      <c r="H1341" s="258" t="str">
        <f>IFERROR(__xludf.DUMMYFUNCTION("""COMPUTED_VALUE"""),"A few times a year")</f>
        <v>A few times a year</v>
      </c>
      <c r="I1341" s="258" t="str">
        <f>IFERROR(__xludf.DUMMYFUNCTION("""COMPUTED_VALUE"""),"A few times a year")</f>
        <v>A few times a year</v>
      </c>
      <c r="J1341" s="260">
        <f>IFERROR(__xludf.DUMMYFUNCTION("""COMPUTED_VALUE"""),0.9)</f>
        <v>0.9</v>
      </c>
      <c r="K1341" s="258" t="str">
        <f>IFERROR(__xludf.DUMMYFUNCTION("""COMPUTED_VALUE"""),"")</f>
        <v/>
      </c>
      <c r="L1341" s="258" t="str">
        <f>IFERROR(__xludf.DUMMYFUNCTION("""COMPUTED_VALUE"""),"")</f>
        <v/>
      </c>
      <c r="M1341" s="261">
        <f>IFERROR(__xludf.DUMMYFUNCTION("""COMPUTED_VALUE"""),182.0)</f>
        <v>182</v>
      </c>
      <c r="N1341" s="262" t="str">
        <f>IFERROR(__xludf.DUMMYFUNCTION("""COMPUTED_VALUE"""),"")</f>
        <v/>
      </c>
      <c r="O1341" s="259" t="str">
        <f>IFERROR(__xludf.DUMMYFUNCTION("""COMPUTED_VALUE"""),"")</f>
        <v/>
      </c>
      <c r="P1341" s="259">
        <f>IFERROR(__xludf.DUMMYFUNCTION("""COMPUTED_VALUE"""),42640.0)</f>
        <v>42640</v>
      </c>
      <c r="Q1341" s="258">
        <f>IFERROR(__xludf.DUMMYFUNCTION("""COMPUTED_VALUE"""),133442.0)</f>
        <v>133442</v>
      </c>
      <c r="R1341" s="261">
        <f>IFERROR(__xludf.DUMMYFUNCTION("""COMPUTED_VALUE"""),380.0)</f>
        <v>380</v>
      </c>
      <c r="S1341" s="258">
        <v>395.0</v>
      </c>
      <c r="T1341" s="263">
        <v>0.9620253164556962</v>
      </c>
      <c r="U1341" s="264">
        <v>82917.0</v>
      </c>
      <c r="V1341" s="265">
        <v>133442.0</v>
      </c>
      <c r="W1341" s="264">
        <v>82917.0</v>
      </c>
      <c r="X1341" s="266"/>
      <c r="Y1341" s="267">
        <v>-0.01</v>
      </c>
      <c r="Z1341" s="267">
        <v>0.9387945018819972</v>
      </c>
      <c r="AA1341" s="269"/>
      <c r="AB1341" s="270"/>
      <c r="AC1341" s="270"/>
      <c r="AD1341" s="270"/>
      <c r="AE1341" s="270"/>
    </row>
    <row r="1342">
      <c r="A1342" s="256">
        <f>IFERROR(__xludf.DUMMYFUNCTION("""COMPUTED_VALUE"""),42654.41458333333)</f>
        <v>42654.41458</v>
      </c>
      <c r="B1342" s="257" t="str">
        <f>IFERROR(__xludf.DUMMYFUNCTION("""COMPUTED_VALUE"""),"SSc3010")</f>
        <v>SSc3010</v>
      </c>
      <c r="C1342" s="258" t="str">
        <f>IFERROR(__xludf.DUMMYFUNCTION("""COMPUTED_VALUE"""),"Europe (excluding UK) &amp; Asia Pacific")</f>
        <v>Europe (excluding UK) &amp; Asia Pacific</v>
      </c>
      <c r="D1342" s="258" t="str">
        <f>IFERROR(__xludf.DUMMYFUNCTION("""COMPUTED_VALUE"""),"km. My car displays range in kilometres and I will enter all range numbers in kilometres.")</f>
        <v>km. My car displays range in kilometres and I will enter all range numbers in kilometres.</v>
      </c>
      <c r="E1342" s="259">
        <f>IFERROR(__xludf.DUMMYFUNCTION("""COMPUTED_VALUE"""),41794.0)</f>
        <v>41794</v>
      </c>
      <c r="F1342" s="258" t="str">
        <f>IFERROR(__xludf.DUMMYFUNCTION("""COMPUTED_VALUE"""),"Model S 85")</f>
        <v>Model S 85</v>
      </c>
      <c r="G1342" s="258" t="str">
        <f>IFERROR(__xludf.DUMMYFUNCTION("""COMPUTED_VALUE"""),"Twice a month")</f>
        <v>Twice a month</v>
      </c>
      <c r="H1342" s="258" t="str">
        <f>IFERROR(__xludf.DUMMYFUNCTION("""COMPUTED_VALUE"""),"A few times a year")</f>
        <v>A few times a year</v>
      </c>
      <c r="I1342" s="258" t="str">
        <f>IFERROR(__xludf.DUMMYFUNCTION("""COMPUTED_VALUE"""),"A few times a year")</f>
        <v>A few times a year</v>
      </c>
      <c r="J1342" s="260">
        <f>IFERROR(__xludf.DUMMYFUNCTION("""COMPUTED_VALUE"""),0.9)</f>
        <v>0.9</v>
      </c>
      <c r="K1342" s="258" t="str">
        <f>IFERROR(__xludf.DUMMYFUNCTION("""COMPUTED_VALUE"""),"")</f>
        <v/>
      </c>
      <c r="L1342" s="258" t="str">
        <f>IFERROR(__xludf.DUMMYFUNCTION("""COMPUTED_VALUE"""),"")</f>
        <v/>
      </c>
      <c r="M1342" s="261">
        <f>IFERROR(__xludf.DUMMYFUNCTION("""COMPUTED_VALUE"""),182.0)</f>
        <v>182</v>
      </c>
      <c r="N1342" s="262" t="str">
        <f>IFERROR(__xludf.DUMMYFUNCTION("""COMPUTED_VALUE"""),"")</f>
        <v/>
      </c>
      <c r="O1342" s="259" t="str">
        <f>IFERROR(__xludf.DUMMYFUNCTION("""COMPUTED_VALUE"""),"")</f>
        <v/>
      </c>
      <c r="P1342" s="259">
        <f>IFERROR(__xludf.DUMMYFUNCTION("""COMPUTED_VALUE"""),42654.0)</f>
        <v>42654</v>
      </c>
      <c r="Q1342" s="258">
        <f>IFERROR(__xludf.DUMMYFUNCTION("""COMPUTED_VALUE"""),136267.0)</f>
        <v>136267</v>
      </c>
      <c r="R1342" s="261">
        <f>IFERROR(__xludf.DUMMYFUNCTION("""COMPUTED_VALUE"""),380.0)</f>
        <v>380</v>
      </c>
      <c r="S1342" s="258">
        <v>395.0</v>
      </c>
      <c r="T1342" s="263">
        <v>0.9620253164556962</v>
      </c>
      <c r="U1342" s="264">
        <v>84672.0</v>
      </c>
      <c r="V1342" s="265">
        <v>136267.0</v>
      </c>
      <c r="W1342" s="264">
        <v>84672.0</v>
      </c>
      <c r="X1342" s="266"/>
      <c r="Y1342" s="267">
        <v>-0.01</v>
      </c>
      <c r="Z1342" s="267">
        <v>0.9381409543868574</v>
      </c>
      <c r="AA1342" s="269"/>
      <c r="AB1342" s="270"/>
      <c r="AC1342" s="270"/>
      <c r="AD1342" s="270"/>
      <c r="AE1342" s="270"/>
    </row>
    <row r="1343">
      <c r="A1343" s="256">
        <f>IFERROR(__xludf.DUMMYFUNCTION("""COMPUTED_VALUE"""),42697.47430555556)</f>
        <v>42697.47431</v>
      </c>
      <c r="B1343" s="257" t="str">
        <f>IFERROR(__xludf.DUMMYFUNCTION("""COMPUTED_VALUE"""),"SSc3010")</f>
        <v>SSc3010</v>
      </c>
      <c r="C1343" s="258" t="str">
        <f>IFERROR(__xludf.DUMMYFUNCTION("""COMPUTED_VALUE"""),"Europe (excluding UK) &amp; Asia Pacific")</f>
        <v>Europe (excluding UK) &amp; Asia Pacific</v>
      </c>
      <c r="D1343" s="258" t="str">
        <f>IFERROR(__xludf.DUMMYFUNCTION("""COMPUTED_VALUE"""),"km. My car displays range in kilometres and I will enter all range numbers in kilometres.")</f>
        <v>km. My car displays range in kilometres and I will enter all range numbers in kilometres.</v>
      </c>
      <c r="E1343" s="259">
        <f>IFERROR(__xludf.DUMMYFUNCTION("""COMPUTED_VALUE"""),41794.0)</f>
        <v>41794</v>
      </c>
      <c r="F1343" s="258" t="str">
        <f>IFERROR(__xludf.DUMMYFUNCTION("""COMPUTED_VALUE"""),"Model S 85")</f>
        <v>Model S 85</v>
      </c>
      <c r="G1343" s="258" t="str">
        <f>IFERROR(__xludf.DUMMYFUNCTION("""COMPUTED_VALUE"""),"Weekly")</f>
        <v>Weekly</v>
      </c>
      <c r="H1343" s="258" t="str">
        <f>IFERROR(__xludf.DUMMYFUNCTION("""COMPUTED_VALUE"""),"A few times a year")</f>
        <v>A few times a year</v>
      </c>
      <c r="I1343" s="258" t="str">
        <f>IFERROR(__xludf.DUMMYFUNCTION("""COMPUTED_VALUE"""),"Once or twice a year")</f>
        <v>Once or twice a year</v>
      </c>
      <c r="J1343" s="260">
        <f>IFERROR(__xludf.DUMMYFUNCTION("""COMPUTED_VALUE"""),0.9)</f>
        <v>0.9</v>
      </c>
      <c r="K1343" s="258" t="str">
        <f>IFERROR(__xludf.DUMMYFUNCTION("""COMPUTED_VALUE"""),"")</f>
        <v/>
      </c>
      <c r="L1343" s="258" t="str">
        <f>IFERROR(__xludf.DUMMYFUNCTION("""COMPUTED_VALUE"""),"")</f>
        <v/>
      </c>
      <c r="M1343" s="261">
        <f>IFERROR(__xludf.DUMMYFUNCTION("""COMPUTED_VALUE"""),182.0)</f>
        <v>182</v>
      </c>
      <c r="N1343" s="262" t="str">
        <f>IFERROR(__xludf.DUMMYFUNCTION("""COMPUTED_VALUE"""),"")</f>
        <v/>
      </c>
      <c r="O1343" s="259" t="str">
        <f>IFERROR(__xludf.DUMMYFUNCTION("""COMPUTED_VALUE"""),"")</f>
        <v/>
      </c>
      <c r="P1343" s="259">
        <f>IFERROR(__xludf.DUMMYFUNCTION("""COMPUTED_VALUE"""),42697.0)</f>
        <v>42697</v>
      </c>
      <c r="Q1343" s="258">
        <f>IFERROR(__xludf.DUMMYFUNCTION("""COMPUTED_VALUE"""),145160.0)</f>
        <v>145160</v>
      </c>
      <c r="R1343" s="261">
        <f>IFERROR(__xludf.DUMMYFUNCTION("""COMPUTED_VALUE"""),377.0)</f>
        <v>377</v>
      </c>
      <c r="S1343" s="258">
        <v>395.0</v>
      </c>
      <c r="T1343" s="263">
        <v>0.9544303797468354</v>
      </c>
      <c r="U1343" s="264">
        <v>90198.0</v>
      </c>
      <c r="V1343" s="265">
        <v>145160.0</v>
      </c>
      <c r="W1343" s="264">
        <v>90198.0</v>
      </c>
      <c r="X1343" s="266"/>
      <c r="Y1343" s="267">
        <v>-0.01</v>
      </c>
      <c r="Z1343" s="267">
        <v>0.9360853557146832</v>
      </c>
      <c r="AA1343" s="269"/>
      <c r="AB1343" s="270"/>
      <c r="AC1343" s="270"/>
      <c r="AD1343" s="270"/>
      <c r="AE1343" s="270"/>
    </row>
    <row r="1344">
      <c r="A1344" s="256">
        <f>IFERROR(__xludf.DUMMYFUNCTION("""COMPUTED_VALUE"""),42857.535416666666)</f>
        <v>42857.53542</v>
      </c>
      <c r="B1344" s="257" t="str">
        <f>IFERROR(__xludf.DUMMYFUNCTION("""COMPUTED_VALUE"""),"SSc3010")</f>
        <v>SSc3010</v>
      </c>
      <c r="C1344" s="258" t="str">
        <f>IFERROR(__xludf.DUMMYFUNCTION("""COMPUTED_VALUE"""),"Europe (excluding UK) &amp; Asia Pacific")</f>
        <v>Europe (excluding UK) &amp; Asia Pacific</v>
      </c>
      <c r="D1344" s="258" t="str">
        <f>IFERROR(__xludf.DUMMYFUNCTION("""COMPUTED_VALUE"""),"km. My car displays range in kilometres and I will enter all range numbers in kilometres.")</f>
        <v>km. My car displays range in kilometres and I will enter all range numbers in kilometres.</v>
      </c>
      <c r="E1344" s="259">
        <f>IFERROR(__xludf.DUMMYFUNCTION("""COMPUTED_VALUE"""),41794.0)</f>
        <v>41794</v>
      </c>
      <c r="F1344" s="258" t="str">
        <f>IFERROR(__xludf.DUMMYFUNCTION("""COMPUTED_VALUE"""),"Model S 85")</f>
        <v>Model S 85</v>
      </c>
      <c r="G1344" s="258" t="str">
        <f>IFERROR(__xludf.DUMMYFUNCTION("""COMPUTED_VALUE"""),"Twice a month")</f>
        <v>Twice a month</v>
      </c>
      <c r="H1344" s="258" t="str">
        <f>IFERROR(__xludf.DUMMYFUNCTION("""COMPUTED_VALUE"""),"A few times a year")</f>
        <v>A few times a year</v>
      </c>
      <c r="I1344" s="258" t="str">
        <f>IFERROR(__xludf.DUMMYFUNCTION("""COMPUTED_VALUE"""),"A few times a year")</f>
        <v>A few times a year</v>
      </c>
      <c r="J1344" s="260">
        <f>IFERROR(__xludf.DUMMYFUNCTION("""COMPUTED_VALUE"""),0.9)</f>
        <v>0.9</v>
      </c>
      <c r="K1344" s="258">
        <f>IFERROR(__xludf.DUMMYFUNCTION("""COMPUTED_VALUE"""),398.0)</f>
        <v>398</v>
      </c>
      <c r="L1344" s="258" t="str">
        <f>IFERROR(__xludf.DUMMYFUNCTION("""COMPUTED_VALUE"""),"")</f>
        <v/>
      </c>
      <c r="M1344" s="261">
        <f>IFERROR(__xludf.DUMMYFUNCTION("""COMPUTED_VALUE"""),182.0)</f>
        <v>182</v>
      </c>
      <c r="N1344" s="262" t="str">
        <f>IFERROR(__xludf.DUMMYFUNCTION("""COMPUTED_VALUE"""),"")</f>
        <v/>
      </c>
      <c r="O1344" s="259" t="str">
        <f>IFERROR(__xludf.DUMMYFUNCTION("""COMPUTED_VALUE"""),"")</f>
        <v/>
      </c>
      <c r="P1344" s="259">
        <f>IFERROR(__xludf.DUMMYFUNCTION("""COMPUTED_VALUE"""),42857.0)</f>
        <v>42857</v>
      </c>
      <c r="Q1344" s="258">
        <f>IFERROR(__xludf.DUMMYFUNCTION("""COMPUTED_VALUE"""),172871.0)</f>
        <v>172871</v>
      </c>
      <c r="R1344" s="261">
        <f>IFERROR(__xludf.DUMMYFUNCTION("""COMPUTED_VALUE"""),380.0)</f>
        <v>380</v>
      </c>
      <c r="S1344" s="258">
        <v>395.0</v>
      </c>
      <c r="T1344" s="263">
        <v>0.9620253164556962</v>
      </c>
      <c r="U1344" s="264">
        <v>107417.0</v>
      </c>
      <c r="V1344" s="265">
        <v>172871.0</v>
      </c>
      <c r="W1344" s="264">
        <v>107417.0</v>
      </c>
      <c r="X1344" s="266"/>
      <c r="Y1344" s="267">
        <v>-0.01</v>
      </c>
      <c r="Z1344" s="267">
        <v>0.9296886303842037</v>
      </c>
      <c r="AA1344" s="269"/>
      <c r="AB1344" s="270"/>
      <c r="AC1344" s="270"/>
      <c r="AD1344" s="270"/>
      <c r="AE1344" s="270"/>
    </row>
    <row r="1345">
      <c r="A1345" s="256">
        <f>IFERROR(__xludf.DUMMYFUNCTION("""COMPUTED_VALUE"""),42945.58125)</f>
        <v>42945.58125</v>
      </c>
      <c r="B1345" s="257" t="str">
        <f>IFERROR(__xludf.DUMMYFUNCTION("""COMPUTED_VALUE"""),"SSc3010")</f>
        <v>SSc3010</v>
      </c>
      <c r="C1345" s="258" t="str">
        <f>IFERROR(__xludf.DUMMYFUNCTION("""COMPUTED_VALUE"""),"Europe (excluding UK) &amp; Asia Pacific")</f>
        <v>Europe (excluding UK) &amp; Asia Pacific</v>
      </c>
      <c r="D1345" s="258" t="str">
        <f>IFERROR(__xludf.DUMMYFUNCTION("""COMPUTED_VALUE"""),"km. My car displays range in kilometres and I will enter all range numbers in kilometres.")</f>
        <v>km. My car displays range in kilometres and I will enter all range numbers in kilometres.</v>
      </c>
      <c r="E1345" s="259">
        <f>IFERROR(__xludf.DUMMYFUNCTION("""COMPUTED_VALUE"""),41794.0)</f>
        <v>41794</v>
      </c>
      <c r="F1345" s="258" t="str">
        <f>IFERROR(__xludf.DUMMYFUNCTION("""COMPUTED_VALUE"""),"Model S 85")</f>
        <v>Model S 85</v>
      </c>
      <c r="G1345" s="258" t="str">
        <f>IFERROR(__xludf.DUMMYFUNCTION("""COMPUTED_VALUE"""),"Twice a month")</f>
        <v>Twice a month</v>
      </c>
      <c r="H1345" s="258" t="str">
        <f>IFERROR(__xludf.DUMMYFUNCTION("""COMPUTED_VALUE"""),"A few times a year")</f>
        <v>A few times a year</v>
      </c>
      <c r="I1345" s="258" t="str">
        <f>IFERROR(__xludf.DUMMYFUNCTION("""COMPUTED_VALUE"""),"Once or twice a year")</f>
        <v>Once or twice a year</v>
      </c>
      <c r="J1345" s="260">
        <f>IFERROR(__xludf.DUMMYFUNCTION("""COMPUTED_VALUE"""),0.9)</f>
        <v>0.9</v>
      </c>
      <c r="K1345" s="258">
        <f>IFERROR(__xludf.DUMMYFUNCTION("""COMPUTED_VALUE"""),398.0)</f>
        <v>398</v>
      </c>
      <c r="L1345" s="258" t="str">
        <f>IFERROR(__xludf.DUMMYFUNCTION("""COMPUTED_VALUE"""),"")</f>
        <v/>
      </c>
      <c r="M1345" s="261">
        <f>IFERROR(__xludf.DUMMYFUNCTION("""COMPUTED_VALUE"""),181.4)</f>
        <v>181.4</v>
      </c>
      <c r="N1345" s="262" t="str">
        <f>IFERROR(__xludf.DUMMYFUNCTION("""COMPUTED_VALUE"""),"")</f>
        <v/>
      </c>
      <c r="O1345" s="259" t="str">
        <f>IFERROR(__xludf.DUMMYFUNCTION("""COMPUTED_VALUE"""),"")</f>
        <v/>
      </c>
      <c r="P1345" s="259">
        <f>IFERROR(__xludf.DUMMYFUNCTION("""COMPUTED_VALUE"""),42945.0)</f>
        <v>42945</v>
      </c>
      <c r="Q1345" s="258">
        <f>IFERROR(__xludf.DUMMYFUNCTION("""COMPUTED_VALUE"""),187618.0)</f>
        <v>187618</v>
      </c>
      <c r="R1345" s="261">
        <f>IFERROR(__xludf.DUMMYFUNCTION("""COMPUTED_VALUE"""),375.0)</f>
        <v>375</v>
      </c>
      <c r="S1345" s="258">
        <v>395.0</v>
      </c>
      <c r="T1345" s="263">
        <v>0.9493670886075949</v>
      </c>
      <c r="U1345" s="264">
        <v>116580.0</v>
      </c>
      <c r="V1345" s="265">
        <v>187618.0</v>
      </c>
      <c r="W1345" s="264">
        <v>116580.0</v>
      </c>
      <c r="X1345" s="266"/>
      <c r="Y1345" s="267">
        <v>-0.01</v>
      </c>
      <c r="Z1345" s="267">
        <v>0.9262865225298857</v>
      </c>
      <c r="AA1345" s="269"/>
      <c r="AB1345" s="270"/>
      <c r="AC1345" s="270"/>
      <c r="AD1345" s="270"/>
      <c r="AE1345" s="270"/>
    </row>
    <row r="1346">
      <c r="A1346" s="256">
        <f>IFERROR(__xludf.DUMMYFUNCTION("""COMPUTED_VALUE"""),42997.61458333333)</f>
        <v>42997.61458</v>
      </c>
      <c r="B1346" s="257" t="str">
        <f>IFERROR(__xludf.DUMMYFUNCTION("""COMPUTED_VALUE"""),"SSc3010")</f>
        <v>SSc3010</v>
      </c>
      <c r="C1346" s="258" t="str">
        <f>IFERROR(__xludf.DUMMYFUNCTION("""COMPUTED_VALUE"""),"Europe (excluding UK) &amp; Asia Pacific")</f>
        <v>Europe (excluding UK) &amp; Asia Pacific</v>
      </c>
      <c r="D1346" s="258" t="str">
        <f>IFERROR(__xludf.DUMMYFUNCTION("""COMPUTED_VALUE"""),"km. My car displays range in kilometres and I will enter all range numbers in kilometres.")</f>
        <v>km. My car displays range in kilometres and I will enter all range numbers in kilometres.</v>
      </c>
      <c r="E1346" s="259">
        <f>IFERROR(__xludf.DUMMYFUNCTION("""COMPUTED_VALUE"""),41794.0)</f>
        <v>41794</v>
      </c>
      <c r="F1346" s="258" t="str">
        <f>IFERROR(__xludf.DUMMYFUNCTION("""COMPUTED_VALUE"""),"Model S 85")</f>
        <v>Model S 85</v>
      </c>
      <c r="G1346" s="258" t="str">
        <f>IFERROR(__xludf.DUMMYFUNCTION("""COMPUTED_VALUE"""),"Weekly")</f>
        <v>Weekly</v>
      </c>
      <c r="H1346" s="258" t="str">
        <f>IFERROR(__xludf.DUMMYFUNCTION("""COMPUTED_VALUE"""),"A few times a year")</f>
        <v>A few times a year</v>
      </c>
      <c r="I1346" s="258" t="str">
        <f>IFERROR(__xludf.DUMMYFUNCTION("""COMPUTED_VALUE"""),"Once or twice a year")</f>
        <v>Once or twice a year</v>
      </c>
      <c r="J1346" s="260">
        <f>IFERROR(__xludf.DUMMYFUNCTION("""COMPUTED_VALUE"""),0.9)</f>
        <v>0.9</v>
      </c>
      <c r="K1346" s="258">
        <f>IFERROR(__xludf.DUMMYFUNCTION("""COMPUTED_VALUE"""),399.0)</f>
        <v>399</v>
      </c>
      <c r="L1346" s="258" t="str">
        <f>IFERROR(__xludf.DUMMYFUNCTION("""COMPUTED_VALUE"""),"")</f>
        <v/>
      </c>
      <c r="M1346" s="261">
        <f>IFERROR(__xludf.DUMMYFUNCTION("""COMPUTED_VALUE"""),182.0)</f>
        <v>182</v>
      </c>
      <c r="N1346" s="262" t="str">
        <f>IFERROR(__xludf.DUMMYFUNCTION("""COMPUTED_VALUE"""),"")</f>
        <v/>
      </c>
      <c r="O1346" s="259" t="str">
        <f>IFERROR(__xludf.DUMMYFUNCTION("""COMPUTED_VALUE"""),"")</f>
        <v/>
      </c>
      <c r="P1346" s="259">
        <f>IFERROR(__xludf.DUMMYFUNCTION("""COMPUTED_VALUE"""),42997.0)</f>
        <v>42997</v>
      </c>
      <c r="Q1346" s="258">
        <f>IFERROR(__xludf.DUMMYFUNCTION("""COMPUTED_VALUE"""),196476.0)</f>
        <v>196476</v>
      </c>
      <c r="R1346" s="261">
        <f>IFERROR(__xludf.DUMMYFUNCTION("""COMPUTED_VALUE"""),374.0)</f>
        <v>374</v>
      </c>
      <c r="S1346" s="258">
        <v>395.0</v>
      </c>
      <c r="T1346" s="263">
        <v>0.9468354430379747</v>
      </c>
      <c r="U1346" s="264">
        <v>122085.0</v>
      </c>
      <c r="V1346" s="265">
        <v>196476.0</v>
      </c>
      <c r="W1346" s="264">
        <v>122085.0</v>
      </c>
      <c r="X1346" s="266"/>
      <c r="Y1346" s="267">
        <v>-0.01</v>
      </c>
      <c r="Z1346" s="267">
        <v>0.9242432269488483</v>
      </c>
      <c r="AA1346" s="269"/>
      <c r="AB1346" s="270"/>
      <c r="AC1346" s="270"/>
      <c r="AD1346" s="270"/>
      <c r="AE1346" s="270"/>
    </row>
    <row r="1347">
      <c r="A1347" s="256">
        <f>IFERROR(__xludf.DUMMYFUNCTION("""COMPUTED_VALUE"""),43031.63055555556)</f>
        <v>43031.63056</v>
      </c>
      <c r="B1347" s="257" t="str">
        <f>IFERROR(__xludf.DUMMYFUNCTION("""COMPUTED_VALUE"""),"SSc3010")</f>
        <v>SSc3010</v>
      </c>
      <c r="C1347" s="258" t="str">
        <f>IFERROR(__xludf.DUMMYFUNCTION("""COMPUTED_VALUE"""),"Europe (excluding UK) &amp; Asia Pacific")</f>
        <v>Europe (excluding UK) &amp; Asia Pacific</v>
      </c>
      <c r="D1347" s="258" t="str">
        <f>IFERROR(__xludf.DUMMYFUNCTION("""COMPUTED_VALUE"""),"km. My car displays range in kilometres and I will enter all range numbers in kilometres.")</f>
        <v>km. My car displays range in kilometres and I will enter all range numbers in kilometres.</v>
      </c>
      <c r="E1347" s="259">
        <f>IFERROR(__xludf.DUMMYFUNCTION("""COMPUTED_VALUE"""),41794.0)</f>
        <v>41794</v>
      </c>
      <c r="F1347" s="258" t="str">
        <f>IFERROR(__xludf.DUMMYFUNCTION("""COMPUTED_VALUE"""),"Model S 85")</f>
        <v>Model S 85</v>
      </c>
      <c r="G1347" s="258" t="str">
        <f>IFERROR(__xludf.DUMMYFUNCTION("""COMPUTED_VALUE"""),"Twice a month")</f>
        <v>Twice a month</v>
      </c>
      <c r="H1347" s="258" t="str">
        <f>IFERROR(__xludf.DUMMYFUNCTION("""COMPUTED_VALUE"""),"A few times a year")</f>
        <v>A few times a year</v>
      </c>
      <c r="I1347" s="258" t="str">
        <f>IFERROR(__xludf.DUMMYFUNCTION("""COMPUTED_VALUE"""),"Once or twice a year")</f>
        <v>Once or twice a year</v>
      </c>
      <c r="J1347" s="260">
        <f>IFERROR(__xludf.DUMMYFUNCTION("""COMPUTED_VALUE"""),0.9)</f>
        <v>0.9</v>
      </c>
      <c r="K1347" s="258">
        <f>IFERROR(__xludf.DUMMYFUNCTION("""COMPUTED_VALUE"""),399.0)</f>
        <v>399</v>
      </c>
      <c r="L1347" s="258" t="str">
        <f>IFERROR(__xludf.DUMMYFUNCTION("""COMPUTED_VALUE"""),"")</f>
        <v/>
      </c>
      <c r="M1347" s="261">
        <f>IFERROR(__xludf.DUMMYFUNCTION("""COMPUTED_VALUE"""),180.0)</f>
        <v>180</v>
      </c>
      <c r="N1347" s="262" t="str">
        <f>IFERROR(__xludf.DUMMYFUNCTION("""COMPUTED_VALUE"""),"")</f>
        <v/>
      </c>
      <c r="O1347" s="259" t="str">
        <f>IFERROR(__xludf.DUMMYFUNCTION("""COMPUTED_VALUE"""),"")</f>
        <v/>
      </c>
      <c r="P1347" s="259">
        <f>IFERROR(__xludf.DUMMYFUNCTION("""COMPUTED_VALUE"""),43031.0)</f>
        <v>43031</v>
      </c>
      <c r="Q1347" s="258">
        <f>IFERROR(__xludf.DUMMYFUNCTION("""COMPUTED_VALUE"""),202506.0)</f>
        <v>202506</v>
      </c>
      <c r="R1347" s="261">
        <f>IFERROR(__xludf.DUMMYFUNCTION("""COMPUTED_VALUE"""),373.0)</f>
        <v>373</v>
      </c>
      <c r="S1347" s="258">
        <v>395.0</v>
      </c>
      <c r="T1347" s="263">
        <v>0.9443037974683545</v>
      </c>
      <c r="U1347" s="264">
        <v>125831.0</v>
      </c>
      <c r="V1347" s="265">
        <v>202506.0</v>
      </c>
      <c r="W1347" s="264">
        <v>125831.0</v>
      </c>
      <c r="X1347" s="266"/>
      <c r="Y1347" s="267">
        <v>-0.01</v>
      </c>
      <c r="Z1347" s="267">
        <v>0.922852326979217</v>
      </c>
      <c r="AA1347" s="269"/>
      <c r="AB1347" s="270"/>
      <c r="AC1347" s="270"/>
      <c r="AD1347" s="270"/>
      <c r="AE1347" s="270"/>
    </row>
    <row r="1348">
      <c r="A1348" s="256">
        <f>IFERROR(__xludf.DUMMYFUNCTION("""COMPUTED_VALUE"""),43175.70833333333)</f>
        <v>43175.70833</v>
      </c>
      <c r="B1348" s="257" t="str">
        <f>IFERROR(__xludf.DUMMYFUNCTION("""COMPUTED_VALUE"""),"SSc3010")</f>
        <v>SSc3010</v>
      </c>
      <c r="C1348" s="258" t="str">
        <f>IFERROR(__xludf.DUMMYFUNCTION("""COMPUTED_VALUE"""),"Europe (excluding UK) &amp; Asia Pacific")</f>
        <v>Europe (excluding UK) &amp; Asia Pacific</v>
      </c>
      <c r="D1348" s="258" t="str">
        <f>IFERROR(__xludf.DUMMYFUNCTION("""COMPUTED_VALUE"""),"km. My car displays range in kilometres and I will enter all range numbers in kilometres.")</f>
        <v>km. My car displays range in kilometres and I will enter all range numbers in kilometres.</v>
      </c>
      <c r="E1348" s="259">
        <f>IFERROR(__xludf.DUMMYFUNCTION("""COMPUTED_VALUE"""),41794.0)</f>
        <v>41794</v>
      </c>
      <c r="F1348" s="258" t="str">
        <f>IFERROR(__xludf.DUMMYFUNCTION("""COMPUTED_VALUE"""),"Model S 85")</f>
        <v>Model S 85</v>
      </c>
      <c r="G1348" s="258" t="str">
        <f>IFERROR(__xludf.DUMMYFUNCTION("""COMPUTED_VALUE"""),"Weekly")</f>
        <v>Weekly</v>
      </c>
      <c r="H1348" s="258" t="str">
        <f>IFERROR(__xludf.DUMMYFUNCTION("""COMPUTED_VALUE"""),"A few times a year")</f>
        <v>A few times a year</v>
      </c>
      <c r="I1348" s="258" t="str">
        <f>IFERROR(__xludf.DUMMYFUNCTION("""COMPUTED_VALUE"""),"Once or twice a year")</f>
        <v>Once or twice a year</v>
      </c>
      <c r="J1348" s="260">
        <f>IFERROR(__xludf.DUMMYFUNCTION("""COMPUTED_VALUE"""),0.9)</f>
        <v>0.9</v>
      </c>
      <c r="K1348" s="258">
        <f>IFERROR(__xludf.DUMMYFUNCTION("""COMPUTED_VALUE"""),398.0)</f>
        <v>398</v>
      </c>
      <c r="L1348" s="258" t="str">
        <f>IFERROR(__xludf.DUMMYFUNCTION("""COMPUTED_VALUE"""),"")</f>
        <v/>
      </c>
      <c r="M1348" s="261">
        <f>IFERROR(__xludf.DUMMYFUNCTION("""COMPUTED_VALUE"""),181.0)</f>
        <v>181</v>
      </c>
      <c r="N1348" s="262" t="str">
        <f>IFERROR(__xludf.DUMMYFUNCTION("""COMPUTED_VALUE"""),"")</f>
        <v/>
      </c>
      <c r="O1348" s="259" t="str">
        <f>IFERROR(__xludf.DUMMYFUNCTION("""COMPUTED_VALUE"""),"")</f>
        <v/>
      </c>
      <c r="P1348" s="259">
        <f>IFERROR(__xludf.DUMMYFUNCTION("""COMPUTED_VALUE"""),43175.0)</f>
        <v>43175</v>
      </c>
      <c r="Q1348" s="258">
        <f>IFERROR(__xludf.DUMMYFUNCTION("""COMPUTED_VALUE"""),228132.0)</f>
        <v>228132</v>
      </c>
      <c r="R1348" s="261">
        <f>IFERROR(__xludf.DUMMYFUNCTION("""COMPUTED_VALUE"""),368.0)</f>
        <v>368</v>
      </c>
      <c r="S1348" s="258">
        <v>395.0</v>
      </c>
      <c r="T1348" s="263">
        <v>0.9316455696202531</v>
      </c>
      <c r="U1348" s="264">
        <v>141755.0</v>
      </c>
      <c r="V1348" s="265">
        <v>228132.0</v>
      </c>
      <c r="W1348" s="264">
        <v>141755.0</v>
      </c>
      <c r="X1348" s="266"/>
      <c r="Y1348" s="267">
        <v>-0.01</v>
      </c>
      <c r="Z1348" s="267">
        <v>0.9169415849636763</v>
      </c>
      <c r="AA1348" s="269"/>
      <c r="AB1348" s="270"/>
      <c r="AC1348" s="270"/>
      <c r="AD1348" s="270"/>
      <c r="AE1348" s="270"/>
    </row>
    <row r="1349">
      <c r="A1349" s="256">
        <f>IFERROR(__xludf.DUMMYFUNCTION("""COMPUTED_VALUE"""),43618.38364318287)</f>
        <v>43618.38364</v>
      </c>
      <c r="B1349" s="257" t="str">
        <f>IFERROR(__xludf.DUMMYFUNCTION("""COMPUTED_VALUE"""),"SSChicken")</f>
        <v>SSChicken</v>
      </c>
      <c r="C1349" s="258" t="str">
        <f>IFERROR(__xludf.DUMMYFUNCTION("""COMPUTED_VALUE"""),"USA")</f>
        <v>USA</v>
      </c>
      <c r="D1349" s="258" t="str">
        <f>IFERROR(__xludf.DUMMYFUNCTION("""COMPUTED_VALUE"""),"mi. My car displays range in miles and I will enter all range numbers in miles.")</f>
        <v>mi. My car displays range in miles and I will enter all range numbers in miles.</v>
      </c>
      <c r="E1349" s="259">
        <f>IFERROR(__xludf.DUMMYFUNCTION("""COMPUTED_VALUE"""),43344.0)</f>
        <v>43344</v>
      </c>
      <c r="F1349" s="258" t="str">
        <f>IFERROR(__xludf.DUMMYFUNCTION("""COMPUTED_VALUE"""),"Model 3 P")</f>
        <v>Model 3 P</v>
      </c>
      <c r="G1349" s="258" t="str">
        <f>IFERROR(__xludf.DUMMYFUNCTION("""COMPUTED_VALUE"""),"Once or twice a year")</f>
        <v>Once or twice a year</v>
      </c>
      <c r="H1349" s="258" t="str">
        <f>IFERROR(__xludf.DUMMYFUNCTION("""COMPUTED_VALUE"""),"Once or twice a year")</f>
        <v>Once or twice a year</v>
      </c>
      <c r="I1349" s="258" t="str">
        <f>IFERROR(__xludf.DUMMYFUNCTION("""COMPUTED_VALUE"""),"A few times a year")</f>
        <v>A few times a year</v>
      </c>
      <c r="J1349" s="260">
        <f>IFERROR(__xludf.DUMMYFUNCTION("""COMPUTED_VALUE"""),0.9)</f>
        <v>0.9</v>
      </c>
      <c r="K1349" s="258">
        <f>IFERROR(__xludf.DUMMYFUNCTION("""COMPUTED_VALUE"""),310.0)</f>
        <v>310</v>
      </c>
      <c r="L1349" s="258" t="str">
        <f>IFERROR(__xludf.DUMMYFUNCTION("""COMPUTED_VALUE"""),"")</f>
        <v/>
      </c>
      <c r="M1349" s="261" t="str">
        <f>IFERROR(__xludf.DUMMYFUNCTION("""COMPUTED_VALUE"""),"")</f>
        <v/>
      </c>
      <c r="N1349" s="262" t="str">
        <f>IFERROR(__xludf.DUMMYFUNCTION("""COMPUTED_VALUE"""),"")</f>
        <v/>
      </c>
      <c r="O1349" s="259" t="str">
        <f>IFERROR(__xludf.DUMMYFUNCTION("""COMPUTED_VALUE"""),"")</f>
        <v/>
      </c>
      <c r="P1349" s="259">
        <f>IFERROR(__xludf.DUMMYFUNCTION("""COMPUTED_VALUE"""),43618.0)</f>
        <v>43618</v>
      </c>
      <c r="Q1349" s="258">
        <f>IFERROR(__xludf.DUMMYFUNCTION("""COMPUTED_VALUE"""),11600.0)</f>
        <v>11600</v>
      </c>
      <c r="R1349" s="261">
        <f>IFERROR(__xludf.DUMMYFUNCTION("""COMPUTED_VALUE"""),300.0)</f>
        <v>300</v>
      </c>
      <c r="S1349" s="258">
        <v>310.0</v>
      </c>
      <c r="T1349" s="263">
        <v>0.967741935483871</v>
      </c>
      <c r="U1349" s="264">
        <v>11600.0</v>
      </c>
      <c r="V1349" s="265">
        <v>18668.0</v>
      </c>
      <c r="W1349" s="264">
        <v>11600.0</v>
      </c>
      <c r="X1349" s="266"/>
      <c r="Y1349" s="267">
        <v>-0.01</v>
      </c>
      <c r="Z1349" s="267">
        <v>0.9755360909298816</v>
      </c>
      <c r="AA1349" s="269"/>
      <c r="AB1349" s="270"/>
      <c r="AC1349" s="270"/>
      <c r="AD1349" s="270"/>
      <c r="AE1349" s="270"/>
    </row>
    <row r="1350">
      <c r="A1350" s="256">
        <f>IFERROR(__xludf.DUMMYFUNCTION("""COMPUTED_VALUE"""),43056.63402777778)</f>
        <v>43056.63403</v>
      </c>
      <c r="B1350" s="257" t="str">
        <f>IFERROR(__xludf.DUMMYFUNCTION("""COMPUTED_VALUE"""),"StefanSarzio")</f>
        <v>StefanSarzio</v>
      </c>
      <c r="C1350" s="258" t="str">
        <f>IFERROR(__xludf.DUMMYFUNCTION("""COMPUTED_VALUE"""),"Europe (excluding UK) &amp; Asia Pacific")</f>
        <v>Europe (excluding UK) &amp; Asia Pacific</v>
      </c>
      <c r="D1350" s="258" t="str">
        <f>IFERROR(__xludf.DUMMYFUNCTION("""COMPUTED_VALUE"""),"km. My car displays range in kilometres and I will enter all range numbers in kilometres.")</f>
        <v>km. My car displays range in kilometres and I will enter all range numbers in kilometres.</v>
      </c>
      <c r="E1350" s="259">
        <f>IFERROR(__xludf.DUMMYFUNCTION("""COMPUTED_VALUE"""),42736.0)</f>
        <v>42736</v>
      </c>
      <c r="F1350" s="258" t="str">
        <f>IFERROR(__xludf.DUMMYFUNCTION("""COMPUTED_VALUE"""),"Model S 75")</f>
        <v>Model S 75</v>
      </c>
      <c r="G1350" s="258" t="str">
        <f>IFERROR(__xludf.DUMMYFUNCTION("""COMPUTED_VALUE"""),"Weekly")</f>
        <v>Weekly</v>
      </c>
      <c r="H1350" s="258" t="str">
        <f>IFERROR(__xludf.DUMMYFUNCTION("""COMPUTED_VALUE"""),"A few times a year")</f>
        <v>A few times a year</v>
      </c>
      <c r="I1350" s="258" t="str">
        <f>IFERROR(__xludf.DUMMYFUNCTION("""COMPUTED_VALUE"""),"A few times a year")</f>
        <v>A few times a year</v>
      </c>
      <c r="J1350" s="260" t="str">
        <f>IFERROR(__xludf.DUMMYFUNCTION("""COMPUTED_VALUE"""),"")</f>
        <v/>
      </c>
      <c r="K1350" s="258" t="str">
        <f>IFERROR(__xludf.DUMMYFUNCTION("""COMPUTED_VALUE"""),"")</f>
        <v/>
      </c>
      <c r="L1350" s="258" t="str">
        <f>IFERROR(__xludf.DUMMYFUNCTION("""COMPUTED_VALUE"""),"")</f>
        <v/>
      </c>
      <c r="M1350" s="261">
        <f>IFERROR(__xludf.DUMMYFUNCTION("""COMPUTED_VALUE"""),206.0)</f>
        <v>206</v>
      </c>
      <c r="N1350" s="262" t="str">
        <f>IFERROR(__xludf.DUMMYFUNCTION("""COMPUTED_VALUE"""),"")</f>
        <v/>
      </c>
      <c r="O1350" s="259" t="str">
        <f>IFERROR(__xludf.DUMMYFUNCTION("""COMPUTED_VALUE"""),"")</f>
        <v/>
      </c>
      <c r="P1350" s="259">
        <f>IFERROR(__xludf.DUMMYFUNCTION("""COMPUTED_VALUE"""),43056.0)</f>
        <v>43056</v>
      </c>
      <c r="Q1350" s="258">
        <f>IFERROR(__xludf.DUMMYFUNCTION("""COMPUTED_VALUE"""),38288.0)</f>
        <v>38288</v>
      </c>
      <c r="R1350" s="261">
        <f>IFERROR(__xludf.DUMMYFUNCTION("""COMPUTED_VALUE"""),362.0)</f>
        <v>362</v>
      </c>
      <c r="S1350" s="258">
        <v>375.0</v>
      </c>
      <c r="T1350" s="263">
        <v>0.9653333333333334</v>
      </c>
      <c r="U1350" s="264">
        <v>23791.0</v>
      </c>
      <c r="V1350" s="265">
        <v>38288.0</v>
      </c>
      <c r="W1350" s="264">
        <v>23791.0</v>
      </c>
      <c r="X1350" s="266"/>
      <c r="Y1350" s="267">
        <v>-0.01</v>
      </c>
      <c r="Z1350" s="267">
        <v>0.9640146692820346</v>
      </c>
      <c r="AA1350" s="269"/>
      <c r="AB1350" s="270"/>
      <c r="AC1350" s="270"/>
      <c r="AD1350" s="270"/>
      <c r="AE1350" s="270"/>
    </row>
    <row r="1351">
      <c r="A1351" s="256">
        <f>IFERROR(__xludf.DUMMYFUNCTION("""COMPUTED_VALUE"""),42500.33541666667)</f>
        <v>42500.33542</v>
      </c>
      <c r="B1351" s="257" t="str">
        <f>IFERROR(__xludf.DUMMYFUNCTION("""COMPUTED_VALUE"""),"Steinar")</f>
        <v>Steinar</v>
      </c>
      <c r="C1351" s="258" t="str">
        <f>IFERROR(__xludf.DUMMYFUNCTION("""COMPUTED_VALUE"""),"Europe (excluding UK) &amp; Asia Pacific")</f>
        <v>Europe (excluding UK) &amp; Asia Pacific</v>
      </c>
      <c r="D1351" s="258" t="str">
        <f>IFERROR(__xludf.DUMMYFUNCTION("""COMPUTED_VALUE"""),"km. My car displays range in kilometres and I will enter all range numbers in kilometres.")</f>
        <v>km. My car displays range in kilometres and I will enter all range numbers in kilometres.</v>
      </c>
      <c r="E1351" s="259">
        <f>IFERROR(__xludf.DUMMYFUNCTION("""COMPUTED_VALUE"""),41783.0)</f>
        <v>41783</v>
      </c>
      <c r="F1351" s="258" t="str">
        <f>IFERROR(__xludf.DUMMYFUNCTION("""COMPUTED_VALUE"""),"Model S 60")</f>
        <v>Model S 60</v>
      </c>
      <c r="G1351" s="258" t="str">
        <f>IFERROR(__xludf.DUMMYFUNCTION("""COMPUTED_VALUE"""),"Monthly")</f>
        <v>Monthly</v>
      </c>
      <c r="H1351" s="258" t="str">
        <f>IFERROR(__xludf.DUMMYFUNCTION("""COMPUTED_VALUE"""),"A few times a year")</f>
        <v>A few times a year</v>
      </c>
      <c r="I1351" s="258" t="str">
        <f>IFERROR(__xludf.DUMMYFUNCTION("""COMPUTED_VALUE"""),"Never")</f>
        <v>Never</v>
      </c>
      <c r="J1351" s="260">
        <f>IFERROR(__xludf.DUMMYFUNCTION("""COMPUTED_VALUE"""),0.9)</f>
        <v>0.9</v>
      </c>
      <c r="K1351" s="258" t="str">
        <f>IFERROR(__xludf.DUMMYFUNCTION("""COMPUTED_VALUE"""),"")</f>
        <v/>
      </c>
      <c r="L1351" s="258" t="str">
        <f>IFERROR(__xludf.DUMMYFUNCTION("""COMPUTED_VALUE"""),"")</f>
        <v/>
      </c>
      <c r="M1351" s="261">
        <f>IFERROR(__xludf.DUMMYFUNCTION("""COMPUTED_VALUE"""),199.0)</f>
        <v>199</v>
      </c>
      <c r="N1351" s="262" t="str">
        <f>IFERROR(__xludf.DUMMYFUNCTION("""COMPUTED_VALUE"""),"")</f>
        <v/>
      </c>
      <c r="O1351" s="259" t="str">
        <f>IFERROR(__xludf.DUMMYFUNCTION("""COMPUTED_VALUE"""),"")</f>
        <v/>
      </c>
      <c r="P1351" s="259">
        <f>IFERROR(__xludf.DUMMYFUNCTION("""COMPUTED_VALUE"""),42500.0)</f>
        <v>42500</v>
      </c>
      <c r="Q1351" s="258">
        <f>IFERROR(__xludf.DUMMYFUNCTION("""COMPUTED_VALUE"""),39500.0)</f>
        <v>39500</v>
      </c>
      <c r="R1351" s="261">
        <f>IFERROR(__xludf.DUMMYFUNCTION("""COMPUTED_VALUE"""),279.0)</f>
        <v>279</v>
      </c>
      <c r="S1351" s="258">
        <v>284.0</v>
      </c>
      <c r="T1351" s="263">
        <v>0.9823943661971831</v>
      </c>
      <c r="U1351" s="264">
        <v>24544.0</v>
      </c>
      <c r="V1351" s="265">
        <v>39500.0</v>
      </c>
      <c r="W1351" s="264">
        <v>24544.0</v>
      </c>
      <c r="X1351" s="266"/>
      <c r="Y1351" s="267">
        <v>-0.01</v>
      </c>
      <c r="Z1351" s="267">
        <v>0.9635115338384381</v>
      </c>
      <c r="AA1351" s="269"/>
      <c r="AB1351" s="270"/>
      <c r="AC1351" s="270"/>
      <c r="AD1351" s="270"/>
      <c r="AE1351" s="270"/>
    </row>
    <row r="1352">
      <c r="A1352" s="256">
        <f>IFERROR(__xludf.DUMMYFUNCTION("""COMPUTED_VALUE"""),42517.33888888889)</f>
        <v>42517.33889</v>
      </c>
      <c r="B1352" s="257" t="str">
        <f>IFERROR(__xludf.DUMMYFUNCTION("""COMPUTED_VALUE"""),"Steinar")</f>
        <v>Steinar</v>
      </c>
      <c r="C1352" s="258" t="str">
        <f>IFERROR(__xludf.DUMMYFUNCTION("""COMPUTED_VALUE"""),"Europe (excluding UK) &amp; Asia Pacific")</f>
        <v>Europe (excluding UK) &amp; Asia Pacific</v>
      </c>
      <c r="D1352" s="258" t="str">
        <f>IFERROR(__xludf.DUMMYFUNCTION("""COMPUTED_VALUE"""),"km. My car displays range in kilometres and I will enter all range numbers in kilometres.")</f>
        <v>km. My car displays range in kilometres and I will enter all range numbers in kilometres.</v>
      </c>
      <c r="E1352" s="259">
        <f>IFERROR(__xludf.DUMMYFUNCTION("""COMPUTED_VALUE"""),41783.0)</f>
        <v>41783</v>
      </c>
      <c r="F1352" s="258" t="str">
        <f>IFERROR(__xludf.DUMMYFUNCTION("""COMPUTED_VALUE"""),"Model S 60")</f>
        <v>Model S 60</v>
      </c>
      <c r="G1352" s="258" t="str">
        <f>IFERROR(__xludf.DUMMYFUNCTION("""COMPUTED_VALUE"""),"Monthly")</f>
        <v>Monthly</v>
      </c>
      <c r="H1352" s="258" t="str">
        <f>IFERROR(__xludf.DUMMYFUNCTION("""COMPUTED_VALUE"""),"A few times a year")</f>
        <v>A few times a year</v>
      </c>
      <c r="I1352" s="258" t="str">
        <f>IFERROR(__xludf.DUMMYFUNCTION("""COMPUTED_VALUE"""),"Never")</f>
        <v>Never</v>
      </c>
      <c r="J1352" s="260">
        <f>IFERROR(__xludf.DUMMYFUNCTION("""COMPUTED_VALUE"""),0.9)</f>
        <v>0.9</v>
      </c>
      <c r="K1352" s="258" t="str">
        <f>IFERROR(__xludf.DUMMYFUNCTION("""COMPUTED_VALUE"""),"")</f>
        <v/>
      </c>
      <c r="L1352" s="258" t="str">
        <f>IFERROR(__xludf.DUMMYFUNCTION("""COMPUTED_VALUE"""),"")</f>
        <v/>
      </c>
      <c r="M1352" s="261">
        <f>IFERROR(__xludf.DUMMYFUNCTION("""COMPUTED_VALUE"""),199.0)</f>
        <v>199</v>
      </c>
      <c r="N1352" s="262" t="str">
        <f>IFERROR(__xludf.DUMMYFUNCTION("""COMPUTED_VALUE"""),"")</f>
        <v/>
      </c>
      <c r="O1352" s="259" t="str">
        <f>IFERROR(__xludf.DUMMYFUNCTION("""COMPUTED_VALUE"""),"")</f>
        <v/>
      </c>
      <c r="P1352" s="259">
        <f>IFERROR(__xludf.DUMMYFUNCTION("""COMPUTED_VALUE"""),42517.0)</f>
        <v>42517</v>
      </c>
      <c r="Q1352" s="258">
        <f>IFERROR(__xludf.DUMMYFUNCTION("""COMPUTED_VALUE"""),39800.0)</f>
        <v>39800</v>
      </c>
      <c r="R1352" s="261">
        <f>IFERROR(__xludf.DUMMYFUNCTION("""COMPUTED_VALUE"""),274.0)</f>
        <v>274</v>
      </c>
      <c r="S1352" s="258">
        <v>284.0</v>
      </c>
      <c r="T1352" s="263">
        <v>0.9647887323943662</v>
      </c>
      <c r="U1352" s="264">
        <v>24731.0</v>
      </c>
      <c r="V1352" s="265">
        <v>39800.0</v>
      </c>
      <c r="W1352" s="264">
        <v>24731.0</v>
      </c>
      <c r="X1352" s="266"/>
      <c r="Y1352" s="267">
        <v>-0.01</v>
      </c>
      <c r="Z1352" s="267">
        <v>0.9633893855400516</v>
      </c>
      <c r="AA1352" s="269"/>
      <c r="AB1352" s="270"/>
      <c r="AC1352" s="270"/>
      <c r="AD1352" s="270"/>
      <c r="AE1352" s="270"/>
    </row>
    <row r="1353">
      <c r="A1353" s="256">
        <f>IFERROR(__xludf.DUMMYFUNCTION("""COMPUTED_VALUE"""),42649.41180555556)</f>
        <v>42649.41181</v>
      </c>
      <c r="B1353" s="257" t="str">
        <f>IFERROR(__xludf.DUMMYFUNCTION("""COMPUTED_VALUE"""),"Steinar")</f>
        <v>Steinar</v>
      </c>
      <c r="C1353" s="258" t="str">
        <f>IFERROR(__xludf.DUMMYFUNCTION("""COMPUTED_VALUE"""),"Europe (excluding UK) &amp; Asia Pacific")</f>
        <v>Europe (excluding UK) &amp; Asia Pacific</v>
      </c>
      <c r="D1353" s="258" t="str">
        <f>IFERROR(__xludf.DUMMYFUNCTION("""COMPUTED_VALUE"""),"km. My car displays range in kilometres and I will enter all range numbers in kilometres.")</f>
        <v>km. My car displays range in kilometres and I will enter all range numbers in kilometres.</v>
      </c>
      <c r="E1353" s="259">
        <f>IFERROR(__xludf.DUMMYFUNCTION("""COMPUTED_VALUE"""),41783.0)</f>
        <v>41783</v>
      </c>
      <c r="F1353" s="258" t="str">
        <f>IFERROR(__xludf.DUMMYFUNCTION("""COMPUTED_VALUE"""),"Model S 60")</f>
        <v>Model S 60</v>
      </c>
      <c r="G1353" s="258" t="str">
        <f>IFERROR(__xludf.DUMMYFUNCTION("""COMPUTED_VALUE"""),"A few times a year")</f>
        <v>A few times a year</v>
      </c>
      <c r="H1353" s="258" t="str">
        <f>IFERROR(__xludf.DUMMYFUNCTION("""COMPUTED_VALUE"""),"A few times a year")</f>
        <v>A few times a year</v>
      </c>
      <c r="I1353" s="258" t="str">
        <f>IFERROR(__xludf.DUMMYFUNCTION("""COMPUTED_VALUE"""),"Never")</f>
        <v>Never</v>
      </c>
      <c r="J1353" s="260">
        <f>IFERROR(__xludf.DUMMYFUNCTION("""COMPUTED_VALUE"""),0.9)</f>
        <v>0.9</v>
      </c>
      <c r="K1353" s="258">
        <f>IFERROR(__xludf.DUMMYFUNCTION("""COMPUTED_VALUE"""),288.0)</f>
        <v>288</v>
      </c>
      <c r="L1353" s="258" t="str">
        <f>IFERROR(__xludf.DUMMYFUNCTION("""COMPUTED_VALUE"""),"")</f>
        <v/>
      </c>
      <c r="M1353" s="261">
        <f>IFERROR(__xludf.DUMMYFUNCTION("""COMPUTED_VALUE"""),195.0)</f>
        <v>195</v>
      </c>
      <c r="N1353" s="262" t="str">
        <f>IFERROR(__xludf.DUMMYFUNCTION("""COMPUTED_VALUE"""),"")</f>
        <v/>
      </c>
      <c r="O1353" s="259" t="str">
        <f>IFERROR(__xludf.DUMMYFUNCTION("""COMPUTED_VALUE"""),"")</f>
        <v/>
      </c>
      <c r="P1353" s="259">
        <f>IFERROR(__xludf.DUMMYFUNCTION("""COMPUTED_VALUE"""),42649.0)</f>
        <v>42649</v>
      </c>
      <c r="Q1353" s="258">
        <f>IFERROR(__xludf.DUMMYFUNCTION("""COMPUTED_VALUE"""),45500.0)</f>
        <v>45500</v>
      </c>
      <c r="R1353" s="261">
        <f>IFERROR(__xludf.DUMMYFUNCTION("""COMPUTED_VALUE"""),268.0)</f>
        <v>268</v>
      </c>
      <c r="S1353" s="258">
        <v>284.0</v>
      </c>
      <c r="T1353" s="263">
        <v>0.9436619718309859</v>
      </c>
      <c r="U1353" s="264">
        <v>28272.0</v>
      </c>
      <c r="V1353" s="265">
        <v>45500.0</v>
      </c>
      <c r="W1353" s="264">
        <v>28272.0</v>
      </c>
      <c r="X1353" s="266"/>
      <c r="Y1353" s="267">
        <v>-0.01</v>
      </c>
      <c r="Z1353" s="267">
        <v>0.9612257420787022</v>
      </c>
      <c r="AA1353" s="269"/>
      <c r="AB1353" s="270"/>
      <c r="AC1353" s="270"/>
      <c r="AD1353" s="270"/>
      <c r="AE1353" s="270"/>
    </row>
    <row r="1354">
      <c r="A1354" s="256">
        <f>IFERROR(__xludf.DUMMYFUNCTION("""COMPUTED_VALUE"""),42840.521527777775)</f>
        <v>42840.52153</v>
      </c>
      <c r="B1354" s="257" t="str">
        <f>IFERROR(__xludf.DUMMYFUNCTION("""COMPUTED_VALUE"""),"Steinar")</f>
        <v>Steinar</v>
      </c>
      <c r="C1354" s="258" t="str">
        <f>IFERROR(__xludf.DUMMYFUNCTION("""COMPUTED_VALUE"""),"Europe (excluding UK) &amp; Asia Pacific")</f>
        <v>Europe (excluding UK) &amp; Asia Pacific</v>
      </c>
      <c r="D1354" s="258" t="str">
        <f>IFERROR(__xludf.DUMMYFUNCTION("""COMPUTED_VALUE"""),"km. My car displays range in kilometres and I will enter all range numbers in kilometres.")</f>
        <v>km. My car displays range in kilometres and I will enter all range numbers in kilometres.</v>
      </c>
      <c r="E1354" s="259">
        <f>IFERROR(__xludf.DUMMYFUNCTION("""COMPUTED_VALUE"""),41783.0)</f>
        <v>41783</v>
      </c>
      <c r="F1354" s="258" t="str">
        <f>IFERROR(__xludf.DUMMYFUNCTION("""COMPUTED_VALUE"""),"Model S 60")</f>
        <v>Model S 60</v>
      </c>
      <c r="G1354" s="258" t="str">
        <f>IFERROR(__xludf.DUMMYFUNCTION("""COMPUTED_VALUE"""),"Monthly")</f>
        <v>Monthly</v>
      </c>
      <c r="H1354" s="258" t="str">
        <f>IFERROR(__xludf.DUMMYFUNCTION("""COMPUTED_VALUE"""),"Never")</f>
        <v>Never</v>
      </c>
      <c r="I1354" s="258" t="str">
        <f>IFERROR(__xludf.DUMMYFUNCTION("""COMPUTED_VALUE"""),"A few times a year")</f>
        <v>A few times a year</v>
      </c>
      <c r="J1354" s="260">
        <f>IFERROR(__xludf.DUMMYFUNCTION("""COMPUTED_VALUE"""),0.9)</f>
        <v>0.9</v>
      </c>
      <c r="K1354" s="258" t="str">
        <f>IFERROR(__xludf.DUMMYFUNCTION("""COMPUTED_VALUE"""),"")</f>
        <v/>
      </c>
      <c r="L1354" s="258" t="str">
        <f>IFERROR(__xludf.DUMMYFUNCTION("""COMPUTED_VALUE"""),"")</f>
        <v/>
      </c>
      <c r="M1354" s="261">
        <f>IFERROR(__xludf.DUMMYFUNCTION("""COMPUTED_VALUE"""),199.0)</f>
        <v>199</v>
      </c>
      <c r="N1354" s="262" t="str">
        <f>IFERROR(__xludf.DUMMYFUNCTION("""COMPUTED_VALUE"""),"")</f>
        <v/>
      </c>
      <c r="O1354" s="259" t="str">
        <f>IFERROR(__xludf.DUMMYFUNCTION("""COMPUTED_VALUE"""),"")</f>
        <v/>
      </c>
      <c r="P1354" s="259">
        <f>IFERROR(__xludf.DUMMYFUNCTION("""COMPUTED_VALUE"""),42840.0)</f>
        <v>42840</v>
      </c>
      <c r="Q1354" s="258">
        <f>IFERROR(__xludf.DUMMYFUNCTION("""COMPUTED_VALUE"""),54100.0)</f>
        <v>54100</v>
      </c>
      <c r="R1354" s="261">
        <f>IFERROR(__xludf.DUMMYFUNCTION("""COMPUTED_VALUE"""),255.0)</f>
        <v>255</v>
      </c>
      <c r="S1354" s="258">
        <v>284.0</v>
      </c>
      <c r="T1354" s="263">
        <v>0.897887323943662</v>
      </c>
      <c r="U1354" s="264">
        <v>33616.0</v>
      </c>
      <c r="V1354" s="265">
        <v>54100.0</v>
      </c>
      <c r="W1354" s="264">
        <v>33616.0</v>
      </c>
      <c r="X1354" s="266"/>
      <c r="Y1354" s="267">
        <v>-0.01</v>
      </c>
      <c r="Z1354" s="267">
        <v>0.9583920145215135</v>
      </c>
      <c r="AA1354" s="269"/>
      <c r="AB1354" s="270"/>
      <c r="AC1354" s="270"/>
      <c r="AD1354" s="270"/>
      <c r="AE1354" s="270"/>
    </row>
    <row r="1355">
      <c r="A1355" s="256">
        <f>IFERROR(__xludf.DUMMYFUNCTION("""COMPUTED_VALUE"""),42536.35208333333)</f>
        <v>42536.35208</v>
      </c>
      <c r="B1355" s="257" t="str">
        <f>IFERROR(__xludf.DUMMYFUNCTION("""COMPUTED_VALUE"""),"Stickybit")</f>
        <v>Stickybit</v>
      </c>
      <c r="C1355" s="258" t="str">
        <f>IFERROR(__xludf.DUMMYFUNCTION("""COMPUTED_VALUE"""),"Europe (excluding UK) &amp; Asia Pacific")</f>
        <v>Europe (excluding UK) &amp; Asia Pacific</v>
      </c>
      <c r="D1355" s="258" t="str">
        <f>IFERROR(__xludf.DUMMYFUNCTION("""COMPUTED_VALUE"""),"km. My car displays range in kilometres and I will enter all range numbers in kilometres.")</f>
        <v>km. My car displays range in kilometres and I will enter all range numbers in kilometres.</v>
      </c>
      <c r="E1355" s="259">
        <f>IFERROR(__xludf.DUMMYFUNCTION("""COMPUTED_VALUE"""),42444.0)</f>
        <v>42444</v>
      </c>
      <c r="F1355" s="258" t="str">
        <f>IFERROR(__xludf.DUMMYFUNCTION("""COMPUTED_VALUE"""),"Model S 70D")</f>
        <v>Model S 70D</v>
      </c>
      <c r="G1355" s="258" t="str">
        <f>IFERROR(__xludf.DUMMYFUNCTION("""COMPUTED_VALUE"""),"Daily")</f>
        <v>Daily</v>
      </c>
      <c r="H1355" s="258" t="str">
        <f>IFERROR(__xludf.DUMMYFUNCTION("""COMPUTED_VALUE"""),"Twice a week")</f>
        <v>Twice a week</v>
      </c>
      <c r="I1355" s="258" t="str">
        <f>IFERROR(__xludf.DUMMYFUNCTION("""COMPUTED_VALUE"""),"Once or twice a year")</f>
        <v>Once or twice a year</v>
      </c>
      <c r="J1355" s="260">
        <f>IFERROR(__xludf.DUMMYFUNCTION("""COMPUTED_VALUE"""),1.0)</f>
        <v>1</v>
      </c>
      <c r="K1355" s="258">
        <f>IFERROR(__xludf.DUMMYFUNCTION("""COMPUTED_VALUE"""),360.0)</f>
        <v>360</v>
      </c>
      <c r="L1355" s="258" t="str">
        <f>IFERROR(__xludf.DUMMYFUNCTION("""COMPUTED_VALUE"""),"")</f>
        <v/>
      </c>
      <c r="M1355" s="261">
        <f>IFERROR(__xludf.DUMMYFUNCTION("""COMPUTED_VALUE"""),209.0)</f>
        <v>209</v>
      </c>
      <c r="N1355" s="262" t="str">
        <f>IFERROR(__xludf.DUMMYFUNCTION("""COMPUTED_VALUE"""),"")</f>
        <v/>
      </c>
      <c r="O1355" s="259" t="str">
        <f>IFERROR(__xludf.DUMMYFUNCTION("""COMPUTED_VALUE"""),"")</f>
        <v/>
      </c>
      <c r="P1355" s="259">
        <f>IFERROR(__xludf.DUMMYFUNCTION("""COMPUTED_VALUE"""),42536.0)</f>
        <v>42536</v>
      </c>
      <c r="Q1355" s="258">
        <f>IFERROR(__xludf.DUMMYFUNCTION("""COMPUTED_VALUE"""),13659.0)</f>
        <v>13659</v>
      </c>
      <c r="R1355" s="261">
        <f>IFERROR(__xludf.DUMMYFUNCTION("""COMPUTED_VALUE"""),369.0)</f>
        <v>369</v>
      </c>
      <c r="S1355" s="258">
        <v>360.0</v>
      </c>
      <c r="T1355" s="263">
        <v>1.025</v>
      </c>
      <c r="U1355" s="264">
        <v>8487.0</v>
      </c>
      <c r="V1355" s="265">
        <v>13659.0</v>
      </c>
      <c r="W1355" s="264">
        <v>8487.0</v>
      </c>
      <c r="X1355" s="266"/>
      <c r="Y1355" s="267">
        <v>-0.01</v>
      </c>
      <c r="Z1355" s="267">
        <v>0.9801674423206754</v>
      </c>
      <c r="AA1355" s="269"/>
      <c r="AB1355" s="270"/>
      <c r="AC1355" s="270"/>
      <c r="AD1355" s="270"/>
      <c r="AE1355" s="270"/>
    </row>
    <row r="1356">
      <c r="A1356" s="256">
        <f>IFERROR(__xludf.DUMMYFUNCTION("""COMPUTED_VALUE"""),42620.39513888889)</f>
        <v>42620.39514</v>
      </c>
      <c r="B1356" s="257" t="str">
        <f>IFERROR(__xludf.DUMMYFUNCTION("""COMPUTED_VALUE"""),"Stickybit")</f>
        <v>Stickybit</v>
      </c>
      <c r="C1356" s="258" t="str">
        <f>IFERROR(__xludf.DUMMYFUNCTION("""COMPUTED_VALUE"""),"Europe (excluding UK) &amp; Asia Pacific")</f>
        <v>Europe (excluding UK) &amp; Asia Pacific</v>
      </c>
      <c r="D1356" s="258" t="str">
        <f>IFERROR(__xludf.DUMMYFUNCTION("""COMPUTED_VALUE"""),"km. My car displays range in kilometres and I will enter all range numbers in kilometres.")</f>
        <v>km. My car displays range in kilometres and I will enter all range numbers in kilometres.</v>
      </c>
      <c r="E1356" s="259">
        <f>IFERROR(__xludf.DUMMYFUNCTION("""COMPUTED_VALUE"""),42444.0)</f>
        <v>42444</v>
      </c>
      <c r="F1356" s="258" t="str">
        <f>IFERROR(__xludf.DUMMYFUNCTION("""COMPUTED_VALUE"""),"Model S 70D")</f>
        <v>Model S 70D</v>
      </c>
      <c r="G1356" s="258" t="str">
        <f>IFERROR(__xludf.DUMMYFUNCTION("""COMPUTED_VALUE"""),"Twice a month")</f>
        <v>Twice a month</v>
      </c>
      <c r="H1356" s="258" t="str">
        <f>IFERROR(__xludf.DUMMYFUNCTION("""COMPUTED_VALUE"""),"Weekly")</f>
        <v>Weekly</v>
      </c>
      <c r="I1356" s="258" t="str">
        <f>IFERROR(__xludf.DUMMYFUNCTION("""COMPUTED_VALUE"""),"Once or twice a year")</f>
        <v>Once or twice a year</v>
      </c>
      <c r="J1356" s="260">
        <f>IFERROR(__xludf.DUMMYFUNCTION("""COMPUTED_VALUE"""),0.9)</f>
        <v>0.9</v>
      </c>
      <c r="K1356" s="258">
        <f>IFERROR(__xludf.DUMMYFUNCTION("""COMPUTED_VALUE"""),360.0)</f>
        <v>360</v>
      </c>
      <c r="L1356" s="258" t="str">
        <f>IFERROR(__xludf.DUMMYFUNCTION("""COMPUTED_VALUE"""),"")</f>
        <v/>
      </c>
      <c r="M1356" s="261">
        <f>IFERROR(__xludf.DUMMYFUNCTION("""COMPUTED_VALUE"""),218.0)</f>
        <v>218</v>
      </c>
      <c r="N1356" s="262" t="str">
        <f>IFERROR(__xludf.DUMMYFUNCTION("""COMPUTED_VALUE"""),"")</f>
        <v/>
      </c>
      <c r="O1356" s="259" t="str">
        <f>IFERROR(__xludf.DUMMYFUNCTION("""COMPUTED_VALUE"""),"")</f>
        <v/>
      </c>
      <c r="P1356" s="259">
        <f>IFERROR(__xludf.DUMMYFUNCTION("""COMPUTED_VALUE"""),42620.0)</f>
        <v>42620</v>
      </c>
      <c r="Q1356" s="258">
        <f>IFERROR(__xludf.DUMMYFUNCTION("""COMPUTED_VALUE"""),21045.0)</f>
        <v>21045</v>
      </c>
      <c r="R1356" s="261">
        <f>IFERROR(__xludf.DUMMYFUNCTION("""COMPUTED_VALUE"""),366.0)</f>
        <v>366</v>
      </c>
      <c r="S1356" s="258">
        <v>360.0</v>
      </c>
      <c r="T1356" s="263">
        <v>1.0166666666666666</v>
      </c>
      <c r="U1356" s="264">
        <v>13077.0</v>
      </c>
      <c r="V1356" s="265">
        <v>21045.0</v>
      </c>
      <c r="W1356" s="264">
        <v>13077.0</v>
      </c>
      <c r="X1356" s="266"/>
      <c r="Y1356" s="267">
        <v>-0.01</v>
      </c>
      <c r="Z1356" s="267">
        <v>0.9736606689946273</v>
      </c>
      <c r="AA1356" s="269"/>
      <c r="AB1356" s="270"/>
      <c r="AC1356" s="270"/>
      <c r="AD1356" s="270"/>
      <c r="AE1356" s="270"/>
    </row>
    <row r="1357">
      <c r="A1357" s="256">
        <f>IFERROR(__xludf.DUMMYFUNCTION("""COMPUTED_VALUE"""),42727.47708333333)</f>
        <v>42727.47708</v>
      </c>
      <c r="B1357" s="257" t="str">
        <f>IFERROR(__xludf.DUMMYFUNCTION("""COMPUTED_VALUE"""),"Stickybit")</f>
        <v>Stickybit</v>
      </c>
      <c r="C1357" s="258" t="str">
        <f>IFERROR(__xludf.DUMMYFUNCTION("""COMPUTED_VALUE"""),"Europe (excluding UK) &amp; Asia Pacific")</f>
        <v>Europe (excluding UK) &amp; Asia Pacific</v>
      </c>
      <c r="D1357" s="258" t="str">
        <f>IFERROR(__xludf.DUMMYFUNCTION("""COMPUTED_VALUE"""),"km. My car displays range in kilometres and I will enter all range numbers in kilometres.")</f>
        <v>km. My car displays range in kilometres and I will enter all range numbers in kilometres.</v>
      </c>
      <c r="E1357" s="259">
        <f>IFERROR(__xludf.DUMMYFUNCTION("""COMPUTED_VALUE"""),42444.0)</f>
        <v>42444</v>
      </c>
      <c r="F1357" s="258" t="str">
        <f>IFERROR(__xludf.DUMMYFUNCTION("""COMPUTED_VALUE"""),"Model S 70D")</f>
        <v>Model S 70D</v>
      </c>
      <c r="G1357" s="258" t="str">
        <f>IFERROR(__xludf.DUMMYFUNCTION("""COMPUTED_VALUE"""),"Monthly")</f>
        <v>Monthly</v>
      </c>
      <c r="H1357" s="258" t="str">
        <f>IFERROR(__xludf.DUMMYFUNCTION("""COMPUTED_VALUE"""),"Twice a month")</f>
        <v>Twice a month</v>
      </c>
      <c r="I1357" s="258" t="str">
        <f>IFERROR(__xludf.DUMMYFUNCTION("""COMPUTED_VALUE"""),"Never")</f>
        <v>Never</v>
      </c>
      <c r="J1357" s="260">
        <f>IFERROR(__xludf.DUMMYFUNCTION("""COMPUTED_VALUE"""),0.9)</f>
        <v>0.9</v>
      </c>
      <c r="K1357" s="258">
        <f>IFERROR(__xludf.DUMMYFUNCTION("""COMPUTED_VALUE"""),360.0)</f>
        <v>360</v>
      </c>
      <c r="L1357" s="258" t="str">
        <f>IFERROR(__xludf.DUMMYFUNCTION("""COMPUTED_VALUE"""),"")</f>
        <v/>
      </c>
      <c r="M1357" s="261">
        <f>IFERROR(__xludf.DUMMYFUNCTION("""COMPUTED_VALUE"""),204.0)</f>
        <v>204</v>
      </c>
      <c r="N1357" s="262" t="str">
        <f>IFERROR(__xludf.DUMMYFUNCTION("""COMPUTED_VALUE"""),"")</f>
        <v/>
      </c>
      <c r="O1357" s="259" t="str">
        <f>IFERROR(__xludf.DUMMYFUNCTION("""COMPUTED_VALUE"""),"")</f>
        <v/>
      </c>
      <c r="P1357" s="259">
        <f>IFERROR(__xludf.DUMMYFUNCTION("""COMPUTED_VALUE"""),42727.0)</f>
        <v>42727</v>
      </c>
      <c r="Q1357" s="258">
        <f>IFERROR(__xludf.DUMMYFUNCTION("""COMPUTED_VALUE"""),32500.0)</f>
        <v>32500</v>
      </c>
      <c r="R1357" s="261">
        <f>IFERROR(__xludf.DUMMYFUNCTION("""COMPUTED_VALUE"""),362.0)</f>
        <v>362</v>
      </c>
      <c r="S1357" s="258">
        <v>360.0</v>
      </c>
      <c r="T1357" s="263">
        <v>1.0055555555555555</v>
      </c>
      <c r="U1357" s="264">
        <v>20195.0</v>
      </c>
      <c r="V1357" s="265">
        <v>32500.0</v>
      </c>
      <c r="W1357" s="264">
        <v>20195.0</v>
      </c>
      <c r="X1357" s="266"/>
      <c r="Y1357" s="267">
        <v>-0.01</v>
      </c>
      <c r="Z1357" s="267">
        <v>0.9666643097494799</v>
      </c>
      <c r="AA1357" s="269"/>
      <c r="AB1357" s="270"/>
      <c r="AC1357" s="270"/>
      <c r="AD1357" s="270"/>
      <c r="AE1357" s="270"/>
    </row>
    <row r="1358">
      <c r="A1358" s="256">
        <f>IFERROR(__xludf.DUMMYFUNCTION("""COMPUTED_VALUE"""),42779.49930555555)</f>
        <v>42779.49931</v>
      </c>
      <c r="B1358" s="257" t="str">
        <f>IFERROR(__xludf.DUMMYFUNCTION("""COMPUTED_VALUE"""),"Stickybit")</f>
        <v>Stickybit</v>
      </c>
      <c r="C1358" s="258" t="str">
        <f>IFERROR(__xludf.DUMMYFUNCTION("""COMPUTED_VALUE"""),"Europe (excluding UK) &amp; Asia Pacific")</f>
        <v>Europe (excluding UK) &amp; Asia Pacific</v>
      </c>
      <c r="D1358" s="258" t="str">
        <f>IFERROR(__xludf.DUMMYFUNCTION("""COMPUTED_VALUE"""),"km. My car displays range in kilometres and I will enter all range numbers in kilometres.")</f>
        <v>km. My car displays range in kilometres and I will enter all range numbers in kilometres.</v>
      </c>
      <c r="E1358" s="259">
        <f>IFERROR(__xludf.DUMMYFUNCTION("""COMPUTED_VALUE"""),42444.0)</f>
        <v>42444</v>
      </c>
      <c r="F1358" s="258" t="str">
        <f>IFERROR(__xludf.DUMMYFUNCTION("""COMPUTED_VALUE"""),"Model S 70D")</f>
        <v>Model S 70D</v>
      </c>
      <c r="G1358" s="258" t="str">
        <f>IFERROR(__xludf.DUMMYFUNCTION("""COMPUTED_VALUE"""),"A few times a year")</f>
        <v>A few times a year</v>
      </c>
      <c r="H1358" s="258" t="str">
        <f>IFERROR(__xludf.DUMMYFUNCTION("""COMPUTED_VALUE"""),"Twice a month")</f>
        <v>Twice a month</v>
      </c>
      <c r="I1358" s="258" t="str">
        <f>IFERROR(__xludf.DUMMYFUNCTION("""COMPUTED_VALUE"""),"Once or twice a year")</f>
        <v>Once or twice a year</v>
      </c>
      <c r="J1358" s="260">
        <f>IFERROR(__xludf.DUMMYFUNCTION("""COMPUTED_VALUE"""),0.9)</f>
        <v>0.9</v>
      </c>
      <c r="K1358" s="258">
        <f>IFERROR(__xludf.DUMMYFUNCTION("""COMPUTED_VALUE"""),360.0)</f>
        <v>360</v>
      </c>
      <c r="L1358" s="258" t="str">
        <f>IFERROR(__xludf.DUMMYFUNCTION("""COMPUTED_VALUE"""),"")</f>
        <v/>
      </c>
      <c r="M1358" s="261">
        <f>IFERROR(__xludf.DUMMYFUNCTION("""COMPUTED_VALUE"""),207.0)</f>
        <v>207</v>
      </c>
      <c r="N1358" s="262" t="str">
        <f>IFERROR(__xludf.DUMMYFUNCTION("""COMPUTED_VALUE"""),"")</f>
        <v/>
      </c>
      <c r="O1358" s="259" t="str">
        <f>IFERROR(__xludf.DUMMYFUNCTION("""COMPUTED_VALUE"""),"")</f>
        <v/>
      </c>
      <c r="P1358" s="259">
        <f>IFERROR(__xludf.DUMMYFUNCTION("""COMPUTED_VALUE"""),42779.0)</f>
        <v>42779</v>
      </c>
      <c r="Q1358" s="258">
        <f>IFERROR(__xludf.DUMMYFUNCTION("""COMPUTED_VALUE"""),37124.0)</f>
        <v>37124</v>
      </c>
      <c r="R1358" s="261">
        <f>IFERROR(__xludf.DUMMYFUNCTION("""COMPUTED_VALUE"""),364.0)</f>
        <v>364</v>
      </c>
      <c r="S1358" s="258">
        <v>360.0</v>
      </c>
      <c r="T1358" s="263">
        <v>1.011111111111111</v>
      </c>
      <c r="U1358" s="264">
        <v>23068.0</v>
      </c>
      <c r="V1358" s="265">
        <v>37124.0</v>
      </c>
      <c r="W1358" s="264">
        <v>23068.0</v>
      </c>
      <c r="X1358" s="266"/>
      <c r="Y1358" s="267">
        <v>-0.01</v>
      </c>
      <c r="Z1358" s="267">
        <v>0.9645132308638662</v>
      </c>
      <c r="AA1358" s="269"/>
      <c r="AB1358" s="270"/>
      <c r="AC1358" s="270"/>
      <c r="AD1358" s="270"/>
      <c r="AE1358" s="270"/>
    </row>
    <row r="1359">
      <c r="A1359" s="256">
        <f>IFERROR(__xludf.DUMMYFUNCTION("""COMPUTED_VALUE"""),42838.53472222222)</f>
        <v>42838.53472</v>
      </c>
      <c r="B1359" s="257" t="str">
        <f>IFERROR(__xludf.DUMMYFUNCTION("""COMPUTED_VALUE"""),"Stickybit")</f>
        <v>Stickybit</v>
      </c>
      <c r="C1359" s="258" t="str">
        <f>IFERROR(__xludf.DUMMYFUNCTION("""COMPUTED_VALUE"""),"Europe (excluding UK) &amp; Asia Pacific")</f>
        <v>Europe (excluding UK) &amp; Asia Pacific</v>
      </c>
      <c r="D1359" s="258" t="str">
        <f>IFERROR(__xludf.DUMMYFUNCTION("""COMPUTED_VALUE"""),"km. My car displays range in kilometres and I will enter all range numbers in kilometres.")</f>
        <v>km. My car displays range in kilometres and I will enter all range numbers in kilometres.</v>
      </c>
      <c r="E1359" s="259">
        <f>IFERROR(__xludf.DUMMYFUNCTION("""COMPUTED_VALUE"""),42444.0)</f>
        <v>42444</v>
      </c>
      <c r="F1359" s="258" t="str">
        <f>IFERROR(__xludf.DUMMYFUNCTION("""COMPUTED_VALUE"""),"Model S 70D")</f>
        <v>Model S 70D</v>
      </c>
      <c r="G1359" s="258" t="str">
        <f>IFERROR(__xludf.DUMMYFUNCTION("""COMPUTED_VALUE"""),"Monthly")</f>
        <v>Monthly</v>
      </c>
      <c r="H1359" s="258" t="str">
        <f>IFERROR(__xludf.DUMMYFUNCTION("""COMPUTED_VALUE"""),"Twice a month")</f>
        <v>Twice a month</v>
      </c>
      <c r="I1359" s="258" t="str">
        <f>IFERROR(__xludf.DUMMYFUNCTION("""COMPUTED_VALUE"""),"Once or twice a year")</f>
        <v>Once or twice a year</v>
      </c>
      <c r="J1359" s="260">
        <f>IFERROR(__xludf.DUMMYFUNCTION("""COMPUTED_VALUE"""),0.9)</f>
        <v>0.9</v>
      </c>
      <c r="K1359" s="258">
        <f>IFERROR(__xludf.DUMMYFUNCTION("""COMPUTED_VALUE"""),360.0)</f>
        <v>360</v>
      </c>
      <c r="L1359" s="258" t="str">
        <f>IFERROR(__xludf.DUMMYFUNCTION("""COMPUTED_VALUE"""),"")</f>
        <v/>
      </c>
      <c r="M1359" s="261">
        <f>IFERROR(__xludf.DUMMYFUNCTION("""COMPUTED_VALUE"""),209.0)</f>
        <v>209</v>
      </c>
      <c r="N1359" s="262" t="str">
        <f>IFERROR(__xludf.DUMMYFUNCTION("""COMPUTED_VALUE"""),"")</f>
        <v/>
      </c>
      <c r="O1359" s="259" t="str">
        <f>IFERROR(__xludf.DUMMYFUNCTION("""COMPUTED_VALUE"""),"")</f>
        <v/>
      </c>
      <c r="P1359" s="259">
        <f>IFERROR(__xludf.DUMMYFUNCTION("""COMPUTED_VALUE"""),42838.0)</f>
        <v>42838</v>
      </c>
      <c r="Q1359" s="258">
        <f>IFERROR(__xludf.DUMMYFUNCTION("""COMPUTED_VALUE"""),43082.0)</f>
        <v>43082</v>
      </c>
      <c r="R1359" s="261">
        <f>IFERROR(__xludf.DUMMYFUNCTION("""COMPUTED_VALUE"""),365.0)</f>
        <v>365</v>
      </c>
      <c r="S1359" s="258">
        <v>360.0</v>
      </c>
      <c r="T1359" s="263">
        <v>1.0138888888888888</v>
      </c>
      <c r="U1359" s="264">
        <v>26770.0</v>
      </c>
      <c r="V1359" s="265">
        <v>43082.0</v>
      </c>
      <c r="W1359" s="264">
        <v>26770.0</v>
      </c>
      <c r="X1359" s="266"/>
      <c r="Y1359" s="267">
        <v>-0.01</v>
      </c>
      <c r="Z1359" s="267">
        <v>0.9621095862866502</v>
      </c>
      <c r="AA1359" s="269"/>
      <c r="AB1359" s="270"/>
      <c r="AC1359" s="270"/>
      <c r="AD1359" s="270"/>
      <c r="AE1359" s="270"/>
    </row>
    <row r="1360">
      <c r="A1360" s="256">
        <f>IFERROR(__xludf.DUMMYFUNCTION("""COMPUTED_VALUE"""),43123.679861111115)</f>
        <v>43123.67986</v>
      </c>
      <c r="B1360" s="257" t="str">
        <f>IFERROR(__xludf.DUMMYFUNCTION("""COMPUTED_VALUE"""),"Stickybit")</f>
        <v>Stickybit</v>
      </c>
      <c r="C1360" s="258" t="str">
        <f>IFERROR(__xludf.DUMMYFUNCTION("""COMPUTED_VALUE"""),"Europe (excluding UK) &amp; Asia Pacific")</f>
        <v>Europe (excluding UK) &amp; Asia Pacific</v>
      </c>
      <c r="D1360" s="258" t="str">
        <f>IFERROR(__xludf.DUMMYFUNCTION("""COMPUTED_VALUE"""),"km. My car displays range in kilometres and I will enter all range numbers in kilometres.")</f>
        <v>km. My car displays range in kilometres and I will enter all range numbers in kilometres.</v>
      </c>
      <c r="E1360" s="259">
        <f>IFERROR(__xludf.DUMMYFUNCTION("""COMPUTED_VALUE"""),42444.0)</f>
        <v>42444</v>
      </c>
      <c r="F1360" s="258" t="str">
        <f>IFERROR(__xludf.DUMMYFUNCTION("""COMPUTED_VALUE"""),"Model S 70D")</f>
        <v>Model S 70D</v>
      </c>
      <c r="G1360" s="258" t="str">
        <f>IFERROR(__xludf.DUMMYFUNCTION("""COMPUTED_VALUE"""),"Monthly")</f>
        <v>Monthly</v>
      </c>
      <c r="H1360" s="258" t="str">
        <f>IFERROR(__xludf.DUMMYFUNCTION("""COMPUTED_VALUE"""),"A few times a year")</f>
        <v>A few times a year</v>
      </c>
      <c r="I1360" s="258" t="str">
        <f>IFERROR(__xludf.DUMMYFUNCTION("""COMPUTED_VALUE"""),"Once or twice a year")</f>
        <v>Once or twice a year</v>
      </c>
      <c r="J1360" s="260">
        <f>IFERROR(__xludf.DUMMYFUNCTION("""COMPUTED_VALUE"""),0.9)</f>
        <v>0.9</v>
      </c>
      <c r="K1360" s="258">
        <f>IFERROR(__xludf.DUMMYFUNCTION("""COMPUTED_VALUE"""),367.0)</f>
        <v>367</v>
      </c>
      <c r="L1360" s="258" t="str">
        <f>IFERROR(__xludf.DUMMYFUNCTION("""COMPUTED_VALUE"""),"")</f>
        <v/>
      </c>
      <c r="M1360" s="261">
        <f>IFERROR(__xludf.DUMMYFUNCTION("""COMPUTED_VALUE"""),207.0)</f>
        <v>207</v>
      </c>
      <c r="N1360" s="262" t="str">
        <f>IFERROR(__xludf.DUMMYFUNCTION("""COMPUTED_VALUE"""),"")</f>
        <v/>
      </c>
      <c r="O1360" s="259" t="str">
        <f>IFERROR(__xludf.DUMMYFUNCTION("""COMPUTED_VALUE"""),"")</f>
        <v/>
      </c>
      <c r="P1360" s="259">
        <f>IFERROR(__xludf.DUMMYFUNCTION("""COMPUTED_VALUE"""),43123.0)</f>
        <v>43123</v>
      </c>
      <c r="Q1360" s="258">
        <f>IFERROR(__xludf.DUMMYFUNCTION("""COMPUTED_VALUE"""),68968.0)</f>
        <v>68968</v>
      </c>
      <c r="R1360" s="261">
        <f>IFERROR(__xludf.DUMMYFUNCTION("""COMPUTED_VALUE"""),355.0)</f>
        <v>355</v>
      </c>
      <c r="S1360" s="258">
        <v>360.0</v>
      </c>
      <c r="T1360" s="263">
        <v>0.9861111111111112</v>
      </c>
      <c r="U1360" s="264">
        <v>42855.0</v>
      </c>
      <c r="V1360" s="265">
        <v>68968.0</v>
      </c>
      <c r="W1360" s="264">
        <v>42855.0</v>
      </c>
      <c r="X1360" s="266"/>
      <c r="Y1360" s="267">
        <v>-0.01</v>
      </c>
      <c r="Z1360" s="267">
        <v>0.9542043511921501</v>
      </c>
      <c r="AA1360" s="269"/>
      <c r="AB1360" s="270"/>
      <c r="AC1360" s="270"/>
      <c r="AD1360" s="270"/>
      <c r="AE1360" s="270"/>
    </row>
    <row r="1361">
      <c r="A1361" s="256">
        <f>IFERROR(__xludf.DUMMYFUNCTION("""COMPUTED_VALUE"""),42946.84583333333)</f>
        <v>42946.84583</v>
      </c>
      <c r="B1361" s="257" t="str">
        <f>IFERROR(__xludf.DUMMYFUNCTION("""COMPUTED_VALUE"""),"Stuke")</f>
        <v>Stuke</v>
      </c>
      <c r="C1361" s="258" t="str">
        <f>IFERROR(__xludf.DUMMYFUNCTION("""COMPUTED_VALUE"""),"USA")</f>
        <v>USA</v>
      </c>
      <c r="D1361" s="258" t="str">
        <f>IFERROR(__xludf.DUMMYFUNCTION("""COMPUTED_VALUE"""),"mi. My car displays range in miles and I will enter all range numbers in miles.")</f>
        <v>mi. My car displays range in miles and I will enter all range numbers in miles.</v>
      </c>
      <c r="E1361" s="259">
        <f>IFERROR(__xludf.DUMMYFUNCTION("""COMPUTED_VALUE"""),42154.0)</f>
        <v>42154</v>
      </c>
      <c r="F1361" s="258" t="str">
        <f>IFERROR(__xludf.DUMMYFUNCTION("""COMPUTED_VALUE"""),"Model S P85D")</f>
        <v>Model S P85D</v>
      </c>
      <c r="G1361" s="258" t="str">
        <f>IFERROR(__xludf.DUMMYFUNCTION("""COMPUTED_VALUE"""),"Twice a month")</f>
        <v>Twice a month</v>
      </c>
      <c r="H1361" s="258" t="str">
        <f>IFERROR(__xludf.DUMMYFUNCTION("""COMPUTED_VALUE"""),"Monthly")</f>
        <v>Monthly</v>
      </c>
      <c r="I1361" s="258" t="str">
        <f>IFERROR(__xludf.DUMMYFUNCTION("""COMPUTED_VALUE"""),"Once or twice a year")</f>
        <v>Once or twice a year</v>
      </c>
      <c r="J1361" s="260">
        <f>IFERROR(__xludf.DUMMYFUNCTION("""COMPUTED_VALUE"""),0.8)</f>
        <v>0.8</v>
      </c>
      <c r="K1361" s="258" t="str">
        <f>IFERROR(__xludf.DUMMYFUNCTION("""COMPUTED_VALUE"""),"")</f>
        <v/>
      </c>
      <c r="L1361" s="258" t="str">
        <f>IFERROR(__xludf.DUMMYFUNCTION("""COMPUTED_VALUE"""),"")</f>
        <v/>
      </c>
      <c r="M1361" s="261">
        <f>IFERROR(__xludf.DUMMYFUNCTION("""COMPUTED_VALUE"""),303.0)</f>
        <v>303</v>
      </c>
      <c r="N1361" s="262" t="str">
        <f>IFERROR(__xludf.DUMMYFUNCTION("""COMPUTED_VALUE"""),"")</f>
        <v/>
      </c>
      <c r="O1361" s="259" t="str">
        <f>IFERROR(__xludf.DUMMYFUNCTION("""COMPUTED_VALUE"""),"")</f>
        <v/>
      </c>
      <c r="P1361" s="259">
        <f>IFERROR(__xludf.DUMMYFUNCTION("""COMPUTED_VALUE"""),42946.0)</f>
        <v>42946</v>
      </c>
      <c r="Q1361" s="258">
        <f>IFERROR(__xludf.DUMMYFUNCTION("""COMPUTED_VALUE"""),30538.0)</f>
        <v>30538</v>
      </c>
      <c r="R1361" s="261">
        <f>IFERROR(__xludf.DUMMYFUNCTION("""COMPUTED_VALUE"""),249.0)</f>
        <v>249</v>
      </c>
      <c r="S1361" s="258">
        <v>253.0</v>
      </c>
      <c r="T1361" s="263">
        <v>0.9841897233201581</v>
      </c>
      <c r="U1361" s="264">
        <v>30538.0</v>
      </c>
      <c r="V1361" s="265">
        <v>49146.0</v>
      </c>
      <c r="W1361" s="264">
        <v>30538.0</v>
      </c>
      <c r="X1361" s="266"/>
      <c r="Y1361" s="267">
        <v>-0.01</v>
      </c>
      <c r="Z1361" s="267">
        <v>0.9599720766333385</v>
      </c>
      <c r="AA1361" s="269"/>
      <c r="AB1361" s="270"/>
      <c r="AC1361" s="270"/>
      <c r="AD1361" s="270"/>
      <c r="AE1361" s="270"/>
    </row>
    <row r="1362">
      <c r="A1362" s="256">
        <f>IFERROR(__xludf.DUMMYFUNCTION("""COMPUTED_VALUE"""),42427.29375)</f>
        <v>42427.29375</v>
      </c>
      <c r="B1362" s="257" t="str">
        <f>IFERROR(__xludf.DUMMYFUNCTION("""COMPUTED_VALUE"""),"Sues")</f>
        <v>Sues</v>
      </c>
      <c r="C1362" s="258" t="str">
        <f>IFERROR(__xludf.DUMMYFUNCTION("""COMPUTED_VALUE"""),"Europe (excluding UK) &amp; Asia Pacific")</f>
        <v>Europe (excluding UK) &amp; Asia Pacific</v>
      </c>
      <c r="D1362" s="258" t="str">
        <f>IFERROR(__xludf.DUMMYFUNCTION("""COMPUTED_VALUE"""),"km. My car displays range in kilometres and I will enter all range numbers in kilometres.")</f>
        <v>km. My car displays range in kilometres and I will enter all range numbers in kilometres.</v>
      </c>
      <c r="E1362" s="259">
        <f>IFERROR(__xludf.DUMMYFUNCTION("""COMPUTED_VALUE"""),41717.0)</f>
        <v>41717</v>
      </c>
      <c r="F1362" s="258" t="str">
        <f>IFERROR(__xludf.DUMMYFUNCTION("""COMPUTED_VALUE"""),"Model S 85")</f>
        <v>Model S 85</v>
      </c>
      <c r="G1362" s="258" t="str">
        <f>IFERROR(__xludf.DUMMYFUNCTION("""COMPUTED_VALUE"""),"")</f>
        <v/>
      </c>
      <c r="H1362" s="258" t="str">
        <f>IFERROR(__xludf.DUMMYFUNCTION("""COMPUTED_VALUE"""),"")</f>
        <v/>
      </c>
      <c r="I1362" s="258" t="str">
        <f>IFERROR(__xludf.DUMMYFUNCTION("""COMPUTED_VALUE"""),"")</f>
        <v/>
      </c>
      <c r="J1362" s="260" t="str">
        <f>IFERROR(__xludf.DUMMYFUNCTION("""COMPUTED_VALUE"""),"")</f>
        <v/>
      </c>
      <c r="K1362" s="258" t="str">
        <f>IFERROR(__xludf.DUMMYFUNCTION("""COMPUTED_VALUE"""),"")</f>
        <v/>
      </c>
      <c r="L1362" s="258" t="str">
        <f>IFERROR(__xludf.DUMMYFUNCTION("""COMPUTED_VALUE"""),"")</f>
        <v/>
      </c>
      <c r="M1362" s="261">
        <f>IFERROR(__xludf.DUMMYFUNCTION("""COMPUTED_VALUE"""),222.0)</f>
        <v>222</v>
      </c>
      <c r="N1362" s="262" t="str">
        <f>IFERROR(__xludf.DUMMYFUNCTION("""COMPUTED_VALUE"""),"")</f>
        <v/>
      </c>
      <c r="O1362" s="259" t="str">
        <f>IFERROR(__xludf.DUMMYFUNCTION("""COMPUTED_VALUE"""),"")</f>
        <v/>
      </c>
      <c r="P1362" s="259">
        <f>IFERROR(__xludf.DUMMYFUNCTION("""COMPUTED_VALUE"""),42427.0)</f>
        <v>42427</v>
      </c>
      <c r="Q1362" s="258">
        <f>IFERROR(__xludf.DUMMYFUNCTION("""COMPUTED_VALUE"""),42200.0)</f>
        <v>42200</v>
      </c>
      <c r="R1362" s="261">
        <f>IFERROR(__xludf.DUMMYFUNCTION("""COMPUTED_VALUE"""),365.0)</f>
        <v>365</v>
      </c>
      <c r="S1362" s="258">
        <v>395.0</v>
      </c>
      <c r="T1362" s="263">
        <v>0.9240506329113924</v>
      </c>
      <c r="U1362" s="264">
        <v>26222.0</v>
      </c>
      <c r="V1362" s="265">
        <v>42200.0</v>
      </c>
      <c r="W1362" s="264">
        <v>26222.0</v>
      </c>
      <c r="X1362" s="266"/>
      <c r="Y1362" s="267">
        <v>-0.01</v>
      </c>
      <c r="Z1362" s="267">
        <v>0.9624438652214488</v>
      </c>
      <c r="AA1362" s="269"/>
      <c r="AB1362" s="270"/>
      <c r="AC1362" s="270"/>
      <c r="AD1362" s="270"/>
      <c r="AE1362" s="270"/>
    </row>
    <row r="1363">
      <c r="A1363" s="256">
        <f>IFERROR(__xludf.DUMMYFUNCTION("""COMPUTED_VALUE"""),42448.30972222222)</f>
        <v>42448.30972</v>
      </c>
      <c r="B1363" s="257" t="str">
        <f>IFERROR(__xludf.DUMMYFUNCTION("""COMPUTED_VALUE"""),"Sues")</f>
        <v>Sues</v>
      </c>
      <c r="C1363" s="258" t="str">
        <f>IFERROR(__xludf.DUMMYFUNCTION("""COMPUTED_VALUE"""),"Europe (excluding UK) &amp; Asia Pacific")</f>
        <v>Europe (excluding UK) &amp; Asia Pacific</v>
      </c>
      <c r="D1363" s="258" t="str">
        <f>IFERROR(__xludf.DUMMYFUNCTION("""COMPUTED_VALUE"""),"km. My car displays range in kilometres and I will enter all range numbers in kilometres.")</f>
        <v>km. My car displays range in kilometres and I will enter all range numbers in kilometres.</v>
      </c>
      <c r="E1363" s="259">
        <f>IFERROR(__xludf.DUMMYFUNCTION("""COMPUTED_VALUE"""),41717.0)</f>
        <v>41717</v>
      </c>
      <c r="F1363" s="258" t="str">
        <f>IFERROR(__xludf.DUMMYFUNCTION("""COMPUTED_VALUE"""),"Model S 85")</f>
        <v>Model S 85</v>
      </c>
      <c r="G1363" s="258" t="str">
        <f>IFERROR(__xludf.DUMMYFUNCTION("""COMPUTED_VALUE"""),"")</f>
        <v/>
      </c>
      <c r="H1363" s="258" t="str">
        <f>IFERROR(__xludf.DUMMYFUNCTION("""COMPUTED_VALUE"""),"")</f>
        <v/>
      </c>
      <c r="I1363" s="258" t="str">
        <f>IFERROR(__xludf.DUMMYFUNCTION("""COMPUTED_VALUE"""),"")</f>
        <v/>
      </c>
      <c r="J1363" s="260" t="str">
        <f>IFERROR(__xludf.DUMMYFUNCTION("""COMPUTED_VALUE"""),"")</f>
        <v/>
      </c>
      <c r="K1363" s="258" t="str">
        <f>IFERROR(__xludf.DUMMYFUNCTION("""COMPUTED_VALUE"""),"")</f>
        <v/>
      </c>
      <c r="L1363" s="258" t="str">
        <f>IFERROR(__xludf.DUMMYFUNCTION("""COMPUTED_VALUE"""),"")</f>
        <v/>
      </c>
      <c r="M1363" s="261">
        <f>IFERROR(__xludf.DUMMYFUNCTION("""COMPUTED_VALUE"""),222.0)</f>
        <v>222</v>
      </c>
      <c r="N1363" s="262" t="str">
        <f>IFERROR(__xludf.DUMMYFUNCTION("""COMPUTED_VALUE"""),"")</f>
        <v/>
      </c>
      <c r="O1363" s="259" t="str">
        <f>IFERROR(__xludf.DUMMYFUNCTION("""COMPUTED_VALUE"""),"")</f>
        <v/>
      </c>
      <c r="P1363" s="259">
        <f>IFERROR(__xludf.DUMMYFUNCTION("""COMPUTED_VALUE"""),42448.0)</f>
        <v>42448</v>
      </c>
      <c r="Q1363" s="258">
        <f>IFERROR(__xludf.DUMMYFUNCTION("""COMPUTED_VALUE"""),42900.0)</f>
        <v>42900</v>
      </c>
      <c r="R1363" s="261">
        <f>IFERROR(__xludf.DUMMYFUNCTION("""COMPUTED_VALUE"""),376.0)</f>
        <v>376</v>
      </c>
      <c r="S1363" s="258">
        <v>395.0</v>
      </c>
      <c r="T1363" s="263">
        <v>0.9518987341772152</v>
      </c>
      <c r="U1363" s="264">
        <v>26657.0</v>
      </c>
      <c r="V1363" s="265">
        <v>42900.0</v>
      </c>
      <c r="W1363" s="264">
        <v>26657.0</v>
      </c>
      <c r="X1363" s="266"/>
      <c r="Y1363" s="267">
        <v>-0.01</v>
      </c>
      <c r="Z1363" s="267">
        <v>0.9621780178293751</v>
      </c>
      <c r="AA1363" s="269"/>
      <c r="AB1363" s="270"/>
      <c r="AC1363" s="270"/>
      <c r="AD1363" s="270"/>
      <c r="AE1363" s="270"/>
    </row>
    <row r="1364">
      <c r="A1364" s="256">
        <f>IFERROR(__xludf.DUMMYFUNCTION("""COMPUTED_VALUE"""),43079.86388888889)</f>
        <v>43079.86389</v>
      </c>
      <c r="B1364" s="257" t="str">
        <f>IFERROR(__xludf.DUMMYFUNCTION("""COMPUTED_VALUE"""),"sunday")</f>
        <v>sunday</v>
      </c>
      <c r="C1364" s="258" t="str">
        <f>IFERROR(__xludf.DUMMYFUNCTION("""COMPUTED_VALUE"""),"USA")</f>
        <v>USA</v>
      </c>
      <c r="D1364" s="258" t="str">
        <f>IFERROR(__xludf.DUMMYFUNCTION("""COMPUTED_VALUE"""),"mi. My car displays range in miles and I will enter all range numbers in miles.")</f>
        <v>mi. My car displays range in miles and I will enter all range numbers in miles.</v>
      </c>
      <c r="E1364" s="259">
        <f>IFERROR(__xludf.DUMMYFUNCTION("""COMPUTED_VALUE"""),41379.0)</f>
        <v>41379</v>
      </c>
      <c r="F1364" s="258" t="str">
        <f>IFERROR(__xludf.DUMMYFUNCTION("""COMPUTED_VALUE"""),"Model S 85")</f>
        <v>Model S 85</v>
      </c>
      <c r="G1364" s="258" t="str">
        <f>IFERROR(__xludf.DUMMYFUNCTION("""COMPUTED_VALUE"""),"A few times a year")</f>
        <v>A few times a year</v>
      </c>
      <c r="H1364" s="258" t="str">
        <f>IFERROR(__xludf.DUMMYFUNCTION("""COMPUTED_VALUE"""),"A few times a year")</f>
        <v>A few times a year</v>
      </c>
      <c r="I1364" s="258" t="str">
        <f>IFERROR(__xludf.DUMMYFUNCTION("""COMPUTED_VALUE"""),"Never")</f>
        <v>Never</v>
      </c>
      <c r="J1364" s="260">
        <f>IFERROR(__xludf.DUMMYFUNCTION("""COMPUTED_VALUE"""),0.9)</f>
        <v>0.9</v>
      </c>
      <c r="K1364" s="258">
        <f>IFERROR(__xludf.DUMMYFUNCTION("""COMPUTED_VALUE"""),256.0)</f>
        <v>256</v>
      </c>
      <c r="L1364" s="258" t="str">
        <f>IFERROR(__xludf.DUMMYFUNCTION("""COMPUTED_VALUE"""),"")</f>
        <v/>
      </c>
      <c r="M1364" s="261">
        <f>IFERROR(__xludf.DUMMYFUNCTION("""COMPUTED_VALUE"""),321.0)</f>
        <v>321</v>
      </c>
      <c r="N1364" s="262" t="str">
        <f>IFERROR(__xludf.DUMMYFUNCTION("""COMPUTED_VALUE"""),"")</f>
        <v/>
      </c>
      <c r="O1364" s="259" t="str">
        <f>IFERROR(__xludf.DUMMYFUNCTION("""COMPUTED_VALUE"""),"")</f>
        <v/>
      </c>
      <c r="P1364" s="259">
        <f>IFERROR(__xludf.DUMMYFUNCTION("""COMPUTED_VALUE"""),43079.0)</f>
        <v>43079</v>
      </c>
      <c r="Q1364" s="258">
        <f>IFERROR(__xludf.DUMMYFUNCTION("""COMPUTED_VALUE"""),58070.0)</f>
        <v>58070</v>
      </c>
      <c r="R1364" s="261">
        <f>IFERROR(__xludf.DUMMYFUNCTION("""COMPUTED_VALUE"""),244.0)</f>
        <v>244</v>
      </c>
      <c r="S1364" s="258">
        <v>266.0</v>
      </c>
      <c r="T1364" s="263">
        <v>0.9172932330827067</v>
      </c>
      <c r="U1364" s="264">
        <v>58070.0</v>
      </c>
      <c r="V1364" s="265">
        <v>93455.0</v>
      </c>
      <c r="W1364" s="264">
        <v>58070.0</v>
      </c>
      <c r="X1364" s="266"/>
      <c r="Y1364" s="267">
        <v>-0.01</v>
      </c>
      <c r="Z1364" s="267">
        <v>0.9481373464918806</v>
      </c>
      <c r="AA1364" s="269"/>
      <c r="AB1364" s="270"/>
      <c r="AC1364" s="270"/>
      <c r="AD1364" s="270"/>
      <c r="AE1364" s="270"/>
    </row>
    <row r="1365">
      <c r="A1365" s="256">
        <f>IFERROR(__xludf.DUMMYFUNCTION("""COMPUTED_VALUE"""),43882.86416405093)</f>
        <v>43882.86416</v>
      </c>
      <c r="B1365" s="257" t="str">
        <f>IFERROR(__xludf.DUMMYFUNCTION("""COMPUTED_VALUE"""),"Surfi")</f>
        <v>Surfi</v>
      </c>
      <c r="C1365" s="258" t="str">
        <f>IFERROR(__xludf.DUMMYFUNCTION("""COMPUTED_VALUE"""),"Europe (excluding UK) &amp; Asia Pacific")</f>
        <v>Europe (excluding UK) &amp; Asia Pacific</v>
      </c>
      <c r="D1365" s="258" t="str">
        <f>IFERROR(__xludf.DUMMYFUNCTION("""COMPUTED_VALUE"""),"km. My car displays range in kilometres and I will enter all range numbers in kilometres.")</f>
        <v>km. My car displays range in kilometres and I will enter all range numbers in kilometres.</v>
      </c>
      <c r="E1365" s="259">
        <f>IFERROR(__xludf.DUMMYFUNCTION("""COMPUTED_VALUE"""),42161.0)</f>
        <v>42161</v>
      </c>
      <c r="F1365" s="258" t="str">
        <f>IFERROR(__xludf.DUMMYFUNCTION("""COMPUTED_VALUE"""),"Model S P85D")</f>
        <v>Model S P85D</v>
      </c>
      <c r="G1365" s="258" t="str">
        <f>IFERROR(__xludf.DUMMYFUNCTION("""COMPUTED_VALUE"""),"Twice a week")</f>
        <v>Twice a week</v>
      </c>
      <c r="H1365" s="258" t="str">
        <f>IFERROR(__xludf.DUMMYFUNCTION("""COMPUTED_VALUE"""),"Once or twice a year")</f>
        <v>Once or twice a year</v>
      </c>
      <c r="I1365" s="258" t="str">
        <f>IFERROR(__xludf.DUMMYFUNCTION("""COMPUTED_VALUE"""),"Once or twice a year")</f>
        <v>Once or twice a year</v>
      </c>
      <c r="J1365" s="260">
        <f>IFERROR(__xludf.DUMMYFUNCTION("""COMPUTED_VALUE"""),0.8)</f>
        <v>0.8</v>
      </c>
      <c r="K1365" s="258">
        <f>IFERROR(__xludf.DUMMYFUNCTION("""COMPUTED_VALUE"""),403.0)</f>
        <v>403</v>
      </c>
      <c r="L1365" s="258">
        <f>IFERROR(__xludf.DUMMYFUNCTION("""COMPUTED_VALUE"""),220.0)</f>
        <v>220</v>
      </c>
      <c r="M1365" s="261">
        <f>IFERROR(__xludf.DUMMYFUNCTION("""COMPUTED_VALUE"""),220.0)</f>
        <v>220</v>
      </c>
      <c r="N1365" s="262" t="str">
        <f>IFERROR(__xludf.DUMMYFUNCTION("""COMPUTED_VALUE"""),"")</f>
        <v/>
      </c>
      <c r="O1365" s="259" t="str">
        <f>IFERROR(__xludf.DUMMYFUNCTION("""COMPUTED_VALUE"""),"")</f>
        <v/>
      </c>
      <c r="P1365" s="259">
        <f>IFERROR(__xludf.DUMMYFUNCTION("""COMPUTED_VALUE"""),43744.0)</f>
        <v>43744</v>
      </c>
      <c r="Q1365" s="258">
        <f>IFERROR(__xludf.DUMMYFUNCTION("""COMPUTED_VALUE"""),96000.0)</f>
        <v>96000</v>
      </c>
      <c r="R1365" s="261">
        <f>IFERROR(__xludf.DUMMYFUNCTION("""COMPUTED_VALUE"""),385.0)</f>
        <v>385</v>
      </c>
      <c r="S1365" s="258">
        <v>403.0</v>
      </c>
      <c r="T1365" s="263">
        <v>0.9553349875930521</v>
      </c>
      <c r="U1365" s="264">
        <v>59652.0</v>
      </c>
      <c r="V1365" s="265">
        <v>96000.0</v>
      </c>
      <c r="W1365" s="264">
        <v>59652.0</v>
      </c>
      <c r="X1365" s="266"/>
      <c r="Y1365" s="267">
        <v>-0.01</v>
      </c>
      <c r="Z1365" s="267">
        <v>0.947532061758441</v>
      </c>
      <c r="AA1365" s="269"/>
      <c r="AB1365" s="270"/>
      <c r="AC1365" s="270"/>
      <c r="AD1365" s="270"/>
      <c r="AE1365" s="270"/>
    </row>
    <row r="1366">
      <c r="A1366" s="256">
        <f>IFERROR(__xludf.DUMMYFUNCTION("""COMPUTED_VALUE"""),43882.86416405093)</f>
        <v>43882.86416</v>
      </c>
      <c r="B1366" s="257" t="str">
        <f>IFERROR(__xludf.DUMMYFUNCTION("""COMPUTED_VALUE"""),"Surfi")</f>
        <v>Surfi</v>
      </c>
      <c r="C1366" s="258" t="str">
        <f>IFERROR(__xludf.DUMMYFUNCTION("""COMPUTED_VALUE"""),"Europe (excluding UK) &amp; Asia Pacific")</f>
        <v>Europe (excluding UK) &amp; Asia Pacific</v>
      </c>
      <c r="D1366" s="258" t="str">
        <f>IFERROR(__xludf.DUMMYFUNCTION("""COMPUTED_VALUE"""),"km. My car displays range in kilometres and I will enter all range numbers in kilometres.")</f>
        <v>km. My car displays range in kilometres and I will enter all range numbers in kilometres.</v>
      </c>
      <c r="E1366" s="259">
        <f>IFERROR(__xludf.DUMMYFUNCTION("""COMPUTED_VALUE"""),42161.0)</f>
        <v>42161</v>
      </c>
      <c r="F1366" s="258" t="str">
        <f>IFERROR(__xludf.DUMMYFUNCTION("""COMPUTED_VALUE"""),"Model S P85D")</f>
        <v>Model S P85D</v>
      </c>
      <c r="G1366" s="258" t="str">
        <f>IFERROR(__xludf.DUMMYFUNCTION("""COMPUTED_VALUE"""),"Twice a week")</f>
        <v>Twice a week</v>
      </c>
      <c r="H1366" s="258" t="str">
        <f>IFERROR(__xludf.DUMMYFUNCTION("""COMPUTED_VALUE"""),"Once or twice a year")</f>
        <v>Once or twice a year</v>
      </c>
      <c r="I1366" s="258" t="str">
        <f>IFERROR(__xludf.DUMMYFUNCTION("""COMPUTED_VALUE"""),"Once or twice a year")</f>
        <v>Once or twice a year</v>
      </c>
      <c r="J1366" s="260">
        <f>IFERROR(__xludf.DUMMYFUNCTION("""COMPUTED_VALUE"""),0.8)</f>
        <v>0.8</v>
      </c>
      <c r="K1366" s="258">
        <f>IFERROR(__xludf.DUMMYFUNCTION("""COMPUTED_VALUE"""),403.0)</f>
        <v>403</v>
      </c>
      <c r="L1366" s="258">
        <f>IFERROR(__xludf.DUMMYFUNCTION("""COMPUTED_VALUE"""),220.0)</f>
        <v>220</v>
      </c>
      <c r="M1366" s="261">
        <f>IFERROR(__xludf.DUMMYFUNCTION("""COMPUTED_VALUE"""),220.0)</f>
        <v>220</v>
      </c>
      <c r="N1366" s="262" t="str">
        <f>IFERROR(__xludf.DUMMYFUNCTION("""COMPUTED_VALUE"""),"")</f>
        <v/>
      </c>
      <c r="O1366" s="259" t="str">
        <f>IFERROR(__xludf.DUMMYFUNCTION("""COMPUTED_VALUE"""),"")</f>
        <v/>
      </c>
      <c r="P1366" s="259">
        <f>IFERROR(__xludf.DUMMYFUNCTION("""COMPUTED_VALUE"""),43876.0)</f>
        <v>43876</v>
      </c>
      <c r="Q1366" s="258">
        <f>IFERROR(__xludf.DUMMYFUNCTION("""COMPUTED_VALUE"""),105000.0)</f>
        <v>105000</v>
      </c>
      <c r="R1366" s="261">
        <f>IFERROR(__xludf.DUMMYFUNCTION("""COMPUTED_VALUE"""),380.0)</f>
        <v>380</v>
      </c>
      <c r="S1366" s="258">
        <v>403.0</v>
      </c>
      <c r="T1366" s="263">
        <v>0.9429280397022333</v>
      </c>
      <c r="U1366" s="264">
        <v>65244.0</v>
      </c>
      <c r="V1366" s="265">
        <v>105000.0</v>
      </c>
      <c r="W1366" s="264">
        <v>65244.0</v>
      </c>
      <c r="X1366" s="266"/>
      <c r="Y1366" s="267">
        <v>-0.01</v>
      </c>
      <c r="Z1366" s="267">
        <v>0.9454095171905799</v>
      </c>
      <c r="AA1366" s="269"/>
      <c r="AB1366" s="270"/>
      <c r="AC1366" s="270"/>
      <c r="AD1366" s="270"/>
      <c r="AE1366" s="270"/>
    </row>
    <row r="1367">
      <c r="A1367" s="256">
        <f>IFERROR(__xludf.DUMMYFUNCTION("""COMPUTED_VALUE"""),42040.28402777778)</f>
        <v>42040.28403</v>
      </c>
      <c r="B1367" s="257" t="str">
        <f>IFERROR(__xludf.DUMMYFUNCTION("""COMPUTED_VALUE"""),"svimtapp")</f>
        <v>svimtapp</v>
      </c>
      <c r="C1367" s="258" t="str">
        <f>IFERROR(__xludf.DUMMYFUNCTION("""COMPUTED_VALUE"""),"Europe (excluding UK) &amp; Asia Pacific")</f>
        <v>Europe (excluding UK) &amp; Asia Pacific</v>
      </c>
      <c r="D1367" s="258" t="str">
        <f>IFERROR(__xludf.DUMMYFUNCTION("""COMPUTED_VALUE"""),"km. My car displays range in kilometres and I will enter all range numbers in kilometres.")</f>
        <v>km. My car displays range in kilometres and I will enter all range numbers in kilometres.</v>
      </c>
      <c r="E1367" s="259">
        <f>IFERROR(__xludf.DUMMYFUNCTION("""COMPUTED_VALUE"""),41547.0)</f>
        <v>41547</v>
      </c>
      <c r="F1367" s="258" t="str">
        <f>IFERROR(__xludf.DUMMYFUNCTION("""COMPUTED_VALUE"""),"Model S P85")</f>
        <v>Model S P85</v>
      </c>
      <c r="G1367" s="258" t="str">
        <f>IFERROR(__xludf.DUMMYFUNCTION("""COMPUTED_VALUE"""),"A few times a year")</f>
        <v>A few times a year</v>
      </c>
      <c r="H1367" s="258" t="str">
        <f>IFERROR(__xludf.DUMMYFUNCTION("""COMPUTED_VALUE"""),"A few times a year")</f>
        <v>A few times a year</v>
      </c>
      <c r="I1367" s="258" t="str">
        <f>IFERROR(__xludf.DUMMYFUNCTION("""COMPUTED_VALUE"""),"A few times a year")</f>
        <v>A few times a year</v>
      </c>
      <c r="J1367" s="260">
        <f>IFERROR(__xludf.DUMMYFUNCTION("""COMPUTED_VALUE"""),0.8)</f>
        <v>0.8</v>
      </c>
      <c r="K1367" s="258" t="str">
        <f>IFERROR(__xludf.DUMMYFUNCTION("""COMPUTED_VALUE"""),"")</f>
        <v/>
      </c>
      <c r="L1367" s="258" t="str">
        <f>IFERROR(__xludf.DUMMYFUNCTION("""COMPUTED_VALUE"""),"")</f>
        <v/>
      </c>
      <c r="M1367" s="261">
        <f>IFERROR(__xludf.DUMMYFUNCTION("""COMPUTED_VALUE"""),209.0)</f>
        <v>209</v>
      </c>
      <c r="N1367" s="262" t="str">
        <f>IFERROR(__xludf.DUMMYFUNCTION("""COMPUTED_VALUE"""),"")</f>
        <v/>
      </c>
      <c r="O1367" s="259" t="str">
        <f>IFERROR(__xludf.DUMMYFUNCTION("""COMPUTED_VALUE"""),"")</f>
        <v/>
      </c>
      <c r="P1367" s="259">
        <f>IFERROR(__xludf.DUMMYFUNCTION("""COMPUTED_VALUE"""),42040.0)</f>
        <v>42040</v>
      </c>
      <c r="Q1367" s="258">
        <f>IFERROR(__xludf.DUMMYFUNCTION("""COMPUTED_VALUE"""),49000.0)</f>
        <v>49000</v>
      </c>
      <c r="R1367" s="261">
        <f>IFERROR(__xludf.DUMMYFUNCTION("""COMPUTED_VALUE"""),373.0)</f>
        <v>373</v>
      </c>
      <c r="S1367" s="258">
        <v>395.0</v>
      </c>
      <c r="T1367" s="263">
        <v>0.9443037974683545</v>
      </c>
      <c r="U1367" s="264">
        <v>30447.0</v>
      </c>
      <c r="V1367" s="265">
        <v>49000.0</v>
      </c>
      <c r="W1367" s="264">
        <v>30447.0</v>
      </c>
      <c r="X1367" s="266"/>
      <c r="Y1367" s="267">
        <v>-0.01</v>
      </c>
      <c r="Z1367" s="267">
        <v>0.9600206515696383</v>
      </c>
      <c r="AA1367" s="269"/>
      <c r="AB1367" s="270"/>
      <c r="AC1367" s="270"/>
      <c r="AD1367" s="270"/>
      <c r="AE1367" s="270"/>
    </row>
    <row r="1368">
      <c r="A1368" s="256">
        <f>IFERROR(__xludf.DUMMYFUNCTION("""COMPUTED_VALUE"""),42249.75486111111)</f>
        <v>42249.75486</v>
      </c>
      <c r="B1368" s="257" t="str">
        <f>IFERROR(__xludf.DUMMYFUNCTION("""COMPUTED_VALUE"""),"Swissojourners")</f>
        <v>Swissojourners</v>
      </c>
      <c r="C1368" s="258" t="str">
        <f>IFERROR(__xludf.DUMMYFUNCTION("""COMPUTED_VALUE"""),"USA")</f>
        <v>USA</v>
      </c>
      <c r="D1368" s="258" t="str">
        <f>IFERROR(__xludf.DUMMYFUNCTION("""COMPUTED_VALUE"""),"mi. My car displays range in miles and I will enter all range numbers in miles.")</f>
        <v>mi. My car displays range in miles and I will enter all range numbers in miles.</v>
      </c>
      <c r="E1368" s="259">
        <f>IFERROR(__xludf.DUMMYFUNCTION("""COMPUTED_VALUE"""),41974.0)</f>
        <v>41974</v>
      </c>
      <c r="F1368" s="258" t="str">
        <f>IFERROR(__xludf.DUMMYFUNCTION("""COMPUTED_VALUE"""),"Model S 85")</f>
        <v>Model S 85</v>
      </c>
      <c r="G1368" s="258" t="str">
        <f>IFERROR(__xludf.DUMMYFUNCTION("""COMPUTED_VALUE"""),"Monthly")</f>
        <v>Monthly</v>
      </c>
      <c r="H1368" s="258" t="str">
        <f>IFERROR(__xludf.DUMMYFUNCTION("""COMPUTED_VALUE"""),"Twice a month")</f>
        <v>Twice a month</v>
      </c>
      <c r="I1368" s="258" t="str">
        <f>IFERROR(__xludf.DUMMYFUNCTION("""COMPUTED_VALUE"""),"Never")</f>
        <v>Never</v>
      </c>
      <c r="J1368" s="260">
        <f>IFERROR(__xludf.DUMMYFUNCTION("""COMPUTED_VALUE"""),0.8)</f>
        <v>0.8</v>
      </c>
      <c r="K1368" s="258">
        <f>IFERROR(__xludf.DUMMYFUNCTION("""COMPUTED_VALUE"""),265.0)</f>
        <v>265</v>
      </c>
      <c r="L1368" s="258" t="str">
        <f>IFERROR(__xludf.DUMMYFUNCTION("""COMPUTED_VALUE"""),"")</f>
        <v/>
      </c>
      <c r="M1368" s="261">
        <f>IFERROR(__xludf.DUMMYFUNCTION("""COMPUTED_VALUE"""),314.0)</f>
        <v>314</v>
      </c>
      <c r="N1368" s="262" t="str">
        <f>IFERROR(__xludf.DUMMYFUNCTION("""COMPUTED_VALUE"""),"")</f>
        <v/>
      </c>
      <c r="O1368" s="259" t="str">
        <f>IFERROR(__xludf.DUMMYFUNCTION("""COMPUTED_VALUE"""),"")</f>
        <v/>
      </c>
      <c r="P1368" s="259">
        <f>IFERROR(__xludf.DUMMYFUNCTION("""COMPUTED_VALUE"""),42249.0)</f>
        <v>42249</v>
      </c>
      <c r="Q1368" s="258">
        <f>IFERROR(__xludf.DUMMYFUNCTION("""COMPUTED_VALUE"""),12000.0)</f>
        <v>12000</v>
      </c>
      <c r="R1368" s="261">
        <f>IFERROR(__xludf.DUMMYFUNCTION("""COMPUTED_VALUE"""),263.0)</f>
        <v>263</v>
      </c>
      <c r="S1368" s="258">
        <v>266.0</v>
      </c>
      <c r="T1368" s="263">
        <v>0.9887218045112782</v>
      </c>
      <c r="U1368" s="264">
        <v>12000.0</v>
      </c>
      <c r="V1368" s="265">
        <v>19312.0</v>
      </c>
      <c r="W1368" s="264">
        <v>12000.0</v>
      </c>
      <c r="X1368" s="266"/>
      <c r="Y1368" s="267">
        <v>-0.01</v>
      </c>
      <c r="Z1368" s="267">
        <v>0.975009683556163</v>
      </c>
      <c r="AA1368" s="269"/>
      <c r="AB1368" s="270"/>
      <c r="AC1368" s="270"/>
      <c r="AD1368" s="270"/>
      <c r="AE1368" s="270"/>
    </row>
    <row r="1369">
      <c r="A1369" s="256">
        <f>IFERROR(__xludf.DUMMYFUNCTION("""COMPUTED_VALUE"""),43849.55817498842)</f>
        <v>43849.55817</v>
      </c>
      <c r="B1369" s="257" t="str">
        <f>IFERROR(__xludf.DUMMYFUNCTION("""COMPUTED_VALUE"""),"Sylvia")</f>
        <v>Sylvia</v>
      </c>
      <c r="C1369" s="258" t="str">
        <f>IFERROR(__xludf.DUMMYFUNCTION("""COMPUTED_VALUE"""),"USA")</f>
        <v>USA</v>
      </c>
      <c r="D1369" s="258" t="str">
        <f>IFERROR(__xludf.DUMMYFUNCTION("""COMPUTED_VALUE"""),"mi. My car displays range in miles and I will enter all range numbers in miles.")</f>
        <v>mi. My car displays range in miles and I will enter all range numbers in miles.</v>
      </c>
      <c r="E1369" s="259">
        <f>IFERROR(__xludf.DUMMYFUNCTION("""COMPUTED_VALUE"""),41835.0)</f>
        <v>41835</v>
      </c>
      <c r="F1369" s="258" t="str">
        <f>IFERROR(__xludf.DUMMYFUNCTION("""COMPUTED_VALUE"""),"Model S 85")</f>
        <v>Model S 85</v>
      </c>
      <c r="G1369" s="258" t="str">
        <f>IFERROR(__xludf.DUMMYFUNCTION("""COMPUTED_VALUE"""),"Weekly")</f>
        <v>Weekly</v>
      </c>
      <c r="H1369" s="258" t="str">
        <f>IFERROR(__xludf.DUMMYFUNCTION("""COMPUTED_VALUE"""),"Twice a month")</f>
        <v>Twice a month</v>
      </c>
      <c r="I1369" s="258" t="str">
        <f>IFERROR(__xludf.DUMMYFUNCTION("""COMPUTED_VALUE"""),"Twice a month")</f>
        <v>Twice a month</v>
      </c>
      <c r="J1369" s="260">
        <f>IFERROR(__xludf.DUMMYFUNCTION("""COMPUTED_VALUE"""),0.8)</f>
        <v>0.8</v>
      </c>
      <c r="K1369" s="258">
        <f>IFERROR(__xludf.DUMMYFUNCTION("""COMPUTED_VALUE"""),265.0)</f>
        <v>265</v>
      </c>
      <c r="L1369" s="258">
        <f>IFERROR(__xludf.DUMMYFUNCTION("""COMPUTED_VALUE"""),295.0)</f>
        <v>295</v>
      </c>
      <c r="M1369" s="261" t="str">
        <f>IFERROR(__xludf.DUMMYFUNCTION("""COMPUTED_VALUE"""),"")</f>
        <v/>
      </c>
      <c r="N1369" s="262" t="str">
        <f>IFERROR(__xludf.DUMMYFUNCTION("""COMPUTED_VALUE"""),"")</f>
        <v/>
      </c>
      <c r="O1369" s="259" t="str">
        <f>IFERROR(__xludf.DUMMYFUNCTION("""COMPUTED_VALUE"""),"")</f>
        <v/>
      </c>
      <c r="P1369" s="259">
        <f>IFERROR(__xludf.DUMMYFUNCTION("""COMPUTED_VALUE"""),43822.0)</f>
        <v>43822</v>
      </c>
      <c r="Q1369" s="258">
        <f>IFERROR(__xludf.DUMMYFUNCTION("""COMPUTED_VALUE"""),213450.0)</f>
        <v>213450</v>
      </c>
      <c r="R1369" s="261">
        <f>IFERROR(__xludf.DUMMYFUNCTION("""COMPUTED_VALUE"""),222.0)</f>
        <v>222</v>
      </c>
      <c r="S1369" s="258">
        <v>266.0</v>
      </c>
      <c r="T1369" s="263">
        <v>0.8345864661654135</v>
      </c>
      <c r="U1369" s="264">
        <v>213450.0</v>
      </c>
      <c r="V1369" s="265">
        <v>343514.0</v>
      </c>
      <c r="W1369" s="264">
        <v>213450.0</v>
      </c>
      <c r="X1369" s="266"/>
      <c r="Y1369" s="267">
        <v>-0.01</v>
      </c>
      <c r="Z1369" s="267">
        <v>0.890329018615899</v>
      </c>
      <c r="AA1369" s="269"/>
      <c r="AB1369" s="270"/>
      <c r="AC1369" s="270"/>
      <c r="AD1369" s="270"/>
      <c r="AE1369" s="270"/>
    </row>
    <row r="1370">
      <c r="A1370" s="256">
        <f>IFERROR(__xludf.DUMMYFUNCTION("""COMPUTED_VALUE"""),43081.646527777775)</f>
        <v>43081.64653</v>
      </c>
      <c r="B1370" s="257" t="str">
        <f>IFERROR(__xludf.DUMMYFUNCTION("""COMPUTED_VALUE"""),"Sébastien")</f>
        <v>Sébastien</v>
      </c>
      <c r="C1370" s="258" t="str">
        <f>IFERROR(__xludf.DUMMYFUNCTION("""COMPUTED_VALUE"""),"Europe (excluding UK) &amp; Asia Pacific")</f>
        <v>Europe (excluding UK) &amp; Asia Pacific</v>
      </c>
      <c r="D1370" s="258" t="str">
        <f>IFERROR(__xludf.DUMMYFUNCTION("""COMPUTED_VALUE"""),"km. My car displays range in kilometres and I will enter all range numbers in kilometres.")</f>
        <v>km. My car displays range in kilometres and I will enter all range numbers in kilometres.</v>
      </c>
      <c r="E1370" s="259">
        <f>IFERROR(__xludf.DUMMYFUNCTION("""COMPUTED_VALUE"""),43007.0)</f>
        <v>43007</v>
      </c>
      <c r="F1370" s="258" t="str">
        <f>IFERROR(__xludf.DUMMYFUNCTION("""COMPUTED_VALUE"""),"Model S 75D")</f>
        <v>Model S 75D</v>
      </c>
      <c r="G1370" s="258" t="str">
        <f>IFERROR(__xludf.DUMMYFUNCTION("""COMPUTED_VALUE"""),"Weekly")</f>
        <v>Weekly</v>
      </c>
      <c r="H1370" s="258" t="str">
        <f>IFERROR(__xludf.DUMMYFUNCTION("""COMPUTED_VALUE"""),"A few times a year")</f>
        <v>A few times a year</v>
      </c>
      <c r="I1370" s="258" t="str">
        <f>IFERROR(__xludf.DUMMYFUNCTION("""COMPUTED_VALUE"""),"Never")</f>
        <v>Never</v>
      </c>
      <c r="J1370" s="260" t="str">
        <f>IFERROR(__xludf.DUMMYFUNCTION("""COMPUTED_VALUE"""),"")</f>
        <v/>
      </c>
      <c r="K1370" s="258" t="str">
        <f>IFERROR(__xludf.DUMMYFUNCTION("""COMPUTED_VALUE"""),"")</f>
        <v/>
      </c>
      <c r="L1370" s="258" t="str">
        <f>IFERROR(__xludf.DUMMYFUNCTION("""COMPUTED_VALUE"""),"")</f>
        <v/>
      </c>
      <c r="M1370" s="261">
        <f>IFERROR(__xludf.DUMMYFUNCTION("""COMPUTED_VALUE"""),218.0)</f>
        <v>218</v>
      </c>
      <c r="N1370" s="262" t="str">
        <f>IFERROR(__xludf.DUMMYFUNCTION("""COMPUTED_VALUE"""),"")</f>
        <v/>
      </c>
      <c r="O1370" s="259" t="str">
        <f>IFERROR(__xludf.DUMMYFUNCTION("""COMPUTED_VALUE"""),"")</f>
        <v/>
      </c>
      <c r="P1370" s="259">
        <f>IFERROR(__xludf.DUMMYFUNCTION("""COMPUTED_VALUE"""),43081.0)</f>
        <v>43081</v>
      </c>
      <c r="Q1370" s="258">
        <f>IFERROR(__xludf.DUMMYFUNCTION("""COMPUTED_VALUE"""),8395.0)</f>
        <v>8395</v>
      </c>
      <c r="R1370" s="261">
        <f>IFERROR(__xludf.DUMMYFUNCTION("""COMPUTED_VALUE"""),383.0)</f>
        <v>383</v>
      </c>
      <c r="S1370" s="258">
        <v>384.0</v>
      </c>
      <c r="T1370" s="263">
        <v>0.9973958333333334</v>
      </c>
      <c r="U1370" s="264">
        <v>5216.0</v>
      </c>
      <c r="V1370" s="265">
        <v>8395.0</v>
      </c>
      <c r="W1370" s="264">
        <v>5216.0</v>
      </c>
      <c r="X1370" s="266"/>
      <c r="Y1370" s="267">
        <v>-0.01</v>
      </c>
      <c r="Z1370" s="267">
        <v>0.986307684376389</v>
      </c>
      <c r="AA1370" s="269"/>
      <c r="AB1370" s="270"/>
      <c r="AC1370" s="270"/>
      <c r="AD1370" s="270"/>
      <c r="AE1370" s="270"/>
    </row>
    <row r="1371">
      <c r="A1371" s="256">
        <f>IFERROR(__xludf.DUMMYFUNCTION("""COMPUTED_VALUE"""),43092.65277777778)</f>
        <v>43092.65278</v>
      </c>
      <c r="B1371" s="257" t="str">
        <f>IFERROR(__xludf.DUMMYFUNCTION("""COMPUTED_VALUE"""),"T-Drive")</f>
        <v>T-Drive</v>
      </c>
      <c r="C1371" s="258" t="str">
        <f>IFERROR(__xludf.DUMMYFUNCTION("""COMPUTED_VALUE"""),"Europe (excluding UK) &amp; Asia Pacific")</f>
        <v>Europe (excluding UK) &amp; Asia Pacific</v>
      </c>
      <c r="D1371" s="258" t="str">
        <f>IFERROR(__xludf.DUMMYFUNCTION("""COMPUTED_VALUE"""),"km. My car displays range in kilometres and I will enter all range numbers in kilometres.")</f>
        <v>km. My car displays range in kilometres and I will enter all range numbers in kilometres.</v>
      </c>
      <c r="E1371" s="259">
        <f>IFERROR(__xludf.DUMMYFUNCTION("""COMPUTED_VALUE"""),42912.0)</f>
        <v>42912</v>
      </c>
      <c r="F1371" s="258" t="str">
        <f>IFERROR(__xludf.DUMMYFUNCTION("""COMPUTED_VALUE"""),"Model S 75D")</f>
        <v>Model S 75D</v>
      </c>
      <c r="G1371" s="258" t="str">
        <f>IFERROR(__xludf.DUMMYFUNCTION("""COMPUTED_VALUE"""),"Weekly")</f>
        <v>Weekly</v>
      </c>
      <c r="H1371" s="258" t="str">
        <f>IFERROR(__xludf.DUMMYFUNCTION("""COMPUTED_VALUE"""),"Monthly")</f>
        <v>Monthly</v>
      </c>
      <c r="I1371" s="258" t="str">
        <f>IFERROR(__xludf.DUMMYFUNCTION("""COMPUTED_VALUE"""),"A few times a year")</f>
        <v>A few times a year</v>
      </c>
      <c r="J1371" s="260">
        <f>IFERROR(__xludf.DUMMYFUNCTION("""COMPUTED_VALUE"""),0.8)</f>
        <v>0.8</v>
      </c>
      <c r="K1371" s="258">
        <f>IFERROR(__xludf.DUMMYFUNCTION("""COMPUTED_VALUE"""),393.0)</f>
        <v>393</v>
      </c>
      <c r="L1371" s="258" t="str">
        <f>IFERROR(__xludf.DUMMYFUNCTION("""COMPUTED_VALUE"""),"")</f>
        <v/>
      </c>
      <c r="M1371" s="261">
        <f>IFERROR(__xludf.DUMMYFUNCTION("""COMPUTED_VALUE"""),220.0)</f>
        <v>220</v>
      </c>
      <c r="N1371" s="262" t="str">
        <f>IFERROR(__xludf.DUMMYFUNCTION("""COMPUTED_VALUE"""),"")</f>
        <v/>
      </c>
      <c r="O1371" s="259" t="str">
        <f>IFERROR(__xludf.DUMMYFUNCTION("""COMPUTED_VALUE"""),"")</f>
        <v/>
      </c>
      <c r="P1371" s="259">
        <f>IFERROR(__xludf.DUMMYFUNCTION("""COMPUTED_VALUE"""),43092.0)</f>
        <v>43092</v>
      </c>
      <c r="Q1371" s="258">
        <f>IFERROR(__xludf.DUMMYFUNCTION("""COMPUTED_VALUE"""),2700.0)</f>
        <v>2700</v>
      </c>
      <c r="R1371" s="261">
        <f>IFERROR(__xludf.DUMMYFUNCTION("""COMPUTED_VALUE"""),393.0)</f>
        <v>393</v>
      </c>
      <c r="S1371" s="258">
        <v>384.0</v>
      </c>
      <c r="T1371" s="263">
        <v>1.0234375</v>
      </c>
      <c r="U1371" s="264">
        <v>1678.0</v>
      </c>
      <c r="V1371" s="265">
        <v>2700.0</v>
      </c>
      <c r="W1371" s="264">
        <v>1678.0</v>
      </c>
      <c r="X1371" s="266"/>
      <c r="Y1371" s="267">
        <v>-0.01</v>
      </c>
      <c r="Z1371" s="267">
        <v>0.9949549764928995</v>
      </c>
      <c r="AA1371" s="269"/>
      <c r="AB1371" s="270"/>
      <c r="AC1371" s="270"/>
      <c r="AD1371" s="270"/>
      <c r="AE1371" s="270"/>
    </row>
    <row r="1372">
      <c r="A1372" s="256">
        <f>IFERROR(__xludf.DUMMYFUNCTION("""COMPUTED_VALUE"""),43131.69375)</f>
        <v>43131.69375</v>
      </c>
      <c r="B1372" s="257" t="str">
        <f>IFERROR(__xludf.DUMMYFUNCTION("""COMPUTED_VALUE"""),"T-Drive")</f>
        <v>T-Drive</v>
      </c>
      <c r="C1372" s="258" t="str">
        <f>IFERROR(__xludf.DUMMYFUNCTION("""COMPUTED_VALUE"""),"Europe (excluding UK) &amp; Asia Pacific")</f>
        <v>Europe (excluding UK) &amp; Asia Pacific</v>
      </c>
      <c r="D1372" s="258" t="str">
        <f>IFERROR(__xludf.DUMMYFUNCTION("""COMPUTED_VALUE"""),"km. My car displays range in kilometres and I will enter all range numbers in kilometres.")</f>
        <v>km. My car displays range in kilometres and I will enter all range numbers in kilometres.</v>
      </c>
      <c r="E1372" s="259">
        <f>IFERROR(__xludf.DUMMYFUNCTION("""COMPUTED_VALUE"""),42912.0)</f>
        <v>42912</v>
      </c>
      <c r="F1372" s="258" t="str">
        <f>IFERROR(__xludf.DUMMYFUNCTION("""COMPUTED_VALUE"""),"Model S 75D")</f>
        <v>Model S 75D</v>
      </c>
      <c r="G1372" s="258" t="str">
        <f>IFERROR(__xludf.DUMMYFUNCTION("""COMPUTED_VALUE"""),"Weekly")</f>
        <v>Weekly</v>
      </c>
      <c r="H1372" s="258" t="str">
        <f>IFERROR(__xludf.DUMMYFUNCTION("""COMPUTED_VALUE"""),"A few times a year")</f>
        <v>A few times a year</v>
      </c>
      <c r="I1372" s="258" t="str">
        <f>IFERROR(__xludf.DUMMYFUNCTION("""COMPUTED_VALUE"""),"A few times a year")</f>
        <v>A few times a year</v>
      </c>
      <c r="J1372" s="260">
        <f>IFERROR(__xludf.DUMMYFUNCTION("""COMPUTED_VALUE"""),0.7)</f>
        <v>0.7</v>
      </c>
      <c r="K1372" s="258">
        <f>IFERROR(__xludf.DUMMYFUNCTION("""COMPUTED_VALUE"""),393.0)</f>
        <v>393</v>
      </c>
      <c r="L1372" s="258" t="str">
        <f>IFERROR(__xludf.DUMMYFUNCTION("""COMPUTED_VALUE"""),"")</f>
        <v/>
      </c>
      <c r="M1372" s="261">
        <f>IFERROR(__xludf.DUMMYFUNCTION("""COMPUTED_VALUE"""),240.0)</f>
        <v>240</v>
      </c>
      <c r="N1372" s="262" t="str">
        <f>IFERROR(__xludf.DUMMYFUNCTION("""COMPUTED_VALUE"""),"")</f>
        <v/>
      </c>
      <c r="O1372" s="259" t="str">
        <f>IFERROR(__xludf.DUMMYFUNCTION("""COMPUTED_VALUE"""),"")</f>
        <v/>
      </c>
      <c r="P1372" s="259">
        <f>IFERROR(__xludf.DUMMYFUNCTION("""COMPUTED_VALUE"""),43131.0)</f>
        <v>43131</v>
      </c>
      <c r="Q1372" s="258">
        <f>IFERROR(__xludf.DUMMYFUNCTION("""COMPUTED_VALUE"""),7100.0)</f>
        <v>7100</v>
      </c>
      <c r="R1372" s="261">
        <f>IFERROR(__xludf.DUMMYFUNCTION("""COMPUTED_VALUE"""),392.0)</f>
        <v>392</v>
      </c>
      <c r="S1372" s="258">
        <v>384.0</v>
      </c>
      <c r="T1372" s="263">
        <v>1.0208333333333333</v>
      </c>
      <c r="U1372" s="264">
        <v>4412.0</v>
      </c>
      <c r="V1372" s="265">
        <v>7100.0</v>
      </c>
      <c r="W1372" s="264">
        <v>4412.0</v>
      </c>
      <c r="X1372" s="266"/>
      <c r="Y1372" s="267">
        <v>-0.01</v>
      </c>
      <c r="Z1372" s="267">
        <v>0.9880674517348066</v>
      </c>
      <c r="AA1372" s="269"/>
      <c r="AB1372" s="270"/>
      <c r="AC1372" s="270"/>
      <c r="AD1372" s="270"/>
      <c r="AE1372" s="270"/>
    </row>
    <row r="1373">
      <c r="A1373" s="256">
        <f>IFERROR(__xludf.DUMMYFUNCTION("""COMPUTED_VALUE"""),43157.70694444445)</f>
        <v>43157.70694</v>
      </c>
      <c r="B1373" s="257" t="str">
        <f>IFERROR(__xludf.DUMMYFUNCTION("""COMPUTED_VALUE"""),"T-Drive")</f>
        <v>T-Drive</v>
      </c>
      <c r="C1373" s="258" t="str">
        <f>IFERROR(__xludf.DUMMYFUNCTION("""COMPUTED_VALUE"""),"Europe (excluding UK) &amp; Asia Pacific")</f>
        <v>Europe (excluding UK) &amp; Asia Pacific</v>
      </c>
      <c r="D1373" s="258" t="str">
        <f>IFERROR(__xludf.DUMMYFUNCTION("""COMPUTED_VALUE"""),"km. My car displays range in kilometres and I will enter all range numbers in kilometres.")</f>
        <v>km. My car displays range in kilometres and I will enter all range numbers in kilometres.</v>
      </c>
      <c r="E1373" s="259">
        <f>IFERROR(__xludf.DUMMYFUNCTION("""COMPUTED_VALUE"""),42912.0)</f>
        <v>42912</v>
      </c>
      <c r="F1373" s="258" t="str">
        <f>IFERROR(__xludf.DUMMYFUNCTION("""COMPUTED_VALUE"""),"Model S 75D")</f>
        <v>Model S 75D</v>
      </c>
      <c r="G1373" s="258" t="str">
        <f>IFERROR(__xludf.DUMMYFUNCTION("""COMPUTED_VALUE"""),"Weekly")</f>
        <v>Weekly</v>
      </c>
      <c r="H1373" s="258" t="str">
        <f>IFERROR(__xludf.DUMMYFUNCTION("""COMPUTED_VALUE"""),"A few times a year")</f>
        <v>A few times a year</v>
      </c>
      <c r="I1373" s="258" t="str">
        <f>IFERROR(__xludf.DUMMYFUNCTION("""COMPUTED_VALUE"""),"A few times a year")</f>
        <v>A few times a year</v>
      </c>
      <c r="J1373" s="260">
        <f>IFERROR(__xludf.DUMMYFUNCTION("""COMPUTED_VALUE"""),0.7)</f>
        <v>0.7</v>
      </c>
      <c r="K1373" s="258">
        <f>IFERROR(__xludf.DUMMYFUNCTION("""COMPUTED_VALUE"""),393.0)</f>
        <v>393</v>
      </c>
      <c r="L1373" s="258" t="str">
        <f>IFERROR(__xludf.DUMMYFUNCTION("""COMPUTED_VALUE"""),"")</f>
        <v/>
      </c>
      <c r="M1373" s="261">
        <f>IFERROR(__xludf.DUMMYFUNCTION("""COMPUTED_VALUE"""),243.0)</f>
        <v>243</v>
      </c>
      <c r="N1373" s="262" t="str">
        <f>IFERROR(__xludf.DUMMYFUNCTION("""COMPUTED_VALUE"""),"")</f>
        <v/>
      </c>
      <c r="O1373" s="259" t="str">
        <f>IFERROR(__xludf.DUMMYFUNCTION("""COMPUTED_VALUE"""),"")</f>
        <v/>
      </c>
      <c r="P1373" s="259">
        <f>IFERROR(__xludf.DUMMYFUNCTION("""COMPUTED_VALUE"""),43157.0)</f>
        <v>43157</v>
      </c>
      <c r="Q1373" s="258">
        <f>IFERROR(__xludf.DUMMYFUNCTION("""COMPUTED_VALUE"""),10000.0)</f>
        <v>10000</v>
      </c>
      <c r="R1373" s="261">
        <f>IFERROR(__xludf.DUMMYFUNCTION("""COMPUTED_VALUE"""),392.0)</f>
        <v>392</v>
      </c>
      <c r="S1373" s="258">
        <v>384.0</v>
      </c>
      <c r="T1373" s="263">
        <v>1.0208333333333333</v>
      </c>
      <c r="U1373" s="264">
        <v>6214.0</v>
      </c>
      <c r="V1373" s="265">
        <v>10000.0</v>
      </c>
      <c r="W1373" s="264">
        <v>6214.0</v>
      </c>
      <c r="X1373" s="266"/>
      <c r="Y1373" s="267">
        <v>-0.01</v>
      </c>
      <c r="Z1373" s="267">
        <v>0.9842728492891164</v>
      </c>
      <c r="AA1373" s="269"/>
      <c r="AB1373" s="270"/>
      <c r="AC1373" s="270"/>
      <c r="AD1373" s="270"/>
      <c r="AE1373" s="270"/>
    </row>
    <row r="1374">
      <c r="A1374" s="256">
        <f>IFERROR(__xludf.DUMMYFUNCTION("""COMPUTED_VALUE"""),43862.79234834491)</f>
        <v>43862.79235</v>
      </c>
      <c r="B1374" s="257" t="str">
        <f>IFERROR(__xludf.DUMMYFUNCTION("""COMPUTED_VALUE"""),"T-Drive")</f>
        <v>T-Drive</v>
      </c>
      <c r="C1374" s="258" t="str">
        <f>IFERROR(__xludf.DUMMYFUNCTION("""COMPUTED_VALUE"""),"Europe (excluding UK) &amp; Asia Pacific")</f>
        <v>Europe (excluding UK) &amp; Asia Pacific</v>
      </c>
      <c r="D1374" s="258" t="str">
        <f>IFERROR(__xludf.DUMMYFUNCTION("""COMPUTED_VALUE"""),"km. My car displays range in kilometres and I will enter all range numbers in kilometres.")</f>
        <v>km. My car displays range in kilometres and I will enter all range numbers in kilometres.</v>
      </c>
      <c r="E1374" s="259">
        <f>IFERROR(__xludf.DUMMYFUNCTION("""COMPUTED_VALUE"""),42994.0)</f>
        <v>42994</v>
      </c>
      <c r="F1374" s="258" t="str">
        <f>IFERROR(__xludf.DUMMYFUNCTION("""COMPUTED_VALUE"""),"Model S 75D")</f>
        <v>Model S 75D</v>
      </c>
      <c r="G1374" s="258" t="str">
        <f>IFERROR(__xludf.DUMMYFUNCTION("""COMPUTED_VALUE"""),"Monthly")</f>
        <v>Monthly</v>
      </c>
      <c r="H1374" s="258" t="str">
        <f>IFERROR(__xludf.DUMMYFUNCTION("""COMPUTED_VALUE"""),"A few times a year")</f>
        <v>A few times a year</v>
      </c>
      <c r="I1374" s="258" t="str">
        <f>IFERROR(__xludf.DUMMYFUNCTION("""COMPUTED_VALUE"""),"A few times a year")</f>
        <v>A few times a year</v>
      </c>
      <c r="J1374" s="260">
        <f>IFERROR(__xludf.DUMMYFUNCTION("""COMPUTED_VALUE"""),0.7)</f>
        <v>0.7</v>
      </c>
      <c r="K1374" s="258">
        <f>IFERROR(__xludf.DUMMYFUNCTION("""COMPUTED_VALUE"""),393.0)</f>
        <v>393</v>
      </c>
      <c r="L1374" s="258" t="str">
        <f>IFERROR(__xludf.DUMMYFUNCTION("""COMPUTED_VALUE"""),"")</f>
        <v/>
      </c>
      <c r="M1374" s="261">
        <f>IFERROR(__xludf.DUMMYFUNCTION("""COMPUTED_VALUE"""),224.0)</f>
        <v>224</v>
      </c>
      <c r="N1374" s="262" t="str">
        <f>IFERROR(__xludf.DUMMYFUNCTION("""COMPUTED_VALUE"""),"")</f>
        <v/>
      </c>
      <c r="O1374" s="259" t="str">
        <f>IFERROR(__xludf.DUMMYFUNCTION("""COMPUTED_VALUE"""),"")</f>
        <v/>
      </c>
      <c r="P1374" s="259">
        <f>IFERROR(__xludf.DUMMYFUNCTION("""COMPUTED_VALUE"""),43819.0)</f>
        <v>43819</v>
      </c>
      <c r="Q1374" s="258">
        <f>IFERROR(__xludf.DUMMYFUNCTION("""COMPUTED_VALUE"""),82500.0)</f>
        <v>82500</v>
      </c>
      <c r="R1374" s="261">
        <f>IFERROR(__xludf.DUMMYFUNCTION("""COMPUTED_VALUE"""),380.0)</f>
        <v>380</v>
      </c>
      <c r="S1374" s="258">
        <v>384.0</v>
      </c>
      <c r="T1374" s="263">
        <v>0.9895833333333334</v>
      </c>
      <c r="U1374" s="264">
        <v>51263.0</v>
      </c>
      <c r="V1374" s="265">
        <v>82500.0</v>
      </c>
      <c r="W1374" s="264">
        <v>51263.0</v>
      </c>
      <c r="X1374" s="266"/>
      <c r="Y1374" s="267">
        <v>-0.01</v>
      </c>
      <c r="Z1374" s="267">
        <v>0.9507825108254303</v>
      </c>
      <c r="AA1374" s="269"/>
      <c r="AB1374" s="270"/>
      <c r="AC1374" s="270"/>
      <c r="AD1374" s="270"/>
      <c r="AE1374" s="270"/>
    </row>
    <row r="1375">
      <c r="A1375" s="256">
        <f>IFERROR(__xludf.DUMMYFUNCTION("""COMPUTED_VALUE"""),43862.79234834491)</f>
        <v>43862.79235</v>
      </c>
      <c r="B1375" s="257" t="str">
        <f>IFERROR(__xludf.DUMMYFUNCTION("""COMPUTED_VALUE"""),"T-Drive")</f>
        <v>T-Drive</v>
      </c>
      <c r="C1375" s="258" t="str">
        <f>IFERROR(__xludf.DUMMYFUNCTION("""COMPUTED_VALUE"""),"Europe (excluding UK) &amp; Asia Pacific")</f>
        <v>Europe (excluding UK) &amp; Asia Pacific</v>
      </c>
      <c r="D1375" s="258" t="str">
        <f>IFERROR(__xludf.DUMMYFUNCTION("""COMPUTED_VALUE"""),"km. My car displays range in kilometres and I will enter all range numbers in kilometres.")</f>
        <v>km. My car displays range in kilometres and I will enter all range numbers in kilometres.</v>
      </c>
      <c r="E1375" s="259">
        <f>IFERROR(__xludf.DUMMYFUNCTION("""COMPUTED_VALUE"""),42994.0)</f>
        <v>42994</v>
      </c>
      <c r="F1375" s="258" t="str">
        <f>IFERROR(__xludf.DUMMYFUNCTION("""COMPUTED_VALUE"""),"Model S 75D")</f>
        <v>Model S 75D</v>
      </c>
      <c r="G1375" s="258" t="str">
        <f>IFERROR(__xludf.DUMMYFUNCTION("""COMPUTED_VALUE"""),"Monthly")</f>
        <v>Monthly</v>
      </c>
      <c r="H1375" s="258" t="str">
        <f>IFERROR(__xludf.DUMMYFUNCTION("""COMPUTED_VALUE"""),"A few times a year")</f>
        <v>A few times a year</v>
      </c>
      <c r="I1375" s="258" t="str">
        <f>IFERROR(__xludf.DUMMYFUNCTION("""COMPUTED_VALUE"""),"A few times a year")</f>
        <v>A few times a year</v>
      </c>
      <c r="J1375" s="260">
        <f>IFERROR(__xludf.DUMMYFUNCTION("""COMPUTED_VALUE"""),0.7)</f>
        <v>0.7</v>
      </c>
      <c r="K1375" s="258">
        <f>IFERROR(__xludf.DUMMYFUNCTION("""COMPUTED_VALUE"""),393.0)</f>
        <v>393</v>
      </c>
      <c r="L1375" s="258" t="str">
        <f>IFERROR(__xludf.DUMMYFUNCTION("""COMPUTED_VALUE"""),"")</f>
        <v/>
      </c>
      <c r="M1375" s="261">
        <f>IFERROR(__xludf.DUMMYFUNCTION("""COMPUTED_VALUE"""),224.0)</f>
        <v>224</v>
      </c>
      <c r="N1375" s="262" t="str">
        <f>IFERROR(__xludf.DUMMYFUNCTION("""COMPUTED_VALUE"""),"")</f>
        <v/>
      </c>
      <c r="O1375" s="259" t="str">
        <f>IFERROR(__xludf.DUMMYFUNCTION("""COMPUTED_VALUE"""),"")</f>
        <v/>
      </c>
      <c r="P1375" s="259">
        <f>IFERROR(__xludf.DUMMYFUNCTION("""COMPUTED_VALUE"""),43693.0)</f>
        <v>43693</v>
      </c>
      <c r="Q1375" s="258">
        <f>IFERROR(__xludf.DUMMYFUNCTION("""COMPUTED_VALUE"""),70300.0)</f>
        <v>70300</v>
      </c>
      <c r="R1375" s="261">
        <f>IFERROR(__xludf.DUMMYFUNCTION("""COMPUTED_VALUE"""),383.0)</f>
        <v>383</v>
      </c>
      <c r="S1375" s="258">
        <v>384.0</v>
      </c>
      <c r="T1375" s="263">
        <v>0.9973958333333334</v>
      </c>
      <c r="U1375" s="264">
        <v>43682.0</v>
      </c>
      <c r="V1375" s="265">
        <v>70300.0</v>
      </c>
      <c r="W1375" s="264">
        <v>43682.0</v>
      </c>
      <c r="X1375" s="266"/>
      <c r="Y1375" s="267">
        <v>-0.01</v>
      </c>
      <c r="Z1375" s="267">
        <v>0.9538559859916758</v>
      </c>
      <c r="AA1375" s="269"/>
      <c r="AB1375" s="270"/>
      <c r="AC1375" s="270"/>
      <c r="AD1375" s="270"/>
      <c r="AE1375" s="270"/>
    </row>
    <row r="1376">
      <c r="A1376" s="256">
        <f>IFERROR(__xludf.DUMMYFUNCTION("""COMPUTED_VALUE"""),43862.79234834491)</f>
        <v>43862.79235</v>
      </c>
      <c r="B1376" s="257" t="str">
        <f>IFERROR(__xludf.DUMMYFUNCTION("""COMPUTED_VALUE"""),"T-Drive")</f>
        <v>T-Drive</v>
      </c>
      <c r="C1376" s="258" t="str">
        <f>IFERROR(__xludf.DUMMYFUNCTION("""COMPUTED_VALUE"""),"Europe (excluding UK) &amp; Asia Pacific")</f>
        <v>Europe (excluding UK) &amp; Asia Pacific</v>
      </c>
      <c r="D1376" s="258" t="str">
        <f>IFERROR(__xludf.DUMMYFUNCTION("""COMPUTED_VALUE"""),"km. My car displays range in kilometres and I will enter all range numbers in kilometres.")</f>
        <v>km. My car displays range in kilometres and I will enter all range numbers in kilometres.</v>
      </c>
      <c r="E1376" s="259">
        <f>IFERROR(__xludf.DUMMYFUNCTION("""COMPUTED_VALUE"""),42994.0)</f>
        <v>42994</v>
      </c>
      <c r="F1376" s="258" t="str">
        <f>IFERROR(__xludf.DUMMYFUNCTION("""COMPUTED_VALUE"""),"Model S 75D")</f>
        <v>Model S 75D</v>
      </c>
      <c r="G1376" s="258" t="str">
        <f>IFERROR(__xludf.DUMMYFUNCTION("""COMPUTED_VALUE"""),"Monthly")</f>
        <v>Monthly</v>
      </c>
      <c r="H1376" s="258" t="str">
        <f>IFERROR(__xludf.DUMMYFUNCTION("""COMPUTED_VALUE"""),"A few times a year")</f>
        <v>A few times a year</v>
      </c>
      <c r="I1376" s="258" t="str">
        <f>IFERROR(__xludf.DUMMYFUNCTION("""COMPUTED_VALUE"""),"A few times a year")</f>
        <v>A few times a year</v>
      </c>
      <c r="J1376" s="260">
        <f>IFERROR(__xludf.DUMMYFUNCTION("""COMPUTED_VALUE"""),0.7)</f>
        <v>0.7</v>
      </c>
      <c r="K1376" s="258">
        <f>IFERROR(__xludf.DUMMYFUNCTION("""COMPUTED_VALUE"""),393.0)</f>
        <v>393</v>
      </c>
      <c r="L1376" s="258" t="str">
        <f>IFERROR(__xludf.DUMMYFUNCTION("""COMPUTED_VALUE"""),"")</f>
        <v/>
      </c>
      <c r="M1376" s="261">
        <f>IFERROR(__xludf.DUMMYFUNCTION("""COMPUTED_VALUE"""),224.0)</f>
        <v>224</v>
      </c>
      <c r="N1376" s="262" t="str">
        <f>IFERROR(__xludf.DUMMYFUNCTION("""COMPUTED_VALUE"""),"")</f>
        <v/>
      </c>
      <c r="O1376" s="259" t="str">
        <f>IFERROR(__xludf.DUMMYFUNCTION("""COMPUTED_VALUE"""),"")</f>
        <v/>
      </c>
      <c r="P1376" s="259">
        <f>IFERROR(__xludf.DUMMYFUNCTION("""COMPUTED_VALUE"""),43614.0)</f>
        <v>43614</v>
      </c>
      <c r="Q1376" s="258">
        <f>IFERROR(__xludf.DUMMYFUNCTION("""COMPUTED_VALUE"""),60000.0)</f>
        <v>60000</v>
      </c>
      <c r="R1376" s="261">
        <f>IFERROR(__xludf.DUMMYFUNCTION("""COMPUTED_VALUE"""),382.0)</f>
        <v>382</v>
      </c>
      <c r="S1376" s="258">
        <v>384.0</v>
      </c>
      <c r="T1376" s="263">
        <v>0.9947916666666666</v>
      </c>
      <c r="U1376" s="264">
        <v>37282.0</v>
      </c>
      <c r="V1376" s="265">
        <v>60000.0</v>
      </c>
      <c r="W1376" s="264">
        <v>37282.0</v>
      </c>
      <c r="X1376" s="266"/>
      <c r="Y1376" s="267">
        <v>-0.01</v>
      </c>
      <c r="Z1376" s="267">
        <v>0.9566506501201559</v>
      </c>
      <c r="AA1376" s="269"/>
      <c r="AB1376" s="270"/>
      <c r="AC1376" s="270"/>
      <c r="AD1376" s="270"/>
      <c r="AE1376" s="270"/>
    </row>
    <row r="1377">
      <c r="A1377" s="256">
        <f>IFERROR(__xludf.DUMMYFUNCTION("""COMPUTED_VALUE"""),43862.79234834491)</f>
        <v>43862.79235</v>
      </c>
      <c r="B1377" s="257" t="str">
        <f>IFERROR(__xludf.DUMMYFUNCTION("""COMPUTED_VALUE"""),"T-Drive")</f>
        <v>T-Drive</v>
      </c>
      <c r="C1377" s="258" t="str">
        <f>IFERROR(__xludf.DUMMYFUNCTION("""COMPUTED_VALUE"""),"Europe (excluding UK) &amp; Asia Pacific")</f>
        <v>Europe (excluding UK) &amp; Asia Pacific</v>
      </c>
      <c r="D1377" s="258" t="str">
        <f>IFERROR(__xludf.DUMMYFUNCTION("""COMPUTED_VALUE"""),"km. My car displays range in kilometres and I will enter all range numbers in kilometres.")</f>
        <v>km. My car displays range in kilometres and I will enter all range numbers in kilometres.</v>
      </c>
      <c r="E1377" s="259">
        <f>IFERROR(__xludf.DUMMYFUNCTION("""COMPUTED_VALUE"""),42994.0)</f>
        <v>42994</v>
      </c>
      <c r="F1377" s="258" t="str">
        <f>IFERROR(__xludf.DUMMYFUNCTION("""COMPUTED_VALUE"""),"Model S 75D")</f>
        <v>Model S 75D</v>
      </c>
      <c r="G1377" s="258" t="str">
        <f>IFERROR(__xludf.DUMMYFUNCTION("""COMPUTED_VALUE"""),"Monthly")</f>
        <v>Monthly</v>
      </c>
      <c r="H1377" s="258" t="str">
        <f>IFERROR(__xludf.DUMMYFUNCTION("""COMPUTED_VALUE"""),"A few times a year")</f>
        <v>A few times a year</v>
      </c>
      <c r="I1377" s="258" t="str">
        <f>IFERROR(__xludf.DUMMYFUNCTION("""COMPUTED_VALUE"""),"A few times a year")</f>
        <v>A few times a year</v>
      </c>
      <c r="J1377" s="260">
        <f>IFERROR(__xludf.DUMMYFUNCTION("""COMPUTED_VALUE"""),0.7)</f>
        <v>0.7</v>
      </c>
      <c r="K1377" s="258">
        <f>IFERROR(__xludf.DUMMYFUNCTION("""COMPUTED_VALUE"""),393.0)</f>
        <v>393</v>
      </c>
      <c r="L1377" s="258" t="str">
        <f>IFERROR(__xludf.DUMMYFUNCTION("""COMPUTED_VALUE"""),"")</f>
        <v/>
      </c>
      <c r="M1377" s="261">
        <f>IFERROR(__xludf.DUMMYFUNCTION("""COMPUTED_VALUE"""),224.0)</f>
        <v>224</v>
      </c>
      <c r="N1377" s="262" t="str">
        <f>IFERROR(__xludf.DUMMYFUNCTION("""COMPUTED_VALUE"""),"")</f>
        <v/>
      </c>
      <c r="O1377" s="259" t="str">
        <f>IFERROR(__xludf.DUMMYFUNCTION("""COMPUTED_VALUE"""),"")</f>
        <v/>
      </c>
      <c r="P1377" s="259">
        <f>IFERROR(__xludf.DUMMYFUNCTION("""COMPUTED_VALUE"""),43515.0)</f>
        <v>43515</v>
      </c>
      <c r="Q1377" s="258">
        <f>IFERROR(__xludf.DUMMYFUNCTION("""COMPUTED_VALUE"""),50000.0)</f>
        <v>50000</v>
      </c>
      <c r="R1377" s="261">
        <f>IFERROR(__xludf.DUMMYFUNCTION("""COMPUTED_VALUE"""),386.0)</f>
        <v>386</v>
      </c>
      <c r="S1377" s="258">
        <v>384.0</v>
      </c>
      <c r="T1377" s="263">
        <v>1.0052083333333333</v>
      </c>
      <c r="U1377" s="264">
        <v>31069.0</v>
      </c>
      <c r="V1377" s="265">
        <v>50000.0</v>
      </c>
      <c r="W1377" s="264">
        <v>31069.0</v>
      </c>
      <c r="X1377" s="266"/>
      <c r="Y1377" s="267">
        <v>-0.01</v>
      </c>
      <c r="Z1377" s="267">
        <v>0.9596904352621635</v>
      </c>
      <c r="AA1377" s="269"/>
      <c r="AB1377" s="270"/>
      <c r="AC1377" s="270"/>
      <c r="AD1377" s="270"/>
      <c r="AE1377" s="270"/>
    </row>
    <row r="1378">
      <c r="A1378" s="256">
        <f>IFERROR(__xludf.DUMMYFUNCTION("""COMPUTED_VALUE"""),43862.79234834491)</f>
        <v>43862.79235</v>
      </c>
      <c r="B1378" s="257" t="str">
        <f>IFERROR(__xludf.DUMMYFUNCTION("""COMPUTED_VALUE"""),"T-Drive")</f>
        <v>T-Drive</v>
      </c>
      <c r="C1378" s="258" t="str">
        <f>IFERROR(__xludf.DUMMYFUNCTION("""COMPUTED_VALUE"""),"Europe (excluding UK) &amp; Asia Pacific")</f>
        <v>Europe (excluding UK) &amp; Asia Pacific</v>
      </c>
      <c r="D1378" s="258" t="str">
        <f>IFERROR(__xludf.DUMMYFUNCTION("""COMPUTED_VALUE"""),"km. My car displays range in kilometres and I will enter all range numbers in kilometres.")</f>
        <v>km. My car displays range in kilometres and I will enter all range numbers in kilometres.</v>
      </c>
      <c r="E1378" s="259">
        <f>IFERROR(__xludf.DUMMYFUNCTION("""COMPUTED_VALUE"""),42994.0)</f>
        <v>42994</v>
      </c>
      <c r="F1378" s="258" t="str">
        <f>IFERROR(__xludf.DUMMYFUNCTION("""COMPUTED_VALUE"""),"Model S 75D")</f>
        <v>Model S 75D</v>
      </c>
      <c r="G1378" s="258" t="str">
        <f>IFERROR(__xludf.DUMMYFUNCTION("""COMPUTED_VALUE"""),"Monthly")</f>
        <v>Monthly</v>
      </c>
      <c r="H1378" s="258" t="str">
        <f>IFERROR(__xludf.DUMMYFUNCTION("""COMPUTED_VALUE"""),"A few times a year")</f>
        <v>A few times a year</v>
      </c>
      <c r="I1378" s="258" t="str">
        <f>IFERROR(__xludf.DUMMYFUNCTION("""COMPUTED_VALUE"""),"A few times a year")</f>
        <v>A few times a year</v>
      </c>
      <c r="J1378" s="260">
        <f>IFERROR(__xludf.DUMMYFUNCTION("""COMPUTED_VALUE"""),0.7)</f>
        <v>0.7</v>
      </c>
      <c r="K1378" s="258">
        <f>IFERROR(__xludf.DUMMYFUNCTION("""COMPUTED_VALUE"""),393.0)</f>
        <v>393</v>
      </c>
      <c r="L1378" s="258" t="str">
        <f>IFERROR(__xludf.DUMMYFUNCTION("""COMPUTED_VALUE"""),"")</f>
        <v/>
      </c>
      <c r="M1378" s="261">
        <f>IFERROR(__xludf.DUMMYFUNCTION("""COMPUTED_VALUE"""),224.0)</f>
        <v>224</v>
      </c>
      <c r="N1378" s="262" t="str">
        <f>IFERROR(__xludf.DUMMYFUNCTION("""COMPUTED_VALUE"""),"")</f>
        <v/>
      </c>
      <c r="O1378" s="259" t="str">
        <f>IFERROR(__xludf.DUMMYFUNCTION("""COMPUTED_VALUE"""),"")</f>
        <v/>
      </c>
      <c r="P1378" s="259">
        <f>IFERROR(__xludf.DUMMYFUNCTION("""COMPUTED_VALUE"""),43419.0)</f>
        <v>43419</v>
      </c>
      <c r="Q1378" s="258">
        <f>IFERROR(__xludf.DUMMYFUNCTION("""COMPUTED_VALUE"""),40000.0)</f>
        <v>40000</v>
      </c>
      <c r="R1378" s="261">
        <f>IFERROR(__xludf.DUMMYFUNCTION("""COMPUTED_VALUE"""),385.0)</f>
        <v>385</v>
      </c>
      <c r="S1378" s="258">
        <v>384.0</v>
      </c>
      <c r="T1378" s="263">
        <v>1.0026041666666667</v>
      </c>
      <c r="U1378" s="264">
        <v>24855.0</v>
      </c>
      <c r="V1378" s="265">
        <v>40000.0</v>
      </c>
      <c r="W1378" s="264">
        <v>24855.0</v>
      </c>
      <c r="X1378" s="266"/>
      <c r="Y1378" s="267">
        <v>-0.01</v>
      </c>
      <c r="Z1378" s="267">
        <v>0.9633084629971033</v>
      </c>
      <c r="AA1378" s="269"/>
      <c r="AB1378" s="270"/>
      <c r="AC1378" s="270"/>
      <c r="AD1378" s="270"/>
      <c r="AE1378" s="270"/>
    </row>
    <row r="1379">
      <c r="A1379" s="256">
        <f>IFERROR(__xludf.DUMMYFUNCTION("""COMPUTED_VALUE"""),43862.79234834491)</f>
        <v>43862.79235</v>
      </c>
      <c r="B1379" s="257" t="str">
        <f>IFERROR(__xludf.DUMMYFUNCTION("""COMPUTED_VALUE"""),"T-Drive")</f>
        <v>T-Drive</v>
      </c>
      <c r="C1379" s="258" t="str">
        <f>IFERROR(__xludf.DUMMYFUNCTION("""COMPUTED_VALUE"""),"Europe (excluding UK) &amp; Asia Pacific")</f>
        <v>Europe (excluding UK) &amp; Asia Pacific</v>
      </c>
      <c r="D1379" s="258" t="str">
        <f>IFERROR(__xludf.DUMMYFUNCTION("""COMPUTED_VALUE"""),"km. My car displays range in kilometres and I will enter all range numbers in kilometres.")</f>
        <v>km. My car displays range in kilometres and I will enter all range numbers in kilometres.</v>
      </c>
      <c r="E1379" s="259">
        <f>IFERROR(__xludf.DUMMYFUNCTION("""COMPUTED_VALUE"""),42994.0)</f>
        <v>42994</v>
      </c>
      <c r="F1379" s="258" t="str">
        <f>IFERROR(__xludf.DUMMYFUNCTION("""COMPUTED_VALUE"""),"Model S 75D")</f>
        <v>Model S 75D</v>
      </c>
      <c r="G1379" s="258" t="str">
        <f>IFERROR(__xludf.DUMMYFUNCTION("""COMPUTED_VALUE"""),"Monthly")</f>
        <v>Monthly</v>
      </c>
      <c r="H1379" s="258" t="str">
        <f>IFERROR(__xludf.DUMMYFUNCTION("""COMPUTED_VALUE"""),"A few times a year")</f>
        <v>A few times a year</v>
      </c>
      <c r="I1379" s="258" t="str">
        <f>IFERROR(__xludf.DUMMYFUNCTION("""COMPUTED_VALUE"""),"A few times a year")</f>
        <v>A few times a year</v>
      </c>
      <c r="J1379" s="260">
        <f>IFERROR(__xludf.DUMMYFUNCTION("""COMPUTED_VALUE"""),0.7)</f>
        <v>0.7</v>
      </c>
      <c r="K1379" s="258">
        <f>IFERROR(__xludf.DUMMYFUNCTION("""COMPUTED_VALUE"""),393.0)</f>
        <v>393</v>
      </c>
      <c r="L1379" s="258" t="str">
        <f>IFERROR(__xludf.DUMMYFUNCTION("""COMPUTED_VALUE"""),"")</f>
        <v/>
      </c>
      <c r="M1379" s="261">
        <f>IFERROR(__xludf.DUMMYFUNCTION("""COMPUTED_VALUE"""),224.0)</f>
        <v>224</v>
      </c>
      <c r="N1379" s="262" t="str">
        <f>IFERROR(__xludf.DUMMYFUNCTION("""COMPUTED_VALUE"""),"")</f>
        <v/>
      </c>
      <c r="O1379" s="259" t="str">
        <f>IFERROR(__xludf.DUMMYFUNCTION("""COMPUTED_VALUE"""),"")</f>
        <v/>
      </c>
      <c r="P1379" s="259">
        <f>IFERROR(__xludf.DUMMYFUNCTION("""COMPUTED_VALUE"""),43862.0)</f>
        <v>43862</v>
      </c>
      <c r="Q1379" s="258">
        <f>IFERROR(__xludf.DUMMYFUNCTION("""COMPUTED_VALUE"""),85000.0)</f>
        <v>85000</v>
      </c>
      <c r="R1379" s="261">
        <f>IFERROR(__xludf.DUMMYFUNCTION("""COMPUTED_VALUE"""),380.0)</f>
        <v>380</v>
      </c>
      <c r="S1379" s="258">
        <v>384.0</v>
      </c>
      <c r="T1379" s="263">
        <v>0.9895833333333334</v>
      </c>
      <c r="U1379" s="264">
        <v>52817.0</v>
      </c>
      <c r="V1379" s="265">
        <v>85000.0</v>
      </c>
      <c r="W1379" s="264">
        <v>52817.0</v>
      </c>
      <c r="X1379" s="266"/>
      <c r="Y1379" s="267">
        <v>-0.01</v>
      </c>
      <c r="Z1379" s="267">
        <v>0.9501718849899705</v>
      </c>
      <c r="AA1379" s="269"/>
      <c r="AB1379" s="270"/>
      <c r="AC1379" s="270"/>
      <c r="AD1379" s="270"/>
      <c r="AE1379" s="270"/>
    </row>
    <row r="1380">
      <c r="A1380" s="256">
        <f>IFERROR(__xludf.DUMMYFUNCTION("""COMPUTED_VALUE"""),43204.88541666667)</f>
        <v>43204.88542</v>
      </c>
      <c r="B1380" s="257" t="str">
        <f>IFERROR(__xludf.DUMMYFUNCTION("""COMPUTED_VALUE"""),"T. Johnson")</f>
        <v>T. Johnson</v>
      </c>
      <c r="C1380" s="258" t="str">
        <f>IFERROR(__xludf.DUMMYFUNCTION("""COMPUTED_VALUE"""),"USA")</f>
        <v>USA</v>
      </c>
      <c r="D1380" s="258" t="str">
        <f>IFERROR(__xludf.DUMMYFUNCTION("""COMPUTED_VALUE"""),"mi. My car displays range in miles and I will enter all range numbers in miles.")</f>
        <v>mi. My car displays range in miles and I will enter all range numbers in miles.</v>
      </c>
      <c r="E1380" s="259">
        <f>IFERROR(__xludf.DUMMYFUNCTION("""COMPUTED_VALUE"""),41274.0)</f>
        <v>41274</v>
      </c>
      <c r="F1380" s="258" t="str">
        <f>IFERROR(__xludf.DUMMYFUNCTION("""COMPUTED_VALUE"""),"Model S P85")</f>
        <v>Model S P85</v>
      </c>
      <c r="G1380" s="258" t="str">
        <f>IFERROR(__xludf.DUMMYFUNCTION("""COMPUTED_VALUE"""),"A few times a year")</f>
        <v>A few times a year</v>
      </c>
      <c r="H1380" s="258" t="str">
        <f>IFERROR(__xludf.DUMMYFUNCTION("""COMPUTED_VALUE"""),"A few times a year")</f>
        <v>A few times a year</v>
      </c>
      <c r="I1380" s="258" t="str">
        <f>IFERROR(__xludf.DUMMYFUNCTION("""COMPUTED_VALUE"""),"Once or twice a year")</f>
        <v>Once or twice a year</v>
      </c>
      <c r="J1380" s="260">
        <f>IFERROR(__xludf.DUMMYFUNCTION("""COMPUTED_VALUE"""),0.7)</f>
        <v>0.7</v>
      </c>
      <c r="K1380" s="258">
        <f>IFERROR(__xludf.DUMMYFUNCTION("""COMPUTED_VALUE"""),265.0)</f>
        <v>265</v>
      </c>
      <c r="L1380" s="258" t="str">
        <f>IFERROR(__xludf.DUMMYFUNCTION("""COMPUTED_VALUE"""),"")</f>
        <v/>
      </c>
      <c r="M1380" s="261">
        <f>IFERROR(__xludf.DUMMYFUNCTION("""COMPUTED_VALUE"""),330.0)</f>
        <v>330</v>
      </c>
      <c r="N1380" s="262" t="str">
        <f>IFERROR(__xludf.DUMMYFUNCTION("""COMPUTED_VALUE"""),"")</f>
        <v/>
      </c>
      <c r="O1380" s="259" t="str">
        <f>IFERROR(__xludf.DUMMYFUNCTION("""COMPUTED_VALUE"""),"")</f>
        <v/>
      </c>
      <c r="P1380" s="259">
        <f>IFERROR(__xludf.DUMMYFUNCTION("""COMPUTED_VALUE"""),43204.0)</f>
        <v>43204</v>
      </c>
      <c r="Q1380" s="258">
        <f>IFERROR(__xludf.DUMMYFUNCTION("""COMPUTED_VALUE"""),47991.0)</f>
        <v>47991</v>
      </c>
      <c r="R1380" s="261">
        <f>IFERROR(__xludf.DUMMYFUNCTION("""COMPUTED_VALUE"""),255.0)</f>
        <v>255</v>
      </c>
      <c r="S1380" s="258">
        <v>266.0</v>
      </c>
      <c r="T1380" s="263">
        <v>0.9586466165413534</v>
      </c>
      <c r="U1380" s="264">
        <v>47991.0</v>
      </c>
      <c r="V1380" s="265">
        <v>77234.0</v>
      </c>
      <c r="W1380" s="264">
        <v>47991.0</v>
      </c>
      <c r="X1380" s="266"/>
      <c r="Y1380" s="267">
        <v>-0.01</v>
      </c>
      <c r="Z1380" s="267">
        <v>0.9520871478413945</v>
      </c>
      <c r="AA1380" s="269"/>
      <c r="AB1380" s="270"/>
      <c r="AC1380" s="270"/>
      <c r="AD1380" s="270"/>
      <c r="AE1380" s="270"/>
    </row>
    <row r="1381">
      <c r="A1381" s="256">
        <f>IFERROR(__xludf.DUMMYFUNCTION("""COMPUTED_VALUE"""),42181.74722222222)</f>
        <v>42181.74722</v>
      </c>
      <c r="B1381" s="257" t="str">
        <f>IFERROR(__xludf.DUMMYFUNCTION("""COMPUTED_VALUE"""),"Taurusking")</f>
        <v>Taurusking</v>
      </c>
      <c r="C1381" s="258" t="str">
        <f>IFERROR(__xludf.DUMMYFUNCTION("""COMPUTED_VALUE"""),"USA")</f>
        <v>USA</v>
      </c>
      <c r="D1381" s="258" t="str">
        <f>IFERROR(__xludf.DUMMYFUNCTION("""COMPUTED_VALUE"""),"mi. My car displays range in miles and I will enter all range numbers in miles.")</f>
        <v>mi. My car displays range in miles and I will enter all range numbers in miles.</v>
      </c>
      <c r="E1381" s="259">
        <f>IFERROR(__xludf.DUMMYFUNCTION("""COMPUTED_VALUE"""),41930.0)</f>
        <v>41930</v>
      </c>
      <c r="F1381" s="258" t="str">
        <f>IFERROR(__xludf.DUMMYFUNCTION("""COMPUTED_VALUE"""),"Model S 85")</f>
        <v>Model S 85</v>
      </c>
      <c r="G1381" s="258" t="str">
        <f>IFERROR(__xludf.DUMMYFUNCTION("""COMPUTED_VALUE"""),"Monthly")</f>
        <v>Monthly</v>
      </c>
      <c r="H1381" s="258" t="str">
        <f>IFERROR(__xludf.DUMMYFUNCTION("""COMPUTED_VALUE"""),"A few times a year")</f>
        <v>A few times a year</v>
      </c>
      <c r="I1381" s="258" t="str">
        <f>IFERROR(__xludf.DUMMYFUNCTION("""COMPUTED_VALUE"""),"A few times a year")</f>
        <v>A few times a year</v>
      </c>
      <c r="J1381" s="260">
        <f>IFERROR(__xludf.DUMMYFUNCTION("""COMPUTED_VALUE"""),0.9)</f>
        <v>0.9</v>
      </c>
      <c r="K1381" s="258">
        <f>IFERROR(__xludf.DUMMYFUNCTION("""COMPUTED_VALUE"""),265.0)</f>
        <v>265</v>
      </c>
      <c r="L1381" s="258" t="str">
        <f>IFERROR(__xludf.DUMMYFUNCTION("""COMPUTED_VALUE"""),"")</f>
        <v/>
      </c>
      <c r="M1381" s="261">
        <f>IFERROR(__xludf.DUMMYFUNCTION("""COMPUTED_VALUE"""),278.0)</f>
        <v>278</v>
      </c>
      <c r="N1381" s="262" t="str">
        <f>IFERROR(__xludf.DUMMYFUNCTION("""COMPUTED_VALUE"""),"")</f>
        <v/>
      </c>
      <c r="O1381" s="259" t="str">
        <f>IFERROR(__xludf.DUMMYFUNCTION("""COMPUTED_VALUE"""),"")</f>
        <v/>
      </c>
      <c r="P1381" s="259">
        <f>IFERROR(__xludf.DUMMYFUNCTION("""COMPUTED_VALUE"""),42181.0)</f>
        <v>42181</v>
      </c>
      <c r="Q1381" s="258">
        <f>IFERROR(__xludf.DUMMYFUNCTION("""COMPUTED_VALUE"""),25714.0)</f>
        <v>25714</v>
      </c>
      <c r="R1381" s="261">
        <f>IFERROR(__xludf.DUMMYFUNCTION("""COMPUTED_VALUE"""),255.0)</f>
        <v>255</v>
      </c>
      <c r="S1381" s="258">
        <v>266.0</v>
      </c>
      <c r="T1381" s="263">
        <v>0.9586466165413534</v>
      </c>
      <c r="U1381" s="264">
        <v>25714.0</v>
      </c>
      <c r="V1381" s="265">
        <v>41383.0</v>
      </c>
      <c r="W1381" s="264">
        <v>25714.0</v>
      </c>
      <c r="X1381" s="266"/>
      <c r="Y1381" s="267">
        <v>-0.01</v>
      </c>
      <c r="Z1381" s="267">
        <v>0.9627596436717368</v>
      </c>
      <c r="AA1381" s="269"/>
      <c r="AB1381" s="270"/>
      <c r="AC1381" s="270"/>
      <c r="AD1381" s="270"/>
      <c r="AE1381" s="270"/>
    </row>
    <row r="1382">
      <c r="A1382" s="256">
        <f>IFERROR(__xludf.DUMMYFUNCTION("""COMPUTED_VALUE"""),42625.40138888889)</f>
        <v>42625.40139</v>
      </c>
      <c r="B1382" s="257" t="str">
        <f>IFERROR(__xludf.DUMMYFUNCTION("""COMPUTED_VALUE"""),"Tazmanian")</f>
        <v>Tazmanian</v>
      </c>
      <c r="C1382" s="258" t="str">
        <f>IFERROR(__xludf.DUMMYFUNCTION("""COMPUTED_VALUE"""),"Europe (excluding UK) &amp; Asia Pacific")</f>
        <v>Europe (excluding UK) &amp; Asia Pacific</v>
      </c>
      <c r="D1382" s="258" t="str">
        <f>IFERROR(__xludf.DUMMYFUNCTION("""COMPUTED_VALUE"""),"km. My car displays range in kilometres and I will enter all range numbers in kilometres.")</f>
        <v>km. My car displays range in kilometres and I will enter all range numbers in kilometres.</v>
      </c>
      <c r="E1382" s="259">
        <f>IFERROR(__xludf.DUMMYFUNCTION("""COMPUTED_VALUE"""),42396.0)</f>
        <v>42396</v>
      </c>
      <c r="F1382" s="258" t="str">
        <f>IFERROR(__xludf.DUMMYFUNCTION("""COMPUTED_VALUE"""),"Model S 85D")</f>
        <v>Model S 85D</v>
      </c>
      <c r="G1382" s="258" t="str">
        <f>IFERROR(__xludf.DUMMYFUNCTION("""COMPUTED_VALUE"""),"Weekly")</f>
        <v>Weekly</v>
      </c>
      <c r="H1382" s="258" t="str">
        <f>IFERROR(__xludf.DUMMYFUNCTION("""COMPUTED_VALUE"""),"Monthly")</f>
        <v>Monthly</v>
      </c>
      <c r="I1382" s="258" t="str">
        <f>IFERROR(__xludf.DUMMYFUNCTION("""COMPUTED_VALUE"""),"Monthly")</f>
        <v>Monthly</v>
      </c>
      <c r="J1382" s="260">
        <f>IFERROR(__xludf.DUMMYFUNCTION("""COMPUTED_VALUE"""),0.9)</f>
        <v>0.9</v>
      </c>
      <c r="K1382" s="258" t="str">
        <f>IFERROR(__xludf.DUMMYFUNCTION("""COMPUTED_VALUE"""),"")</f>
        <v/>
      </c>
      <c r="L1382" s="258" t="str">
        <f>IFERROR(__xludf.DUMMYFUNCTION("""COMPUTED_VALUE"""),"")</f>
        <v/>
      </c>
      <c r="M1382" s="261">
        <f>IFERROR(__xludf.DUMMYFUNCTION("""COMPUTED_VALUE"""),230.0)</f>
        <v>230</v>
      </c>
      <c r="N1382" s="262" t="str">
        <f>IFERROR(__xludf.DUMMYFUNCTION("""COMPUTED_VALUE"""),"")</f>
        <v/>
      </c>
      <c r="O1382" s="259" t="str">
        <f>IFERROR(__xludf.DUMMYFUNCTION("""COMPUTED_VALUE"""),"")</f>
        <v/>
      </c>
      <c r="P1382" s="259">
        <f>IFERROR(__xludf.DUMMYFUNCTION("""COMPUTED_VALUE"""),42625.0)</f>
        <v>42625</v>
      </c>
      <c r="Q1382" s="258">
        <f>IFERROR(__xludf.DUMMYFUNCTION("""COMPUTED_VALUE"""),17500.0)</f>
        <v>17500</v>
      </c>
      <c r="R1382" s="261">
        <f>IFERROR(__xludf.DUMMYFUNCTION("""COMPUTED_VALUE"""),420.0)</f>
        <v>420</v>
      </c>
      <c r="S1382" s="258">
        <v>425.0</v>
      </c>
      <c r="T1382" s="263">
        <v>0.9882352941176471</v>
      </c>
      <c r="U1382" s="264">
        <v>10874.0</v>
      </c>
      <c r="V1382" s="265">
        <v>17500.0</v>
      </c>
      <c r="W1382" s="264">
        <v>10874.0</v>
      </c>
      <c r="X1382" s="266"/>
      <c r="Y1382" s="267">
        <v>-0.01</v>
      </c>
      <c r="Z1382" s="267">
        <v>0.9765279810226123</v>
      </c>
      <c r="AA1382" s="269"/>
      <c r="AB1382" s="270"/>
      <c r="AC1382" s="270"/>
      <c r="AD1382" s="270"/>
      <c r="AE1382" s="270"/>
    </row>
    <row r="1383">
      <c r="A1383" s="256">
        <f>IFERROR(__xludf.DUMMYFUNCTION("""COMPUTED_VALUE"""),43775.93134216435)</f>
        <v>43775.93134</v>
      </c>
      <c r="B1383" s="257" t="str">
        <f>IFERROR(__xludf.DUMMYFUNCTION("""COMPUTED_VALUE"""),"tdriver")</f>
        <v>tdriver</v>
      </c>
      <c r="C1383" s="258" t="str">
        <f>IFERROR(__xludf.DUMMYFUNCTION("""COMPUTED_VALUE"""),"Europe (excluding UK) &amp; Asia Pacific")</f>
        <v>Europe (excluding UK) &amp; Asia Pacific</v>
      </c>
      <c r="D1383" s="258" t="str">
        <f>IFERROR(__xludf.DUMMYFUNCTION("""COMPUTED_VALUE"""),"km. My car displays range in kilometres and I will enter all range numbers in kilometres.")</f>
        <v>km. My car displays range in kilometres and I will enter all range numbers in kilometres.</v>
      </c>
      <c r="E1383" s="259">
        <f>IFERROR(__xludf.DUMMYFUNCTION("""COMPUTED_VALUE"""),43546.0)</f>
        <v>43546</v>
      </c>
      <c r="F1383" s="258" t="str">
        <f>IFERROR(__xludf.DUMMYFUNCTION("""COMPUTED_VALUE"""),"Model 3 P")</f>
        <v>Model 3 P</v>
      </c>
      <c r="G1383" s="258" t="str">
        <f>IFERROR(__xludf.DUMMYFUNCTION("""COMPUTED_VALUE"""),"A few times a year")</f>
        <v>A few times a year</v>
      </c>
      <c r="H1383" s="258" t="str">
        <f>IFERROR(__xludf.DUMMYFUNCTION("""COMPUTED_VALUE"""),"Once or twice a year")</f>
        <v>Once or twice a year</v>
      </c>
      <c r="I1383" s="258" t="str">
        <f>IFERROR(__xludf.DUMMYFUNCTION("""COMPUTED_VALUE"""),"Once or twice a year")</f>
        <v>Once or twice a year</v>
      </c>
      <c r="J1383" s="260">
        <f>IFERROR(__xludf.DUMMYFUNCTION("""COMPUTED_VALUE"""),0.8)</f>
        <v>0.8</v>
      </c>
      <c r="K1383" s="258">
        <f>IFERROR(__xludf.DUMMYFUNCTION("""COMPUTED_VALUE"""),499.0)</f>
        <v>499</v>
      </c>
      <c r="L1383" s="258">
        <f>IFERROR(__xludf.DUMMYFUNCTION("""COMPUTED_VALUE"""),473.0)</f>
        <v>473</v>
      </c>
      <c r="M1383" s="261">
        <f>IFERROR(__xludf.DUMMYFUNCTION("""COMPUTED_VALUE"""),19058.0)</f>
        <v>19058</v>
      </c>
      <c r="N1383" s="262" t="str">
        <f>IFERROR(__xludf.DUMMYFUNCTION("""COMPUTED_VALUE"""),"")</f>
        <v/>
      </c>
      <c r="O1383" s="259" t="str">
        <f>IFERROR(__xludf.DUMMYFUNCTION("""COMPUTED_VALUE"""),"It didn't change")</f>
        <v>It didn't change</v>
      </c>
      <c r="P1383" s="259">
        <f>IFERROR(__xludf.DUMMYFUNCTION("""COMPUTED_VALUE"""),43748.0)</f>
        <v>43748</v>
      </c>
      <c r="Q1383" s="258">
        <f>IFERROR(__xludf.DUMMYFUNCTION("""COMPUTED_VALUE"""),150.0)</f>
        <v>150</v>
      </c>
      <c r="R1383" s="261">
        <f>IFERROR(__xludf.DUMMYFUNCTION("""COMPUTED_VALUE"""),473.0)</f>
        <v>473</v>
      </c>
      <c r="S1383" s="258">
        <v>530.0</v>
      </c>
      <c r="T1383" s="263">
        <v>0.8924528301886793</v>
      </c>
      <c r="U1383" s="264">
        <v>93.0</v>
      </c>
      <c r="V1383" s="265">
        <v>150.0</v>
      </c>
      <c r="W1383" s="264">
        <v>93.0</v>
      </c>
      <c r="X1383" s="266"/>
      <c r="Y1383" s="267">
        <v>-0.01</v>
      </c>
      <c r="Z1383" s="267">
        <v>0.9997010876515637</v>
      </c>
      <c r="AA1383" s="269"/>
      <c r="AB1383" s="270"/>
      <c r="AC1383" s="270"/>
      <c r="AD1383" s="270"/>
      <c r="AE1383" s="270"/>
    </row>
    <row r="1384">
      <c r="A1384" s="256">
        <f>IFERROR(__xludf.DUMMYFUNCTION("""COMPUTED_VALUE"""),42736.81805555556)</f>
        <v>42736.81806</v>
      </c>
      <c r="B1384" s="257" t="str">
        <f>IFERROR(__xludf.DUMMYFUNCTION("""COMPUTED_VALUE"""),"techmaven")</f>
        <v>techmaven</v>
      </c>
      <c r="C1384" s="258" t="str">
        <f>IFERROR(__xludf.DUMMYFUNCTION("""COMPUTED_VALUE"""),"USA")</f>
        <v>USA</v>
      </c>
      <c r="D1384" s="258" t="str">
        <f>IFERROR(__xludf.DUMMYFUNCTION("""COMPUTED_VALUE"""),"mi. My car displays range in miles and I will enter all range numbers in miles.")</f>
        <v>mi. My car displays range in miles and I will enter all range numbers in miles.</v>
      </c>
      <c r="E1384" s="259">
        <f>IFERROR(__xludf.DUMMYFUNCTION("""COMPUTED_VALUE"""),41545.0)</f>
        <v>41545</v>
      </c>
      <c r="F1384" s="258" t="str">
        <f>IFERROR(__xludf.DUMMYFUNCTION("""COMPUTED_VALUE"""),"Model S P85")</f>
        <v>Model S P85</v>
      </c>
      <c r="G1384" s="258" t="str">
        <f>IFERROR(__xludf.DUMMYFUNCTION("""COMPUTED_VALUE"""),"Monthly")</f>
        <v>Monthly</v>
      </c>
      <c r="H1384" s="258" t="str">
        <f>IFERROR(__xludf.DUMMYFUNCTION("""COMPUTED_VALUE"""),"A few times a year")</f>
        <v>A few times a year</v>
      </c>
      <c r="I1384" s="258" t="str">
        <f>IFERROR(__xludf.DUMMYFUNCTION("""COMPUTED_VALUE"""),"Once or twice a year")</f>
        <v>Once or twice a year</v>
      </c>
      <c r="J1384" s="260">
        <f>IFERROR(__xludf.DUMMYFUNCTION("""COMPUTED_VALUE"""),0.8)</f>
        <v>0.8</v>
      </c>
      <c r="K1384" s="258">
        <f>IFERROR(__xludf.DUMMYFUNCTION("""COMPUTED_VALUE"""),267.0)</f>
        <v>267</v>
      </c>
      <c r="L1384" s="258" t="str">
        <f>IFERROR(__xludf.DUMMYFUNCTION("""COMPUTED_VALUE"""),"")</f>
        <v/>
      </c>
      <c r="M1384" s="261">
        <f>IFERROR(__xludf.DUMMYFUNCTION("""COMPUTED_VALUE"""),330.0)</f>
        <v>330</v>
      </c>
      <c r="N1384" s="262">
        <f>IFERROR(__xludf.DUMMYFUNCTION("""COMPUTED_VALUE"""),12000.0)</f>
        <v>12000</v>
      </c>
      <c r="O1384" s="259" t="str">
        <f>IFERROR(__xludf.DUMMYFUNCTION("""COMPUTED_VALUE"""),"Dropped by 3 km or mi")</f>
        <v>Dropped by 3 km or mi</v>
      </c>
      <c r="P1384" s="259">
        <f>IFERROR(__xludf.DUMMYFUNCTION("""COMPUTED_VALUE"""),42736.0)</f>
        <v>42736</v>
      </c>
      <c r="Q1384" s="258">
        <f>IFERROR(__xludf.DUMMYFUNCTION("""COMPUTED_VALUE"""),29800.0)</f>
        <v>29800</v>
      </c>
      <c r="R1384" s="261">
        <f>IFERROR(__xludf.DUMMYFUNCTION("""COMPUTED_VALUE"""),254.0)</f>
        <v>254</v>
      </c>
      <c r="S1384" s="258">
        <v>266.0</v>
      </c>
      <c r="T1384" s="263">
        <v>0.9548872180451128</v>
      </c>
      <c r="U1384" s="264">
        <v>29800.0</v>
      </c>
      <c r="V1384" s="265">
        <v>47958.0</v>
      </c>
      <c r="W1384" s="264">
        <v>29800.0</v>
      </c>
      <c r="X1384" s="266"/>
      <c r="Y1384" s="267">
        <v>-0.01</v>
      </c>
      <c r="Z1384" s="267">
        <v>0.9603710834750967</v>
      </c>
      <c r="AA1384" s="269"/>
      <c r="AB1384" s="270"/>
      <c r="AC1384" s="270"/>
      <c r="AD1384" s="270"/>
      <c r="AE1384" s="270"/>
    </row>
    <row r="1385">
      <c r="A1385" s="256">
        <f>IFERROR(__xludf.DUMMYFUNCTION("""COMPUTED_VALUE"""),42844.52569444444)</f>
        <v>42844.52569</v>
      </c>
      <c r="B1385" s="257" t="str">
        <f>IFERROR(__xludf.DUMMYFUNCTION("""COMPUTED_VALUE"""),"tehjimos")</f>
        <v>tehjimos</v>
      </c>
      <c r="C1385" s="258" t="str">
        <f>IFERROR(__xludf.DUMMYFUNCTION("""COMPUTED_VALUE"""),"Europe (excluding UK) &amp; Asia Pacific")</f>
        <v>Europe (excluding UK) &amp; Asia Pacific</v>
      </c>
      <c r="D1385" s="258" t="str">
        <f>IFERROR(__xludf.DUMMYFUNCTION("""COMPUTED_VALUE"""),"km. My car displays range in kilometres and I will enter all range numbers in kilometres.")</f>
        <v>km. My car displays range in kilometres and I will enter all range numbers in kilometres.</v>
      </c>
      <c r="E1385" s="259">
        <f>IFERROR(__xludf.DUMMYFUNCTION("""COMPUTED_VALUE"""),41974.0)</f>
        <v>41974</v>
      </c>
      <c r="F1385" s="258" t="str">
        <f>IFERROR(__xludf.DUMMYFUNCTION("""COMPUTED_VALUE"""),"Model S 85")</f>
        <v>Model S 85</v>
      </c>
      <c r="G1385" s="258" t="str">
        <f>IFERROR(__xludf.DUMMYFUNCTION("""COMPUTED_VALUE"""),"Twice a week")</f>
        <v>Twice a week</v>
      </c>
      <c r="H1385" s="258" t="str">
        <f>IFERROR(__xludf.DUMMYFUNCTION("""COMPUTED_VALUE"""),"Monthly")</f>
        <v>Monthly</v>
      </c>
      <c r="I1385" s="258" t="str">
        <f>IFERROR(__xludf.DUMMYFUNCTION("""COMPUTED_VALUE"""),"Twice a month")</f>
        <v>Twice a month</v>
      </c>
      <c r="J1385" s="260">
        <f>IFERROR(__xludf.DUMMYFUNCTION("""COMPUTED_VALUE"""),0.9)</f>
        <v>0.9</v>
      </c>
      <c r="K1385" s="258">
        <f>IFERROR(__xludf.DUMMYFUNCTION("""COMPUTED_VALUE"""),396.0)</f>
        <v>396</v>
      </c>
      <c r="L1385" s="258" t="str">
        <f>IFERROR(__xludf.DUMMYFUNCTION("""COMPUTED_VALUE"""),"")</f>
        <v/>
      </c>
      <c r="M1385" s="261">
        <f>IFERROR(__xludf.DUMMYFUNCTION("""COMPUTED_VALUE"""),250.0)</f>
        <v>250</v>
      </c>
      <c r="N1385" s="262" t="str">
        <f>IFERROR(__xludf.DUMMYFUNCTION("""COMPUTED_VALUE"""),"")</f>
        <v/>
      </c>
      <c r="O1385" s="259" t="str">
        <f>IFERROR(__xludf.DUMMYFUNCTION("""COMPUTED_VALUE"""),"")</f>
        <v/>
      </c>
      <c r="P1385" s="259">
        <f>IFERROR(__xludf.DUMMYFUNCTION("""COMPUTED_VALUE"""),42844.0)</f>
        <v>42844</v>
      </c>
      <c r="Q1385" s="258">
        <f>IFERROR(__xludf.DUMMYFUNCTION("""COMPUTED_VALUE"""),106000.0)</f>
        <v>106000</v>
      </c>
      <c r="R1385" s="261">
        <f>IFERROR(__xludf.DUMMYFUNCTION("""COMPUTED_VALUE"""),369.0)</f>
        <v>369</v>
      </c>
      <c r="S1385" s="258">
        <v>395.0</v>
      </c>
      <c r="T1385" s="263">
        <v>0.9341772151898734</v>
      </c>
      <c r="U1385" s="264">
        <v>65865.0</v>
      </c>
      <c r="V1385" s="265">
        <v>106000.0</v>
      </c>
      <c r="W1385" s="264">
        <v>65865.0</v>
      </c>
      <c r="X1385" s="266"/>
      <c r="Y1385" s="267">
        <v>-0.01</v>
      </c>
      <c r="Z1385" s="267">
        <v>0.9451750318389006</v>
      </c>
      <c r="AA1385" s="269"/>
      <c r="AB1385" s="270"/>
      <c r="AC1385" s="270"/>
      <c r="AD1385" s="270"/>
      <c r="AE1385" s="270"/>
    </row>
    <row r="1386">
      <c r="A1386" s="256">
        <f>IFERROR(__xludf.DUMMYFUNCTION("""COMPUTED_VALUE"""),42152.73888888889)</f>
        <v>42152.73889</v>
      </c>
      <c r="B1386" s="257" t="str">
        <f>IFERROR(__xludf.DUMMYFUNCTION("""COMPUTED_VALUE"""),"terrymisu")</f>
        <v>terrymisu</v>
      </c>
      <c r="C1386" s="258" t="str">
        <f>IFERROR(__xludf.DUMMYFUNCTION("""COMPUTED_VALUE"""),"USA")</f>
        <v>USA</v>
      </c>
      <c r="D1386" s="258" t="str">
        <f>IFERROR(__xludf.DUMMYFUNCTION("""COMPUTED_VALUE"""),"mi. My car displays range in miles and I will enter all range numbers in miles.")</f>
        <v>mi. My car displays range in miles and I will enter all range numbers in miles.</v>
      </c>
      <c r="E1386" s="259">
        <f>IFERROR(__xludf.DUMMYFUNCTION("""COMPUTED_VALUE"""),42131.0)</f>
        <v>42131</v>
      </c>
      <c r="F1386" s="258" t="str">
        <f>IFERROR(__xludf.DUMMYFUNCTION("""COMPUTED_VALUE"""),"Model S P85D")</f>
        <v>Model S P85D</v>
      </c>
      <c r="G1386" s="258" t="str">
        <f>IFERROR(__xludf.DUMMYFUNCTION("""COMPUTED_VALUE"""),"Weekly")</f>
        <v>Weekly</v>
      </c>
      <c r="H1386" s="258" t="str">
        <f>IFERROR(__xludf.DUMMYFUNCTION("""COMPUTED_VALUE"""),"Never")</f>
        <v>Never</v>
      </c>
      <c r="I1386" s="258" t="str">
        <f>IFERROR(__xludf.DUMMYFUNCTION("""COMPUTED_VALUE"""),"Never")</f>
        <v>Never</v>
      </c>
      <c r="J1386" s="260">
        <f>IFERROR(__xludf.DUMMYFUNCTION("""COMPUTED_VALUE"""),0.8)</f>
        <v>0.8</v>
      </c>
      <c r="K1386" s="258" t="str">
        <f>IFERROR(__xludf.DUMMYFUNCTION("""COMPUTED_VALUE"""),"")</f>
        <v/>
      </c>
      <c r="L1386" s="258" t="str">
        <f>IFERROR(__xludf.DUMMYFUNCTION("""COMPUTED_VALUE"""),"")</f>
        <v/>
      </c>
      <c r="M1386" s="261">
        <f>IFERROR(__xludf.DUMMYFUNCTION("""COMPUTED_VALUE"""),389.0)</f>
        <v>389</v>
      </c>
      <c r="N1386" s="262" t="str">
        <f>IFERROR(__xludf.DUMMYFUNCTION("""COMPUTED_VALUE"""),"")</f>
        <v/>
      </c>
      <c r="O1386" s="259" t="str">
        <f>IFERROR(__xludf.DUMMYFUNCTION("""COMPUTED_VALUE"""),"")</f>
        <v/>
      </c>
      <c r="P1386" s="259">
        <f>IFERROR(__xludf.DUMMYFUNCTION("""COMPUTED_VALUE"""),42152.0)</f>
        <v>42152</v>
      </c>
      <c r="Q1386" s="258">
        <f>IFERROR(__xludf.DUMMYFUNCTION("""COMPUTED_VALUE"""),1061.0)</f>
        <v>1061</v>
      </c>
      <c r="R1386" s="261">
        <f>IFERROR(__xludf.DUMMYFUNCTION("""COMPUTED_VALUE"""),253.0)</f>
        <v>253</v>
      </c>
      <c r="S1386" s="258">
        <v>253.0</v>
      </c>
      <c r="T1386" s="263">
        <v>1.0</v>
      </c>
      <c r="U1386" s="264">
        <v>1061.0</v>
      </c>
      <c r="V1386" s="265">
        <v>1708.0</v>
      </c>
      <c r="W1386" s="264">
        <v>1061.0</v>
      </c>
      <c r="X1386" s="266"/>
      <c r="Y1386" s="267">
        <v>-0.01</v>
      </c>
      <c r="Z1386" s="267">
        <v>0.9967284812148213</v>
      </c>
      <c r="AA1386" s="269"/>
      <c r="AB1386" s="270"/>
      <c r="AC1386" s="270"/>
      <c r="AD1386" s="270"/>
      <c r="AE1386" s="270"/>
    </row>
    <row r="1387">
      <c r="A1387" s="256">
        <f>IFERROR(__xludf.DUMMYFUNCTION("""COMPUTED_VALUE"""),42718.893055555556)</f>
        <v>42718.89306</v>
      </c>
      <c r="B1387" s="257" t="str">
        <f>IFERROR(__xludf.DUMMYFUNCTION("""COMPUTED_VALUE"""),"tes")</f>
        <v>tes</v>
      </c>
      <c r="C1387" s="258" t="str">
        <f>IFERROR(__xludf.DUMMYFUNCTION("""COMPUTED_VALUE"""),"UK")</f>
        <v>UK</v>
      </c>
      <c r="D1387" s="258" t="str">
        <f>IFERROR(__xludf.DUMMYFUNCTION("""COMPUTED_VALUE"""),"mi. My car displays range in miles and I will enter all range numbers in miles.")</f>
        <v>mi. My car displays range in miles and I will enter all range numbers in miles.</v>
      </c>
      <c r="E1387" s="259">
        <f>IFERROR(__xludf.DUMMYFUNCTION("""COMPUTED_VALUE"""),42065.0)</f>
        <v>42065</v>
      </c>
      <c r="F1387" s="258" t="str">
        <f>IFERROR(__xludf.DUMMYFUNCTION("""COMPUTED_VALUE"""),"Model S 85")</f>
        <v>Model S 85</v>
      </c>
      <c r="G1387" s="258" t="str">
        <f>IFERROR(__xludf.DUMMYFUNCTION("""COMPUTED_VALUE"""),"A few times a year")</f>
        <v>A few times a year</v>
      </c>
      <c r="H1387" s="258" t="str">
        <f>IFERROR(__xludf.DUMMYFUNCTION("""COMPUTED_VALUE"""),"Monthly")</f>
        <v>Monthly</v>
      </c>
      <c r="I1387" s="258" t="str">
        <f>IFERROR(__xludf.DUMMYFUNCTION("""COMPUTED_VALUE"""),"Never")</f>
        <v>Never</v>
      </c>
      <c r="J1387" s="260">
        <f>IFERROR(__xludf.DUMMYFUNCTION("""COMPUTED_VALUE"""),0.8)</f>
        <v>0.8</v>
      </c>
      <c r="K1387" s="258" t="str">
        <f>IFERROR(__xludf.DUMMYFUNCTION("""COMPUTED_VALUE"""),"")</f>
        <v/>
      </c>
      <c r="L1387" s="258" t="str">
        <f>IFERROR(__xludf.DUMMYFUNCTION("""COMPUTED_VALUE"""),"")</f>
        <v/>
      </c>
      <c r="M1387" s="261">
        <f>IFERROR(__xludf.DUMMYFUNCTION("""COMPUTED_VALUE"""),358.0)</f>
        <v>358</v>
      </c>
      <c r="N1387" s="262" t="str">
        <f>IFERROR(__xludf.DUMMYFUNCTION("""COMPUTED_VALUE"""),"")</f>
        <v/>
      </c>
      <c r="O1387" s="259" t="str">
        <f>IFERROR(__xludf.DUMMYFUNCTION("""COMPUTED_VALUE"""),"")</f>
        <v/>
      </c>
      <c r="P1387" s="259">
        <f>IFERROR(__xludf.DUMMYFUNCTION("""COMPUTED_VALUE"""),42718.0)</f>
        <v>42718</v>
      </c>
      <c r="Q1387" s="258">
        <f>IFERROR(__xludf.DUMMYFUNCTION("""COMPUTED_VALUE"""),37895.0)</f>
        <v>37895</v>
      </c>
      <c r="R1387" s="261">
        <f>IFERROR(__xludf.DUMMYFUNCTION("""COMPUTED_VALUE"""),238.0)</f>
        <v>238</v>
      </c>
      <c r="S1387" s="258">
        <v>245.0</v>
      </c>
      <c r="T1387" s="263">
        <v>0.9714285714285714</v>
      </c>
      <c r="U1387" s="264">
        <v>37895.0</v>
      </c>
      <c r="V1387" s="265">
        <v>60986.0</v>
      </c>
      <c r="W1387" s="264">
        <v>37895.0</v>
      </c>
      <c r="X1387" s="266"/>
      <c r="Y1387" s="267">
        <v>-0.01</v>
      </c>
      <c r="Z1387" s="267">
        <v>0.9563714200984825</v>
      </c>
      <c r="AA1387" s="269"/>
      <c r="AB1387" s="270"/>
      <c r="AC1387" s="270"/>
      <c r="AD1387" s="270"/>
      <c r="AE1387" s="270"/>
    </row>
    <row r="1388">
      <c r="A1388" s="256">
        <f>IFERROR(__xludf.DUMMYFUNCTION("""COMPUTED_VALUE"""),42155.740277777775)</f>
        <v>42155.74028</v>
      </c>
      <c r="B1388" s="257" t="str">
        <f>IFERROR(__xludf.DUMMYFUNCTION("""COMPUTED_VALUE"""),"tes-s")</f>
        <v>tes-s</v>
      </c>
      <c r="C1388" s="258" t="str">
        <f>IFERROR(__xludf.DUMMYFUNCTION("""COMPUTED_VALUE"""),"USA")</f>
        <v>USA</v>
      </c>
      <c r="D1388" s="258" t="str">
        <f>IFERROR(__xludf.DUMMYFUNCTION("""COMPUTED_VALUE"""),"mi. My car displays range in miles and I will enter all range numbers in miles.")</f>
        <v>mi. My car displays range in miles and I will enter all range numbers in miles.</v>
      </c>
      <c r="E1388" s="259">
        <f>IFERROR(__xludf.DUMMYFUNCTION("""COMPUTED_VALUE"""),41495.0)</f>
        <v>41495</v>
      </c>
      <c r="F1388" s="258" t="str">
        <f>IFERROR(__xludf.DUMMYFUNCTION("""COMPUTED_VALUE"""),"Model S 85")</f>
        <v>Model S 85</v>
      </c>
      <c r="G1388" s="258" t="str">
        <f>IFERROR(__xludf.DUMMYFUNCTION("""COMPUTED_VALUE"""),"")</f>
        <v/>
      </c>
      <c r="H1388" s="258" t="str">
        <f>IFERROR(__xludf.DUMMYFUNCTION("""COMPUTED_VALUE"""),"")</f>
        <v/>
      </c>
      <c r="I1388" s="258" t="str">
        <f>IFERROR(__xludf.DUMMYFUNCTION("""COMPUTED_VALUE"""),"")</f>
        <v/>
      </c>
      <c r="J1388" s="260" t="str">
        <f>IFERROR(__xludf.DUMMYFUNCTION("""COMPUTED_VALUE"""),"")</f>
        <v/>
      </c>
      <c r="K1388" s="258" t="str">
        <f>IFERROR(__xludf.DUMMYFUNCTION("""COMPUTED_VALUE"""),"")</f>
        <v/>
      </c>
      <c r="L1388" s="258" t="str">
        <f>IFERROR(__xludf.DUMMYFUNCTION("""COMPUTED_VALUE"""),"")</f>
        <v/>
      </c>
      <c r="M1388" s="261">
        <f>IFERROR(__xludf.DUMMYFUNCTION("""COMPUTED_VALUE"""),318.0)</f>
        <v>318</v>
      </c>
      <c r="N1388" s="262" t="str">
        <f>IFERROR(__xludf.DUMMYFUNCTION("""COMPUTED_VALUE"""),"")</f>
        <v/>
      </c>
      <c r="O1388" s="259" t="str">
        <f>IFERROR(__xludf.DUMMYFUNCTION("""COMPUTED_VALUE"""),"")</f>
        <v/>
      </c>
      <c r="P1388" s="259">
        <f>IFERROR(__xludf.DUMMYFUNCTION("""COMPUTED_VALUE"""),42155.0)</f>
        <v>42155</v>
      </c>
      <c r="Q1388" s="258">
        <f>IFERROR(__xludf.DUMMYFUNCTION("""COMPUTED_VALUE"""),46335.0)</f>
        <v>46335</v>
      </c>
      <c r="R1388" s="261">
        <f>IFERROR(__xludf.DUMMYFUNCTION("""COMPUTED_VALUE"""),252.0)</f>
        <v>252</v>
      </c>
      <c r="S1388" s="258">
        <v>266.0</v>
      </c>
      <c r="T1388" s="263">
        <v>0.9473684210526315</v>
      </c>
      <c r="U1388" s="264">
        <v>46335.0</v>
      </c>
      <c r="V1388" s="265">
        <v>74569.0</v>
      </c>
      <c r="W1388" s="264">
        <v>46335.0</v>
      </c>
      <c r="X1388" s="266"/>
      <c r="Y1388" s="267">
        <v>-0.01</v>
      </c>
      <c r="Z1388" s="267">
        <v>0.9527590445736192</v>
      </c>
      <c r="AA1388" s="269"/>
      <c r="AB1388" s="270"/>
      <c r="AC1388" s="270"/>
      <c r="AD1388" s="270"/>
      <c r="AE1388" s="270"/>
    </row>
    <row r="1389">
      <c r="A1389" s="256">
        <f>IFERROR(__xludf.DUMMYFUNCTION("""COMPUTED_VALUE"""),43099.867361111115)</f>
        <v>43099.86736</v>
      </c>
      <c r="B1389" s="257" t="str">
        <f>IFERROR(__xludf.DUMMYFUNCTION("""COMPUTED_VALUE"""),"tes-s")</f>
        <v>tes-s</v>
      </c>
      <c r="C1389" s="258" t="str">
        <f>IFERROR(__xludf.DUMMYFUNCTION("""COMPUTED_VALUE"""),"USA")</f>
        <v>USA</v>
      </c>
      <c r="D1389" s="258" t="str">
        <f>IFERROR(__xludf.DUMMYFUNCTION("""COMPUTED_VALUE"""),"mi. My car displays range in miles and I will enter all range numbers in miles.")</f>
        <v>mi. My car displays range in miles and I will enter all range numbers in miles.</v>
      </c>
      <c r="E1389" s="259">
        <f>IFERROR(__xludf.DUMMYFUNCTION("""COMPUTED_VALUE"""),41495.0)</f>
        <v>41495</v>
      </c>
      <c r="F1389" s="258" t="str">
        <f>IFERROR(__xludf.DUMMYFUNCTION("""COMPUTED_VALUE"""),"Model S 85")</f>
        <v>Model S 85</v>
      </c>
      <c r="G1389" s="258" t="str">
        <f>IFERROR(__xludf.DUMMYFUNCTION("""COMPUTED_VALUE"""),"Twice a week")</f>
        <v>Twice a week</v>
      </c>
      <c r="H1389" s="258" t="str">
        <f>IFERROR(__xludf.DUMMYFUNCTION("""COMPUTED_VALUE"""),"A few times a year")</f>
        <v>A few times a year</v>
      </c>
      <c r="I1389" s="258" t="str">
        <f>IFERROR(__xludf.DUMMYFUNCTION("""COMPUTED_VALUE"""),"A few times a year")</f>
        <v>A few times a year</v>
      </c>
      <c r="J1389" s="260">
        <f>IFERROR(__xludf.DUMMYFUNCTION("""COMPUTED_VALUE"""),0.8)</f>
        <v>0.8</v>
      </c>
      <c r="K1389" s="258">
        <f>IFERROR(__xludf.DUMMYFUNCTION("""COMPUTED_VALUE"""),262.0)</f>
        <v>262</v>
      </c>
      <c r="L1389" s="258" t="str">
        <f>IFERROR(__xludf.DUMMYFUNCTION("""COMPUTED_VALUE"""),"")</f>
        <v/>
      </c>
      <c r="M1389" s="261">
        <f>IFERROR(__xludf.DUMMYFUNCTION("""COMPUTED_VALUE"""),322.0)</f>
        <v>322</v>
      </c>
      <c r="N1389" s="262" t="str">
        <f>IFERROR(__xludf.DUMMYFUNCTION("""COMPUTED_VALUE"""),"")</f>
        <v/>
      </c>
      <c r="O1389" s="259" t="str">
        <f>IFERROR(__xludf.DUMMYFUNCTION("""COMPUTED_VALUE"""),"")</f>
        <v/>
      </c>
      <c r="P1389" s="259">
        <f>IFERROR(__xludf.DUMMYFUNCTION("""COMPUTED_VALUE"""),43099.0)</f>
        <v>43099</v>
      </c>
      <c r="Q1389" s="258">
        <f>IFERROR(__xludf.DUMMYFUNCTION("""COMPUTED_VALUE"""),114306.0)</f>
        <v>114306</v>
      </c>
      <c r="R1389" s="261">
        <f>IFERROR(__xludf.DUMMYFUNCTION("""COMPUTED_VALUE"""),242.0)</f>
        <v>242</v>
      </c>
      <c r="S1389" s="258">
        <v>266.0</v>
      </c>
      <c r="T1389" s="263">
        <v>0.9097744360902256</v>
      </c>
      <c r="U1389" s="264">
        <v>114306.0</v>
      </c>
      <c r="V1389" s="265">
        <v>183958.0</v>
      </c>
      <c r="W1389" s="264">
        <v>114306.0</v>
      </c>
      <c r="X1389" s="266"/>
      <c r="Y1389" s="267">
        <v>-0.01</v>
      </c>
      <c r="Z1389" s="267">
        <v>0.9271308227649788</v>
      </c>
      <c r="AA1389" s="269"/>
      <c r="AB1389" s="270"/>
      <c r="AC1389" s="270"/>
      <c r="AD1389" s="270"/>
      <c r="AE1389" s="270"/>
    </row>
    <row r="1390">
      <c r="A1390" s="256">
        <f>IFERROR(__xludf.DUMMYFUNCTION("""COMPUTED_VALUE"""),42972.851388888885)</f>
        <v>42972.85139</v>
      </c>
      <c r="B1390" s="257" t="str">
        <f>IFERROR(__xludf.DUMMYFUNCTION("""COMPUTED_VALUE"""),"Tesla-SF")</f>
        <v>Tesla-SF</v>
      </c>
      <c r="C1390" s="258" t="str">
        <f>IFERROR(__xludf.DUMMYFUNCTION("""COMPUTED_VALUE"""),"USA")</f>
        <v>USA</v>
      </c>
      <c r="D1390" s="258" t="str">
        <f>IFERROR(__xludf.DUMMYFUNCTION("""COMPUTED_VALUE"""),"mi. My car displays range in miles and I will enter all range numbers in miles.")</f>
        <v>mi. My car displays range in miles and I will enter all range numbers in miles.</v>
      </c>
      <c r="E1390" s="259">
        <f>IFERROR(__xludf.DUMMYFUNCTION("""COMPUTED_VALUE"""),41334.0)</f>
        <v>41334</v>
      </c>
      <c r="F1390" s="258" t="str">
        <f>IFERROR(__xludf.DUMMYFUNCTION("""COMPUTED_VALUE"""),"Model S 85")</f>
        <v>Model S 85</v>
      </c>
      <c r="G1390" s="258" t="str">
        <f>IFERROR(__xludf.DUMMYFUNCTION("""COMPUTED_VALUE"""),"Twice a month")</f>
        <v>Twice a month</v>
      </c>
      <c r="H1390" s="258" t="str">
        <f>IFERROR(__xludf.DUMMYFUNCTION("""COMPUTED_VALUE"""),"Once or twice a year")</f>
        <v>Once or twice a year</v>
      </c>
      <c r="I1390" s="258" t="str">
        <f>IFERROR(__xludf.DUMMYFUNCTION("""COMPUTED_VALUE"""),"Never")</f>
        <v>Never</v>
      </c>
      <c r="J1390" s="260">
        <f>IFERROR(__xludf.DUMMYFUNCTION("""COMPUTED_VALUE"""),0.9)</f>
        <v>0.9</v>
      </c>
      <c r="K1390" s="258">
        <f>IFERROR(__xludf.DUMMYFUNCTION("""COMPUTED_VALUE"""),265.0)</f>
        <v>265</v>
      </c>
      <c r="L1390" s="258" t="str">
        <f>IFERROR(__xludf.DUMMYFUNCTION("""COMPUTED_VALUE"""),"")</f>
        <v/>
      </c>
      <c r="M1390" s="261">
        <f>IFERROR(__xludf.DUMMYFUNCTION("""COMPUTED_VALUE"""),313.0)</f>
        <v>313</v>
      </c>
      <c r="N1390" s="262" t="str">
        <f>IFERROR(__xludf.DUMMYFUNCTION("""COMPUTED_VALUE"""),"")</f>
        <v/>
      </c>
      <c r="O1390" s="259" t="str">
        <f>IFERROR(__xludf.DUMMYFUNCTION("""COMPUTED_VALUE"""),"")</f>
        <v/>
      </c>
      <c r="P1390" s="259">
        <f>IFERROR(__xludf.DUMMYFUNCTION("""COMPUTED_VALUE"""),42972.0)</f>
        <v>42972</v>
      </c>
      <c r="Q1390" s="258">
        <f>IFERROR(__xludf.DUMMYFUNCTION("""COMPUTED_VALUE"""),95000.0)</f>
        <v>95000</v>
      </c>
      <c r="R1390" s="261">
        <f>IFERROR(__xludf.DUMMYFUNCTION("""COMPUTED_VALUE"""),256.0)</f>
        <v>256</v>
      </c>
      <c r="S1390" s="258">
        <v>266.0</v>
      </c>
      <c r="T1390" s="263">
        <v>0.9624060150375939</v>
      </c>
      <c r="U1390" s="264">
        <v>95000.0</v>
      </c>
      <c r="V1390" s="265">
        <v>152888.0</v>
      </c>
      <c r="W1390" s="264">
        <v>95000.0</v>
      </c>
      <c r="X1390" s="266"/>
      <c r="Y1390" s="267">
        <v>-0.01</v>
      </c>
      <c r="Z1390" s="267">
        <v>0.9343005342228692</v>
      </c>
      <c r="AA1390" s="269"/>
      <c r="AB1390" s="270"/>
      <c r="AC1390" s="270"/>
      <c r="AD1390" s="270"/>
      <c r="AE1390" s="270"/>
    </row>
    <row r="1391">
      <c r="A1391" s="256">
        <f>IFERROR(__xludf.DUMMYFUNCTION("""COMPUTED_VALUE"""),43070.86458333333)</f>
        <v>43070.86458</v>
      </c>
      <c r="B1391" s="257" t="str">
        <f>IFERROR(__xludf.DUMMYFUNCTION("""COMPUTED_VALUE"""),"Tesla8")</f>
        <v>Tesla8</v>
      </c>
      <c r="C1391" s="258" t="str">
        <f>IFERROR(__xludf.DUMMYFUNCTION("""COMPUTED_VALUE"""),"USA")</f>
        <v>USA</v>
      </c>
      <c r="D1391" s="258" t="str">
        <f>IFERROR(__xludf.DUMMYFUNCTION("""COMPUTED_VALUE"""),"mi. My car displays range in miles and I will enter all range numbers in miles.")</f>
        <v>mi. My car displays range in miles and I will enter all range numbers in miles.</v>
      </c>
      <c r="E1391" s="259">
        <f>IFERROR(__xludf.DUMMYFUNCTION("""COMPUTED_VALUE"""),41506.0)</f>
        <v>41506</v>
      </c>
      <c r="F1391" s="258" t="str">
        <f>IFERROR(__xludf.DUMMYFUNCTION("""COMPUTED_VALUE"""),"Model S 85")</f>
        <v>Model S 85</v>
      </c>
      <c r="G1391" s="258" t="str">
        <f>IFERROR(__xludf.DUMMYFUNCTION("""COMPUTED_VALUE"""),"Twice a week")</f>
        <v>Twice a week</v>
      </c>
      <c r="H1391" s="258" t="str">
        <f>IFERROR(__xludf.DUMMYFUNCTION("""COMPUTED_VALUE"""),"Twice a month")</f>
        <v>Twice a month</v>
      </c>
      <c r="I1391" s="258" t="str">
        <f>IFERROR(__xludf.DUMMYFUNCTION("""COMPUTED_VALUE"""),"Never")</f>
        <v>Never</v>
      </c>
      <c r="J1391" s="260">
        <f>IFERROR(__xludf.DUMMYFUNCTION("""COMPUTED_VALUE"""),0.8)</f>
        <v>0.8</v>
      </c>
      <c r="K1391" s="258" t="str">
        <f>IFERROR(__xludf.DUMMYFUNCTION("""COMPUTED_VALUE"""),"")</f>
        <v/>
      </c>
      <c r="L1391" s="258" t="str">
        <f>IFERROR(__xludf.DUMMYFUNCTION("""COMPUTED_VALUE"""),"")</f>
        <v/>
      </c>
      <c r="M1391" s="261">
        <f>IFERROR(__xludf.DUMMYFUNCTION("""COMPUTED_VALUE"""),326.0)</f>
        <v>326</v>
      </c>
      <c r="N1391" s="262" t="str">
        <f>IFERROR(__xludf.DUMMYFUNCTION("""COMPUTED_VALUE"""),"")</f>
        <v/>
      </c>
      <c r="O1391" s="259" t="str">
        <f>IFERROR(__xludf.DUMMYFUNCTION("""COMPUTED_VALUE"""),"")</f>
        <v/>
      </c>
      <c r="P1391" s="259">
        <f>IFERROR(__xludf.DUMMYFUNCTION("""COMPUTED_VALUE"""),43070.0)</f>
        <v>43070</v>
      </c>
      <c r="Q1391" s="258">
        <f>IFERROR(__xludf.DUMMYFUNCTION("""COMPUTED_VALUE"""),91128.0)</f>
        <v>91128</v>
      </c>
      <c r="R1391" s="261">
        <f>IFERROR(__xludf.DUMMYFUNCTION("""COMPUTED_VALUE"""),247.0)</f>
        <v>247</v>
      </c>
      <c r="S1391" s="258">
        <v>266.0</v>
      </c>
      <c r="T1391" s="263">
        <v>0.9285714285714286</v>
      </c>
      <c r="U1391" s="264">
        <v>91128.0</v>
      </c>
      <c r="V1391" s="265">
        <v>146656.0</v>
      </c>
      <c r="W1391" s="264">
        <v>91128.0</v>
      </c>
      <c r="X1391" s="266"/>
      <c r="Y1391" s="267">
        <v>-0.01</v>
      </c>
      <c r="Z1391" s="267">
        <v>0.9357397596822908</v>
      </c>
      <c r="AA1391" s="269"/>
      <c r="AB1391" s="270"/>
      <c r="AC1391" s="270"/>
      <c r="AD1391" s="270"/>
      <c r="AE1391" s="270"/>
    </row>
    <row r="1392">
      <c r="A1392" s="256">
        <f>IFERROR(__xludf.DUMMYFUNCTION("""COMPUTED_VALUE"""),42298.20486111111)</f>
        <v>42298.20486</v>
      </c>
      <c r="B1392" s="257" t="str">
        <f>IFERROR(__xludf.DUMMYFUNCTION("""COMPUTED_VALUE"""),"teslabil")</f>
        <v>teslabil</v>
      </c>
      <c r="C1392" s="258" t="str">
        <f>IFERROR(__xludf.DUMMYFUNCTION("""COMPUTED_VALUE"""),"Europe (excluding UK) &amp; Asia Pacific")</f>
        <v>Europe (excluding UK) &amp; Asia Pacific</v>
      </c>
      <c r="D1392" s="258" t="str">
        <f>IFERROR(__xludf.DUMMYFUNCTION("""COMPUTED_VALUE"""),"km. My car displays range in kilometres and I will enter all range numbers in kilometres.")</f>
        <v>km. My car displays range in kilometres and I will enter all range numbers in kilometres.</v>
      </c>
      <c r="E1392" s="259">
        <f>IFERROR(__xludf.DUMMYFUNCTION("""COMPUTED_VALUE"""),41699.0)</f>
        <v>41699</v>
      </c>
      <c r="F1392" s="258" t="str">
        <f>IFERROR(__xludf.DUMMYFUNCTION("""COMPUTED_VALUE"""),"Model S P85")</f>
        <v>Model S P85</v>
      </c>
      <c r="G1392" s="258" t="str">
        <f>IFERROR(__xludf.DUMMYFUNCTION("""COMPUTED_VALUE"""),"Monthly")</f>
        <v>Monthly</v>
      </c>
      <c r="H1392" s="258" t="str">
        <f>IFERROR(__xludf.DUMMYFUNCTION("""COMPUTED_VALUE"""),"Monthly")</f>
        <v>Monthly</v>
      </c>
      <c r="I1392" s="258" t="str">
        <f>IFERROR(__xludf.DUMMYFUNCTION("""COMPUTED_VALUE"""),"Never")</f>
        <v>Never</v>
      </c>
      <c r="J1392" s="260">
        <f>IFERROR(__xludf.DUMMYFUNCTION("""COMPUTED_VALUE"""),0.9)</f>
        <v>0.9</v>
      </c>
      <c r="K1392" s="258" t="str">
        <f>IFERROR(__xludf.DUMMYFUNCTION("""COMPUTED_VALUE"""),"")</f>
        <v/>
      </c>
      <c r="L1392" s="258" t="str">
        <f>IFERROR(__xludf.DUMMYFUNCTION("""COMPUTED_VALUE"""),"")</f>
        <v/>
      </c>
      <c r="M1392" s="261">
        <f>IFERROR(__xludf.DUMMYFUNCTION("""COMPUTED_VALUE"""),209.0)</f>
        <v>209</v>
      </c>
      <c r="N1392" s="262" t="str">
        <f>IFERROR(__xludf.DUMMYFUNCTION("""COMPUTED_VALUE"""),"")</f>
        <v/>
      </c>
      <c r="O1392" s="259" t="str">
        <f>IFERROR(__xludf.DUMMYFUNCTION("""COMPUTED_VALUE"""),"")</f>
        <v/>
      </c>
      <c r="P1392" s="259">
        <f>IFERROR(__xludf.DUMMYFUNCTION("""COMPUTED_VALUE"""),42298.0)</f>
        <v>42298</v>
      </c>
      <c r="Q1392" s="258">
        <f>IFERROR(__xludf.DUMMYFUNCTION("""COMPUTED_VALUE"""),25775.0)</f>
        <v>25775</v>
      </c>
      <c r="R1392" s="261">
        <f>IFERROR(__xludf.DUMMYFUNCTION("""COMPUTED_VALUE"""),384.0)</f>
        <v>384</v>
      </c>
      <c r="S1392" s="258">
        <v>395.0</v>
      </c>
      <c r="T1392" s="263">
        <v>0.9721518987341772</v>
      </c>
      <c r="U1392" s="264">
        <v>16016.0</v>
      </c>
      <c r="V1392" s="265">
        <v>25775.0</v>
      </c>
      <c r="W1392" s="264">
        <v>16016.0</v>
      </c>
      <c r="X1392" s="266"/>
      <c r="Y1392" s="267">
        <v>-0.01</v>
      </c>
      <c r="Z1392" s="267">
        <v>0.970416643544146</v>
      </c>
      <c r="AA1392" s="269"/>
      <c r="AB1392" s="270"/>
      <c r="AC1392" s="270"/>
      <c r="AD1392" s="270"/>
      <c r="AE1392" s="270"/>
    </row>
    <row r="1393">
      <c r="A1393" s="256">
        <f>IFERROR(__xludf.DUMMYFUNCTION("""COMPUTED_VALUE"""),43714.46456342592)</f>
        <v>43714.46456</v>
      </c>
      <c r="B1393" s="257" t="str">
        <f>IFERROR(__xludf.DUMMYFUNCTION("""COMPUTED_VALUE"""),"Teslatim")</f>
        <v>Teslatim</v>
      </c>
      <c r="C1393" s="258" t="str">
        <f>IFERROR(__xludf.DUMMYFUNCTION("""COMPUTED_VALUE"""),"Europe (excluding UK) &amp; Asia Pacific")</f>
        <v>Europe (excluding UK) &amp; Asia Pacific</v>
      </c>
      <c r="D1393" s="258" t="str">
        <f>IFERROR(__xludf.DUMMYFUNCTION("""COMPUTED_VALUE"""),"km. My car displays range in kilometres and I will enter all range numbers in kilometres.")</f>
        <v>km. My car displays range in kilometres and I will enter all range numbers in kilometres.</v>
      </c>
      <c r="E1393" s="259">
        <f>IFERROR(__xludf.DUMMYFUNCTION("""COMPUTED_VALUE"""),42418.0)</f>
        <v>42418</v>
      </c>
      <c r="F1393" s="258" t="str">
        <f>IFERROR(__xludf.DUMMYFUNCTION("""COMPUTED_VALUE"""),"Model S 90D")</f>
        <v>Model S 90D</v>
      </c>
      <c r="G1393" s="258" t="str">
        <f>IFERROR(__xludf.DUMMYFUNCTION("""COMPUTED_VALUE"""),"Monthly")</f>
        <v>Monthly</v>
      </c>
      <c r="H1393" s="258" t="str">
        <f>IFERROR(__xludf.DUMMYFUNCTION("""COMPUTED_VALUE"""),"Twice a month")</f>
        <v>Twice a month</v>
      </c>
      <c r="I1393" s="258" t="str">
        <f>IFERROR(__xludf.DUMMYFUNCTION("""COMPUTED_VALUE"""),"A few times a year")</f>
        <v>A few times a year</v>
      </c>
      <c r="J1393" s="260">
        <f>IFERROR(__xludf.DUMMYFUNCTION("""COMPUTED_VALUE"""),0.9)</f>
        <v>0.9</v>
      </c>
      <c r="K1393" s="258" t="str">
        <f>IFERROR(__xludf.DUMMYFUNCTION("""COMPUTED_VALUE"""),"")</f>
        <v/>
      </c>
      <c r="L1393" s="258">
        <f>IFERROR(__xludf.DUMMYFUNCTION("""COMPUTED_VALUE"""),240.0)</f>
        <v>240</v>
      </c>
      <c r="M1393" s="261">
        <f>IFERROR(__xludf.DUMMYFUNCTION("""COMPUTED_VALUE"""),280.0)</f>
        <v>280</v>
      </c>
      <c r="N1393" s="262" t="str">
        <f>IFERROR(__xludf.DUMMYFUNCTION("""COMPUTED_VALUE"""),"")</f>
        <v/>
      </c>
      <c r="O1393" s="259" t="str">
        <f>IFERROR(__xludf.DUMMYFUNCTION("""COMPUTED_VALUE"""),"")</f>
        <v/>
      </c>
      <c r="P1393" s="259">
        <f>IFERROR(__xludf.DUMMYFUNCTION("""COMPUTED_VALUE"""),43714.0)</f>
        <v>43714</v>
      </c>
      <c r="Q1393" s="258">
        <f>IFERROR(__xludf.DUMMYFUNCTION("""COMPUTED_VALUE"""),80000.0)</f>
        <v>80000</v>
      </c>
      <c r="R1393" s="261">
        <f>IFERROR(__xludf.DUMMYFUNCTION("""COMPUTED_VALUE"""),422.0)</f>
        <v>422</v>
      </c>
      <c r="S1393" s="258">
        <v>447.0</v>
      </c>
      <c r="T1393" s="263">
        <v>0.9440715883668904</v>
      </c>
      <c r="U1393" s="264">
        <v>49710.0</v>
      </c>
      <c r="V1393" s="265">
        <v>80000.0</v>
      </c>
      <c r="W1393" s="264">
        <v>49710.0</v>
      </c>
      <c r="X1393" s="266"/>
      <c r="Y1393" s="267">
        <v>-0.01</v>
      </c>
      <c r="Z1393" s="267">
        <v>0.9513984570191487</v>
      </c>
      <c r="AA1393" s="269"/>
      <c r="AB1393" s="270"/>
      <c r="AC1393" s="270"/>
      <c r="AD1393" s="270"/>
      <c r="AE1393" s="270"/>
    </row>
    <row r="1394">
      <c r="A1394" s="256">
        <f>IFERROR(__xludf.DUMMYFUNCTION("""COMPUTED_VALUE"""),43594.82731493055)</f>
        <v>43594.82731</v>
      </c>
      <c r="B1394" s="257" t="str">
        <f>IFERROR(__xludf.DUMMYFUNCTION("""COMPUTED_VALUE"""),"TG")</f>
        <v>TG</v>
      </c>
      <c r="C1394" s="258" t="str">
        <f>IFERROR(__xludf.DUMMYFUNCTION("""COMPUTED_VALUE"""),"Europe (excluding UK) &amp; Asia Pacific")</f>
        <v>Europe (excluding UK) &amp; Asia Pacific</v>
      </c>
      <c r="D1394" s="258" t="str">
        <f>IFERROR(__xludf.DUMMYFUNCTION("""COMPUTED_VALUE"""),"km. My car displays range in kilometres and I will enter all range numbers in kilometres.")</f>
        <v>km. My car displays range in kilometres and I will enter all range numbers in kilometres.</v>
      </c>
      <c r="E1394" s="259">
        <f>IFERROR(__xludf.DUMMYFUNCTION("""COMPUTED_VALUE"""),42767.0)</f>
        <v>42767</v>
      </c>
      <c r="F1394" s="258" t="str">
        <f>IFERROR(__xludf.DUMMYFUNCTION("""COMPUTED_VALUE"""),"Model S 75")</f>
        <v>Model S 75</v>
      </c>
      <c r="G1394" s="258" t="str">
        <f>IFERROR(__xludf.DUMMYFUNCTION("""COMPUTED_VALUE"""),"Twice a month")</f>
        <v>Twice a month</v>
      </c>
      <c r="H1394" s="258" t="str">
        <f>IFERROR(__xludf.DUMMYFUNCTION("""COMPUTED_VALUE"""),"A few times a year")</f>
        <v>A few times a year</v>
      </c>
      <c r="I1394" s="258" t="str">
        <f>IFERROR(__xludf.DUMMYFUNCTION("""COMPUTED_VALUE"""),"A few times a year")</f>
        <v>A few times a year</v>
      </c>
      <c r="J1394" s="260">
        <f>IFERROR(__xludf.DUMMYFUNCTION("""COMPUTED_VALUE"""),0.5)</f>
        <v>0.5</v>
      </c>
      <c r="K1394" s="258" t="str">
        <f>IFERROR(__xludf.DUMMYFUNCTION("""COMPUTED_VALUE"""),"")</f>
        <v/>
      </c>
      <c r="L1394" s="258" t="str">
        <f>IFERROR(__xludf.DUMMYFUNCTION("""COMPUTED_VALUE"""),"")</f>
        <v/>
      </c>
      <c r="M1394" s="261" t="str">
        <f>IFERROR(__xludf.DUMMYFUNCTION("""COMPUTED_VALUE"""),"")</f>
        <v/>
      </c>
      <c r="N1394" s="262" t="str">
        <f>IFERROR(__xludf.DUMMYFUNCTION("""COMPUTED_VALUE"""),"")</f>
        <v/>
      </c>
      <c r="O1394" s="259" t="str">
        <f>IFERROR(__xludf.DUMMYFUNCTION("""COMPUTED_VALUE"""),"It didn't change")</f>
        <v>It didn't change</v>
      </c>
      <c r="P1394" s="259">
        <f>IFERROR(__xludf.DUMMYFUNCTION("""COMPUTED_VALUE"""),43594.0)</f>
        <v>43594</v>
      </c>
      <c r="Q1394" s="258">
        <f>IFERROR(__xludf.DUMMYFUNCTION("""COMPUTED_VALUE"""),44000.0)</f>
        <v>44000</v>
      </c>
      <c r="R1394" s="261">
        <f>IFERROR(__xludf.DUMMYFUNCTION("""COMPUTED_VALUE"""),369.0)</f>
        <v>369</v>
      </c>
      <c r="S1394" s="258">
        <v>375.0</v>
      </c>
      <c r="T1394" s="263">
        <v>0.984</v>
      </c>
      <c r="U1394" s="264">
        <v>27340.0</v>
      </c>
      <c r="V1394" s="265">
        <v>44000.0</v>
      </c>
      <c r="W1394" s="264">
        <v>27340.0</v>
      </c>
      <c r="X1394" s="266"/>
      <c r="Y1394" s="267">
        <v>-0.01</v>
      </c>
      <c r="Z1394" s="267">
        <v>0.9617686050729014</v>
      </c>
      <c r="AA1394" s="269"/>
      <c r="AB1394" s="270"/>
      <c r="AC1394" s="270"/>
      <c r="AD1394" s="270"/>
      <c r="AE1394" s="270"/>
    </row>
    <row r="1395">
      <c r="A1395" s="256">
        <f>IFERROR(__xludf.DUMMYFUNCTION("""COMPUTED_VALUE"""),43824.730481134255)</f>
        <v>43824.73048</v>
      </c>
      <c r="B1395" s="257" t="str">
        <f>IFERROR(__xludf.DUMMYFUNCTION("""COMPUTED_VALUE"""),"th0rsten")</f>
        <v>th0rsten</v>
      </c>
      <c r="C1395" s="258" t="str">
        <f>IFERROR(__xludf.DUMMYFUNCTION("""COMPUTED_VALUE"""),"Europe (excluding UK) &amp; Asia Pacific")</f>
        <v>Europe (excluding UK) &amp; Asia Pacific</v>
      </c>
      <c r="D1395" s="258" t="str">
        <f>IFERROR(__xludf.DUMMYFUNCTION("""COMPUTED_VALUE"""),"km. My car displays range in kilometres and I will enter all range numbers in kilometres.")</f>
        <v>km. My car displays range in kilometres and I will enter all range numbers in kilometres.</v>
      </c>
      <c r="E1395" s="259">
        <f>IFERROR(__xludf.DUMMYFUNCTION("""COMPUTED_VALUE"""),42860.0)</f>
        <v>42860</v>
      </c>
      <c r="F1395" s="258" t="str">
        <f>IFERROR(__xludf.DUMMYFUNCTION("""COMPUTED_VALUE"""),"Model S 90D")</f>
        <v>Model S 90D</v>
      </c>
      <c r="G1395" s="258" t="str">
        <f>IFERROR(__xludf.DUMMYFUNCTION("""COMPUTED_VALUE"""),"Twice a week")</f>
        <v>Twice a week</v>
      </c>
      <c r="H1395" s="258" t="str">
        <f>IFERROR(__xludf.DUMMYFUNCTION("""COMPUTED_VALUE"""),"Monthly")</f>
        <v>Monthly</v>
      </c>
      <c r="I1395" s="258" t="str">
        <f>IFERROR(__xludf.DUMMYFUNCTION("""COMPUTED_VALUE"""),"A few times a year")</f>
        <v>A few times a year</v>
      </c>
      <c r="J1395" s="260">
        <f>IFERROR(__xludf.DUMMYFUNCTION("""COMPUTED_VALUE"""),0.9)</f>
        <v>0.9</v>
      </c>
      <c r="K1395" s="258">
        <f>IFERROR(__xludf.DUMMYFUNCTION("""COMPUTED_VALUE"""),540.0)</f>
        <v>540</v>
      </c>
      <c r="L1395" s="258" t="str">
        <f>IFERROR(__xludf.DUMMYFUNCTION("""COMPUTED_VALUE"""),"")</f>
        <v/>
      </c>
      <c r="M1395" s="261">
        <f>IFERROR(__xludf.DUMMYFUNCTION("""COMPUTED_VALUE"""),225.0)</f>
        <v>225</v>
      </c>
      <c r="N1395" s="262" t="str">
        <f>IFERROR(__xludf.DUMMYFUNCTION("""COMPUTED_VALUE"""),"")</f>
        <v/>
      </c>
      <c r="O1395" s="259" t="str">
        <f>IFERROR(__xludf.DUMMYFUNCTION("""COMPUTED_VALUE"""),"")</f>
        <v/>
      </c>
      <c r="P1395" s="259">
        <f>IFERROR(__xludf.DUMMYFUNCTION("""COMPUTED_VALUE"""),43811.0)</f>
        <v>43811</v>
      </c>
      <c r="Q1395" s="258">
        <f>IFERROR(__xludf.DUMMYFUNCTION("""COMPUTED_VALUE"""),79000.0)</f>
        <v>79000</v>
      </c>
      <c r="R1395" s="261">
        <f>IFERROR(__xludf.DUMMYFUNCTION("""COMPUTED_VALUE"""),525.0)</f>
        <v>525</v>
      </c>
      <c r="S1395" s="258">
        <v>447.0</v>
      </c>
      <c r="T1395" s="263">
        <v>1.174496644295302</v>
      </c>
      <c r="U1395" s="264">
        <v>49088.0</v>
      </c>
      <c r="V1395" s="265">
        <v>79000.0</v>
      </c>
      <c r="W1395" s="264">
        <v>49088.0</v>
      </c>
      <c r="X1395" s="266"/>
      <c r="Y1395" s="267">
        <v>-0.01</v>
      </c>
      <c r="Z1395" s="267">
        <v>0.951646507469526</v>
      </c>
      <c r="AA1395" s="269"/>
      <c r="AB1395" s="270"/>
      <c r="AC1395" s="270"/>
      <c r="AD1395" s="270"/>
      <c r="AE1395" s="270"/>
    </row>
    <row r="1396">
      <c r="A1396" s="256">
        <f>IFERROR(__xludf.DUMMYFUNCTION("""COMPUTED_VALUE"""),43839.574142557874)</f>
        <v>43839.57414</v>
      </c>
      <c r="B1396" s="257" t="str">
        <f>IFERROR(__xludf.DUMMYFUNCTION("""COMPUTED_VALUE"""),"thelgeson")</f>
        <v>thelgeson</v>
      </c>
      <c r="C1396" s="258" t="str">
        <f>IFERROR(__xludf.DUMMYFUNCTION("""COMPUTED_VALUE"""),"USA")</f>
        <v>USA</v>
      </c>
      <c r="D1396" s="258" t="str">
        <f>IFERROR(__xludf.DUMMYFUNCTION("""COMPUTED_VALUE"""),"mi. My car displays range in miles and I will enter all range numbers in miles.")</f>
        <v>mi. My car displays range in miles and I will enter all range numbers in miles.</v>
      </c>
      <c r="E1396" s="259">
        <f>IFERROR(__xludf.DUMMYFUNCTION("""COMPUTED_VALUE"""),41334.0)</f>
        <v>41334</v>
      </c>
      <c r="F1396" s="258" t="str">
        <f>IFERROR(__xludf.DUMMYFUNCTION("""COMPUTED_VALUE"""),"Model S P85")</f>
        <v>Model S P85</v>
      </c>
      <c r="G1396" s="258" t="str">
        <f>IFERROR(__xludf.DUMMYFUNCTION("""COMPUTED_VALUE"""),"Never")</f>
        <v>Never</v>
      </c>
      <c r="H1396" s="258" t="str">
        <f>IFERROR(__xludf.DUMMYFUNCTION("""COMPUTED_VALUE"""),"A few times a year")</f>
        <v>A few times a year</v>
      </c>
      <c r="I1396" s="258" t="str">
        <f>IFERROR(__xludf.DUMMYFUNCTION("""COMPUTED_VALUE"""),"Never")</f>
        <v>Never</v>
      </c>
      <c r="J1396" s="260">
        <f>IFERROR(__xludf.DUMMYFUNCTION("""COMPUTED_VALUE"""),0.8)</f>
        <v>0.8</v>
      </c>
      <c r="K1396" s="258">
        <f>IFERROR(__xludf.DUMMYFUNCTION("""COMPUTED_VALUE"""),265.0)</f>
        <v>265</v>
      </c>
      <c r="L1396" s="258" t="str">
        <f>IFERROR(__xludf.DUMMYFUNCTION("""COMPUTED_VALUE"""),"")</f>
        <v/>
      </c>
      <c r="M1396" s="261" t="str">
        <f>IFERROR(__xludf.DUMMYFUNCTION("""COMPUTED_VALUE"""),"")</f>
        <v/>
      </c>
      <c r="N1396" s="262" t="str">
        <f>IFERROR(__xludf.DUMMYFUNCTION("""COMPUTED_VALUE"""),"")</f>
        <v/>
      </c>
      <c r="O1396" s="259" t="str">
        <f>IFERROR(__xludf.DUMMYFUNCTION("""COMPUTED_VALUE"""),"")</f>
        <v/>
      </c>
      <c r="P1396" s="259">
        <f>IFERROR(__xludf.DUMMYFUNCTION("""COMPUTED_VALUE"""),43839.0)</f>
        <v>43839</v>
      </c>
      <c r="Q1396" s="258">
        <f>IFERROR(__xludf.DUMMYFUNCTION("""COMPUTED_VALUE"""),130000.0)</f>
        <v>130000</v>
      </c>
      <c r="R1396" s="261">
        <f>IFERROR(__xludf.DUMMYFUNCTION("""COMPUTED_VALUE"""),208.0)</f>
        <v>208</v>
      </c>
      <c r="S1396" s="258">
        <v>266.0</v>
      </c>
      <c r="T1396" s="263">
        <v>0.7819548872180451</v>
      </c>
      <c r="U1396" s="264">
        <v>130000.0</v>
      </c>
      <c r="V1396" s="265">
        <v>209215.0</v>
      </c>
      <c r="W1396" s="264">
        <v>130000.0</v>
      </c>
      <c r="X1396" s="266"/>
      <c r="Y1396" s="267">
        <v>-0.01</v>
      </c>
      <c r="Z1396" s="267">
        <v>0.9213048404189782</v>
      </c>
      <c r="AA1396" s="269"/>
      <c r="AB1396" s="270"/>
      <c r="AC1396" s="270"/>
      <c r="AD1396" s="270"/>
      <c r="AE1396" s="270"/>
    </row>
    <row r="1397">
      <c r="A1397" s="256">
        <f>IFERROR(__xludf.DUMMYFUNCTION("""COMPUTED_VALUE"""),43751.94986730324)</f>
        <v>43751.94987</v>
      </c>
      <c r="B1397" s="257" t="str">
        <f>IFERROR(__xludf.DUMMYFUNCTION("""COMPUTED_VALUE"""),"Thepilo")</f>
        <v>Thepilo</v>
      </c>
      <c r="C1397" s="258" t="str">
        <f>IFERROR(__xludf.DUMMYFUNCTION("""COMPUTED_VALUE"""),"USA")</f>
        <v>USA</v>
      </c>
      <c r="D1397" s="258" t="str">
        <f>IFERROR(__xludf.DUMMYFUNCTION("""COMPUTED_VALUE"""),"mi. My car displays range in miles and I will enter all range numbers in miles.")</f>
        <v>mi. My car displays range in miles and I will enter all range numbers in miles.</v>
      </c>
      <c r="E1397" s="259">
        <f>IFERROR(__xludf.DUMMYFUNCTION("""COMPUTED_VALUE"""),42829.0)</f>
        <v>42829</v>
      </c>
      <c r="F1397" s="258" t="str">
        <f>IFERROR(__xludf.DUMMYFUNCTION("""COMPUTED_VALUE"""),"Model S 75D")</f>
        <v>Model S 75D</v>
      </c>
      <c r="G1397" s="258" t="str">
        <f>IFERROR(__xludf.DUMMYFUNCTION("""COMPUTED_VALUE"""),"A few times a year")</f>
        <v>A few times a year</v>
      </c>
      <c r="H1397" s="258" t="str">
        <f>IFERROR(__xludf.DUMMYFUNCTION("""COMPUTED_VALUE"""),"A few times a year")</f>
        <v>A few times a year</v>
      </c>
      <c r="I1397" s="258" t="str">
        <f>IFERROR(__xludf.DUMMYFUNCTION("""COMPUTED_VALUE"""),"A few times a year")</f>
        <v>A few times a year</v>
      </c>
      <c r="J1397" s="260" t="str">
        <f>IFERROR(__xludf.DUMMYFUNCTION("""COMPUTED_VALUE"""),"")</f>
        <v/>
      </c>
      <c r="K1397" s="258">
        <f>IFERROR(__xludf.DUMMYFUNCTION("""COMPUTED_VALUE"""),259.0)</f>
        <v>259</v>
      </c>
      <c r="L1397" s="258" t="str">
        <f>IFERROR(__xludf.DUMMYFUNCTION("""COMPUTED_VALUE"""),"")</f>
        <v/>
      </c>
      <c r="M1397" s="261">
        <f>IFERROR(__xludf.DUMMYFUNCTION("""COMPUTED_VALUE"""),314.0)</f>
        <v>314</v>
      </c>
      <c r="N1397" s="262" t="str">
        <f>IFERROR(__xludf.DUMMYFUNCTION("""COMPUTED_VALUE"""),"")</f>
        <v/>
      </c>
      <c r="O1397" s="259" t="str">
        <f>IFERROR(__xludf.DUMMYFUNCTION("""COMPUTED_VALUE"""),"")</f>
        <v/>
      </c>
      <c r="P1397" s="259">
        <f>IFERROR(__xludf.DUMMYFUNCTION("""COMPUTED_VALUE"""),43750.0)</f>
        <v>43750</v>
      </c>
      <c r="Q1397" s="258">
        <f>IFERROR(__xludf.DUMMYFUNCTION("""COMPUTED_VALUE"""),55934.0)</f>
        <v>55934</v>
      </c>
      <c r="R1397" s="261">
        <f>IFERROR(__xludf.DUMMYFUNCTION("""COMPUTED_VALUE"""),234.0)</f>
        <v>234</v>
      </c>
      <c r="S1397" s="258">
        <v>259.0</v>
      </c>
      <c r="T1397" s="263">
        <v>0.9034749034749034</v>
      </c>
      <c r="U1397" s="264">
        <v>55934.0</v>
      </c>
      <c r="V1397" s="265">
        <v>90017.0</v>
      </c>
      <c r="W1397" s="264">
        <v>55934.0</v>
      </c>
      <c r="X1397" s="266"/>
      <c r="Y1397" s="267">
        <v>-0.01</v>
      </c>
      <c r="Z1397" s="267">
        <v>0.9489597312421096</v>
      </c>
      <c r="AA1397" s="269"/>
      <c r="AB1397" s="270"/>
      <c r="AC1397" s="270"/>
      <c r="AD1397" s="270"/>
      <c r="AE1397" s="270"/>
    </row>
    <row r="1398">
      <c r="A1398" s="256">
        <f>IFERROR(__xludf.DUMMYFUNCTION("""COMPUTED_VALUE"""),42464.32083333333)</f>
        <v>42464.32083</v>
      </c>
      <c r="B1398" s="257" t="str">
        <f>IFERROR(__xludf.DUMMYFUNCTION("""COMPUTED_VALUE"""),"thethe")</f>
        <v>thethe</v>
      </c>
      <c r="C1398" s="258" t="str">
        <f>IFERROR(__xludf.DUMMYFUNCTION("""COMPUTED_VALUE"""),"Europe (excluding UK) &amp; Asia Pacific")</f>
        <v>Europe (excluding UK) &amp; Asia Pacific</v>
      </c>
      <c r="D1398" s="258" t="str">
        <f>IFERROR(__xludf.DUMMYFUNCTION("""COMPUTED_VALUE"""),"km. My car displays range in kilometres and I will enter all range numbers in kilometres.")</f>
        <v>km. My car displays range in kilometres and I will enter all range numbers in kilometres.</v>
      </c>
      <c r="E1398" s="259">
        <f>IFERROR(__xludf.DUMMYFUNCTION("""COMPUTED_VALUE"""),41646.0)</f>
        <v>41646</v>
      </c>
      <c r="F1398" s="258" t="str">
        <f>IFERROR(__xludf.DUMMYFUNCTION("""COMPUTED_VALUE"""),"Model S P85")</f>
        <v>Model S P85</v>
      </c>
      <c r="G1398" s="258" t="str">
        <f>IFERROR(__xludf.DUMMYFUNCTION("""COMPUTED_VALUE"""),"Weekly")</f>
        <v>Weekly</v>
      </c>
      <c r="H1398" s="258" t="str">
        <f>IFERROR(__xludf.DUMMYFUNCTION("""COMPUTED_VALUE"""),"Monthly")</f>
        <v>Monthly</v>
      </c>
      <c r="I1398" s="258" t="str">
        <f>IFERROR(__xludf.DUMMYFUNCTION("""COMPUTED_VALUE"""),"Once or twice a year")</f>
        <v>Once or twice a year</v>
      </c>
      <c r="J1398" s="260">
        <f>IFERROR(__xludf.DUMMYFUNCTION("""COMPUTED_VALUE"""),0.9)</f>
        <v>0.9</v>
      </c>
      <c r="K1398" s="258">
        <f>IFERROR(__xludf.DUMMYFUNCTION("""COMPUTED_VALUE"""),407.0)</f>
        <v>407</v>
      </c>
      <c r="L1398" s="258" t="str">
        <f>IFERROR(__xludf.DUMMYFUNCTION("""COMPUTED_VALUE"""),"")</f>
        <v/>
      </c>
      <c r="M1398" s="261">
        <f>IFERROR(__xludf.DUMMYFUNCTION("""COMPUTED_VALUE"""),214.0)</f>
        <v>214</v>
      </c>
      <c r="N1398" s="262" t="str">
        <f>IFERROR(__xludf.DUMMYFUNCTION("""COMPUTED_VALUE"""),"")</f>
        <v/>
      </c>
      <c r="O1398" s="259" t="str">
        <f>IFERROR(__xludf.DUMMYFUNCTION("""COMPUTED_VALUE"""),"")</f>
        <v/>
      </c>
      <c r="P1398" s="259">
        <f>IFERROR(__xludf.DUMMYFUNCTION("""COMPUTED_VALUE"""),42464.0)</f>
        <v>42464</v>
      </c>
      <c r="Q1398" s="258">
        <f>IFERROR(__xludf.DUMMYFUNCTION("""COMPUTED_VALUE"""),121121.0)</f>
        <v>121121</v>
      </c>
      <c r="R1398" s="261">
        <f>IFERROR(__xludf.DUMMYFUNCTION("""COMPUTED_VALUE"""),373.0)</f>
        <v>373</v>
      </c>
      <c r="S1398" s="258">
        <v>395.0</v>
      </c>
      <c r="T1398" s="263">
        <v>0.9443037974683545</v>
      </c>
      <c r="U1398" s="264">
        <v>75261.0</v>
      </c>
      <c r="V1398" s="265">
        <v>121121.0</v>
      </c>
      <c r="W1398" s="264">
        <v>75261.0</v>
      </c>
      <c r="X1398" s="266"/>
      <c r="Y1398" s="267">
        <v>-0.01</v>
      </c>
      <c r="Z1398" s="267">
        <v>0.9416499181166114</v>
      </c>
      <c r="AA1398" s="269"/>
      <c r="AB1398" s="270"/>
      <c r="AC1398" s="270"/>
      <c r="AD1398" s="270"/>
      <c r="AE1398" s="270"/>
    </row>
    <row r="1399">
      <c r="A1399" s="256">
        <f>IFERROR(__xludf.DUMMYFUNCTION("""COMPUTED_VALUE"""),42022.058333333334)</f>
        <v>42022.05833</v>
      </c>
      <c r="B1399" s="257" t="str">
        <f>IFERROR(__xludf.DUMMYFUNCTION("""COMPUTED_VALUE"""),"Thor")</f>
        <v>Thor</v>
      </c>
      <c r="C1399" s="258" t="str">
        <f>IFERROR(__xludf.DUMMYFUNCTION("""COMPUTED_VALUE"""),"Europe (excluding UK) &amp; Asia Pacific")</f>
        <v>Europe (excluding UK) &amp; Asia Pacific</v>
      </c>
      <c r="D1399" s="258" t="str">
        <f>IFERROR(__xludf.DUMMYFUNCTION("""COMPUTED_VALUE"""),"km. My car displays range in kilometres and I will enter all range numbers in kilometres.")</f>
        <v>km. My car displays range in kilometres and I will enter all range numbers in kilometres.</v>
      </c>
      <c r="E1399" s="259">
        <f>IFERROR(__xludf.DUMMYFUNCTION("""COMPUTED_VALUE"""),41990.0)</f>
        <v>41990</v>
      </c>
      <c r="F1399" s="258" t="str">
        <f>IFERROR(__xludf.DUMMYFUNCTION("""COMPUTED_VALUE"""),"Model S 85")</f>
        <v>Model S 85</v>
      </c>
      <c r="G1399" s="258" t="str">
        <f>IFERROR(__xludf.DUMMYFUNCTION("""COMPUTED_VALUE"""),"Weekly")</f>
        <v>Weekly</v>
      </c>
      <c r="H1399" s="258" t="str">
        <f>IFERROR(__xludf.DUMMYFUNCTION("""COMPUTED_VALUE"""),"Twice a month")</f>
        <v>Twice a month</v>
      </c>
      <c r="I1399" s="258" t="str">
        <f>IFERROR(__xludf.DUMMYFUNCTION("""COMPUTED_VALUE"""),"Never")</f>
        <v>Never</v>
      </c>
      <c r="J1399" s="260" t="str">
        <f>IFERROR(__xludf.DUMMYFUNCTION("""COMPUTED_VALUE"""),"")</f>
        <v/>
      </c>
      <c r="K1399" s="258" t="str">
        <f>IFERROR(__xludf.DUMMYFUNCTION("""COMPUTED_VALUE"""),"")</f>
        <v/>
      </c>
      <c r="L1399" s="258" t="str">
        <f>IFERROR(__xludf.DUMMYFUNCTION("""COMPUTED_VALUE"""),"")</f>
        <v/>
      </c>
      <c r="M1399" s="261">
        <f>IFERROR(__xludf.DUMMYFUNCTION("""COMPUTED_VALUE"""),244.0)</f>
        <v>244</v>
      </c>
      <c r="N1399" s="262" t="str">
        <f>IFERROR(__xludf.DUMMYFUNCTION("""COMPUTED_VALUE"""),"")</f>
        <v/>
      </c>
      <c r="O1399" s="259" t="str">
        <f>IFERROR(__xludf.DUMMYFUNCTION("""COMPUTED_VALUE"""),"")</f>
        <v/>
      </c>
      <c r="P1399" s="259">
        <f>IFERROR(__xludf.DUMMYFUNCTION("""COMPUTED_VALUE"""),42022.0)</f>
        <v>42022</v>
      </c>
      <c r="Q1399" s="258">
        <f>IFERROR(__xludf.DUMMYFUNCTION("""COMPUTED_VALUE"""),4178.0)</f>
        <v>4178</v>
      </c>
      <c r="R1399" s="261">
        <f>IFERROR(__xludf.DUMMYFUNCTION("""COMPUTED_VALUE"""),398.0)</f>
        <v>398</v>
      </c>
      <c r="S1399" s="258">
        <v>395.0</v>
      </c>
      <c r="T1399" s="263">
        <v>1.0075949367088608</v>
      </c>
      <c r="U1399" s="264">
        <v>2596.0</v>
      </c>
      <c r="V1399" s="265">
        <v>4178.0</v>
      </c>
      <c r="W1399" s="264">
        <v>2596.0</v>
      </c>
      <c r="X1399" s="266"/>
      <c r="Y1399" s="267">
        <v>-0.01</v>
      </c>
      <c r="Z1399" s="267">
        <v>0.9924716938945509</v>
      </c>
      <c r="AA1399" s="269"/>
      <c r="AB1399" s="270"/>
      <c r="AC1399" s="270"/>
      <c r="AD1399" s="270"/>
      <c r="AE1399" s="270"/>
    </row>
    <row r="1400">
      <c r="A1400" s="256">
        <f>IFERROR(__xludf.DUMMYFUNCTION("""COMPUTED_VALUE"""),42035.06875)</f>
        <v>42035.06875</v>
      </c>
      <c r="B1400" s="257" t="str">
        <f>IFERROR(__xludf.DUMMYFUNCTION("""COMPUTED_VALUE"""),"Thor")</f>
        <v>Thor</v>
      </c>
      <c r="C1400" s="258" t="str">
        <f>IFERROR(__xludf.DUMMYFUNCTION("""COMPUTED_VALUE"""),"Europe (excluding UK) &amp; Asia Pacific")</f>
        <v>Europe (excluding UK) &amp; Asia Pacific</v>
      </c>
      <c r="D1400" s="258" t="str">
        <f>IFERROR(__xludf.DUMMYFUNCTION("""COMPUTED_VALUE"""),"km. My car displays range in kilometres and I will enter all range numbers in kilometres.")</f>
        <v>km. My car displays range in kilometres and I will enter all range numbers in kilometres.</v>
      </c>
      <c r="E1400" s="259">
        <f>IFERROR(__xludf.DUMMYFUNCTION("""COMPUTED_VALUE"""),41990.0)</f>
        <v>41990</v>
      </c>
      <c r="F1400" s="258" t="str">
        <f>IFERROR(__xludf.DUMMYFUNCTION("""COMPUTED_VALUE"""),"Model S 85")</f>
        <v>Model S 85</v>
      </c>
      <c r="G1400" s="258" t="str">
        <f>IFERROR(__xludf.DUMMYFUNCTION("""COMPUTED_VALUE"""),"Twice a week")</f>
        <v>Twice a week</v>
      </c>
      <c r="H1400" s="258" t="str">
        <f>IFERROR(__xludf.DUMMYFUNCTION("""COMPUTED_VALUE"""),"Monthly")</f>
        <v>Monthly</v>
      </c>
      <c r="I1400" s="258" t="str">
        <f>IFERROR(__xludf.DUMMYFUNCTION("""COMPUTED_VALUE"""),"Never")</f>
        <v>Never</v>
      </c>
      <c r="J1400" s="260" t="str">
        <f>IFERROR(__xludf.DUMMYFUNCTION("""COMPUTED_VALUE"""),"")</f>
        <v/>
      </c>
      <c r="K1400" s="258" t="str">
        <f>IFERROR(__xludf.DUMMYFUNCTION("""COMPUTED_VALUE"""),"")</f>
        <v/>
      </c>
      <c r="L1400" s="258" t="str">
        <f>IFERROR(__xludf.DUMMYFUNCTION("""COMPUTED_VALUE"""),"")</f>
        <v/>
      </c>
      <c r="M1400" s="261">
        <f>IFERROR(__xludf.DUMMYFUNCTION("""COMPUTED_VALUE"""),250.0)</f>
        <v>250</v>
      </c>
      <c r="N1400" s="262" t="str">
        <f>IFERROR(__xludf.DUMMYFUNCTION("""COMPUTED_VALUE"""),"")</f>
        <v/>
      </c>
      <c r="O1400" s="259" t="str">
        <f>IFERROR(__xludf.DUMMYFUNCTION("""COMPUTED_VALUE"""),"")</f>
        <v/>
      </c>
      <c r="P1400" s="259">
        <f>IFERROR(__xludf.DUMMYFUNCTION("""COMPUTED_VALUE"""),42035.0)</f>
        <v>42035</v>
      </c>
      <c r="Q1400" s="258">
        <f>IFERROR(__xludf.DUMMYFUNCTION("""COMPUTED_VALUE"""),5500.0)</f>
        <v>5500</v>
      </c>
      <c r="R1400" s="261">
        <f>IFERROR(__xludf.DUMMYFUNCTION("""COMPUTED_VALUE"""),395.0)</f>
        <v>395</v>
      </c>
      <c r="S1400" s="258">
        <v>395.0</v>
      </c>
      <c r="T1400" s="263">
        <v>1.0</v>
      </c>
      <c r="U1400" s="264">
        <v>3418.0</v>
      </c>
      <c r="V1400" s="265">
        <v>5500.0</v>
      </c>
      <c r="W1400" s="264">
        <v>3418.0</v>
      </c>
      <c r="X1400" s="266"/>
      <c r="Y1400" s="267">
        <v>-0.01</v>
      </c>
      <c r="Z1400" s="267">
        <v>0.9904004213120717</v>
      </c>
      <c r="AA1400" s="269"/>
      <c r="AB1400" s="270"/>
      <c r="AC1400" s="270"/>
      <c r="AD1400" s="270"/>
      <c r="AE1400" s="270"/>
    </row>
    <row r="1401">
      <c r="A1401" s="256">
        <f>IFERROR(__xludf.DUMMYFUNCTION("""COMPUTED_VALUE"""),42068.080555555556)</f>
        <v>42068.08056</v>
      </c>
      <c r="B1401" s="257" t="str">
        <f>IFERROR(__xludf.DUMMYFUNCTION("""COMPUTED_VALUE"""),"Thor")</f>
        <v>Thor</v>
      </c>
      <c r="C1401" s="258" t="str">
        <f>IFERROR(__xludf.DUMMYFUNCTION("""COMPUTED_VALUE"""),"Europe (excluding UK) &amp; Asia Pacific")</f>
        <v>Europe (excluding UK) &amp; Asia Pacific</v>
      </c>
      <c r="D1401" s="258" t="str">
        <f>IFERROR(__xludf.DUMMYFUNCTION("""COMPUTED_VALUE"""),"km. My car displays range in kilometres and I will enter all range numbers in kilometres.")</f>
        <v>km. My car displays range in kilometres and I will enter all range numbers in kilometres.</v>
      </c>
      <c r="E1401" s="259">
        <f>IFERROR(__xludf.DUMMYFUNCTION("""COMPUTED_VALUE"""),41990.0)</f>
        <v>41990</v>
      </c>
      <c r="F1401" s="258" t="str">
        <f>IFERROR(__xludf.DUMMYFUNCTION("""COMPUTED_VALUE"""),"Model S 85")</f>
        <v>Model S 85</v>
      </c>
      <c r="G1401" s="258" t="str">
        <f>IFERROR(__xludf.DUMMYFUNCTION("""COMPUTED_VALUE"""),"Weekly")</f>
        <v>Weekly</v>
      </c>
      <c r="H1401" s="258" t="str">
        <f>IFERROR(__xludf.DUMMYFUNCTION("""COMPUTED_VALUE"""),"Monthly")</f>
        <v>Monthly</v>
      </c>
      <c r="I1401" s="258" t="str">
        <f>IFERROR(__xludf.DUMMYFUNCTION("""COMPUTED_VALUE"""),"Never")</f>
        <v>Never</v>
      </c>
      <c r="J1401" s="260" t="str">
        <f>IFERROR(__xludf.DUMMYFUNCTION("""COMPUTED_VALUE"""),"")</f>
        <v/>
      </c>
      <c r="K1401" s="258" t="str">
        <f>IFERROR(__xludf.DUMMYFUNCTION("""COMPUTED_VALUE"""),"")</f>
        <v/>
      </c>
      <c r="L1401" s="258" t="str">
        <f>IFERROR(__xludf.DUMMYFUNCTION("""COMPUTED_VALUE"""),"")</f>
        <v/>
      </c>
      <c r="M1401" s="261">
        <f>IFERROR(__xludf.DUMMYFUNCTION("""COMPUTED_VALUE"""),248.0)</f>
        <v>248</v>
      </c>
      <c r="N1401" s="262" t="str">
        <f>IFERROR(__xludf.DUMMYFUNCTION("""COMPUTED_VALUE"""),"")</f>
        <v/>
      </c>
      <c r="O1401" s="259" t="str">
        <f>IFERROR(__xludf.DUMMYFUNCTION("""COMPUTED_VALUE"""),"")</f>
        <v/>
      </c>
      <c r="P1401" s="259">
        <f>IFERROR(__xludf.DUMMYFUNCTION("""COMPUTED_VALUE"""),42068.0)</f>
        <v>42068</v>
      </c>
      <c r="Q1401" s="258">
        <f>IFERROR(__xludf.DUMMYFUNCTION("""COMPUTED_VALUE"""),8452.0)</f>
        <v>8452</v>
      </c>
      <c r="R1401" s="261">
        <f>IFERROR(__xludf.DUMMYFUNCTION("""COMPUTED_VALUE"""),396.0)</f>
        <v>396</v>
      </c>
      <c r="S1401" s="258">
        <v>395.0</v>
      </c>
      <c r="T1401" s="263">
        <v>1.0025316455696203</v>
      </c>
      <c r="U1401" s="264">
        <v>5252.0</v>
      </c>
      <c r="V1401" s="265">
        <v>8452.0</v>
      </c>
      <c r="W1401" s="264">
        <v>5252.0</v>
      </c>
      <c r="X1401" s="266"/>
      <c r="Y1401" s="267">
        <v>-0.01</v>
      </c>
      <c r="Z1401" s="267">
        <v>0.9862327205187204</v>
      </c>
      <c r="AA1401" s="269"/>
      <c r="AB1401" s="270"/>
      <c r="AC1401" s="270"/>
      <c r="AD1401" s="270"/>
      <c r="AE1401" s="270"/>
    </row>
    <row r="1402">
      <c r="A1402" s="256">
        <f>IFERROR(__xludf.DUMMYFUNCTION("""COMPUTED_VALUE"""),42153.13402777778)</f>
        <v>42153.13403</v>
      </c>
      <c r="B1402" s="257" t="str">
        <f>IFERROR(__xludf.DUMMYFUNCTION("""COMPUTED_VALUE"""),"Thor")</f>
        <v>Thor</v>
      </c>
      <c r="C1402" s="258" t="str">
        <f>IFERROR(__xludf.DUMMYFUNCTION("""COMPUTED_VALUE"""),"Europe (excluding UK) &amp; Asia Pacific")</f>
        <v>Europe (excluding UK) &amp; Asia Pacific</v>
      </c>
      <c r="D1402" s="258" t="str">
        <f>IFERROR(__xludf.DUMMYFUNCTION("""COMPUTED_VALUE"""),"km. My car displays range in kilometres and I will enter all range numbers in kilometres.")</f>
        <v>km. My car displays range in kilometres and I will enter all range numbers in kilometres.</v>
      </c>
      <c r="E1402" s="259">
        <f>IFERROR(__xludf.DUMMYFUNCTION("""COMPUTED_VALUE"""),41990.0)</f>
        <v>41990</v>
      </c>
      <c r="F1402" s="258" t="str">
        <f>IFERROR(__xludf.DUMMYFUNCTION("""COMPUTED_VALUE"""),"Model S 85")</f>
        <v>Model S 85</v>
      </c>
      <c r="G1402" s="258" t="str">
        <f>IFERROR(__xludf.DUMMYFUNCTION("""COMPUTED_VALUE"""),"Monthly")</f>
        <v>Monthly</v>
      </c>
      <c r="H1402" s="258" t="str">
        <f>IFERROR(__xludf.DUMMYFUNCTION("""COMPUTED_VALUE"""),"A few times a year")</f>
        <v>A few times a year</v>
      </c>
      <c r="I1402" s="258" t="str">
        <f>IFERROR(__xludf.DUMMYFUNCTION("""COMPUTED_VALUE"""),"Never")</f>
        <v>Never</v>
      </c>
      <c r="J1402" s="260">
        <f>IFERROR(__xludf.DUMMYFUNCTION("""COMPUTED_VALUE"""),0.8)</f>
        <v>0.8</v>
      </c>
      <c r="K1402" s="258" t="str">
        <f>IFERROR(__xludf.DUMMYFUNCTION("""COMPUTED_VALUE"""),"")</f>
        <v/>
      </c>
      <c r="L1402" s="258" t="str">
        <f>IFERROR(__xludf.DUMMYFUNCTION("""COMPUTED_VALUE"""),"")</f>
        <v/>
      </c>
      <c r="M1402" s="261">
        <f>IFERROR(__xludf.DUMMYFUNCTION("""COMPUTED_VALUE"""),233.0)</f>
        <v>233</v>
      </c>
      <c r="N1402" s="262" t="str">
        <f>IFERROR(__xludf.DUMMYFUNCTION("""COMPUTED_VALUE"""),"")</f>
        <v/>
      </c>
      <c r="O1402" s="259" t="str">
        <f>IFERROR(__xludf.DUMMYFUNCTION("""COMPUTED_VALUE"""),"")</f>
        <v/>
      </c>
      <c r="P1402" s="259">
        <f>IFERROR(__xludf.DUMMYFUNCTION("""COMPUTED_VALUE"""),42153.0)</f>
        <v>42153</v>
      </c>
      <c r="Q1402" s="258">
        <f>IFERROR(__xludf.DUMMYFUNCTION("""COMPUTED_VALUE"""),17000.0)</f>
        <v>17000</v>
      </c>
      <c r="R1402" s="261">
        <f>IFERROR(__xludf.DUMMYFUNCTION("""COMPUTED_VALUE"""),390.0)</f>
        <v>390</v>
      </c>
      <c r="S1402" s="258">
        <v>395.0</v>
      </c>
      <c r="T1402" s="263">
        <v>0.9873417721518988</v>
      </c>
      <c r="U1402" s="264">
        <v>10563.0</v>
      </c>
      <c r="V1402" s="265">
        <v>17000.0</v>
      </c>
      <c r="W1402" s="264">
        <v>10563.0</v>
      </c>
      <c r="X1402" s="266"/>
      <c r="Y1402" s="267">
        <v>-0.01</v>
      </c>
      <c r="Z1402" s="267">
        <v>0.9769679069225212</v>
      </c>
      <c r="AA1402" s="269"/>
      <c r="AB1402" s="270"/>
      <c r="AC1402" s="270"/>
      <c r="AD1402" s="270"/>
      <c r="AE1402" s="270"/>
    </row>
    <row r="1403">
      <c r="A1403" s="256">
        <f>IFERROR(__xludf.DUMMYFUNCTION("""COMPUTED_VALUE"""),42161.134722222225)</f>
        <v>42161.13472</v>
      </c>
      <c r="B1403" s="257" t="str">
        <f>IFERROR(__xludf.DUMMYFUNCTION("""COMPUTED_VALUE"""),"Thor")</f>
        <v>Thor</v>
      </c>
      <c r="C1403" s="258" t="str">
        <f>IFERROR(__xludf.DUMMYFUNCTION("""COMPUTED_VALUE"""),"Europe (excluding UK) &amp; Asia Pacific")</f>
        <v>Europe (excluding UK) &amp; Asia Pacific</v>
      </c>
      <c r="D1403" s="258" t="str">
        <f>IFERROR(__xludf.DUMMYFUNCTION("""COMPUTED_VALUE"""),"km. My car displays range in kilometres and I will enter all range numbers in kilometres.")</f>
        <v>km. My car displays range in kilometres and I will enter all range numbers in kilometres.</v>
      </c>
      <c r="E1403" s="259">
        <f>IFERROR(__xludf.DUMMYFUNCTION("""COMPUTED_VALUE"""),41990.0)</f>
        <v>41990</v>
      </c>
      <c r="F1403" s="258" t="str">
        <f>IFERROR(__xludf.DUMMYFUNCTION("""COMPUTED_VALUE"""),"Model S 85")</f>
        <v>Model S 85</v>
      </c>
      <c r="G1403" s="258" t="str">
        <f>IFERROR(__xludf.DUMMYFUNCTION("""COMPUTED_VALUE"""),"Monthly")</f>
        <v>Monthly</v>
      </c>
      <c r="H1403" s="258" t="str">
        <f>IFERROR(__xludf.DUMMYFUNCTION("""COMPUTED_VALUE"""),"A few times a year")</f>
        <v>A few times a year</v>
      </c>
      <c r="I1403" s="258" t="str">
        <f>IFERROR(__xludf.DUMMYFUNCTION("""COMPUTED_VALUE"""),"Never")</f>
        <v>Never</v>
      </c>
      <c r="J1403" s="260">
        <f>IFERROR(__xludf.DUMMYFUNCTION("""COMPUTED_VALUE"""),0.8)</f>
        <v>0.8</v>
      </c>
      <c r="K1403" s="258" t="str">
        <f>IFERROR(__xludf.DUMMYFUNCTION("""COMPUTED_VALUE"""),"")</f>
        <v/>
      </c>
      <c r="L1403" s="258" t="str">
        <f>IFERROR(__xludf.DUMMYFUNCTION("""COMPUTED_VALUE"""),"")</f>
        <v/>
      </c>
      <c r="M1403" s="261">
        <f>IFERROR(__xludf.DUMMYFUNCTION("""COMPUTED_VALUE"""),233.0)</f>
        <v>233</v>
      </c>
      <c r="N1403" s="262" t="str">
        <f>IFERROR(__xludf.DUMMYFUNCTION("""COMPUTED_VALUE"""),"")</f>
        <v/>
      </c>
      <c r="O1403" s="259" t="str">
        <f>IFERROR(__xludf.DUMMYFUNCTION("""COMPUTED_VALUE"""),"")</f>
        <v/>
      </c>
      <c r="P1403" s="259">
        <f>IFERROR(__xludf.DUMMYFUNCTION("""COMPUTED_VALUE"""),42161.0)</f>
        <v>42161</v>
      </c>
      <c r="Q1403" s="258">
        <f>IFERROR(__xludf.DUMMYFUNCTION("""COMPUTED_VALUE"""),17500.0)</f>
        <v>17500</v>
      </c>
      <c r="R1403" s="261">
        <f>IFERROR(__xludf.DUMMYFUNCTION("""COMPUTED_VALUE"""),388.0)</f>
        <v>388</v>
      </c>
      <c r="S1403" s="258">
        <v>395.0</v>
      </c>
      <c r="T1403" s="263">
        <v>0.9822784810126582</v>
      </c>
      <c r="U1403" s="264">
        <v>10874.0</v>
      </c>
      <c r="V1403" s="265">
        <v>17500.0</v>
      </c>
      <c r="W1403" s="264">
        <v>10874.0</v>
      </c>
      <c r="X1403" s="266"/>
      <c r="Y1403" s="267">
        <v>-0.01</v>
      </c>
      <c r="Z1403" s="267">
        <v>0.9765279810226123</v>
      </c>
      <c r="AA1403" s="269"/>
      <c r="AB1403" s="270"/>
      <c r="AC1403" s="270"/>
      <c r="AD1403" s="270"/>
      <c r="AE1403" s="270"/>
    </row>
    <row r="1404">
      <c r="A1404" s="256">
        <f>IFERROR(__xludf.DUMMYFUNCTION("""COMPUTED_VALUE"""),42167.13888888889)</f>
        <v>42167.13889</v>
      </c>
      <c r="B1404" s="257" t="str">
        <f>IFERROR(__xludf.DUMMYFUNCTION("""COMPUTED_VALUE"""),"Thor")</f>
        <v>Thor</v>
      </c>
      <c r="C1404" s="258" t="str">
        <f>IFERROR(__xludf.DUMMYFUNCTION("""COMPUTED_VALUE"""),"Europe (excluding UK) &amp; Asia Pacific")</f>
        <v>Europe (excluding UK) &amp; Asia Pacific</v>
      </c>
      <c r="D1404" s="258" t="str">
        <f>IFERROR(__xludf.DUMMYFUNCTION("""COMPUTED_VALUE"""),"km. My car displays range in kilometres and I will enter all range numbers in kilometres.")</f>
        <v>km. My car displays range in kilometres and I will enter all range numbers in kilometres.</v>
      </c>
      <c r="E1404" s="259">
        <f>IFERROR(__xludf.DUMMYFUNCTION("""COMPUTED_VALUE"""),41990.0)</f>
        <v>41990</v>
      </c>
      <c r="F1404" s="258" t="str">
        <f>IFERROR(__xludf.DUMMYFUNCTION("""COMPUTED_VALUE"""),"Model S 85")</f>
        <v>Model S 85</v>
      </c>
      <c r="G1404" s="258" t="str">
        <f>IFERROR(__xludf.DUMMYFUNCTION("""COMPUTED_VALUE"""),"Monthly")</f>
        <v>Monthly</v>
      </c>
      <c r="H1404" s="258" t="str">
        <f>IFERROR(__xludf.DUMMYFUNCTION("""COMPUTED_VALUE"""),"A few times a year")</f>
        <v>A few times a year</v>
      </c>
      <c r="I1404" s="258" t="str">
        <f>IFERROR(__xludf.DUMMYFUNCTION("""COMPUTED_VALUE"""),"Never")</f>
        <v>Never</v>
      </c>
      <c r="J1404" s="260">
        <f>IFERROR(__xludf.DUMMYFUNCTION("""COMPUTED_VALUE"""),0.8)</f>
        <v>0.8</v>
      </c>
      <c r="K1404" s="258" t="str">
        <f>IFERROR(__xludf.DUMMYFUNCTION("""COMPUTED_VALUE"""),"")</f>
        <v/>
      </c>
      <c r="L1404" s="258" t="str">
        <f>IFERROR(__xludf.DUMMYFUNCTION("""COMPUTED_VALUE"""),"")</f>
        <v/>
      </c>
      <c r="M1404" s="261">
        <f>IFERROR(__xludf.DUMMYFUNCTION("""COMPUTED_VALUE"""),233.0)</f>
        <v>233</v>
      </c>
      <c r="N1404" s="262" t="str">
        <f>IFERROR(__xludf.DUMMYFUNCTION("""COMPUTED_VALUE"""),"")</f>
        <v/>
      </c>
      <c r="O1404" s="259" t="str">
        <f>IFERROR(__xludf.DUMMYFUNCTION("""COMPUTED_VALUE"""),"")</f>
        <v/>
      </c>
      <c r="P1404" s="259">
        <f>IFERROR(__xludf.DUMMYFUNCTION("""COMPUTED_VALUE"""),42167.0)</f>
        <v>42167</v>
      </c>
      <c r="Q1404" s="258">
        <f>IFERROR(__xludf.DUMMYFUNCTION("""COMPUTED_VALUE"""),19015.0)</f>
        <v>19015</v>
      </c>
      <c r="R1404" s="261">
        <f>IFERROR(__xludf.DUMMYFUNCTION("""COMPUTED_VALUE"""),388.0)</f>
        <v>388</v>
      </c>
      <c r="S1404" s="258">
        <v>395.0</v>
      </c>
      <c r="T1404" s="263">
        <v>0.9822784810126582</v>
      </c>
      <c r="U1404" s="264">
        <v>11815.0</v>
      </c>
      <c r="V1404" s="265">
        <v>19015.0</v>
      </c>
      <c r="W1404" s="264">
        <v>11815.0</v>
      </c>
      <c r="X1404" s="266"/>
      <c r="Y1404" s="267">
        <v>-0.01</v>
      </c>
      <c r="Z1404" s="267">
        <v>0.9752506952146283</v>
      </c>
      <c r="AA1404" s="269"/>
      <c r="AB1404" s="270"/>
      <c r="AC1404" s="270"/>
      <c r="AD1404" s="270"/>
      <c r="AE1404" s="270"/>
    </row>
    <row r="1405">
      <c r="A1405" s="256">
        <f>IFERROR(__xludf.DUMMYFUNCTION("""COMPUTED_VALUE"""),42373.26666666666)</f>
        <v>42373.26667</v>
      </c>
      <c r="B1405" s="257" t="str">
        <f>IFERROR(__xludf.DUMMYFUNCTION("""COMPUTED_VALUE"""),"Thor")</f>
        <v>Thor</v>
      </c>
      <c r="C1405" s="258" t="str">
        <f>IFERROR(__xludf.DUMMYFUNCTION("""COMPUTED_VALUE"""),"Europe (excluding UK) &amp; Asia Pacific")</f>
        <v>Europe (excluding UK) &amp; Asia Pacific</v>
      </c>
      <c r="D1405" s="258" t="str">
        <f>IFERROR(__xludf.DUMMYFUNCTION("""COMPUTED_VALUE"""),"km. My car displays range in kilometres and I will enter all range numbers in kilometres.")</f>
        <v>km. My car displays range in kilometres and I will enter all range numbers in kilometres.</v>
      </c>
      <c r="E1405" s="259">
        <f>IFERROR(__xludf.DUMMYFUNCTION("""COMPUTED_VALUE"""),41990.0)</f>
        <v>41990</v>
      </c>
      <c r="F1405" s="258" t="str">
        <f>IFERROR(__xludf.DUMMYFUNCTION("""COMPUTED_VALUE"""),"Model S 85")</f>
        <v>Model S 85</v>
      </c>
      <c r="G1405" s="258" t="str">
        <f>IFERROR(__xludf.DUMMYFUNCTION("""COMPUTED_VALUE"""),"Monthly")</f>
        <v>Monthly</v>
      </c>
      <c r="H1405" s="258" t="str">
        <f>IFERROR(__xludf.DUMMYFUNCTION("""COMPUTED_VALUE"""),"Monthly")</f>
        <v>Monthly</v>
      </c>
      <c r="I1405" s="258" t="str">
        <f>IFERROR(__xludf.DUMMYFUNCTION("""COMPUTED_VALUE"""),"Never")</f>
        <v>Never</v>
      </c>
      <c r="J1405" s="260">
        <f>IFERROR(__xludf.DUMMYFUNCTION("""COMPUTED_VALUE"""),0.8)</f>
        <v>0.8</v>
      </c>
      <c r="K1405" s="258">
        <f>IFERROR(__xludf.DUMMYFUNCTION("""COMPUTED_VALUE"""),398.0)</f>
        <v>398</v>
      </c>
      <c r="L1405" s="258" t="str">
        <f>IFERROR(__xludf.DUMMYFUNCTION("""COMPUTED_VALUE"""),"")</f>
        <v/>
      </c>
      <c r="M1405" s="261">
        <f>IFERROR(__xludf.DUMMYFUNCTION("""COMPUTED_VALUE"""),225.0)</f>
        <v>225</v>
      </c>
      <c r="N1405" s="262" t="str">
        <f>IFERROR(__xludf.DUMMYFUNCTION("""COMPUTED_VALUE"""),"")</f>
        <v/>
      </c>
      <c r="O1405" s="259" t="str">
        <f>IFERROR(__xludf.DUMMYFUNCTION("""COMPUTED_VALUE"""),"")</f>
        <v/>
      </c>
      <c r="P1405" s="259">
        <f>IFERROR(__xludf.DUMMYFUNCTION("""COMPUTED_VALUE"""),42373.0)</f>
        <v>42373</v>
      </c>
      <c r="Q1405" s="258">
        <f>IFERROR(__xludf.DUMMYFUNCTION("""COMPUTED_VALUE"""),40000.0)</f>
        <v>40000</v>
      </c>
      <c r="R1405" s="261">
        <f>IFERROR(__xludf.DUMMYFUNCTION("""COMPUTED_VALUE"""),384.0)</f>
        <v>384</v>
      </c>
      <c r="S1405" s="258">
        <v>395.0</v>
      </c>
      <c r="T1405" s="263">
        <v>0.9721518987341772</v>
      </c>
      <c r="U1405" s="264">
        <v>24855.0</v>
      </c>
      <c r="V1405" s="265">
        <v>40000.0</v>
      </c>
      <c r="W1405" s="264">
        <v>24855.0</v>
      </c>
      <c r="X1405" s="266"/>
      <c r="Y1405" s="267">
        <v>-0.01</v>
      </c>
      <c r="Z1405" s="267">
        <v>0.9633084629971033</v>
      </c>
      <c r="AA1405" s="269"/>
      <c r="AB1405" s="270"/>
      <c r="AC1405" s="270"/>
      <c r="AD1405" s="270"/>
      <c r="AE1405" s="270"/>
    </row>
    <row r="1406">
      <c r="A1406" s="256">
        <f>IFERROR(__xludf.DUMMYFUNCTION("""COMPUTED_VALUE"""),42393.27638888889)</f>
        <v>42393.27639</v>
      </c>
      <c r="B1406" s="257" t="str">
        <f>IFERROR(__xludf.DUMMYFUNCTION("""COMPUTED_VALUE"""),"Thor")</f>
        <v>Thor</v>
      </c>
      <c r="C1406" s="258" t="str">
        <f>IFERROR(__xludf.DUMMYFUNCTION("""COMPUTED_VALUE"""),"Europe (excluding UK) &amp; Asia Pacific")</f>
        <v>Europe (excluding UK) &amp; Asia Pacific</v>
      </c>
      <c r="D1406" s="258" t="str">
        <f>IFERROR(__xludf.DUMMYFUNCTION("""COMPUTED_VALUE"""),"km. My car displays range in kilometres and I will enter all range numbers in kilometres.")</f>
        <v>km. My car displays range in kilometres and I will enter all range numbers in kilometres.</v>
      </c>
      <c r="E1406" s="259">
        <f>IFERROR(__xludf.DUMMYFUNCTION("""COMPUTED_VALUE"""),41990.0)</f>
        <v>41990</v>
      </c>
      <c r="F1406" s="258" t="str">
        <f>IFERROR(__xludf.DUMMYFUNCTION("""COMPUTED_VALUE"""),"Model S 85")</f>
        <v>Model S 85</v>
      </c>
      <c r="G1406" s="258" t="str">
        <f>IFERROR(__xludf.DUMMYFUNCTION("""COMPUTED_VALUE"""),"Twice a month")</f>
        <v>Twice a month</v>
      </c>
      <c r="H1406" s="258" t="str">
        <f>IFERROR(__xludf.DUMMYFUNCTION("""COMPUTED_VALUE"""),"A few times a year")</f>
        <v>A few times a year</v>
      </c>
      <c r="I1406" s="258" t="str">
        <f>IFERROR(__xludf.DUMMYFUNCTION("""COMPUTED_VALUE"""),"Never")</f>
        <v>Never</v>
      </c>
      <c r="J1406" s="260">
        <f>IFERROR(__xludf.DUMMYFUNCTION("""COMPUTED_VALUE"""),0.8)</f>
        <v>0.8</v>
      </c>
      <c r="K1406" s="258">
        <f>IFERROR(__xludf.DUMMYFUNCTION("""COMPUTED_VALUE"""),398.0)</f>
        <v>398</v>
      </c>
      <c r="L1406" s="258" t="str">
        <f>IFERROR(__xludf.DUMMYFUNCTION("""COMPUTED_VALUE"""),"")</f>
        <v/>
      </c>
      <c r="M1406" s="261">
        <f>IFERROR(__xludf.DUMMYFUNCTION("""COMPUTED_VALUE"""),226.0)</f>
        <v>226</v>
      </c>
      <c r="N1406" s="262" t="str">
        <f>IFERROR(__xludf.DUMMYFUNCTION("""COMPUTED_VALUE"""),"")</f>
        <v/>
      </c>
      <c r="O1406" s="259" t="str">
        <f>IFERROR(__xludf.DUMMYFUNCTION("""COMPUTED_VALUE"""),"")</f>
        <v/>
      </c>
      <c r="P1406" s="259">
        <f>IFERROR(__xludf.DUMMYFUNCTION("""COMPUTED_VALUE"""),42393.0)</f>
        <v>42393</v>
      </c>
      <c r="Q1406" s="258">
        <f>IFERROR(__xludf.DUMMYFUNCTION("""COMPUTED_VALUE"""),41500.0)</f>
        <v>41500</v>
      </c>
      <c r="R1406" s="261">
        <f>IFERROR(__xludf.DUMMYFUNCTION("""COMPUTED_VALUE"""),385.0)</f>
        <v>385</v>
      </c>
      <c r="S1406" s="258">
        <v>395.0</v>
      </c>
      <c r="T1406" s="263">
        <v>0.9746835443037974</v>
      </c>
      <c r="U1406" s="264">
        <v>25787.0</v>
      </c>
      <c r="V1406" s="265">
        <v>41500.0</v>
      </c>
      <c r="W1406" s="264">
        <v>25787.0</v>
      </c>
      <c r="X1406" s="266"/>
      <c r="Y1406" s="267">
        <v>-0.01</v>
      </c>
      <c r="Z1406" s="267">
        <v>0.9627140488654179</v>
      </c>
      <c r="AA1406" s="269"/>
      <c r="AB1406" s="270"/>
      <c r="AC1406" s="270"/>
      <c r="AD1406" s="270"/>
      <c r="AE1406" s="270"/>
    </row>
    <row r="1407">
      <c r="A1407" s="256">
        <f>IFERROR(__xludf.DUMMYFUNCTION("""COMPUTED_VALUE"""),42443.30625)</f>
        <v>42443.30625</v>
      </c>
      <c r="B1407" s="257" t="str">
        <f>IFERROR(__xludf.DUMMYFUNCTION("""COMPUTED_VALUE"""),"Thor")</f>
        <v>Thor</v>
      </c>
      <c r="C1407" s="258" t="str">
        <f>IFERROR(__xludf.DUMMYFUNCTION("""COMPUTED_VALUE"""),"Europe (excluding UK) &amp; Asia Pacific")</f>
        <v>Europe (excluding UK) &amp; Asia Pacific</v>
      </c>
      <c r="D1407" s="258" t="str">
        <f>IFERROR(__xludf.DUMMYFUNCTION("""COMPUTED_VALUE"""),"km. My car displays range in kilometres and I will enter all range numbers in kilometres.")</f>
        <v>km. My car displays range in kilometres and I will enter all range numbers in kilometres.</v>
      </c>
      <c r="E1407" s="259">
        <f>IFERROR(__xludf.DUMMYFUNCTION("""COMPUTED_VALUE"""),41990.0)</f>
        <v>41990</v>
      </c>
      <c r="F1407" s="258" t="str">
        <f>IFERROR(__xludf.DUMMYFUNCTION("""COMPUTED_VALUE"""),"Model S 85")</f>
        <v>Model S 85</v>
      </c>
      <c r="G1407" s="258" t="str">
        <f>IFERROR(__xludf.DUMMYFUNCTION("""COMPUTED_VALUE"""),"Twice a month")</f>
        <v>Twice a month</v>
      </c>
      <c r="H1407" s="258" t="str">
        <f>IFERROR(__xludf.DUMMYFUNCTION("""COMPUTED_VALUE"""),"A few times a year")</f>
        <v>A few times a year</v>
      </c>
      <c r="I1407" s="258" t="str">
        <f>IFERROR(__xludf.DUMMYFUNCTION("""COMPUTED_VALUE"""),"Never")</f>
        <v>Never</v>
      </c>
      <c r="J1407" s="260">
        <f>IFERROR(__xludf.DUMMYFUNCTION("""COMPUTED_VALUE"""),0.8)</f>
        <v>0.8</v>
      </c>
      <c r="K1407" s="258">
        <f>IFERROR(__xludf.DUMMYFUNCTION("""COMPUTED_VALUE"""),395.0)</f>
        <v>395</v>
      </c>
      <c r="L1407" s="258" t="str">
        <f>IFERROR(__xludf.DUMMYFUNCTION("""COMPUTED_VALUE"""),"")</f>
        <v/>
      </c>
      <c r="M1407" s="261">
        <f>IFERROR(__xludf.DUMMYFUNCTION("""COMPUTED_VALUE"""),227.0)</f>
        <v>227</v>
      </c>
      <c r="N1407" s="262" t="str">
        <f>IFERROR(__xludf.DUMMYFUNCTION("""COMPUTED_VALUE"""),"")</f>
        <v/>
      </c>
      <c r="O1407" s="259" t="str">
        <f>IFERROR(__xludf.DUMMYFUNCTION("""COMPUTED_VALUE"""),"")</f>
        <v/>
      </c>
      <c r="P1407" s="259">
        <f>IFERROR(__xludf.DUMMYFUNCTION("""COMPUTED_VALUE"""),42443.0)</f>
        <v>42443</v>
      </c>
      <c r="Q1407" s="258">
        <f>IFERROR(__xludf.DUMMYFUNCTION("""COMPUTED_VALUE"""),48000.0)</f>
        <v>48000</v>
      </c>
      <c r="R1407" s="261">
        <f>IFERROR(__xludf.DUMMYFUNCTION("""COMPUTED_VALUE"""),384.0)</f>
        <v>384</v>
      </c>
      <c r="S1407" s="258">
        <v>395.0</v>
      </c>
      <c r="T1407" s="263">
        <v>0.9721518987341772</v>
      </c>
      <c r="U1407" s="264">
        <v>29826.0</v>
      </c>
      <c r="V1407" s="265">
        <v>48000.0</v>
      </c>
      <c r="W1407" s="264">
        <v>29826.0</v>
      </c>
      <c r="X1407" s="266"/>
      <c r="Y1407" s="267">
        <v>-0.01</v>
      </c>
      <c r="Z1407" s="267">
        <v>0.9603568283812233</v>
      </c>
      <c r="AA1407" s="269"/>
      <c r="AB1407" s="270"/>
      <c r="AC1407" s="270"/>
      <c r="AD1407" s="270"/>
      <c r="AE1407" s="270"/>
    </row>
    <row r="1408">
      <c r="A1408" s="256">
        <f>IFERROR(__xludf.DUMMYFUNCTION("""COMPUTED_VALUE"""),42475.32430555555)</f>
        <v>42475.32431</v>
      </c>
      <c r="B1408" s="257" t="str">
        <f>IFERROR(__xludf.DUMMYFUNCTION("""COMPUTED_VALUE"""),"Thor")</f>
        <v>Thor</v>
      </c>
      <c r="C1408" s="258" t="str">
        <f>IFERROR(__xludf.DUMMYFUNCTION("""COMPUTED_VALUE"""),"Europe (excluding UK) &amp; Asia Pacific")</f>
        <v>Europe (excluding UK) &amp; Asia Pacific</v>
      </c>
      <c r="D1408" s="258" t="str">
        <f>IFERROR(__xludf.DUMMYFUNCTION("""COMPUTED_VALUE"""),"km. My car displays range in kilometres and I will enter all range numbers in kilometres.")</f>
        <v>km. My car displays range in kilometres and I will enter all range numbers in kilometres.</v>
      </c>
      <c r="E1408" s="259">
        <f>IFERROR(__xludf.DUMMYFUNCTION("""COMPUTED_VALUE"""),41990.0)</f>
        <v>41990</v>
      </c>
      <c r="F1408" s="258" t="str">
        <f>IFERROR(__xludf.DUMMYFUNCTION("""COMPUTED_VALUE"""),"Model S 85")</f>
        <v>Model S 85</v>
      </c>
      <c r="G1408" s="258" t="str">
        <f>IFERROR(__xludf.DUMMYFUNCTION("""COMPUTED_VALUE"""),"Monthly")</f>
        <v>Monthly</v>
      </c>
      <c r="H1408" s="258" t="str">
        <f>IFERROR(__xludf.DUMMYFUNCTION("""COMPUTED_VALUE"""),"Monthly")</f>
        <v>Monthly</v>
      </c>
      <c r="I1408" s="258" t="str">
        <f>IFERROR(__xludf.DUMMYFUNCTION("""COMPUTED_VALUE"""),"Never")</f>
        <v>Never</v>
      </c>
      <c r="J1408" s="260">
        <f>IFERROR(__xludf.DUMMYFUNCTION("""COMPUTED_VALUE"""),0.8)</f>
        <v>0.8</v>
      </c>
      <c r="K1408" s="258">
        <f>IFERROR(__xludf.DUMMYFUNCTION("""COMPUTED_VALUE"""),396.0)</f>
        <v>396</v>
      </c>
      <c r="L1408" s="258" t="str">
        <f>IFERROR(__xludf.DUMMYFUNCTION("""COMPUTED_VALUE"""),"")</f>
        <v/>
      </c>
      <c r="M1408" s="261">
        <f>IFERROR(__xludf.DUMMYFUNCTION("""COMPUTED_VALUE"""),227.0)</f>
        <v>227</v>
      </c>
      <c r="N1408" s="262" t="str">
        <f>IFERROR(__xludf.DUMMYFUNCTION("""COMPUTED_VALUE"""),"")</f>
        <v/>
      </c>
      <c r="O1408" s="259" t="str">
        <f>IFERROR(__xludf.DUMMYFUNCTION("""COMPUTED_VALUE"""),"")</f>
        <v/>
      </c>
      <c r="P1408" s="259">
        <f>IFERROR(__xludf.DUMMYFUNCTION("""COMPUTED_VALUE"""),42475.0)</f>
        <v>42475</v>
      </c>
      <c r="Q1408" s="258">
        <f>IFERROR(__xludf.DUMMYFUNCTION("""COMPUTED_VALUE"""),49200.0)</f>
        <v>49200</v>
      </c>
      <c r="R1408" s="261">
        <f>IFERROR(__xludf.DUMMYFUNCTION("""COMPUTED_VALUE"""),386.0)</f>
        <v>386</v>
      </c>
      <c r="S1408" s="258">
        <v>395.0</v>
      </c>
      <c r="T1408" s="263">
        <v>0.9772151898734177</v>
      </c>
      <c r="U1408" s="264">
        <v>30571.0</v>
      </c>
      <c r="V1408" s="265">
        <v>49200.0</v>
      </c>
      <c r="W1408" s="264">
        <v>30571.0</v>
      </c>
      <c r="X1408" s="266"/>
      <c r="Y1408" s="267">
        <v>-0.01</v>
      </c>
      <c r="Z1408" s="267">
        <v>0.9599541425237191</v>
      </c>
      <c r="AA1408" s="269"/>
      <c r="AB1408" s="270"/>
      <c r="AC1408" s="270"/>
      <c r="AD1408" s="270"/>
      <c r="AE1408" s="270"/>
    </row>
    <row r="1409">
      <c r="A1409" s="256">
        <f>IFERROR(__xludf.DUMMYFUNCTION("""COMPUTED_VALUE"""),42532.34930555556)</f>
        <v>42532.34931</v>
      </c>
      <c r="B1409" s="257" t="str">
        <f>IFERROR(__xludf.DUMMYFUNCTION("""COMPUTED_VALUE"""),"Thor")</f>
        <v>Thor</v>
      </c>
      <c r="C1409" s="258" t="str">
        <f>IFERROR(__xludf.DUMMYFUNCTION("""COMPUTED_VALUE"""),"Europe (excluding UK) &amp; Asia Pacific")</f>
        <v>Europe (excluding UK) &amp; Asia Pacific</v>
      </c>
      <c r="D1409" s="258" t="str">
        <f>IFERROR(__xludf.DUMMYFUNCTION("""COMPUTED_VALUE"""),"km. My car displays range in kilometres and I will enter all range numbers in kilometres.")</f>
        <v>km. My car displays range in kilometres and I will enter all range numbers in kilometres.</v>
      </c>
      <c r="E1409" s="259">
        <f>IFERROR(__xludf.DUMMYFUNCTION("""COMPUTED_VALUE"""),41990.0)</f>
        <v>41990</v>
      </c>
      <c r="F1409" s="258" t="str">
        <f>IFERROR(__xludf.DUMMYFUNCTION("""COMPUTED_VALUE"""),"Model S 85")</f>
        <v>Model S 85</v>
      </c>
      <c r="G1409" s="258" t="str">
        <f>IFERROR(__xludf.DUMMYFUNCTION("""COMPUTED_VALUE"""),"Monthly")</f>
        <v>Monthly</v>
      </c>
      <c r="H1409" s="258" t="str">
        <f>IFERROR(__xludf.DUMMYFUNCTION("""COMPUTED_VALUE"""),"A few times a year")</f>
        <v>A few times a year</v>
      </c>
      <c r="I1409" s="258" t="str">
        <f>IFERROR(__xludf.DUMMYFUNCTION("""COMPUTED_VALUE"""),"Never")</f>
        <v>Never</v>
      </c>
      <c r="J1409" s="260">
        <f>IFERROR(__xludf.DUMMYFUNCTION("""COMPUTED_VALUE"""),0.8)</f>
        <v>0.8</v>
      </c>
      <c r="K1409" s="258">
        <f>IFERROR(__xludf.DUMMYFUNCTION("""COMPUTED_VALUE"""),392.0)</f>
        <v>392</v>
      </c>
      <c r="L1409" s="258" t="str">
        <f>IFERROR(__xludf.DUMMYFUNCTION("""COMPUTED_VALUE"""),"")</f>
        <v/>
      </c>
      <c r="M1409" s="261">
        <f>IFERROR(__xludf.DUMMYFUNCTION("""COMPUTED_VALUE"""),226.0)</f>
        <v>226</v>
      </c>
      <c r="N1409" s="262" t="str">
        <f>IFERROR(__xludf.DUMMYFUNCTION("""COMPUTED_VALUE"""),"")</f>
        <v/>
      </c>
      <c r="O1409" s="259" t="str">
        <f>IFERROR(__xludf.DUMMYFUNCTION("""COMPUTED_VALUE"""),"")</f>
        <v/>
      </c>
      <c r="P1409" s="259">
        <f>IFERROR(__xludf.DUMMYFUNCTION("""COMPUTED_VALUE"""),42532.0)</f>
        <v>42532</v>
      </c>
      <c r="Q1409" s="258">
        <f>IFERROR(__xludf.DUMMYFUNCTION("""COMPUTED_VALUE"""),54000.0)</f>
        <v>54000</v>
      </c>
      <c r="R1409" s="261">
        <f>IFERROR(__xludf.DUMMYFUNCTION("""COMPUTED_VALUE"""),386.0)</f>
        <v>386</v>
      </c>
      <c r="S1409" s="258">
        <v>395.0</v>
      </c>
      <c r="T1409" s="263">
        <v>0.9772151898734177</v>
      </c>
      <c r="U1409" s="264">
        <v>33554.0</v>
      </c>
      <c r="V1409" s="265">
        <v>54000.0</v>
      </c>
      <c r="W1409" s="264">
        <v>33554.0</v>
      </c>
      <c r="X1409" s="266"/>
      <c r="Y1409" s="267">
        <v>-0.01</v>
      </c>
      <c r="Z1409" s="267">
        <v>0.9584227207266385</v>
      </c>
      <c r="AA1409" s="269"/>
      <c r="AB1409" s="270"/>
      <c r="AC1409" s="270"/>
      <c r="AD1409" s="270"/>
      <c r="AE1409" s="270"/>
    </row>
    <row r="1410">
      <c r="A1410" s="256">
        <f>IFERROR(__xludf.DUMMYFUNCTION("""COMPUTED_VALUE"""),42547.356944444444)</f>
        <v>42547.35694</v>
      </c>
      <c r="B1410" s="257" t="str">
        <f>IFERROR(__xludf.DUMMYFUNCTION("""COMPUTED_VALUE"""),"Thor")</f>
        <v>Thor</v>
      </c>
      <c r="C1410" s="258" t="str">
        <f>IFERROR(__xludf.DUMMYFUNCTION("""COMPUTED_VALUE"""),"Europe (excluding UK) &amp; Asia Pacific")</f>
        <v>Europe (excluding UK) &amp; Asia Pacific</v>
      </c>
      <c r="D1410" s="258" t="str">
        <f>IFERROR(__xludf.DUMMYFUNCTION("""COMPUTED_VALUE"""),"km. My car displays range in kilometres and I will enter all range numbers in kilometres.")</f>
        <v>km. My car displays range in kilometres and I will enter all range numbers in kilometres.</v>
      </c>
      <c r="E1410" s="259">
        <f>IFERROR(__xludf.DUMMYFUNCTION("""COMPUTED_VALUE"""),41990.0)</f>
        <v>41990</v>
      </c>
      <c r="F1410" s="258" t="str">
        <f>IFERROR(__xludf.DUMMYFUNCTION("""COMPUTED_VALUE"""),"Model S 85")</f>
        <v>Model S 85</v>
      </c>
      <c r="G1410" s="258" t="str">
        <f>IFERROR(__xludf.DUMMYFUNCTION("""COMPUTED_VALUE"""),"Monthly")</f>
        <v>Monthly</v>
      </c>
      <c r="H1410" s="258" t="str">
        <f>IFERROR(__xludf.DUMMYFUNCTION("""COMPUTED_VALUE"""),"Monthly")</f>
        <v>Monthly</v>
      </c>
      <c r="I1410" s="258" t="str">
        <f>IFERROR(__xludf.DUMMYFUNCTION("""COMPUTED_VALUE"""),"A few times a year")</f>
        <v>A few times a year</v>
      </c>
      <c r="J1410" s="260">
        <f>IFERROR(__xludf.DUMMYFUNCTION("""COMPUTED_VALUE"""),0.8)</f>
        <v>0.8</v>
      </c>
      <c r="K1410" s="258">
        <f>IFERROR(__xludf.DUMMYFUNCTION("""COMPUTED_VALUE"""),392.0)</f>
        <v>392</v>
      </c>
      <c r="L1410" s="258" t="str">
        <f>IFERROR(__xludf.DUMMYFUNCTION("""COMPUTED_VALUE"""),"")</f>
        <v/>
      </c>
      <c r="M1410" s="261">
        <f>IFERROR(__xludf.DUMMYFUNCTION("""COMPUTED_VALUE"""),225.0)</f>
        <v>225</v>
      </c>
      <c r="N1410" s="262" t="str">
        <f>IFERROR(__xludf.DUMMYFUNCTION("""COMPUTED_VALUE"""),"")</f>
        <v/>
      </c>
      <c r="O1410" s="259" t="str">
        <f>IFERROR(__xludf.DUMMYFUNCTION("""COMPUTED_VALUE"""),"")</f>
        <v/>
      </c>
      <c r="P1410" s="259">
        <f>IFERROR(__xludf.DUMMYFUNCTION("""COMPUTED_VALUE"""),42547.0)</f>
        <v>42547</v>
      </c>
      <c r="Q1410" s="258">
        <f>IFERROR(__xludf.DUMMYFUNCTION("""COMPUTED_VALUE"""),54765.0)</f>
        <v>54765</v>
      </c>
      <c r="R1410" s="261">
        <f>IFERROR(__xludf.DUMMYFUNCTION("""COMPUTED_VALUE"""),384.0)</f>
        <v>384</v>
      </c>
      <c r="S1410" s="258">
        <v>395.0</v>
      </c>
      <c r="T1410" s="263">
        <v>0.9721518987341772</v>
      </c>
      <c r="U1410" s="264">
        <v>34029.0</v>
      </c>
      <c r="V1410" s="265">
        <v>54765.0</v>
      </c>
      <c r="W1410" s="264">
        <v>34029.0</v>
      </c>
      <c r="X1410" s="266"/>
      <c r="Y1410" s="267">
        <v>-0.01</v>
      </c>
      <c r="Z1410" s="267">
        <v>0.9581889328243335</v>
      </c>
      <c r="AA1410" s="269"/>
      <c r="AB1410" s="270"/>
      <c r="AC1410" s="270"/>
      <c r="AD1410" s="270"/>
      <c r="AE1410" s="270"/>
    </row>
    <row r="1411">
      <c r="A1411" s="256">
        <f>IFERROR(__xludf.DUMMYFUNCTION("""COMPUTED_VALUE"""),42454.31180555555)</f>
        <v>42454.31181</v>
      </c>
      <c r="B1411" s="257" t="str">
        <f>IFERROR(__xludf.DUMMYFUNCTION("""COMPUTED_VALUE"""),"Thor2")</f>
        <v>Thor2</v>
      </c>
      <c r="C1411" s="258" t="str">
        <f>IFERROR(__xludf.DUMMYFUNCTION("""COMPUTED_VALUE"""),"Europe (excluding UK) &amp; Asia Pacific")</f>
        <v>Europe (excluding UK) &amp; Asia Pacific</v>
      </c>
      <c r="D1411" s="258" t="str">
        <f>IFERROR(__xludf.DUMMYFUNCTION("""COMPUTED_VALUE"""),"km. My car displays range in kilometres and I will enter all range numbers in kilometres.")</f>
        <v>km. My car displays range in kilometres and I will enter all range numbers in kilometres.</v>
      </c>
      <c r="E1411" s="259">
        <f>IFERROR(__xludf.DUMMYFUNCTION("""COMPUTED_VALUE"""),42342.0)</f>
        <v>42342</v>
      </c>
      <c r="F1411" s="258" t="str">
        <f>IFERROR(__xludf.DUMMYFUNCTION("""COMPUTED_VALUE"""),"Model S 70D")</f>
        <v>Model S 70D</v>
      </c>
      <c r="G1411" s="258" t="str">
        <f>IFERROR(__xludf.DUMMYFUNCTION("""COMPUTED_VALUE"""),"")</f>
        <v/>
      </c>
      <c r="H1411" s="258" t="str">
        <f>IFERROR(__xludf.DUMMYFUNCTION("""COMPUTED_VALUE"""),"A few times a year")</f>
        <v>A few times a year</v>
      </c>
      <c r="I1411" s="258" t="str">
        <f>IFERROR(__xludf.DUMMYFUNCTION("""COMPUTED_VALUE"""),"Never")</f>
        <v>Never</v>
      </c>
      <c r="J1411" s="260">
        <f>IFERROR(__xludf.DUMMYFUNCTION("""COMPUTED_VALUE"""),0.8)</f>
        <v>0.8</v>
      </c>
      <c r="K1411" s="258">
        <f>IFERROR(__xludf.DUMMYFUNCTION("""COMPUTED_VALUE"""),365.0)</f>
        <v>365</v>
      </c>
      <c r="L1411" s="258" t="str">
        <f>IFERROR(__xludf.DUMMYFUNCTION("""COMPUTED_VALUE"""),"")</f>
        <v/>
      </c>
      <c r="M1411" s="261">
        <f>IFERROR(__xludf.DUMMYFUNCTION("""COMPUTED_VALUE"""),223.0)</f>
        <v>223</v>
      </c>
      <c r="N1411" s="262" t="str">
        <f>IFERROR(__xludf.DUMMYFUNCTION("""COMPUTED_VALUE"""),"")</f>
        <v/>
      </c>
      <c r="O1411" s="259" t="str">
        <f>IFERROR(__xludf.DUMMYFUNCTION("""COMPUTED_VALUE"""),"")</f>
        <v/>
      </c>
      <c r="P1411" s="259">
        <f>IFERROR(__xludf.DUMMYFUNCTION("""COMPUTED_VALUE"""),42454.0)</f>
        <v>42454</v>
      </c>
      <c r="Q1411" s="258">
        <f>IFERROR(__xludf.DUMMYFUNCTION("""COMPUTED_VALUE"""),11500.0)</f>
        <v>11500</v>
      </c>
      <c r="R1411" s="261">
        <f>IFERROR(__xludf.DUMMYFUNCTION("""COMPUTED_VALUE"""),360.0)</f>
        <v>360</v>
      </c>
      <c r="S1411" s="258">
        <v>360.0</v>
      </c>
      <c r="T1411" s="263">
        <v>1.0</v>
      </c>
      <c r="U1411" s="264">
        <v>7146.0</v>
      </c>
      <c r="V1411" s="265">
        <v>11500.0</v>
      </c>
      <c r="W1411" s="264">
        <v>7146.0</v>
      </c>
      <c r="X1411" s="266"/>
      <c r="Y1411" s="267">
        <v>-0.01</v>
      </c>
      <c r="Z1411" s="267">
        <v>0.9825054725468519</v>
      </c>
      <c r="AA1411" s="269"/>
      <c r="AB1411" s="270"/>
      <c r="AC1411" s="270"/>
      <c r="AD1411" s="270"/>
      <c r="AE1411" s="270"/>
    </row>
    <row r="1412">
      <c r="A1412" s="256">
        <f>IFERROR(__xludf.DUMMYFUNCTION("""COMPUTED_VALUE"""),42567.3625)</f>
        <v>42567.3625</v>
      </c>
      <c r="B1412" s="257" t="str">
        <f>IFERROR(__xludf.DUMMYFUNCTION("""COMPUTED_VALUE"""),"Thor2")</f>
        <v>Thor2</v>
      </c>
      <c r="C1412" s="258" t="str">
        <f>IFERROR(__xludf.DUMMYFUNCTION("""COMPUTED_VALUE"""),"Europe (excluding UK) &amp; Asia Pacific")</f>
        <v>Europe (excluding UK) &amp; Asia Pacific</v>
      </c>
      <c r="D1412" s="258" t="str">
        <f>IFERROR(__xludf.DUMMYFUNCTION("""COMPUTED_VALUE"""),"km. My car displays range in kilometres and I will enter all range numbers in kilometres.")</f>
        <v>km. My car displays range in kilometres and I will enter all range numbers in kilometres.</v>
      </c>
      <c r="E1412" s="259">
        <f>IFERROR(__xludf.DUMMYFUNCTION("""COMPUTED_VALUE"""),42342.0)</f>
        <v>42342</v>
      </c>
      <c r="F1412" s="258" t="str">
        <f>IFERROR(__xludf.DUMMYFUNCTION("""COMPUTED_VALUE"""),"Model S 70D")</f>
        <v>Model S 70D</v>
      </c>
      <c r="G1412" s="258" t="str">
        <f>IFERROR(__xludf.DUMMYFUNCTION("""COMPUTED_VALUE"""),"A few times a year")</f>
        <v>A few times a year</v>
      </c>
      <c r="H1412" s="258" t="str">
        <f>IFERROR(__xludf.DUMMYFUNCTION("""COMPUTED_VALUE"""),"A few times a year")</f>
        <v>A few times a year</v>
      </c>
      <c r="I1412" s="258" t="str">
        <f>IFERROR(__xludf.DUMMYFUNCTION("""COMPUTED_VALUE"""),"Never")</f>
        <v>Never</v>
      </c>
      <c r="J1412" s="260">
        <f>IFERROR(__xludf.DUMMYFUNCTION("""COMPUTED_VALUE"""),0.8)</f>
        <v>0.8</v>
      </c>
      <c r="K1412" s="258" t="str">
        <f>IFERROR(__xludf.DUMMYFUNCTION("""COMPUTED_VALUE"""),"")</f>
        <v/>
      </c>
      <c r="L1412" s="258" t="str">
        <f>IFERROR(__xludf.DUMMYFUNCTION("""COMPUTED_VALUE"""),"")</f>
        <v/>
      </c>
      <c r="M1412" s="261">
        <f>IFERROR(__xludf.DUMMYFUNCTION("""COMPUTED_VALUE"""),206.0)</f>
        <v>206</v>
      </c>
      <c r="N1412" s="262" t="str">
        <f>IFERROR(__xludf.DUMMYFUNCTION("""COMPUTED_VALUE"""),"")</f>
        <v/>
      </c>
      <c r="O1412" s="259" t="str">
        <f>IFERROR(__xludf.DUMMYFUNCTION("""COMPUTED_VALUE"""),"")</f>
        <v/>
      </c>
      <c r="P1412" s="259">
        <f>IFERROR(__xludf.DUMMYFUNCTION("""COMPUTED_VALUE"""),42567.0)</f>
        <v>42567</v>
      </c>
      <c r="Q1412" s="258">
        <f>IFERROR(__xludf.DUMMYFUNCTION("""COMPUTED_VALUE"""),19000.0)</f>
        <v>19000</v>
      </c>
      <c r="R1412" s="261">
        <f>IFERROR(__xludf.DUMMYFUNCTION("""COMPUTED_VALUE"""),349.0)</f>
        <v>349</v>
      </c>
      <c r="S1412" s="258">
        <v>360.0</v>
      </c>
      <c r="T1412" s="263">
        <v>0.9694444444444444</v>
      </c>
      <c r="U1412" s="264">
        <v>11806.0</v>
      </c>
      <c r="V1412" s="265">
        <v>19000.0</v>
      </c>
      <c r="W1412" s="264">
        <v>11806.0</v>
      </c>
      <c r="X1412" s="266"/>
      <c r="Y1412" s="267">
        <v>-0.01</v>
      </c>
      <c r="Z1412" s="267">
        <v>0.9752629467923648</v>
      </c>
      <c r="AA1412" s="269"/>
      <c r="AB1412" s="270"/>
      <c r="AC1412" s="270"/>
      <c r="AD1412" s="270"/>
      <c r="AE1412" s="270"/>
    </row>
    <row r="1413">
      <c r="A1413" s="256">
        <f>IFERROR(__xludf.DUMMYFUNCTION("""COMPUTED_VALUE"""),42586.37430555555)</f>
        <v>42586.37431</v>
      </c>
      <c r="B1413" s="257" t="str">
        <f>IFERROR(__xludf.DUMMYFUNCTION("""COMPUTED_VALUE"""),"Thor2")</f>
        <v>Thor2</v>
      </c>
      <c r="C1413" s="258" t="str">
        <f>IFERROR(__xludf.DUMMYFUNCTION("""COMPUTED_VALUE"""),"Europe (excluding UK) &amp; Asia Pacific")</f>
        <v>Europe (excluding UK) &amp; Asia Pacific</v>
      </c>
      <c r="D1413" s="258" t="str">
        <f>IFERROR(__xludf.DUMMYFUNCTION("""COMPUTED_VALUE"""),"km. My car displays range in kilometres and I will enter all range numbers in kilometres.")</f>
        <v>km. My car displays range in kilometres and I will enter all range numbers in kilometres.</v>
      </c>
      <c r="E1413" s="259">
        <f>IFERROR(__xludf.DUMMYFUNCTION("""COMPUTED_VALUE"""),42342.0)</f>
        <v>42342</v>
      </c>
      <c r="F1413" s="258" t="str">
        <f>IFERROR(__xludf.DUMMYFUNCTION("""COMPUTED_VALUE"""),"Model S 70D")</f>
        <v>Model S 70D</v>
      </c>
      <c r="G1413" s="258" t="str">
        <f>IFERROR(__xludf.DUMMYFUNCTION("""COMPUTED_VALUE"""),"Monthly")</f>
        <v>Monthly</v>
      </c>
      <c r="H1413" s="258" t="str">
        <f>IFERROR(__xludf.DUMMYFUNCTION("""COMPUTED_VALUE"""),"A few times a year")</f>
        <v>A few times a year</v>
      </c>
      <c r="I1413" s="258" t="str">
        <f>IFERROR(__xludf.DUMMYFUNCTION("""COMPUTED_VALUE"""),"Never")</f>
        <v>Never</v>
      </c>
      <c r="J1413" s="260">
        <f>IFERROR(__xludf.DUMMYFUNCTION("""COMPUTED_VALUE"""),0.8)</f>
        <v>0.8</v>
      </c>
      <c r="K1413" s="258" t="str">
        <f>IFERROR(__xludf.DUMMYFUNCTION("""COMPUTED_VALUE"""),"")</f>
        <v/>
      </c>
      <c r="L1413" s="258" t="str">
        <f>IFERROR(__xludf.DUMMYFUNCTION("""COMPUTED_VALUE"""),"")</f>
        <v/>
      </c>
      <c r="M1413" s="261">
        <f>IFERROR(__xludf.DUMMYFUNCTION("""COMPUTED_VALUE"""),204.0)</f>
        <v>204</v>
      </c>
      <c r="N1413" s="262" t="str">
        <f>IFERROR(__xludf.DUMMYFUNCTION("""COMPUTED_VALUE"""),"")</f>
        <v/>
      </c>
      <c r="O1413" s="259" t="str">
        <f>IFERROR(__xludf.DUMMYFUNCTION("""COMPUTED_VALUE"""),"")</f>
        <v/>
      </c>
      <c r="P1413" s="259">
        <f>IFERROR(__xludf.DUMMYFUNCTION("""COMPUTED_VALUE"""),42586.0)</f>
        <v>42586</v>
      </c>
      <c r="Q1413" s="258">
        <f>IFERROR(__xludf.DUMMYFUNCTION("""COMPUTED_VALUE"""),25000.0)</f>
        <v>25000</v>
      </c>
      <c r="R1413" s="261">
        <f>IFERROR(__xludf.DUMMYFUNCTION("""COMPUTED_VALUE"""),350.0)</f>
        <v>350</v>
      </c>
      <c r="S1413" s="258">
        <v>360.0</v>
      </c>
      <c r="T1413" s="263">
        <v>0.9722222222222222</v>
      </c>
      <c r="U1413" s="264">
        <v>15534.0</v>
      </c>
      <c r="V1413" s="265">
        <v>25000.0</v>
      </c>
      <c r="W1413" s="264">
        <v>15534.0</v>
      </c>
      <c r="X1413" s="266"/>
      <c r="Y1413" s="267">
        <v>-0.01</v>
      </c>
      <c r="Z1413" s="267">
        <v>0.9709088935731226</v>
      </c>
      <c r="AA1413" s="269"/>
      <c r="AB1413" s="270"/>
      <c r="AC1413" s="270"/>
      <c r="AD1413" s="270"/>
      <c r="AE1413" s="270"/>
    </row>
    <row r="1414">
      <c r="A1414" s="256">
        <f>IFERROR(__xludf.DUMMYFUNCTION("""COMPUTED_VALUE"""),42684.43472222222)</f>
        <v>42684.43472</v>
      </c>
      <c r="B1414" s="257" t="str">
        <f>IFERROR(__xludf.DUMMYFUNCTION("""COMPUTED_VALUE"""),"Thor2")</f>
        <v>Thor2</v>
      </c>
      <c r="C1414" s="258" t="str">
        <f>IFERROR(__xludf.DUMMYFUNCTION("""COMPUTED_VALUE"""),"Europe (excluding UK) &amp; Asia Pacific")</f>
        <v>Europe (excluding UK) &amp; Asia Pacific</v>
      </c>
      <c r="D1414" s="258" t="str">
        <f>IFERROR(__xludf.DUMMYFUNCTION("""COMPUTED_VALUE"""),"km. My car displays range in kilometres and I will enter all range numbers in kilometres.")</f>
        <v>km. My car displays range in kilometres and I will enter all range numbers in kilometres.</v>
      </c>
      <c r="E1414" s="259">
        <f>IFERROR(__xludf.DUMMYFUNCTION("""COMPUTED_VALUE"""),42342.0)</f>
        <v>42342</v>
      </c>
      <c r="F1414" s="258" t="str">
        <f>IFERROR(__xludf.DUMMYFUNCTION("""COMPUTED_VALUE"""),"Model S 70D")</f>
        <v>Model S 70D</v>
      </c>
      <c r="G1414" s="258" t="str">
        <f>IFERROR(__xludf.DUMMYFUNCTION("""COMPUTED_VALUE"""),"Monthly")</f>
        <v>Monthly</v>
      </c>
      <c r="H1414" s="258" t="str">
        <f>IFERROR(__xludf.DUMMYFUNCTION("""COMPUTED_VALUE"""),"A few times a year")</f>
        <v>A few times a year</v>
      </c>
      <c r="I1414" s="258" t="str">
        <f>IFERROR(__xludf.DUMMYFUNCTION("""COMPUTED_VALUE"""),"Never")</f>
        <v>Never</v>
      </c>
      <c r="J1414" s="260">
        <f>IFERROR(__xludf.DUMMYFUNCTION("""COMPUTED_VALUE"""),0.8)</f>
        <v>0.8</v>
      </c>
      <c r="K1414" s="258">
        <f>IFERROR(__xludf.DUMMYFUNCTION("""COMPUTED_VALUE"""),365.0)</f>
        <v>365</v>
      </c>
      <c r="L1414" s="258" t="str">
        <f>IFERROR(__xludf.DUMMYFUNCTION("""COMPUTED_VALUE"""),"")</f>
        <v/>
      </c>
      <c r="M1414" s="261">
        <f>IFERROR(__xludf.DUMMYFUNCTION("""COMPUTED_VALUE"""),201.0)</f>
        <v>201</v>
      </c>
      <c r="N1414" s="262" t="str">
        <f>IFERROR(__xludf.DUMMYFUNCTION("""COMPUTED_VALUE"""),"")</f>
        <v/>
      </c>
      <c r="O1414" s="259" t="str">
        <f>IFERROR(__xludf.DUMMYFUNCTION("""COMPUTED_VALUE"""),"")</f>
        <v/>
      </c>
      <c r="P1414" s="259">
        <f>IFERROR(__xludf.DUMMYFUNCTION("""COMPUTED_VALUE"""),42684.0)</f>
        <v>42684</v>
      </c>
      <c r="Q1414" s="258">
        <f>IFERROR(__xludf.DUMMYFUNCTION("""COMPUTED_VALUE"""),31273.0)</f>
        <v>31273</v>
      </c>
      <c r="R1414" s="261">
        <f>IFERROR(__xludf.DUMMYFUNCTION("""COMPUTED_VALUE"""),349.0)</f>
        <v>349</v>
      </c>
      <c r="S1414" s="258">
        <v>360.0</v>
      </c>
      <c r="T1414" s="263">
        <v>0.9694444444444444</v>
      </c>
      <c r="U1414" s="264">
        <v>19432.0</v>
      </c>
      <c r="V1414" s="265">
        <v>31273.0</v>
      </c>
      <c r="W1414" s="264">
        <v>19432.0</v>
      </c>
      <c r="X1414" s="266"/>
      <c r="Y1414" s="267">
        <v>-0.01</v>
      </c>
      <c r="Z1414" s="267">
        <v>0.9672875150676439</v>
      </c>
      <c r="AA1414" s="269"/>
      <c r="AB1414" s="270"/>
      <c r="AC1414" s="270"/>
      <c r="AD1414" s="270"/>
      <c r="AE1414" s="270"/>
    </row>
    <row r="1415">
      <c r="A1415" s="256">
        <f>IFERROR(__xludf.DUMMYFUNCTION("""COMPUTED_VALUE"""),42658.413888888885)</f>
        <v>42658.41389</v>
      </c>
      <c r="B1415" s="257" t="str">
        <f>IFERROR(__xludf.DUMMYFUNCTION("""COMPUTED_VALUE"""),"Thor3")</f>
        <v>Thor3</v>
      </c>
      <c r="C1415" s="258" t="str">
        <f>IFERROR(__xludf.DUMMYFUNCTION("""COMPUTED_VALUE"""),"Europe (excluding UK) &amp; Asia Pacific")</f>
        <v>Europe (excluding UK) &amp; Asia Pacific</v>
      </c>
      <c r="D1415" s="258" t="str">
        <f>IFERROR(__xludf.DUMMYFUNCTION("""COMPUTED_VALUE"""),"km. My car displays range in kilometres and I will enter all range numbers in kilometres.")</f>
        <v>km. My car displays range in kilometres and I will enter all range numbers in kilometres.</v>
      </c>
      <c r="E1415" s="259">
        <f>IFERROR(__xludf.DUMMYFUNCTION("""COMPUTED_VALUE"""),42626.0)</f>
        <v>42626</v>
      </c>
      <c r="F1415" s="258" t="str">
        <f>IFERROR(__xludf.DUMMYFUNCTION("""COMPUTED_VALUE"""),"Model S 90D")</f>
        <v>Model S 90D</v>
      </c>
      <c r="G1415" s="258" t="str">
        <f>IFERROR(__xludf.DUMMYFUNCTION("""COMPUTED_VALUE"""),"Monthly")</f>
        <v>Monthly</v>
      </c>
      <c r="H1415" s="258" t="str">
        <f>IFERROR(__xludf.DUMMYFUNCTION("""COMPUTED_VALUE"""),"A few times a year")</f>
        <v>A few times a year</v>
      </c>
      <c r="I1415" s="258" t="str">
        <f>IFERROR(__xludf.DUMMYFUNCTION("""COMPUTED_VALUE"""),"Never")</f>
        <v>Never</v>
      </c>
      <c r="J1415" s="260">
        <f>IFERROR(__xludf.DUMMYFUNCTION("""COMPUTED_VALUE"""),0.8)</f>
        <v>0.8</v>
      </c>
      <c r="K1415" s="258">
        <f>IFERROR(__xludf.DUMMYFUNCTION("""COMPUTED_VALUE"""),455.0)</f>
        <v>455</v>
      </c>
      <c r="L1415" s="258" t="str">
        <f>IFERROR(__xludf.DUMMYFUNCTION("""COMPUTED_VALUE"""),"")</f>
        <v/>
      </c>
      <c r="M1415" s="261">
        <f>IFERROR(__xludf.DUMMYFUNCTION("""COMPUTED_VALUE"""),214.0)</f>
        <v>214</v>
      </c>
      <c r="N1415" s="262" t="str">
        <f>IFERROR(__xludf.DUMMYFUNCTION("""COMPUTED_VALUE"""),"")</f>
        <v/>
      </c>
      <c r="O1415" s="259" t="str">
        <f>IFERROR(__xludf.DUMMYFUNCTION("""COMPUTED_VALUE"""),"")</f>
        <v/>
      </c>
      <c r="P1415" s="259">
        <f>IFERROR(__xludf.DUMMYFUNCTION("""COMPUTED_VALUE"""),42658.0)</f>
        <v>42658</v>
      </c>
      <c r="Q1415" s="258">
        <f>IFERROR(__xludf.DUMMYFUNCTION("""COMPUTED_VALUE"""),1980.0)</f>
        <v>1980</v>
      </c>
      <c r="R1415" s="261">
        <f>IFERROR(__xludf.DUMMYFUNCTION("""COMPUTED_VALUE"""),445.0)</f>
        <v>445</v>
      </c>
      <c r="S1415" s="258">
        <v>447.0</v>
      </c>
      <c r="T1415" s="263">
        <v>0.9955257270693513</v>
      </c>
      <c r="U1415" s="264">
        <v>1230.0</v>
      </c>
      <c r="V1415" s="265">
        <v>1980.0</v>
      </c>
      <c r="W1415" s="264">
        <v>1230.0</v>
      </c>
      <c r="X1415" s="266"/>
      <c r="Y1415" s="267">
        <v>-0.01</v>
      </c>
      <c r="Z1415" s="267">
        <v>0.9962332947218946</v>
      </c>
      <c r="AA1415" s="269"/>
      <c r="AB1415" s="270"/>
      <c r="AC1415" s="270"/>
      <c r="AD1415" s="270"/>
      <c r="AE1415" s="270"/>
    </row>
    <row r="1416">
      <c r="A1416" s="256">
        <f>IFERROR(__xludf.DUMMYFUNCTION("""COMPUTED_VALUE"""),42659.419444444444)</f>
        <v>42659.41944</v>
      </c>
      <c r="B1416" s="257" t="str">
        <f>IFERROR(__xludf.DUMMYFUNCTION("""COMPUTED_VALUE"""),"Thor3")</f>
        <v>Thor3</v>
      </c>
      <c r="C1416" s="258" t="str">
        <f>IFERROR(__xludf.DUMMYFUNCTION("""COMPUTED_VALUE"""),"Europe (excluding UK) &amp; Asia Pacific")</f>
        <v>Europe (excluding UK) &amp; Asia Pacific</v>
      </c>
      <c r="D1416" s="258" t="str">
        <f>IFERROR(__xludf.DUMMYFUNCTION("""COMPUTED_VALUE"""),"km. My car displays range in kilometres and I will enter all range numbers in kilometres.")</f>
        <v>km. My car displays range in kilometres and I will enter all range numbers in kilometres.</v>
      </c>
      <c r="E1416" s="259">
        <f>IFERROR(__xludf.DUMMYFUNCTION("""COMPUTED_VALUE"""),42626.0)</f>
        <v>42626</v>
      </c>
      <c r="F1416" s="258" t="str">
        <f>IFERROR(__xludf.DUMMYFUNCTION("""COMPUTED_VALUE"""),"Model S 90D")</f>
        <v>Model S 90D</v>
      </c>
      <c r="G1416" s="258" t="str">
        <f>IFERROR(__xludf.DUMMYFUNCTION("""COMPUTED_VALUE"""),"Monthly")</f>
        <v>Monthly</v>
      </c>
      <c r="H1416" s="258" t="str">
        <f>IFERROR(__xludf.DUMMYFUNCTION("""COMPUTED_VALUE"""),"A few times a year")</f>
        <v>A few times a year</v>
      </c>
      <c r="I1416" s="258" t="str">
        <f>IFERROR(__xludf.DUMMYFUNCTION("""COMPUTED_VALUE"""),"Never")</f>
        <v>Never</v>
      </c>
      <c r="J1416" s="260">
        <f>IFERROR(__xludf.DUMMYFUNCTION("""COMPUTED_VALUE"""),0.8)</f>
        <v>0.8</v>
      </c>
      <c r="K1416" s="258">
        <f>IFERROR(__xludf.DUMMYFUNCTION("""COMPUTED_VALUE"""),455.0)</f>
        <v>455</v>
      </c>
      <c r="L1416" s="258" t="str">
        <f>IFERROR(__xludf.DUMMYFUNCTION("""COMPUTED_VALUE"""),"")</f>
        <v/>
      </c>
      <c r="M1416" s="261">
        <f>IFERROR(__xludf.DUMMYFUNCTION("""COMPUTED_VALUE"""),214.0)</f>
        <v>214</v>
      </c>
      <c r="N1416" s="262" t="str">
        <f>IFERROR(__xludf.DUMMYFUNCTION("""COMPUTED_VALUE"""),"")</f>
        <v/>
      </c>
      <c r="O1416" s="259" t="str">
        <f>IFERROR(__xludf.DUMMYFUNCTION("""COMPUTED_VALUE"""),"")</f>
        <v/>
      </c>
      <c r="P1416" s="259">
        <f>IFERROR(__xludf.DUMMYFUNCTION("""COMPUTED_VALUE"""),42659.0)</f>
        <v>42659</v>
      </c>
      <c r="Q1416" s="258">
        <f>IFERROR(__xludf.DUMMYFUNCTION("""COMPUTED_VALUE"""),2500.0)</f>
        <v>2500</v>
      </c>
      <c r="R1416" s="261">
        <f>IFERROR(__xludf.DUMMYFUNCTION("""COMPUTED_VALUE"""),450.0)</f>
        <v>450</v>
      </c>
      <c r="S1416" s="258">
        <v>447.0</v>
      </c>
      <c r="T1416" s="263">
        <v>1.0067114093959733</v>
      </c>
      <c r="U1416" s="264">
        <v>1553.0</v>
      </c>
      <c r="V1416" s="265">
        <v>2500.0</v>
      </c>
      <c r="W1416" s="264">
        <v>1553.0</v>
      </c>
      <c r="X1416" s="266"/>
      <c r="Y1416" s="267">
        <v>-0.01</v>
      </c>
      <c r="Z1416" s="267">
        <v>0.995305409197177</v>
      </c>
      <c r="AA1416" s="269"/>
      <c r="AB1416" s="270"/>
      <c r="AC1416" s="270"/>
      <c r="AD1416" s="270"/>
      <c r="AE1416" s="270"/>
    </row>
    <row r="1417">
      <c r="A1417" s="256">
        <f>IFERROR(__xludf.DUMMYFUNCTION("""COMPUTED_VALUE"""),42701.46597222222)</f>
        <v>42701.46597</v>
      </c>
      <c r="B1417" s="257" t="str">
        <f>IFERROR(__xludf.DUMMYFUNCTION("""COMPUTED_VALUE"""),"Thor3")</f>
        <v>Thor3</v>
      </c>
      <c r="C1417" s="258" t="str">
        <f>IFERROR(__xludf.DUMMYFUNCTION("""COMPUTED_VALUE"""),"Europe (excluding UK) &amp; Asia Pacific")</f>
        <v>Europe (excluding UK) &amp; Asia Pacific</v>
      </c>
      <c r="D1417" s="258" t="str">
        <f>IFERROR(__xludf.DUMMYFUNCTION("""COMPUTED_VALUE"""),"km. My car displays range in kilometres and I will enter all range numbers in kilometres.")</f>
        <v>km. My car displays range in kilometres and I will enter all range numbers in kilometres.</v>
      </c>
      <c r="E1417" s="259">
        <f>IFERROR(__xludf.DUMMYFUNCTION("""COMPUTED_VALUE"""),42626.0)</f>
        <v>42626</v>
      </c>
      <c r="F1417" s="258" t="str">
        <f>IFERROR(__xludf.DUMMYFUNCTION("""COMPUTED_VALUE"""),"Model S 90D")</f>
        <v>Model S 90D</v>
      </c>
      <c r="G1417" s="258" t="str">
        <f>IFERROR(__xludf.DUMMYFUNCTION("""COMPUTED_VALUE"""),"Daily")</f>
        <v>Daily</v>
      </c>
      <c r="H1417" s="258" t="str">
        <f>IFERROR(__xludf.DUMMYFUNCTION("""COMPUTED_VALUE"""),"A few times a year")</f>
        <v>A few times a year</v>
      </c>
      <c r="I1417" s="258" t="str">
        <f>IFERROR(__xludf.DUMMYFUNCTION("""COMPUTED_VALUE"""),"Never")</f>
        <v>Never</v>
      </c>
      <c r="J1417" s="260">
        <f>IFERROR(__xludf.DUMMYFUNCTION("""COMPUTED_VALUE"""),0.9)</f>
        <v>0.9</v>
      </c>
      <c r="K1417" s="258">
        <f>IFERROR(__xludf.DUMMYFUNCTION("""COMPUTED_VALUE"""),450.0)</f>
        <v>450</v>
      </c>
      <c r="L1417" s="258" t="str">
        <f>IFERROR(__xludf.DUMMYFUNCTION("""COMPUTED_VALUE"""),"")</f>
        <v/>
      </c>
      <c r="M1417" s="261">
        <f>IFERROR(__xludf.DUMMYFUNCTION("""COMPUTED_VALUE"""),220.0)</f>
        <v>220</v>
      </c>
      <c r="N1417" s="262" t="str">
        <f>IFERROR(__xludf.DUMMYFUNCTION("""COMPUTED_VALUE"""),"")</f>
        <v/>
      </c>
      <c r="O1417" s="259" t="str">
        <f>IFERROR(__xludf.DUMMYFUNCTION("""COMPUTED_VALUE"""),"")</f>
        <v/>
      </c>
      <c r="P1417" s="259">
        <f>IFERROR(__xludf.DUMMYFUNCTION("""COMPUTED_VALUE"""),42701.0)</f>
        <v>42701</v>
      </c>
      <c r="Q1417" s="258">
        <f>IFERROR(__xludf.DUMMYFUNCTION("""COMPUTED_VALUE"""),8000.0)</f>
        <v>8000</v>
      </c>
      <c r="R1417" s="261">
        <f>IFERROR(__xludf.DUMMYFUNCTION("""COMPUTED_VALUE"""),444.0)</f>
        <v>444</v>
      </c>
      <c r="S1417" s="258">
        <v>447.0</v>
      </c>
      <c r="T1417" s="263">
        <v>0.9932885906040269</v>
      </c>
      <c r="U1417" s="264">
        <v>4971.0</v>
      </c>
      <c r="V1417" s="265">
        <v>8000.0</v>
      </c>
      <c r="W1417" s="264">
        <v>4971.0</v>
      </c>
      <c r="X1417" s="266"/>
      <c r="Y1417" s="267">
        <v>-0.01</v>
      </c>
      <c r="Z1417" s="267">
        <v>0.9868328459645701</v>
      </c>
      <c r="AA1417" s="269"/>
      <c r="AB1417" s="270"/>
      <c r="AC1417" s="270"/>
      <c r="AD1417" s="270"/>
      <c r="AE1417" s="270"/>
    </row>
    <row r="1418">
      <c r="A1418" s="256">
        <f>IFERROR(__xludf.DUMMYFUNCTION("""COMPUTED_VALUE"""),42903.54791666666)</f>
        <v>42903.54792</v>
      </c>
      <c r="B1418" s="257" t="str">
        <f>IFERROR(__xludf.DUMMYFUNCTION("""COMPUTED_VALUE"""),"Thor4")</f>
        <v>Thor4</v>
      </c>
      <c r="C1418" s="258" t="str">
        <f>IFERROR(__xludf.DUMMYFUNCTION("""COMPUTED_VALUE"""),"Europe (excluding UK) &amp; Asia Pacific")</f>
        <v>Europe (excluding UK) &amp; Asia Pacific</v>
      </c>
      <c r="D1418" s="258" t="str">
        <f>IFERROR(__xludf.DUMMYFUNCTION("""COMPUTED_VALUE"""),"km. My car displays range in kilometres and I will enter all range numbers in kilometres.")</f>
        <v>km. My car displays range in kilometres and I will enter all range numbers in kilometres.</v>
      </c>
      <c r="E1418" s="259">
        <f>IFERROR(__xludf.DUMMYFUNCTION("""COMPUTED_VALUE"""),42899.0)</f>
        <v>42899</v>
      </c>
      <c r="F1418" s="258" t="str">
        <f>IFERROR(__xludf.DUMMYFUNCTION("""COMPUTED_VALUE"""),"Model S 75")</f>
        <v>Model S 75</v>
      </c>
      <c r="G1418" s="258" t="str">
        <f>IFERROR(__xludf.DUMMYFUNCTION("""COMPUTED_VALUE"""),"A few times a year")</f>
        <v>A few times a year</v>
      </c>
      <c r="H1418" s="258" t="str">
        <f>IFERROR(__xludf.DUMMYFUNCTION("""COMPUTED_VALUE"""),"Monthly")</f>
        <v>Monthly</v>
      </c>
      <c r="I1418" s="258" t="str">
        <f>IFERROR(__xludf.DUMMYFUNCTION("""COMPUTED_VALUE"""),"Never")</f>
        <v>Never</v>
      </c>
      <c r="J1418" s="260">
        <f>IFERROR(__xludf.DUMMYFUNCTION("""COMPUTED_VALUE"""),0.9)</f>
        <v>0.9</v>
      </c>
      <c r="K1418" s="258">
        <f>IFERROR(__xludf.DUMMYFUNCTION("""COMPUTED_VALUE"""),373.0)</f>
        <v>373</v>
      </c>
      <c r="L1418" s="258" t="str">
        <f>IFERROR(__xludf.DUMMYFUNCTION("""COMPUTED_VALUE"""),"")</f>
        <v/>
      </c>
      <c r="M1418" s="261">
        <f>IFERROR(__xludf.DUMMYFUNCTION("""COMPUTED_VALUE"""),194.0)</f>
        <v>194</v>
      </c>
      <c r="N1418" s="262" t="str">
        <f>IFERROR(__xludf.DUMMYFUNCTION("""COMPUTED_VALUE"""),"")</f>
        <v/>
      </c>
      <c r="O1418" s="259" t="str">
        <f>IFERROR(__xludf.DUMMYFUNCTION("""COMPUTED_VALUE"""),"")</f>
        <v/>
      </c>
      <c r="P1418" s="259">
        <f>IFERROR(__xludf.DUMMYFUNCTION("""COMPUTED_VALUE"""),42903.0)</f>
        <v>42903</v>
      </c>
      <c r="Q1418" s="258">
        <f>IFERROR(__xludf.DUMMYFUNCTION("""COMPUTED_VALUE"""),350.0)</f>
        <v>350</v>
      </c>
      <c r="R1418" s="261">
        <f>IFERROR(__xludf.DUMMYFUNCTION("""COMPUTED_VALUE"""),373.0)</f>
        <v>373</v>
      </c>
      <c r="S1418" s="258">
        <v>375.0</v>
      </c>
      <c r="T1418" s="263">
        <v>0.9946666666666667</v>
      </c>
      <c r="U1418" s="264">
        <v>217.0</v>
      </c>
      <c r="V1418" s="265">
        <v>350.0</v>
      </c>
      <c r="W1418" s="264">
        <v>217.0</v>
      </c>
      <c r="X1418" s="266"/>
      <c r="Y1418" s="267">
        <v>-0.01</v>
      </c>
      <c r="Z1418" s="267">
        <v>0.9993061044870886</v>
      </c>
      <c r="AA1418" s="269"/>
      <c r="AB1418" s="270"/>
      <c r="AC1418" s="270"/>
      <c r="AD1418" s="270"/>
      <c r="AE1418" s="270"/>
    </row>
    <row r="1419">
      <c r="A1419" s="256">
        <f>IFERROR(__xludf.DUMMYFUNCTION("""COMPUTED_VALUE"""),42910.55069444445)</f>
        <v>42910.55069</v>
      </c>
      <c r="B1419" s="257" t="str">
        <f>IFERROR(__xludf.DUMMYFUNCTION("""COMPUTED_VALUE"""),"Thor4")</f>
        <v>Thor4</v>
      </c>
      <c r="C1419" s="258" t="str">
        <f>IFERROR(__xludf.DUMMYFUNCTION("""COMPUTED_VALUE"""),"Europe (excluding UK) &amp; Asia Pacific")</f>
        <v>Europe (excluding UK) &amp; Asia Pacific</v>
      </c>
      <c r="D1419" s="258" t="str">
        <f>IFERROR(__xludf.DUMMYFUNCTION("""COMPUTED_VALUE"""),"km. My car displays range in kilometres and I will enter all range numbers in kilometres.")</f>
        <v>km. My car displays range in kilometres and I will enter all range numbers in kilometres.</v>
      </c>
      <c r="E1419" s="259">
        <f>IFERROR(__xludf.DUMMYFUNCTION("""COMPUTED_VALUE"""),42899.0)</f>
        <v>42899</v>
      </c>
      <c r="F1419" s="258" t="str">
        <f>IFERROR(__xludf.DUMMYFUNCTION("""COMPUTED_VALUE"""),"Model S 75")</f>
        <v>Model S 75</v>
      </c>
      <c r="G1419" s="258" t="str">
        <f>IFERROR(__xludf.DUMMYFUNCTION("""COMPUTED_VALUE"""),"Monthly")</f>
        <v>Monthly</v>
      </c>
      <c r="H1419" s="258" t="str">
        <f>IFERROR(__xludf.DUMMYFUNCTION("""COMPUTED_VALUE"""),"Monthly")</f>
        <v>Monthly</v>
      </c>
      <c r="I1419" s="258" t="str">
        <f>IFERROR(__xludf.DUMMYFUNCTION("""COMPUTED_VALUE"""),"Never")</f>
        <v>Never</v>
      </c>
      <c r="J1419" s="260">
        <f>IFERROR(__xludf.DUMMYFUNCTION("""COMPUTED_VALUE"""),0.9)</f>
        <v>0.9</v>
      </c>
      <c r="K1419" s="258">
        <f>IFERROR(__xludf.DUMMYFUNCTION("""COMPUTED_VALUE"""),373.0)</f>
        <v>373</v>
      </c>
      <c r="L1419" s="258" t="str">
        <f>IFERROR(__xludf.DUMMYFUNCTION("""COMPUTED_VALUE"""),"")</f>
        <v/>
      </c>
      <c r="M1419" s="261">
        <f>IFERROR(__xludf.DUMMYFUNCTION("""COMPUTED_VALUE"""),196.0)</f>
        <v>196</v>
      </c>
      <c r="N1419" s="262" t="str">
        <f>IFERROR(__xludf.DUMMYFUNCTION("""COMPUTED_VALUE"""),"")</f>
        <v/>
      </c>
      <c r="O1419" s="259" t="str">
        <f>IFERROR(__xludf.DUMMYFUNCTION("""COMPUTED_VALUE"""),"")</f>
        <v/>
      </c>
      <c r="P1419" s="259">
        <f>IFERROR(__xludf.DUMMYFUNCTION("""COMPUTED_VALUE"""),42910.0)</f>
        <v>42910</v>
      </c>
      <c r="Q1419" s="258">
        <f>IFERROR(__xludf.DUMMYFUNCTION("""COMPUTED_VALUE"""),736.0)</f>
        <v>736</v>
      </c>
      <c r="R1419" s="261">
        <f>IFERROR(__xludf.DUMMYFUNCTION("""COMPUTED_VALUE"""),373.0)</f>
        <v>373</v>
      </c>
      <c r="S1419" s="258">
        <v>375.0</v>
      </c>
      <c r="T1419" s="263">
        <v>0.9946666666666667</v>
      </c>
      <c r="U1419" s="264">
        <v>457.0</v>
      </c>
      <c r="V1419" s="265">
        <v>736.0</v>
      </c>
      <c r="W1419" s="264">
        <v>457.0</v>
      </c>
      <c r="X1419" s="266"/>
      <c r="Y1419" s="267">
        <v>-0.01</v>
      </c>
      <c r="Z1419" s="267">
        <v>0.998555149059734</v>
      </c>
      <c r="AA1419" s="269"/>
      <c r="AB1419" s="270"/>
      <c r="AC1419" s="270"/>
      <c r="AD1419" s="270"/>
      <c r="AE1419" s="270"/>
    </row>
    <row r="1420">
      <c r="A1420" s="256">
        <f>IFERROR(__xludf.DUMMYFUNCTION("""COMPUTED_VALUE"""),42945.56597222222)</f>
        <v>42945.56597</v>
      </c>
      <c r="B1420" s="257" t="str">
        <f>IFERROR(__xludf.DUMMYFUNCTION("""COMPUTED_VALUE"""),"Thor4")</f>
        <v>Thor4</v>
      </c>
      <c r="C1420" s="258" t="str">
        <f>IFERROR(__xludf.DUMMYFUNCTION("""COMPUTED_VALUE"""),"Europe (excluding UK) &amp; Asia Pacific")</f>
        <v>Europe (excluding UK) &amp; Asia Pacific</v>
      </c>
      <c r="D1420" s="258" t="str">
        <f>IFERROR(__xludf.DUMMYFUNCTION("""COMPUTED_VALUE"""),"km. My car displays range in kilometres and I will enter all range numbers in kilometres.")</f>
        <v>km. My car displays range in kilometres and I will enter all range numbers in kilometres.</v>
      </c>
      <c r="E1420" s="259">
        <f>IFERROR(__xludf.DUMMYFUNCTION("""COMPUTED_VALUE"""),42899.0)</f>
        <v>42899</v>
      </c>
      <c r="F1420" s="258" t="str">
        <f>IFERROR(__xludf.DUMMYFUNCTION("""COMPUTED_VALUE"""),"Model S 75")</f>
        <v>Model S 75</v>
      </c>
      <c r="G1420" s="258" t="str">
        <f>IFERROR(__xludf.DUMMYFUNCTION("""COMPUTED_VALUE"""),"Monthly")</f>
        <v>Monthly</v>
      </c>
      <c r="H1420" s="258" t="str">
        <f>IFERROR(__xludf.DUMMYFUNCTION("""COMPUTED_VALUE"""),"A few times a year")</f>
        <v>A few times a year</v>
      </c>
      <c r="I1420" s="258" t="str">
        <f>IFERROR(__xludf.DUMMYFUNCTION("""COMPUTED_VALUE"""),"Never")</f>
        <v>Never</v>
      </c>
      <c r="J1420" s="260">
        <f>IFERROR(__xludf.DUMMYFUNCTION("""COMPUTED_VALUE"""),0.8)</f>
        <v>0.8</v>
      </c>
      <c r="K1420" s="258">
        <f>IFERROR(__xludf.DUMMYFUNCTION("""COMPUTED_VALUE"""),373.0)</f>
        <v>373</v>
      </c>
      <c r="L1420" s="258" t="str">
        <f>IFERROR(__xludf.DUMMYFUNCTION("""COMPUTED_VALUE"""),"")</f>
        <v/>
      </c>
      <c r="M1420" s="261">
        <f>IFERROR(__xludf.DUMMYFUNCTION("""COMPUTED_VALUE"""),192.0)</f>
        <v>192</v>
      </c>
      <c r="N1420" s="262" t="str">
        <f>IFERROR(__xludf.DUMMYFUNCTION("""COMPUTED_VALUE"""),"")</f>
        <v/>
      </c>
      <c r="O1420" s="259" t="str">
        <f>IFERROR(__xludf.DUMMYFUNCTION("""COMPUTED_VALUE"""),"")</f>
        <v/>
      </c>
      <c r="P1420" s="259">
        <f>IFERROR(__xludf.DUMMYFUNCTION("""COMPUTED_VALUE"""),42945.0)</f>
        <v>42945</v>
      </c>
      <c r="Q1420" s="258">
        <f>IFERROR(__xludf.DUMMYFUNCTION("""COMPUTED_VALUE"""),7500.0)</f>
        <v>7500</v>
      </c>
      <c r="R1420" s="261">
        <f>IFERROR(__xludf.DUMMYFUNCTION("""COMPUTED_VALUE"""),373.0)</f>
        <v>373</v>
      </c>
      <c r="S1420" s="258">
        <v>375.0</v>
      </c>
      <c r="T1420" s="263">
        <v>0.9946666666666667</v>
      </c>
      <c r="U1420" s="264">
        <v>4660.0</v>
      </c>
      <c r="V1420" s="265">
        <v>7500.0</v>
      </c>
      <c r="W1420" s="264">
        <v>4660.0</v>
      </c>
      <c r="X1420" s="266"/>
      <c r="Y1420" s="267">
        <v>-0.01</v>
      </c>
      <c r="Z1420" s="267">
        <v>0.9875120974861299</v>
      </c>
      <c r="AA1420" s="269"/>
      <c r="AB1420" s="270"/>
      <c r="AC1420" s="270"/>
      <c r="AD1420" s="270"/>
      <c r="AE1420" s="270"/>
    </row>
    <row r="1421">
      <c r="A1421" s="256">
        <f>IFERROR(__xludf.DUMMYFUNCTION("""COMPUTED_VALUE"""),42990.60555555555)</f>
        <v>42990.60556</v>
      </c>
      <c r="B1421" s="257" t="str">
        <f>IFERROR(__xludf.DUMMYFUNCTION("""COMPUTED_VALUE"""),"Thor4")</f>
        <v>Thor4</v>
      </c>
      <c r="C1421" s="258" t="str">
        <f>IFERROR(__xludf.DUMMYFUNCTION("""COMPUTED_VALUE"""),"Europe (excluding UK) &amp; Asia Pacific")</f>
        <v>Europe (excluding UK) &amp; Asia Pacific</v>
      </c>
      <c r="D1421" s="258" t="str">
        <f>IFERROR(__xludf.DUMMYFUNCTION("""COMPUTED_VALUE"""),"km. My car displays range in kilometres and I will enter all range numbers in kilometres.")</f>
        <v>km. My car displays range in kilometres and I will enter all range numbers in kilometres.</v>
      </c>
      <c r="E1421" s="259">
        <f>IFERROR(__xludf.DUMMYFUNCTION("""COMPUTED_VALUE"""),42899.0)</f>
        <v>42899</v>
      </c>
      <c r="F1421" s="258" t="str">
        <f>IFERROR(__xludf.DUMMYFUNCTION("""COMPUTED_VALUE"""),"Model S 75")</f>
        <v>Model S 75</v>
      </c>
      <c r="G1421" s="258" t="str">
        <f>IFERROR(__xludf.DUMMYFUNCTION("""COMPUTED_VALUE"""),"Monthly")</f>
        <v>Monthly</v>
      </c>
      <c r="H1421" s="258" t="str">
        <f>IFERROR(__xludf.DUMMYFUNCTION("""COMPUTED_VALUE"""),"Monthly")</f>
        <v>Monthly</v>
      </c>
      <c r="I1421" s="258" t="str">
        <f>IFERROR(__xludf.DUMMYFUNCTION("""COMPUTED_VALUE"""),"Never")</f>
        <v>Never</v>
      </c>
      <c r="J1421" s="260">
        <f>IFERROR(__xludf.DUMMYFUNCTION("""COMPUTED_VALUE"""),0.8)</f>
        <v>0.8</v>
      </c>
      <c r="K1421" s="258">
        <f>IFERROR(__xludf.DUMMYFUNCTION("""COMPUTED_VALUE"""),373.0)</f>
        <v>373</v>
      </c>
      <c r="L1421" s="258" t="str">
        <f>IFERROR(__xludf.DUMMYFUNCTION("""COMPUTED_VALUE"""),"")</f>
        <v/>
      </c>
      <c r="M1421" s="261">
        <f>IFERROR(__xludf.DUMMYFUNCTION("""COMPUTED_VALUE"""),190.0)</f>
        <v>190</v>
      </c>
      <c r="N1421" s="262" t="str">
        <f>IFERROR(__xludf.DUMMYFUNCTION("""COMPUTED_VALUE"""),"")</f>
        <v/>
      </c>
      <c r="O1421" s="259" t="str">
        <f>IFERROR(__xludf.DUMMYFUNCTION("""COMPUTED_VALUE"""),"")</f>
        <v/>
      </c>
      <c r="P1421" s="259">
        <f>IFERROR(__xludf.DUMMYFUNCTION("""COMPUTED_VALUE"""),42990.0)</f>
        <v>42990</v>
      </c>
      <c r="Q1421" s="258">
        <f>IFERROR(__xludf.DUMMYFUNCTION("""COMPUTED_VALUE"""),10500.0)</f>
        <v>10500</v>
      </c>
      <c r="R1421" s="261">
        <f>IFERROR(__xludf.DUMMYFUNCTION("""COMPUTED_VALUE"""),373.0)</f>
        <v>373</v>
      </c>
      <c r="S1421" s="258">
        <v>375.0</v>
      </c>
      <c r="T1421" s="263">
        <v>0.9946666666666667</v>
      </c>
      <c r="U1421" s="264">
        <v>6524.0</v>
      </c>
      <c r="V1421" s="265">
        <v>10500.0</v>
      </c>
      <c r="W1421" s="264">
        <v>6524.0</v>
      </c>
      <c r="X1421" s="266"/>
      <c r="Y1421" s="267">
        <v>-0.01</v>
      </c>
      <c r="Z1421" s="267">
        <v>0.9836698856146529</v>
      </c>
      <c r="AA1421" s="269"/>
      <c r="AB1421" s="270"/>
      <c r="AC1421" s="270"/>
      <c r="AD1421" s="270"/>
      <c r="AE1421" s="270"/>
    </row>
    <row r="1422">
      <c r="A1422" s="256">
        <f>IFERROR(__xludf.DUMMYFUNCTION("""COMPUTED_VALUE"""),43022.62361111111)</f>
        <v>43022.62361</v>
      </c>
      <c r="B1422" s="257" t="str">
        <f>IFERROR(__xludf.DUMMYFUNCTION("""COMPUTED_VALUE"""),"Thor4")</f>
        <v>Thor4</v>
      </c>
      <c r="C1422" s="258" t="str">
        <f>IFERROR(__xludf.DUMMYFUNCTION("""COMPUTED_VALUE"""),"Europe (excluding UK) &amp; Asia Pacific")</f>
        <v>Europe (excluding UK) &amp; Asia Pacific</v>
      </c>
      <c r="D1422" s="258" t="str">
        <f>IFERROR(__xludf.DUMMYFUNCTION("""COMPUTED_VALUE"""),"km. My car displays range in kilometres and I will enter all range numbers in kilometres.")</f>
        <v>km. My car displays range in kilometres and I will enter all range numbers in kilometres.</v>
      </c>
      <c r="E1422" s="259">
        <f>IFERROR(__xludf.DUMMYFUNCTION("""COMPUTED_VALUE"""),42899.0)</f>
        <v>42899</v>
      </c>
      <c r="F1422" s="258" t="str">
        <f>IFERROR(__xludf.DUMMYFUNCTION("""COMPUTED_VALUE"""),"Model S 75")</f>
        <v>Model S 75</v>
      </c>
      <c r="G1422" s="258" t="str">
        <f>IFERROR(__xludf.DUMMYFUNCTION("""COMPUTED_VALUE"""),"Monthly")</f>
        <v>Monthly</v>
      </c>
      <c r="H1422" s="258" t="str">
        <f>IFERROR(__xludf.DUMMYFUNCTION("""COMPUTED_VALUE"""),"Monthly")</f>
        <v>Monthly</v>
      </c>
      <c r="I1422" s="258" t="str">
        <f>IFERROR(__xludf.DUMMYFUNCTION("""COMPUTED_VALUE"""),"Never")</f>
        <v>Never</v>
      </c>
      <c r="J1422" s="260">
        <f>IFERROR(__xludf.DUMMYFUNCTION("""COMPUTED_VALUE"""),0.8)</f>
        <v>0.8</v>
      </c>
      <c r="K1422" s="258">
        <f>IFERROR(__xludf.DUMMYFUNCTION("""COMPUTED_VALUE"""),373.0)</f>
        <v>373</v>
      </c>
      <c r="L1422" s="258" t="str">
        <f>IFERROR(__xludf.DUMMYFUNCTION("""COMPUTED_VALUE"""),"")</f>
        <v/>
      </c>
      <c r="M1422" s="261">
        <f>IFERROR(__xludf.DUMMYFUNCTION("""COMPUTED_VALUE"""),189.0)</f>
        <v>189</v>
      </c>
      <c r="N1422" s="262" t="str">
        <f>IFERROR(__xludf.DUMMYFUNCTION("""COMPUTED_VALUE"""),"")</f>
        <v/>
      </c>
      <c r="O1422" s="259" t="str">
        <f>IFERROR(__xludf.DUMMYFUNCTION("""COMPUTED_VALUE"""),"")</f>
        <v/>
      </c>
      <c r="P1422" s="259">
        <f>IFERROR(__xludf.DUMMYFUNCTION("""COMPUTED_VALUE"""),43022.0)</f>
        <v>43022</v>
      </c>
      <c r="Q1422" s="258">
        <f>IFERROR(__xludf.DUMMYFUNCTION("""COMPUTED_VALUE"""),12063.0)</f>
        <v>12063</v>
      </c>
      <c r="R1422" s="261">
        <f>IFERROR(__xludf.DUMMYFUNCTION("""COMPUTED_VALUE"""),373.0)</f>
        <v>373</v>
      </c>
      <c r="S1422" s="258">
        <v>375.0</v>
      </c>
      <c r="T1422" s="263">
        <v>0.9946666666666667</v>
      </c>
      <c r="U1422" s="264">
        <v>7496.0</v>
      </c>
      <c r="V1422" s="265">
        <v>12063.0</v>
      </c>
      <c r="W1422" s="264">
        <v>7496.0</v>
      </c>
      <c r="X1422" s="266"/>
      <c r="Y1422" s="267">
        <v>-0.01</v>
      </c>
      <c r="Z1422" s="267">
        <v>0.9818733079881966</v>
      </c>
      <c r="AA1422" s="269"/>
      <c r="AB1422" s="270"/>
      <c r="AC1422" s="270"/>
      <c r="AD1422" s="270"/>
      <c r="AE1422" s="270"/>
    </row>
    <row r="1423">
      <c r="A1423" s="256">
        <f>IFERROR(__xludf.DUMMYFUNCTION("""COMPUTED_VALUE"""),43101.65972222222)</f>
        <v>43101.65972</v>
      </c>
      <c r="B1423" s="257" t="str">
        <f>IFERROR(__xludf.DUMMYFUNCTION("""COMPUTED_VALUE"""),"Thor4")</f>
        <v>Thor4</v>
      </c>
      <c r="C1423" s="258" t="str">
        <f>IFERROR(__xludf.DUMMYFUNCTION("""COMPUTED_VALUE"""),"Europe (excluding UK) &amp; Asia Pacific")</f>
        <v>Europe (excluding UK) &amp; Asia Pacific</v>
      </c>
      <c r="D1423" s="258" t="str">
        <f>IFERROR(__xludf.DUMMYFUNCTION("""COMPUTED_VALUE"""),"km. My car displays range in kilometres and I will enter all range numbers in kilometres.")</f>
        <v>km. My car displays range in kilometres and I will enter all range numbers in kilometres.</v>
      </c>
      <c r="E1423" s="259">
        <f>IFERROR(__xludf.DUMMYFUNCTION("""COMPUTED_VALUE"""),42900.0)</f>
        <v>42900</v>
      </c>
      <c r="F1423" s="258" t="str">
        <f>IFERROR(__xludf.DUMMYFUNCTION("""COMPUTED_VALUE"""),"Model S 75")</f>
        <v>Model S 75</v>
      </c>
      <c r="G1423" s="258" t="str">
        <f>IFERROR(__xludf.DUMMYFUNCTION("""COMPUTED_VALUE"""),"Monthly")</f>
        <v>Monthly</v>
      </c>
      <c r="H1423" s="258" t="str">
        <f>IFERROR(__xludf.DUMMYFUNCTION("""COMPUTED_VALUE"""),"Monthly")</f>
        <v>Monthly</v>
      </c>
      <c r="I1423" s="258" t="str">
        <f>IFERROR(__xludf.DUMMYFUNCTION("""COMPUTED_VALUE"""),"Never")</f>
        <v>Never</v>
      </c>
      <c r="J1423" s="260">
        <f>IFERROR(__xludf.DUMMYFUNCTION("""COMPUTED_VALUE"""),0.8)</f>
        <v>0.8</v>
      </c>
      <c r="K1423" s="258">
        <f>IFERROR(__xludf.DUMMYFUNCTION("""COMPUTED_VALUE"""),373.0)</f>
        <v>373</v>
      </c>
      <c r="L1423" s="258" t="str">
        <f>IFERROR(__xludf.DUMMYFUNCTION("""COMPUTED_VALUE"""),"")</f>
        <v/>
      </c>
      <c r="M1423" s="261">
        <f>IFERROR(__xludf.DUMMYFUNCTION("""COMPUTED_VALUE"""),201.0)</f>
        <v>201</v>
      </c>
      <c r="N1423" s="262" t="str">
        <f>IFERROR(__xludf.DUMMYFUNCTION("""COMPUTED_VALUE"""),"")</f>
        <v/>
      </c>
      <c r="O1423" s="259" t="str">
        <f>IFERROR(__xludf.DUMMYFUNCTION("""COMPUTED_VALUE"""),"")</f>
        <v/>
      </c>
      <c r="P1423" s="259">
        <f>IFERROR(__xludf.DUMMYFUNCTION("""COMPUTED_VALUE"""),43101.0)</f>
        <v>43101</v>
      </c>
      <c r="Q1423" s="258">
        <f>IFERROR(__xludf.DUMMYFUNCTION("""COMPUTED_VALUE"""),17013.0)</f>
        <v>17013</v>
      </c>
      <c r="R1423" s="261">
        <f>IFERROR(__xludf.DUMMYFUNCTION("""COMPUTED_VALUE"""),368.0)</f>
        <v>368</v>
      </c>
      <c r="S1423" s="258">
        <v>375.0</v>
      </c>
      <c r="T1423" s="263">
        <v>0.9813333333333333</v>
      </c>
      <c r="U1423" s="264">
        <v>10571.0</v>
      </c>
      <c r="V1423" s="265">
        <v>17013.0</v>
      </c>
      <c r="W1423" s="264">
        <v>10571.0</v>
      </c>
      <c r="X1423" s="266"/>
      <c r="Y1423" s="267">
        <v>-0.01</v>
      </c>
      <c r="Z1423" s="267">
        <v>0.9769563488204681</v>
      </c>
      <c r="AA1423" s="269"/>
      <c r="AB1423" s="270"/>
      <c r="AC1423" s="270"/>
      <c r="AD1423" s="270"/>
      <c r="AE1423" s="270"/>
    </row>
    <row r="1424">
      <c r="A1424" s="256">
        <f>IFERROR(__xludf.DUMMYFUNCTION("""COMPUTED_VALUE"""),43078.64375)</f>
        <v>43078.64375</v>
      </c>
      <c r="B1424" s="257" t="str">
        <f>IFERROR(__xludf.DUMMYFUNCTION("""COMPUTED_VALUE"""),"tice17")</f>
        <v>tice17</v>
      </c>
      <c r="C1424" s="258" t="str">
        <f>IFERROR(__xludf.DUMMYFUNCTION("""COMPUTED_VALUE"""),"Europe (excluding UK) &amp; Asia Pacific")</f>
        <v>Europe (excluding UK) &amp; Asia Pacific</v>
      </c>
      <c r="D1424" s="258" t="str">
        <f>IFERROR(__xludf.DUMMYFUNCTION("""COMPUTED_VALUE"""),"km. My car displays range in kilometres and I will enter all range numbers in kilometres.")</f>
        <v>km. My car displays range in kilometres and I will enter all range numbers in kilometres.</v>
      </c>
      <c r="E1424" s="259">
        <f>IFERROR(__xludf.DUMMYFUNCTION("""COMPUTED_VALUE"""),41915.0)</f>
        <v>41915</v>
      </c>
      <c r="F1424" s="258" t="str">
        <f>IFERROR(__xludf.DUMMYFUNCTION("""COMPUTED_VALUE"""),"Model S P85+")</f>
        <v>Model S P85+</v>
      </c>
      <c r="G1424" s="258" t="str">
        <f>IFERROR(__xludf.DUMMYFUNCTION("""COMPUTED_VALUE"""),"Monthly")</f>
        <v>Monthly</v>
      </c>
      <c r="H1424" s="258" t="str">
        <f>IFERROR(__xludf.DUMMYFUNCTION("""COMPUTED_VALUE"""),"A few times a year")</f>
        <v>A few times a year</v>
      </c>
      <c r="I1424" s="258" t="str">
        <f>IFERROR(__xludf.DUMMYFUNCTION("""COMPUTED_VALUE"""),"Once or twice a year")</f>
        <v>Once or twice a year</v>
      </c>
      <c r="J1424" s="260">
        <f>IFERROR(__xludf.DUMMYFUNCTION("""COMPUTED_VALUE"""),0.9)</f>
        <v>0.9</v>
      </c>
      <c r="K1424" s="258" t="str">
        <f>IFERROR(__xludf.DUMMYFUNCTION("""COMPUTED_VALUE"""),"")</f>
        <v/>
      </c>
      <c r="L1424" s="258" t="str">
        <f>IFERROR(__xludf.DUMMYFUNCTION("""COMPUTED_VALUE"""),"")</f>
        <v/>
      </c>
      <c r="M1424" s="261">
        <f>IFERROR(__xludf.DUMMYFUNCTION("""COMPUTED_VALUE"""),217.0)</f>
        <v>217</v>
      </c>
      <c r="N1424" s="262" t="str">
        <f>IFERROR(__xludf.DUMMYFUNCTION("""COMPUTED_VALUE"""),"")</f>
        <v/>
      </c>
      <c r="O1424" s="259" t="str">
        <f>IFERROR(__xludf.DUMMYFUNCTION("""COMPUTED_VALUE"""),"")</f>
        <v/>
      </c>
      <c r="P1424" s="259">
        <f>IFERROR(__xludf.DUMMYFUNCTION("""COMPUTED_VALUE"""),43078.0)</f>
        <v>43078</v>
      </c>
      <c r="Q1424" s="258">
        <f>IFERROR(__xludf.DUMMYFUNCTION("""COMPUTED_VALUE"""),101887.0)</f>
        <v>101887</v>
      </c>
      <c r="R1424" s="261">
        <f>IFERROR(__xludf.DUMMYFUNCTION("""COMPUTED_VALUE"""),363.0)</f>
        <v>363</v>
      </c>
      <c r="S1424" s="258">
        <v>395.0</v>
      </c>
      <c r="T1424" s="263">
        <v>0.9189873417721519</v>
      </c>
      <c r="U1424" s="264">
        <v>63310.0</v>
      </c>
      <c r="V1424" s="265">
        <v>101887.0</v>
      </c>
      <c r="W1424" s="264">
        <v>63310.0</v>
      </c>
      <c r="X1424" s="266"/>
      <c r="Y1424" s="267">
        <v>-0.01</v>
      </c>
      <c r="Z1424" s="267">
        <v>0.9461410041335193</v>
      </c>
      <c r="AA1424" s="269"/>
      <c r="AB1424" s="270"/>
      <c r="AC1424" s="270"/>
      <c r="AD1424" s="270"/>
      <c r="AE1424" s="270"/>
    </row>
    <row r="1425">
      <c r="A1425" s="256">
        <f>IFERROR(__xludf.DUMMYFUNCTION("""COMPUTED_VALUE"""),42874.64444444445)</f>
        <v>42874.64444</v>
      </c>
      <c r="B1425" s="257" t="str">
        <f>IFERROR(__xludf.DUMMYFUNCTION("""COMPUTED_VALUE"""),"tice17")</f>
        <v>tice17</v>
      </c>
      <c r="C1425" s="258" t="str">
        <f>IFERROR(__xludf.DUMMYFUNCTION("""COMPUTED_VALUE"""),"Europe (excluding UK) &amp; Asia Pacific")</f>
        <v>Europe (excluding UK) &amp; Asia Pacific</v>
      </c>
      <c r="D1425" s="258" t="str">
        <f>IFERROR(__xludf.DUMMYFUNCTION("""COMPUTED_VALUE"""),"km. My car displays range in kilometres and I will enter all range numbers in kilometres.")</f>
        <v>km. My car displays range in kilometres and I will enter all range numbers in kilometres.</v>
      </c>
      <c r="E1425" s="259">
        <f>IFERROR(__xludf.DUMMYFUNCTION("""COMPUTED_VALUE"""),41915.0)</f>
        <v>41915</v>
      </c>
      <c r="F1425" s="258" t="str">
        <f>IFERROR(__xludf.DUMMYFUNCTION("""COMPUTED_VALUE"""),"Model S P85+")</f>
        <v>Model S P85+</v>
      </c>
      <c r="G1425" s="258" t="str">
        <f>IFERROR(__xludf.DUMMYFUNCTION("""COMPUTED_VALUE"""),"Twice a week")</f>
        <v>Twice a week</v>
      </c>
      <c r="H1425" s="258" t="str">
        <f>IFERROR(__xludf.DUMMYFUNCTION("""COMPUTED_VALUE"""),"Weekly")</f>
        <v>Weekly</v>
      </c>
      <c r="I1425" s="258" t="str">
        <f>IFERROR(__xludf.DUMMYFUNCTION("""COMPUTED_VALUE"""),"Once or twice a year")</f>
        <v>Once or twice a year</v>
      </c>
      <c r="J1425" s="260">
        <f>IFERROR(__xludf.DUMMYFUNCTION("""COMPUTED_VALUE"""),1.0)</f>
        <v>1</v>
      </c>
      <c r="K1425" s="258" t="str">
        <f>IFERROR(__xludf.DUMMYFUNCTION("""COMPUTED_VALUE"""),"")</f>
        <v/>
      </c>
      <c r="L1425" s="258" t="str">
        <f>IFERROR(__xludf.DUMMYFUNCTION("""COMPUTED_VALUE"""),"")</f>
        <v/>
      </c>
      <c r="M1425" s="261">
        <f>IFERROR(__xludf.DUMMYFUNCTION("""COMPUTED_VALUE"""),217.0)</f>
        <v>217</v>
      </c>
      <c r="N1425" s="262" t="str">
        <f>IFERROR(__xludf.DUMMYFUNCTION("""COMPUTED_VALUE"""),"")</f>
        <v/>
      </c>
      <c r="O1425" s="259" t="str">
        <f>IFERROR(__xludf.DUMMYFUNCTION("""COMPUTED_VALUE"""),"")</f>
        <v/>
      </c>
      <c r="P1425" s="259">
        <f>IFERROR(__xludf.DUMMYFUNCTION("""COMPUTED_VALUE"""),42874.0)</f>
        <v>42874</v>
      </c>
      <c r="Q1425" s="258">
        <f>IFERROR(__xludf.DUMMYFUNCTION("""COMPUTED_VALUE"""),75000.0)</f>
        <v>75000</v>
      </c>
      <c r="R1425" s="261">
        <f>IFERROR(__xludf.DUMMYFUNCTION("""COMPUTED_VALUE"""),378.0)</f>
        <v>378</v>
      </c>
      <c r="S1425" s="258">
        <v>395.0</v>
      </c>
      <c r="T1425" s="263">
        <v>0.9569620253164557</v>
      </c>
      <c r="U1425" s="264">
        <v>46603.0</v>
      </c>
      <c r="V1425" s="265">
        <v>75000.0</v>
      </c>
      <c r="W1425" s="264">
        <v>46603.0</v>
      </c>
      <c r="X1425" s="266"/>
      <c r="Y1425" s="267">
        <v>-0.01</v>
      </c>
      <c r="Z1425" s="267">
        <v>0.9526497700231702</v>
      </c>
      <c r="AA1425" s="269"/>
      <c r="AB1425" s="270"/>
      <c r="AC1425" s="270"/>
      <c r="AD1425" s="270"/>
      <c r="AE1425" s="270"/>
    </row>
    <row r="1426">
      <c r="A1426" s="256">
        <f>IFERROR(__xludf.DUMMYFUNCTION("""COMPUTED_VALUE"""),43120.67291666666)</f>
        <v>43120.67292</v>
      </c>
      <c r="B1426" s="257" t="str">
        <f>IFERROR(__xludf.DUMMYFUNCTION("""COMPUTED_VALUE"""),"ticketchu")</f>
        <v>ticketchu</v>
      </c>
      <c r="C1426" s="258" t="str">
        <f>IFERROR(__xludf.DUMMYFUNCTION("""COMPUTED_VALUE"""),"Europe (excluding UK) &amp; Asia Pacific")</f>
        <v>Europe (excluding UK) &amp; Asia Pacific</v>
      </c>
      <c r="D1426" s="258" t="str">
        <f>IFERROR(__xludf.DUMMYFUNCTION("""COMPUTED_VALUE"""),"km. My car displays range in kilometres and I will enter all range numbers in kilometres.")</f>
        <v>km. My car displays range in kilometres and I will enter all range numbers in kilometres.</v>
      </c>
      <c r="E1426" s="259">
        <f>IFERROR(__xludf.DUMMYFUNCTION("""COMPUTED_VALUE"""),42727.0)</f>
        <v>42727</v>
      </c>
      <c r="F1426" s="258" t="str">
        <f>IFERROR(__xludf.DUMMYFUNCTION("""COMPUTED_VALUE"""),"Model S 90D")</f>
        <v>Model S 90D</v>
      </c>
      <c r="G1426" s="258" t="str">
        <f>IFERROR(__xludf.DUMMYFUNCTION("""COMPUTED_VALUE"""),"Monthly")</f>
        <v>Monthly</v>
      </c>
      <c r="H1426" s="258" t="str">
        <f>IFERROR(__xludf.DUMMYFUNCTION("""COMPUTED_VALUE"""),"Weekly")</f>
        <v>Weekly</v>
      </c>
      <c r="I1426" s="258" t="str">
        <f>IFERROR(__xludf.DUMMYFUNCTION("""COMPUTED_VALUE"""),"A few times a year")</f>
        <v>A few times a year</v>
      </c>
      <c r="J1426" s="260">
        <f>IFERROR(__xludf.DUMMYFUNCTION("""COMPUTED_VALUE"""),0.9)</f>
        <v>0.9</v>
      </c>
      <c r="K1426" s="258">
        <f>IFERROR(__xludf.DUMMYFUNCTION("""COMPUTED_VALUE"""),455.0)</f>
        <v>455</v>
      </c>
      <c r="L1426" s="258" t="str">
        <f>IFERROR(__xludf.DUMMYFUNCTION("""COMPUTED_VALUE"""),"")</f>
        <v/>
      </c>
      <c r="M1426" s="261">
        <f>IFERROR(__xludf.DUMMYFUNCTION("""COMPUTED_VALUE"""),244.0)</f>
        <v>244</v>
      </c>
      <c r="N1426" s="262" t="str">
        <f>IFERROR(__xludf.DUMMYFUNCTION("""COMPUTED_VALUE"""),"")</f>
        <v/>
      </c>
      <c r="O1426" s="259" t="str">
        <f>IFERROR(__xludf.DUMMYFUNCTION("""COMPUTED_VALUE"""),"")</f>
        <v/>
      </c>
      <c r="P1426" s="259">
        <f>IFERROR(__xludf.DUMMYFUNCTION("""COMPUTED_VALUE"""),43120.0)</f>
        <v>43120</v>
      </c>
      <c r="Q1426" s="258">
        <f>IFERROR(__xludf.DUMMYFUNCTION("""COMPUTED_VALUE"""),14500.0)</f>
        <v>14500</v>
      </c>
      <c r="R1426" s="261">
        <f>IFERROR(__xludf.DUMMYFUNCTION("""COMPUTED_VALUE"""),435.0)</f>
        <v>435</v>
      </c>
      <c r="S1426" s="258">
        <v>447.0</v>
      </c>
      <c r="T1426" s="263">
        <v>0.9731543624161074</v>
      </c>
      <c r="U1426" s="264">
        <v>9010.0</v>
      </c>
      <c r="V1426" s="265">
        <v>14500.0</v>
      </c>
      <c r="W1426" s="264">
        <v>9010.0</v>
      </c>
      <c r="X1426" s="266"/>
      <c r="Y1426" s="267">
        <v>-0.01</v>
      </c>
      <c r="Z1426" s="267">
        <v>0.9793169303052411</v>
      </c>
      <c r="AA1426" s="269"/>
      <c r="AB1426" s="270"/>
      <c r="AC1426" s="270"/>
      <c r="AD1426" s="270"/>
      <c r="AE1426" s="270"/>
    </row>
    <row r="1427">
      <c r="A1427" s="256">
        <f>IFERROR(__xludf.DUMMYFUNCTION("""COMPUTED_VALUE"""),42838.82361111111)</f>
        <v>42838.82361</v>
      </c>
      <c r="B1427" s="257" t="str">
        <f>IFERROR(__xludf.DUMMYFUNCTION("""COMPUTED_VALUE"""),"ticobird")</f>
        <v>ticobird</v>
      </c>
      <c r="C1427" s="258" t="str">
        <f>IFERROR(__xludf.DUMMYFUNCTION("""COMPUTED_VALUE"""),"USA")</f>
        <v>USA</v>
      </c>
      <c r="D1427" s="258" t="str">
        <f>IFERROR(__xludf.DUMMYFUNCTION("""COMPUTED_VALUE"""),"mi. My car displays range in miles and I will enter all range numbers in miles.")</f>
        <v>mi. My car displays range in miles and I will enter all range numbers in miles.</v>
      </c>
      <c r="E1427" s="259">
        <f>IFERROR(__xludf.DUMMYFUNCTION("""COMPUTED_VALUE"""),42044.0)</f>
        <v>42044</v>
      </c>
      <c r="F1427" s="258" t="str">
        <f>IFERROR(__xludf.DUMMYFUNCTION("""COMPUTED_VALUE"""),"Model S 85")</f>
        <v>Model S 85</v>
      </c>
      <c r="G1427" s="258" t="str">
        <f>IFERROR(__xludf.DUMMYFUNCTION("""COMPUTED_VALUE"""),"A few times a year")</f>
        <v>A few times a year</v>
      </c>
      <c r="H1427" s="258" t="str">
        <f>IFERROR(__xludf.DUMMYFUNCTION("""COMPUTED_VALUE"""),"Once or twice a year")</f>
        <v>Once or twice a year</v>
      </c>
      <c r="I1427" s="258" t="str">
        <f>IFERROR(__xludf.DUMMYFUNCTION("""COMPUTED_VALUE"""),"Never")</f>
        <v>Never</v>
      </c>
      <c r="J1427" s="260">
        <f>IFERROR(__xludf.DUMMYFUNCTION("""COMPUTED_VALUE"""),0.9)</f>
        <v>0.9</v>
      </c>
      <c r="K1427" s="258">
        <f>IFERROR(__xludf.DUMMYFUNCTION("""COMPUTED_VALUE"""),267.0)</f>
        <v>267</v>
      </c>
      <c r="L1427" s="258" t="str">
        <f>IFERROR(__xludf.DUMMYFUNCTION("""COMPUTED_VALUE"""),"")</f>
        <v/>
      </c>
      <c r="M1427" s="261">
        <f>IFERROR(__xludf.DUMMYFUNCTION("""COMPUTED_VALUE"""),279.0)</f>
        <v>279</v>
      </c>
      <c r="N1427" s="262" t="str">
        <f>IFERROR(__xludf.DUMMYFUNCTION("""COMPUTED_VALUE"""),"")</f>
        <v/>
      </c>
      <c r="O1427" s="259" t="str">
        <f>IFERROR(__xludf.DUMMYFUNCTION("""COMPUTED_VALUE"""),"")</f>
        <v/>
      </c>
      <c r="P1427" s="259">
        <f>IFERROR(__xludf.DUMMYFUNCTION("""COMPUTED_VALUE"""),42838.0)</f>
        <v>42838</v>
      </c>
      <c r="Q1427" s="258">
        <f>IFERROR(__xludf.DUMMYFUNCTION("""COMPUTED_VALUE"""),25772.0)</f>
        <v>25772</v>
      </c>
      <c r="R1427" s="261">
        <f>IFERROR(__xludf.DUMMYFUNCTION("""COMPUTED_VALUE"""),265.0)</f>
        <v>265</v>
      </c>
      <c r="S1427" s="258">
        <v>266.0</v>
      </c>
      <c r="T1427" s="263">
        <v>0.9962406015037594</v>
      </c>
      <c r="U1427" s="264">
        <v>25772.0</v>
      </c>
      <c r="V1427" s="265">
        <v>41476.0</v>
      </c>
      <c r="W1427" s="264">
        <v>25772.0</v>
      </c>
      <c r="X1427" s="266"/>
      <c r="Y1427" s="267">
        <v>-0.01</v>
      </c>
      <c r="Z1427" s="267">
        <v>0.9627233913332099</v>
      </c>
      <c r="AA1427" s="269"/>
      <c r="AB1427" s="270"/>
      <c r="AC1427" s="270"/>
      <c r="AD1427" s="270"/>
      <c r="AE1427" s="270"/>
    </row>
    <row r="1428">
      <c r="A1428" s="256">
        <f>IFERROR(__xludf.DUMMYFUNCTION("""COMPUTED_VALUE"""),43118.88680555555)</f>
        <v>43118.88681</v>
      </c>
      <c r="B1428" s="257" t="str">
        <f>IFERROR(__xludf.DUMMYFUNCTION("""COMPUTED_VALUE"""),"ticobird")</f>
        <v>ticobird</v>
      </c>
      <c r="C1428" s="258" t="str">
        <f>IFERROR(__xludf.DUMMYFUNCTION("""COMPUTED_VALUE"""),"USA")</f>
        <v>USA</v>
      </c>
      <c r="D1428" s="258" t="str">
        <f>IFERROR(__xludf.DUMMYFUNCTION("""COMPUTED_VALUE"""),"mi. My car displays range in miles and I will enter all range numbers in miles.")</f>
        <v>mi. My car displays range in miles and I will enter all range numbers in miles.</v>
      </c>
      <c r="E1428" s="259">
        <f>IFERROR(__xludf.DUMMYFUNCTION("""COMPUTED_VALUE"""),42044.0)</f>
        <v>42044</v>
      </c>
      <c r="F1428" s="258" t="str">
        <f>IFERROR(__xludf.DUMMYFUNCTION("""COMPUTED_VALUE"""),"Model S 85")</f>
        <v>Model S 85</v>
      </c>
      <c r="G1428" s="258" t="str">
        <f>IFERROR(__xludf.DUMMYFUNCTION("""COMPUTED_VALUE"""),"Monthly")</f>
        <v>Monthly</v>
      </c>
      <c r="H1428" s="258" t="str">
        <f>IFERROR(__xludf.DUMMYFUNCTION("""COMPUTED_VALUE"""),"A few times a year")</f>
        <v>A few times a year</v>
      </c>
      <c r="I1428" s="258" t="str">
        <f>IFERROR(__xludf.DUMMYFUNCTION("""COMPUTED_VALUE"""),"Never")</f>
        <v>Never</v>
      </c>
      <c r="J1428" s="260">
        <f>IFERROR(__xludf.DUMMYFUNCTION("""COMPUTED_VALUE"""),0.7)</f>
        <v>0.7</v>
      </c>
      <c r="K1428" s="258">
        <f>IFERROR(__xludf.DUMMYFUNCTION("""COMPUTED_VALUE"""),267.0)</f>
        <v>267</v>
      </c>
      <c r="L1428" s="258" t="str">
        <f>IFERROR(__xludf.DUMMYFUNCTION("""COMPUTED_VALUE"""),"")</f>
        <v/>
      </c>
      <c r="M1428" s="261">
        <f>IFERROR(__xludf.DUMMYFUNCTION("""COMPUTED_VALUE"""),280.0)</f>
        <v>280</v>
      </c>
      <c r="N1428" s="262" t="str">
        <f>IFERROR(__xludf.DUMMYFUNCTION("""COMPUTED_VALUE"""),"")</f>
        <v/>
      </c>
      <c r="O1428" s="259" t="str">
        <f>IFERROR(__xludf.DUMMYFUNCTION("""COMPUTED_VALUE"""),"")</f>
        <v/>
      </c>
      <c r="P1428" s="259">
        <f>IFERROR(__xludf.DUMMYFUNCTION("""COMPUTED_VALUE"""),43118.0)</f>
        <v>43118</v>
      </c>
      <c r="Q1428" s="258">
        <f>IFERROR(__xludf.DUMMYFUNCTION("""COMPUTED_VALUE"""),35339.0)</f>
        <v>35339</v>
      </c>
      <c r="R1428" s="261">
        <f>IFERROR(__xludf.DUMMYFUNCTION("""COMPUTED_VALUE"""),263.0)</f>
        <v>263</v>
      </c>
      <c r="S1428" s="258">
        <v>266.0</v>
      </c>
      <c r="T1428" s="263">
        <v>0.9887218045112782</v>
      </c>
      <c r="U1428" s="264">
        <v>35339.0</v>
      </c>
      <c r="V1428" s="265">
        <v>56873.0</v>
      </c>
      <c r="W1428" s="264">
        <v>35339.0</v>
      </c>
      <c r="X1428" s="266"/>
      <c r="Y1428" s="267">
        <v>-0.01</v>
      </c>
      <c r="Z1428" s="267">
        <v>0.9575572989498987</v>
      </c>
      <c r="AA1428" s="269"/>
      <c r="AB1428" s="270"/>
      <c r="AC1428" s="270"/>
      <c r="AD1428" s="270"/>
      <c r="AE1428" s="270"/>
    </row>
    <row r="1429">
      <c r="A1429" s="256">
        <f>IFERROR(__xludf.DUMMYFUNCTION("""COMPUTED_VALUE"""),43125.67847222222)</f>
        <v>43125.67847</v>
      </c>
      <c r="B1429" s="257" t="str">
        <f>IFERROR(__xludf.DUMMYFUNCTION("""COMPUTED_VALUE"""),"Tintorera")</f>
        <v>Tintorera</v>
      </c>
      <c r="C1429" s="258" t="str">
        <f>IFERROR(__xludf.DUMMYFUNCTION("""COMPUTED_VALUE"""),"Europe (excluding UK) &amp; Asia Pacific")</f>
        <v>Europe (excluding UK) &amp; Asia Pacific</v>
      </c>
      <c r="D1429" s="258" t="str">
        <f>IFERROR(__xludf.DUMMYFUNCTION("""COMPUTED_VALUE"""),"km. My car displays range in kilometres and I will enter all range numbers in kilometres.")</f>
        <v>km. My car displays range in kilometres and I will enter all range numbers in kilometres.</v>
      </c>
      <c r="E1429" s="259">
        <f>IFERROR(__xludf.DUMMYFUNCTION("""COMPUTED_VALUE"""),43048.0)</f>
        <v>43048</v>
      </c>
      <c r="F1429" s="258" t="str">
        <f>IFERROR(__xludf.DUMMYFUNCTION("""COMPUTED_VALUE"""),"Model S 75D")</f>
        <v>Model S 75D</v>
      </c>
      <c r="G1429" s="258" t="str">
        <f>IFERROR(__xludf.DUMMYFUNCTION("""COMPUTED_VALUE"""),"A few times a year")</f>
        <v>A few times a year</v>
      </c>
      <c r="H1429" s="258" t="str">
        <f>IFERROR(__xludf.DUMMYFUNCTION("""COMPUTED_VALUE"""),"A few times a year")</f>
        <v>A few times a year</v>
      </c>
      <c r="I1429" s="258" t="str">
        <f>IFERROR(__xludf.DUMMYFUNCTION("""COMPUTED_VALUE"""),"Once or twice a year")</f>
        <v>Once or twice a year</v>
      </c>
      <c r="J1429" s="260">
        <f>IFERROR(__xludf.DUMMYFUNCTION("""COMPUTED_VALUE"""),0.7)</f>
        <v>0.7</v>
      </c>
      <c r="K1429" s="258">
        <f>IFERROR(__xludf.DUMMYFUNCTION("""COMPUTED_VALUE"""),384.0)</f>
        <v>384</v>
      </c>
      <c r="L1429" s="258" t="str">
        <f>IFERROR(__xludf.DUMMYFUNCTION("""COMPUTED_VALUE"""),"")</f>
        <v/>
      </c>
      <c r="M1429" s="261">
        <f>IFERROR(__xludf.DUMMYFUNCTION("""COMPUTED_VALUE"""),240.0)</f>
        <v>240</v>
      </c>
      <c r="N1429" s="262" t="str">
        <f>IFERROR(__xludf.DUMMYFUNCTION("""COMPUTED_VALUE"""),"")</f>
        <v/>
      </c>
      <c r="O1429" s="259" t="str">
        <f>IFERROR(__xludf.DUMMYFUNCTION("""COMPUTED_VALUE"""),"")</f>
        <v/>
      </c>
      <c r="P1429" s="259">
        <f>IFERROR(__xludf.DUMMYFUNCTION("""COMPUTED_VALUE"""),43125.0)</f>
        <v>43125</v>
      </c>
      <c r="Q1429" s="258">
        <f>IFERROR(__xludf.DUMMYFUNCTION("""COMPUTED_VALUE"""),1672.0)</f>
        <v>1672</v>
      </c>
      <c r="R1429" s="261">
        <f>IFERROR(__xludf.DUMMYFUNCTION("""COMPUTED_VALUE"""),384.0)</f>
        <v>384</v>
      </c>
      <c r="S1429" s="258">
        <v>384.0</v>
      </c>
      <c r="T1429" s="263">
        <v>1.0</v>
      </c>
      <c r="U1429" s="264">
        <v>1039.0</v>
      </c>
      <c r="V1429" s="265">
        <v>1672.0</v>
      </c>
      <c r="W1429" s="264">
        <v>1039.0</v>
      </c>
      <c r="X1429" s="266"/>
      <c r="Y1429" s="267">
        <v>-0.01</v>
      </c>
      <c r="Z1429" s="267">
        <v>0.9967945347761197</v>
      </c>
      <c r="AA1429" s="269"/>
      <c r="AB1429" s="270"/>
      <c r="AC1429" s="270"/>
      <c r="AD1429" s="270"/>
      <c r="AE1429" s="270"/>
    </row>
    <row r="1430">
      <c r="A1430" s="256">
        <f>IFERROR(__xludf.DUMMYFUNCTION("""COMPUTED_VALUE"""),43781.08885966435)</f>
        <v>43781.08886</v>
      </c>
      <c r="B1430" s="257" t="str">
        <f>IFERROR(__xludf.DUMMYFUNCTION("""COMPUTED_VALUE"""),"TJPDX")</f>
        <v>TJPDX</v>
      </c>
      <c r="C1430" s="258" t="str">
        <f>IFERROR(__xludf.DUMMYFUNCTION("""COMPUTED_VALUE"""),"USA")</f>
        <v>USA</v>
      </c>
      <c r="D1430" s="258" t="str">
        <f>IFERROR(__xludf.DUMMYFUNCTION("""COMPUTED_VALUE"""),"mi. My car displays range in miles and I will enter all range numbers in miles.")</f>
        <v>mi. My car displays range in miles and I will enter all range numbers in miles.</v>
      </c>
      <c r="E1430" s="259">
        <f>IFERROR(__xludf.DUMMYFUNCTION("""COMPUTED_VALUE"""),43817.0)</f>
        <v>43817</v>
      </c>
      <c r="F1430" s="258" t="str">
        <f>IFERROR(__xludf.DUMMYFUNCTION("""COMPUTED_VALUE"""),"Model X 75D")</f>
        <v>Model X 75D</v>
      </c>
      <c r="G1430" s="258" t="str">
        <f>IFERROR(__xludf.DUMMYFUNCTION("""COMPUTED_VALUE"""),"Monthly")</f>
        <v>Monthly</v>
      </c>
      <c r="H1430" s="258" t="str">
        <f>IFERROR(__xludf.DUMMYFUNCTION("""COMPUTED_VALUE"""),"Monthly")</f>
        <v>Monthly</v>
      </c>
      <c r="I1430" s="258" t="str">
        <f>IFERROR(__xludf.DUMMYFUNCTION("""COMPUTED_VALUE"""),"Twice a month")</f>
        <v>Twice a month</v>
      </c>
      <c r="J1430" s="260">
        <f>IFERROR(__xludf.DUMMYFUNCTION("""COMPUTED_VALUE"""),0.9)</f>
        <v>0.9</v>
      </c>
      <c r="K1430" s="258" t="str">
        <f>IFERROR(__xludf.DUMMYFUNCTION("""COMPUTED_VALUE"""),"")</f>
        <v/>
      </c>
      <c r="L1430" s="258">
        <f>IFERROR(__xludf.DUMMYFUNCTION("""COMPUTED_VALUE"""),320.0)</f>
        <v>320</v>
      </c>
      <c r="M1430" s="261">
        <f>IFERROR(__xludf.DUMMYFUNCTION("""COMPUTED_VALUE"""),400.0)</f>
        <v>400</v>
      </c>
      <c r="N1430" s="262" t="str">
        <f>IFERROR(__xludf.DUMMYFUNCTION("""COMPUTED_VALUE"""),"")</f>
        <v/>
      </c>
      <c r="O1430" s="259" t="str">
        <f>IFERROR(__xludf.DUMMYFUNCTION("""COMPUTED_VALUE"""),"")</f>
        <v/>
      </c>
      <c r="P1430" s="259">
        <f>IFERROR(__xludf.DUMMYFUNCTION("""COMPUTED_VALUE"""),43781.0)</f>
        <v>43781</v>
      </c>
      <c r="Q1430" s="258">
        <f>IFERROR(__xludf.DUMMYFUNCTION("""COMPUTED_VALUE"""),15500.0)</f>
        <v>15500</v>
      </c>
      <c r="R1430" s="261">
        <f>IFERROR(__xludf.DUMMYFUNCTION("""COMPUTED_VALUE"""),223.0)</f>
        <v>223</v>
      </c>
      <c r="S1430" s="258">
        <v>234.0</v>
      </c>
      <c r="T1430" s="263">
        <v>0.9529914529914529</v>
      </c>
      <c r="U1430" s="264">
        <v>15500.0</v>
      </c>
      <c r="V1430" s="265">
        <v>24945.0</v>
      </c>
      <c r="W1430" s="264">
        <v>15500.0</v>
      </c>
      <c r="X1430" s="266"/>
      <c r="Y1430" s="267">
        <v>-0.01</v>
      </c>
      <c r="Z1430" s="267">
        <v>0.9709443688609485</v>
      </c>
      <c r="AA1430" s="269"/>
      <c r="AB1430" s="270"/>
      <c r="AC1430" s="270"/>
      <c r="AD1430" s="270"/>
      <c r="AE1430" s="270"/>
    </row>
    <row r="1431">
      <c r="A1431" s="256">
        <f>IFERROR(__xludf.DUMMYFUNCTION("""COMPUTED_VALUE"""),43015.62013888889)</f>
        <v>43015.62014</v>
      </c>
      <c r="B1431" s="257" t="str">
        <f>IFERROR(__xludf.DUMMYFUNCTION("""COMPUTED_VALUE"""),"tliviuc")</f>
        <v>tliviuc</v>
      </c>
      <c r="C1431" s="258" t="str">
        <f>IFERROR(__xludf.DUMMYFUNCTION("""COMPUTED_VALUE"""),"Europe (excluding UK) &amp; Asia Pacific")</f>
        <v>Europe (excluding UK) &amp; Asia Pacific</v>
      </c>
      <c r="D1431" s="258" t="str">
        <f>IFERROR(__xludf.DUMMYFUNCTION("""COMPUTED_VALUE"""),"km. My car displays range in kilometres and I will enter all range numbers in kilometres.")</f>
        <v>km. My car displays range in kilometres and I will enter all range numbers in kilometres.</v>
      </c>
      <c r="E1431" s="259">
        <f>IFERROR(__xludf.DUMMYFUNCTION("""COMPUTED_VALUE"""),42948.0)</f>
        <v>42948</v>
      </c>
      <c r="F1431" s="258" t="str">
        <f>IFERROR(__xludf.DUMMYFUNCTION("""COMPUTED_VALUE"""),"Model S 90D")</f>
        <v>Model S 90D</v>
      </c>
      <c r="G1431" s="258" t="str">
        <f>IFERROR(__xludf.DUMMYFUNCTION("""COMPUTED_VALUE"""),"Twice a week")</f>
        <v>Twice a week</v>
      </c>
      <c r="H1431" s="258" t="str">
        <f>IFERROR(__xludf.DUMMYFUNCTION("""COMPUTED_VALUE"""),"A few times a year")</f>
        <v>A few times a year</v>
      </c>
      <c r="I1431" s="258" t="str">
        <f>IFERROR(__xludf.DUMMYFUNCTION("""COMPUTED_VALUE"""),"Once or twice a year")</f>
        <v>Once or twice a year</v>
      </c>
      <c r="J1431" s="260">
        <f>IFERROR(__xludf.DUMMYFUNCTION("""COMPUTED_VALUE"""),0.9)</f>
        <v>0.9</v>
      </c>
      <c r="K1431" s="258">
        <f>IFERROR(__xludf.DUMMYFUNCTION("""COMPUTED_VALUE"""),448.0)</f>
        <v>448</v>
      </c>
      <c r="L1431" s="258" t="str">
        <f>IFERROR(__xludf.DUMMYFUNCTION("""COMPUTED_VALUE"""),"")</f>
        <v/>
      </c>
      <c r="M1431" s="261">
        <f>IFERROR(__xludf.DUMMYFUNCTION("""COMPUTED_VALUE"""),197.0)</f>
        <v>197</v>
      </c>
      <c r="N1431" s="262" t="str">
        <f>IFERROR(__xludf.DUMMYFUNCTION("""COMPUTED_VALUE"""),"")</f>
        <v/>
      </c>
      <c r="O1431" s="259" t="str">
        <f>IFERROR(__xludf.DUMMYFUNCTION("""COMPUTED_VALUE"""),"")</f>
        <v/>
      </c>
      <c r="P1431" s="259">
        <f>IFERROR(__xludf.DUMMYFUNCTION("""COMPUTED_VALUE"""),43015.0)</f>
        <v>43015</v>
      </c>
      <c r="Q1431" s="258">
        <f>IFERROR(__xludf.DUMMYFUNCTION("""COMPUTED_VALUE"""),605.0)</f>
        <v>605</v>
      </c>
      <c r="R1431" s="261">
        <f>IFERROR(__xludf.DUMMYFUNCTION("""COMPUTED_VALUE"""),448.0)</f>
        <v>448</v>
      </c>
      <c r="S1431" s="258">
        <v>447.0</v>
      </c>
      <c r="T1431" s="263">
        <v>1.0022371364653244</v>
      </c>
      <c r="U1431" s="264">
        <v>376.0</v>
      </c>
      <c r="V1431" s="265">
        <v>605.0</v>
      </c>
      <c r="W1431" s="264">
        <v>376.0</v>
      </c>
      <c r="X1431" s="266"/>
      <c r="Y1431" s="267">
        <v>-0.01</v>
      </c>
      <c r="Z1431" s="267">
        <v>0.9988083437734335</v>
      </c>
      <c r="AA1431" s="269"/>
      <c r="AB1431" s="270"/>
      <c r="AC1431" s="270"/>
      <c r="AD1431" s="270"/>
      <c r="AE1431" s="270"/>
    </row>
    <row r="1432">
      <c r="A1432" s="256">
        <f>IFERROR(__xludf.DUMMYFUNCTION("""COMPUTED_VALUE"""),43022.62430555555)</f>
        <v>43022.62431</v>
      </c>
      <c r="B1432" s="257" t="str">
        <f>IFERROR(__xludf.DUMMYFUNCTION("""COMPUTED_VALUE"""),"tliviuc")</f>
        <v>tliviuc</v>
      </c>
      <c r="C1432" s="258" t="str">
        <f>IFERROR(__xludf.DUMMYFUNCTION("""COMPUTED_VALUE"""),"Europe (excluding UK) &amp; Asia Pacific")</f>
        <v>Europe (excluding UK) &amp; Asia Pacific</v>
      </c>
      <c r="D1432" s="258" t="str">
        <f>IFERROR(__xludf.DUMMYFUNCTION("""COMPUTED_VALUE"""),"km. My car displays range in kilometres and I will enter all range numbers in kilometres.")</f>
        <v>km. My car displays range in kilometres and I will enter all range numbers in kilometres.</v>
      </c>
      <c r="E1432" s="259">
        <f>IFERROR(__xludf.DUMMYFUNCTION("""COMPUTED_VALUE"""),42948.0)</f>
        <v>42948</v>
      </c>
      <c r="F1432" s="258" t="str">
        <f>IFERROR(__xludf.DUMMYFUNCTION("""COMPUTED_VALUE"""),"Model S 90D")</f>
        <v>Model S 90D</v>
      </c>
      <c r="G1432" s="258" t="str">
        <f>IFERROR(__xludf.DUMMYFUNCTION("""COMPUTED_VALUE"""),"Twice a week")</f>
        <v>Twice a week</v>
      </c>
      <c r="H1432" s="258" t="str">
        <f>IFERROR(__xludf.DUMMYFUNCTION("""COMPUTED_VALUE"""),"Twice a month")</f>
        <v>Twice a month</v>
      </c>
      <c r="I1432" s="258" t="str">
        <f>IFERROR(__xludf.DUMMYFUNCTION("""COMPUTED_VALUE"""),"Once or twice a year")</f>
        <v>Once or twice a year</v>
      </c>
      <c r="J1432" s="260">
        <f>IFERROR(__xludf.DUMMYFUNCTION("""COMPUTED_VALUE"""),0.9)</f>
        <v>0.9</v>
      </c>
      <c r="K1432" s="258">
        <f>IFERROR(__xludf.DUMMYFUNCTION("""COMPUTED_VALUE"""),448.0)</f>
        <v>448</v>
      </c>
      <c r="L1432" s="258" t="str">
        <f>IFERROR(__xludf.DUMMYFUNCTION("""COMPUTED_VALUE"""),"")</f>
        <v/>
      </c>
      <c r="M1432" s="261">
        <f>IFERROR(__xludf.DUMMYFUNCTION("""COMPUTED_VALUE"""),191.0)</f>
        <v>191</v>
      </c>
      <c r="N1432" s="262" t="str">
        <f>IFERROR(__xludf.DUMMYFUNCTION("""COMPUTED_VALUE"""),"")</f>
        <v/>
      </c>
      <c r="O1432" s="259" t="str">
        <f>IFERROR(__xludf.DUMMYFUNCTION("""COMPUTED_VALUE"""),"")</f>
        <v/>
      </c>
      <c r="P1432" s="259">
        <f>IFERROR(__xludf.DUMMYFUNCTION("""COMPUTED_VALUE"""),43022.0)</f>
        <v>43022</v>
      </c>
      <c r="Q1432" s="258">
        <f>IFERROR(__xludf.DUMMYFUNCTION("""COMPUTED_VALUE"""),1167.0)</f>
        <v>1167</v>
      </c>
      <c r="R1432" s="261">
        <f>IFERROR(__xludf.DUMMYFUNCTION("""COMPUTED_VALUE"""),446.0)</f>
        <v>446</v>
      </c>
      <c r="S1432" s="258">
        <v>447.0</v>
      </c>
      <c r="T1432" s="263">
        <v>0.9977628635346756</v>
      </c>
      <c r="U1432" s="264">
        <v>725.0</v>
      </c>
      <c r="V1432" s="265">
        <v>1167.0</v>
      </c>
      <c r="W1432" s="264">
        <v>725.0</v>
      </c>
      <c r="X1432" s="266"/>
      <c r="Y1432" s="267">
        <v>-0.01</v>
      </c>
      <c r="Z1432" s="267">
        <v>0.997733989934148</v>
      </c>
      <c r="AA1432" s="269"/>
      <c r="AB1432" s="270"/>
      <c r="AC1432" s="270"/>
      <c r="AD1432" s="270"/>
      <c r="AE1432" s="270"/>
    </row>
    <row r="1433">
      <c r="A1433" s="256">
        <f>IFERROR(__xludf.DUMMYFUNCTION("""COMPUTED_VALUE"""),43065.6375)</f>
        <v>43065.6375</v>
      </c>
      <c r="B1433" s="257" t="str">
        <f>IFERROR(__xludf.DUMMYFUNCTION("""COMPUTED_VALUE"""),"tliviuc")</f>
        <v>tliviuc</v>
      </c>
      <c r="C1433" s="258" t="str">
        <f>IFERROR(__xludf.DUMMYFUNCTION("""COMPUTED_VALUE"""),"Europe (excluding UK) &amp; Asia Pacific")</f>
        <v>Europe (excluding UK) &amp; Asia Pacific</v>
      </c>
      <c r="D1433" s="258" t="str">
        <f>IFERROR(__xludf.DUMMYFUNCTION("""COMPUTED_VALUE"""),"km. My car displays range in kilometres and I will enter all range numbers in kilometres.")</f>
        <v>km. My car displays range in kilometres and I will enter all range numbers in kilometres.</v>
      </c>
      <c r="E1433" s="259">
        <f>IFERROR(__xludf.DUMMYFUNCTION("""COMPUTED_VALUE"""),42948.0)</f>
        <v>42948</v>
      </c>
      <c r="F1433" s="258" t="str">
        <f>IFERROR(__xludf.DUMMYFUNCTION("""COMPUTED_VALUE"""),"Model S 90D")</f>
        <v>Model S 90D</v>
      </c>
      <c r="G1433" s="258" t="str">
        <f>IFERROR(__xludf.DUMMYFUNCTION("""COMPUTED_VALUE"""),"Twice a week")</f>
        <v>Twice a week</v>
      </c>
      <c r="H1433" s="258" t="str">
        <f>IFERROR(__xludf.DUMMYFUNCTION("""COMPUTED_VALUE"""),"Monthly")</f>
        <v>Monthly</v>
      </c>
      <c r="I1433" s="258" t="str">
        <f>IFERROR(__xludf.DUMMYFUNCTION("""COMPUTED_VALUE"""),"Once or twice a year")</f>
        <v>Once or twice a year</v>
      </c>
      <c r="J1433" s="260">
        <f>IFERROR(__xludf.DUMMYFUNCTION("""COMPUTED_VALUE"""),0.9)</f>
        <v>0.9</v>
      </c>
      <c r="K1433" s="258">
        <f>IFERROR(__xludf.DUMMYFUNCTION("""COMPUTED_VALUE"""),448.0)</f>
        <v>448</v>
      </c>
      <c r="L1433" s="258" t="str">
        <f>IFERROR(__xludf.DUMMYFUNCTION("""COMPUTED_VALUE"""),"")</f>
        <v/>
      </c>
      <c r="M1433" s="261">
        <f>IFERROR(__xludf.DUMMYFUNCTION("""COMPUTED_VALUE"""),198.0)</f>
        <v>198</v>
      </c>
      <c r="N1433" s="262" t="str">
        <f>IFERROR(__xludf.DUMMYFUNCTION("""COMPUTED_VALUE"""),"")</f>
        <v/>
      </c>
      <c r="O1433" s="259" t="str">
        <f>IFERROR(__xludf.DUMMYFUNCTION("""COMPUTED_VALUE"""),"")</f>
        <v/>
      </c>
      <c r="P1433" s="259">
        <f>IFERROR(__xludf.DUMMYFUNCTION("""COMPUTED_VALUE"""),43065.0)</f>
        <v>43065</v>
      </c>
      <c r="Q1433" s="258">
        <f>IFERROR(__xludf.DUMMYFUNCTION("""COMPUTED_VALUE"""),3323.0)</f>
        <v>3323</v>
      </c>
      <c r="R1433" s="261">
        <f>IFERROR(__xludf.DUMMYFUNCTION("""COMPUTED_VALUE"""),449.0)</f>
        <v>449</v>
      </c>
      <c r="S1433" s="258">
        <v>447.0</v>
      </c>
      <c r="T1433" s="263">
        <v>1.0044742729306488</v>
      </c>
      <c r="U1433" s="264">
        <v>2065.0</v>
      </c>
      <c r="V1433" s="265">
        <v>3323.0</v>
      </c>
      <c r="W1433" s="264">
        <v>2065.0</v>
      </c>
      <c r="X1433" s="266"/>
      <c r="Y1433" s="267">
        <v>-0.01</v>
      </c>
      <c r="Z1433" s="267">
        <v>0.9938857421819631</v>
      </c>
      <c r="AA1433" s="269"/>
      <c r="AB1433" s="270"/>
      <c r="AC1433" s="270"/>
      <c r="AD1433" s="270"/>
      <c r="AE1433" s="270"/>
    </row>
    <row r="1434">
      <c r="A1434" s="256">
        <f>IFERROR(__xludf.DUMMYFUNCTION("""COMPUTED_VALUE"""),42956.85277777778)</f>
        <v>42956.85278</v>
      </c>
      <c r="B1434" s="257" t="str">
        <f>IFERROR(__xludf.DUMMYFUNCTION("""COMPUTED_VALUE"""),"TMiller")</f>
        <v>TMiller</v>
      </c>
      <c r="C1434" s="258" t="str">
        <f>IFERROR(__xludf.DUMMYFUNCTION("""COMPUTED_VALUE"""),"USA")</f>
        <v>USA</v>
      </c>
      <c r="D1434" s="258" t="str">
        <f>IFERROR(__xludf.DUMMYFUNCTION("""COMPUTED_VALUE"""),"mi. My car displays range in miles and I will enter all range numbers in miles.")</f>
        <v>mi. My car displays range in miles and I will enter all range numbers in miles.</v>
      </c>
      <c r="E1434" s="259">
        <f>IFERROR(__xludf.DUMMYFUNCTION("""COMPUTED_VALUE"""),41913.0)</f>
        <v>41913</v>
      </c>
      <c r="F1434" s="258" t="str">
        <f>IFERROR(__xludf.DUMMYFUNCTION("""COMPUTED_VALUE"""),"Model S 85")</f>
        <v>Model S 85</v>
      </c>
      <c r="G1434" s="258" t="str">
        <f>IFERROR(__xludf.DUMMYFUNCTION("""COMPUTED_VALUE"""),"Twice a month")</f>
        <v>Twice a month</v>
      </c>
      <c r="H1434" s="258" t="str">
        <f>IFERROR(__xludf.DUMMYFUNCTION("""COMPUTED_VALUE"""),"A few times a year")</f>
        <v>A few times a year</v>
      </c>
      <c r="I1434" s="258" t="str">
        <f>IFERROR(__xludf.DUMMYFUNCTION("""COMPUTED_VALUE"""),"Once or twice a year")</f>
        <v>Once or twice a year</v>
      </c>
      <c r="J1434" s="260">
        <f>IFERROR(__xludf.DUMMYFUNCTION("""COMPUTED_VALUE"""),0.8)</f>
        <v>0.8</v>
      </c>
      <c r="K1434" s="258">
        <f>IFERROR(__xludf.DUMMYFUNCTION("""COMPUTED_VALUE"""),274.0)</f>
        <v>274</v>
      </c>
      <c r="L1434" s="258" t="str">
        <f>IFERROR(__xludf.DUMMYFUNCTION("""COMPUTED_VALUE"""),"")</f>
        <v/>
      </c>
      <c r="M1434" s="261">
        <f>IFERROR(__xludf.DUMMYFUNCTION("""COMPUTED_VALUE"""),316.0)</f>
        <v>316</v>
      </c>
      <c r="N1434" s="262" t="str">
        <f>IFERROR(__xludf.DUMMYFUNCTION("""COMPUTED_VALUE"""),"")</f>
        <v/>
      </c>
      <c r="O1434" s="259" t="str">
        <f>IFERROR(__xludf.DUMMYFUNCTION("""COMPUTED_VALUE"""),"")</f>
        <v/>
      </c>
      <c r="P1434" s="259">
        <f>IFERROR(__xludf.DUMMYFUNCTION("""COMPUTED_VALUE"""),42956.0)</f>
        <v>42956</v>
      </c>
      <c r="Q1434" s="258">
        <f>IFERROR(__xludf.DUMMYFUNCTION("""COMPUTED_VALUE"""),47295.0)</f>
        <v>47295</v>
      </c>
      <c r="R1434" s="261">
        <f>IFERROR(__xludf.DUMMYFUNCTION("""COMPUTED_VALUE"""),259.0)</f>
        <v>259</v>
      </c>
      <c r="S1434" s="258">
        <v>266.0</v>
      </c>
      <c r="T1434" s="263">
        <v>0.9736842105263158</v>
      </c>
      <c r="U1434" s="264">
        <v>47295.0</v>
      </c>
      <c r="V1434" s="265">
        <v>76114.0</v>
      </c>
      <c r="W1434" s="264">
        <v>47295.0</v>
      </c>
      <c r="X1434" s="266"/>
      <c r="Y1434" s="267">
        <v>-0.01</v>
      </c>
      <c r="Z1434" s="267">
        <v>0.9523684458398829</v>
      </c>
      <c r="AA1434" s="269"/>
      <c r="AB1434" s="270"/>
      <c r="AC1434" s="270"/>
      <c r="AD1434" s="270"/>
      <c r="AE1434" s="270"/>
    </row>
    <row r="1435">
      <c r="A1435" s="256">
        <f>IFERROR(__xludf.DUMMYFUNCTION("""COMPUTED_VALUE"""),43151.87361111111)</f>
        <v>43151.87361</v>
      </c>
      <c r="B1435" s="257" t="str">
        <f>IFERROR(__xludf.DUMMYFUNCTION("""COMPUTED_VALUE"""),"TMiller")</f>
        <v>TMiller</v>
      </c>
      <c r="C1435" s="258" t="str">
        <f>IFERROR(__xludf.DUMMYFUNCTION("""COMPUTED_VALUE"""),"USA")</f>
        <v>USA</v>
      </c>
      <c r="D1435" s="258" t="str">
        <f>IFERROR(__xludf.DUMMYFUNCTION("""COMPUTED_VALUE"""),"mi. My car displays range in miles and I will enter all range numbers in miles.")</f>
        <v>mi. My car displays range in miles and I will enter all range numbers in miles.</v>
      </c>
      <c r="E1435" s="259">
        <f>IFERROR(__xludf.DUMMYFUNCTION("""COMPUTED_VALUE"""),43070.0)</f>
        <v>43070</v>
      </c>
      <c r="F1435" s="258" t="str">
        <f>IFERROR(__xludf.DUMMYFUNCTION("""COMPUTED_VALUE"""),"Model X 100D")</f>
        <v>Model X 100D</v>
      </c>
      <c r="G1435" s="258" t="str">
        <f>IFERROR(__xludf.DUMMYFUNCTION("""COMPUTED_VALUE"""),"Weekly")</f>
        <v>Weekly</v>
      </c>
      <c r="H1435" s="258" t="str">
        <f>IFERROR(__xludf.DUMMYFUNCTION("""COMPUTED_VALUE"""),"Twice a month")</f>
        <v>Twice a month</v>
      </c>
      <c r="I1435" s="258" t="str">
        <f>IFERROR(__xludf.DUMMYFUNCTION("""COMPUTED_VALUE"""),"Once or twice a year")</f>
        <v>Once or twice a year</v>
      </c>
      <c r="J1435" s="260">
        <f>IFERROR(__xludf.DUMMYFUNCTION("""COMPUTED_VALUE"""),0.8)</f>
        <v>0.8</v>
      </c>
      <c r="K1435" s="258" t="str">
        <f>IFERROR(__xludf.DUMMYFUNCTION("""COMPUTED_VALUE"""),"")</f>
        <v/>
      </c>
      <c r="L1435" s="258" t="str">
        <f>IFERROR(__xludf.DUMMYFUNCTION("""COMPUTED_VALUE"""),"")</f>
        <v/>
      </c>
      <c r="M1435" s="261">
        <f>IFERROR(__xludf.DUMMYFUNCTION("""COMPUTED_VALUE"""),450.0)</f>
        <v>450</v>
      </c>
      <c r="N1435" s="262" t="str">
        <f>IFERROR(__xludf.DUMMYFUNCTION("""COMPUTED_VALUE"""),"")</f>
        <v/>
      </c>
      <c r="O1435" s="259" t="str">
        <f>IFERROR(__xludf.DUMMYFUNCTION("""COMPUTED_VALUE"""),"")</f>
        <v/>
      </c>
      <c r="P1435" s="259">
        <f>IFERROR(__xludf.DUMMYFUNCTION("""COMPUTED_VALUE"""),43151.0)</f>
        <v>43151</v>
      </c>
      <c r="Q1435" s="258">
        <f>IFERROR(__xludf.DUMMYFUNCTION("""COMPUTED_VALUE"""),3690.0)</f>
        <v>3690</v>
      </c>
      <c r="R1435" s="261">
        <f>IFERROR(__xludf.DUMMYFUNCTION("""COMPUTED_VALUE"""),298.0)</f>
        <v>298</v>
      </c>
      <c r="S1435" s="258">
        <v>292.0</v>
      </c>
      <c r="T1435" s="263">
        <v>1.0205479452054795</v>
      </c>
      <c r="U1435" s="264">
        <v>3690.0</v>
      </c>
      <c r="V1435" s="265">
        <v>5938.0</v>
      </c>
      <c r="W1435" s="264">
        <v>3690.0</v>
      </c>
      <c r="X1435" s="266"/>
      <c r="Y1435" s="267">
        <v>-0.01</v>
      </c>
      <c r="Z1435" s="267">
        <v>0.9897434855763603</v>
      </c>
      <c r="AA1435" s="269"/>
      <c r="AB1435" s="270"/>
      <c r="AC1435" s="270"/>
      <c r="AD1435" s="270"/>
      <c r="AE1435" s="270"/>
    </row>
    <row r="1436">
      <c r="A1436" s="256">
        <f>IFERROR(__xludf.DUMMYFUNCTION("""COMPUTED_VALUE"""),42958.57430555555)</f>
        <v>42958.57431</v>
      </c>
      <c r="B1436" s="257" t="str">
        <f>IFERROR(__xludf.DUMMYFUNCTION("""COMPUTED_VALUE"""),"tnt369")</f>
        <v>tnt369</v>
      </c>
      <c r="C1436" s="258" t="str">
        <f>IFERROR(__xludf.DUMMYFUNCTION("""COMPUTED_VALUE"""),"Europe (excluding UK) &amp; Asia Pacific")</f>
        <v>Europe (excluding UK) &amp; Asia Pacific</v>
      </c>
      <c r="D1436" s="258" t="str">
        <f>IFERROR(__xludf.DUMMYFUNCTION("""COMPUTED_VALUE"""),"km. My car displays range in kilometres and I will enter all range numbers in kilometres.")</f>
        <v>km. My car displays range in kilometres and I will enter all range numbers in kilometres.</v>
      </c>
      <c r="E1436" s="259">
        <f>IFERROR(__xludf.DUMMYFUNCTION("""COMPUTED_VALUE"""),42414.0)</f>
        <v>42414</v>
      </c>
      <c r="F1436" s="258" t="str">
        <f>IFERROR(__xludf.DUMMYFUNCTION("""COMPUTED_VALUE"""),"Model S 90D")</f>
        <v>Model S 90D</v>
      </c>
      <c r="G1436" s="258" t="str">
        <f>IFERROR(__xludf.DUMMYFUNCTION("""COMPUTED_VALUE"""),"Weekly")</f>
        <v>Weekly</v>
      </c>
      <c r="H1436" s="258" t="str">
        <f>IFERROR(__xludf.DUMMYFUNCTION("""COMPUTED_VALUE"""),"A few times a year")</f>
        <v>A few times a year</v>
      </c>
      <c r="I1436" s="258" t="str">
        <f>IFERROR(__xludf.DUMMYFUNCTION("""COMPUTED_VALUE"""),"A few times a year")</f>
        <v>A few times a year</v>
      </c>
      <c r="J1436" s="260">
        <f>IFERROR(__xludf.DUMMYFUNCTION("""COMPUTED_VALUE"""),0.9)</f>
        <v>0.9</v>
      </c>
      <c r="K1436" s="258">
        <f>IFERROR(__xludf.DUMMYFUNCTION("""COMPUTED_VALUE"""),455.0)</f>
        <v>455</v>
      </c>
      <c r="L1436" s="258" t="str">
        <f>IFERROR(__xludf.DUMMYFUNCTION("""COMPUTED_VALUE"""),"")</f>
        <v/>
      </c>
      <c r="M1436" s="261">
        <f>IFERROR(__xludf.DUMMYFUNCTION("""COMPUTED_VALUE"""),210.0)</f>
        <v>210</v>
      </c>
      <c r="N1436" s="262" t="str">
        <f>IFERROR(__xludf.DUMMYFUNCTION("""COMPUTED_VALUE"""),"")</f>
        <v/>
      </c>
      <c r="O1436" s="259" t="str">
        <f>IFERROR(__xludf.DUMMYFUNCTION("""COMPUTED_VALUE"""),"")</f>
        <v/>
      </c>
      <c r="P1436" s="259">
        <f>IFERROR(__xludf.DUMMYFUNCTION("""COMPUTED_VALUE"""),42958.0)</f>
        <v>42958</v>
      </c>
      <c r="Q1436" s="258">
        <f>IFERROR(__xludf.DUMMYFUNCTION("""COMPUTED_VALUE"""),42500.0)</f>
        <v>42500</v>
      </c>
      <c r="R1436" s="261">
        <f>IFERROR(__xludf.DUMMYFUNCTION("""COMPUTED_VALUE"""),444.0)</f>
        <v>444</v>
      </c>
      <c r="S1436" s="258">
        <v>447.0</v>
      </c>
      <c r="T1436" s="263">
        <v>0.9932885906040269</v>
      </c>
      <c r="U1436" s="264">
        <v>26408.0</v>
      </c>
      <c r="V1436" s="265">
        <v>42500.0</v>
      </c>
      <c r="W1436" s="264">
        <v>26408.0</v>
      </c>
      <c r="X1436" s="266"/>
      <c r="Y1436" s="267">
        <v>-0.01</v>
      </c>
      <c r="Z1436" s="267">
        <v>0.9623294099000569</v>
      </c>
      <c r="AA1436" s="269"/>
      <c r="AB1436" s="270"/>
      <c r="AC1436" s="270"/>
      <c r="AD1436" s="270"/>
      <c r="AE1436" s="270"/>
    </row>
    <row r="1437">
      <c r="A1437" s="256">
        <f>IFERROR(__xludf.DUMMYFUNCTION("""COMPUTED_VALUE"""),42663.81111111111)</f>
        <v>42663.81111</v>
      </c>
      <c r="B1437" s="257" t="str">
        <f>IFERROR(__xludf.DUMMYFUNCTION("""COMPUTED_VALUE"""),"tnt71")</f>
        <v>tnt71</v>
      </c>
      <c r="C1437" s="258" t="str">
        <f>IFERROR(__xludf.DUMMYFUNCTION("""COMPUTED_VALUE"""),"USA")</f>
        <v>USA</v>
      </c>
      <c r="D1437" s="258" t="str">
        <f>IFERROR(__xludf.DUMMYFUNCTION("""COMPUTED_VALUE"""),"mi. My car displays range in miles and I will enter all range numbers in miles.")</f>
        <v>mi. My car displays range in miles and I will enter all range numbers in miles.</v>
      </c>
      <c r="E1437" s="259">
        <f>IFERROR(__xludf.DUMMYFUNCTION("""COMPUTED_VALUE"""),42420.0)</f>
        <v>42420</v>
      </c>
      <c r="F1437" s="258" t="str">
        <f>IFERROR(__xludf.DUMMYFUNCTION("""COMPUTED_VALUE"""),"Model S 85D")</f>
        <v>Model S 85D</v>
      </c>
      <c r="G1437" s="258" t="str">
        <f>IFERROR(__xludf.DUMMYFUNCTION("""COMPUTED_VALUE"""),"Twice a month")</f>
        <v>Twice a month</v>
      </c>
      <c r="H1437" s="258" t="str">
        <f>IFERROR(__xludf.DUMMYFUNCTION("""COMPUTED_VALUE"""),"A few times a year")</f>
        <v>A few times a year</v>
      </c>
      <c r="I1437" s="258" t="str">
        <f>IFERROR(__xludf.DUMMYFUNCTION("""COMPUTED_VALUE"""),"Never")</f>
        <v>Never</v>
      </c>
      <c r="J1437" s="260">
        <f>IFERROR(__xludf.DUMMYFUNCTION("""COMPUTED_VALUE"""),0.5)</f>
        <v>0.5</v>
      </c>
      <c r="K1437" s="258">
        <f>IFERROR(__xludf.DUMMYFUNCTION("""COMPUTED_VALUE"""),270.0)</f>
        <v>270</v>
      </c>
      <c r="L1437" s="258" t="str">
        <f>IFERROR(__xludf.DUMMYFUNCTION("""COMPUTED_VALUE"""),"")</f>
        <v/>
      </c>
      <c r="M1437" s="261">
        <f>IFERROR(__xludf.DUMMYFUNCTION("""COMPUTED_VALUE"""),299.0)</f>
        <v>299</v>
      </c>
      <c r="N1437" s="262" t="str">
        <f>IFERROR(__xludf.DUMMYFUNCTION("""COMPUTED_VALUE"""),"")</f>
        <v/>
      </c>
      <c r="O1437" s="259" t="str">
        <f>IFERROR(__xludf.DUMMYFUNCTION("""COMPUTED_VALUE"""),"")</f>
        <v/>
      </c>
      <c r="P1437" s="259">
        <f>IFERROR(__xludf.DUMMYFUNCTION("""COMPUTED_VALUE"""),42663.0)</f>
        <v>42663</v>
      </c>
      <c r="Q1437" s="258">
        <f>IFERROR(__xludf.DUMMYFUNCTION("""COMPUTED_VALUE"""),11000.0)</f>
        <v>11000</v>
      </c>
      <c r="R1437" s="261">
        <f>IFERROR(__xludf.DUMMYFUNCTION("""COMPUTED_VALUE"""),275.0)</f>
        <v>275</v>
      </c>
      <c r="S1437" s="258">
        <v>270.0</v>
      </c>
      <c r="T1437" s="263">
        <v>1.0185185185185186</v>
      </c>
      <c r="U1437" s="264">
        <v>11000.0</v>
      </c>
      <c r="V1437" s="265">
        <v>17703.0</v>
      </c>
      <c r="W1437" s="264">
        <v>11000.0</v>
      </c>
      <c r="X1437" s="266"/>
      <c r="Y1437" s="267">
        <v>-0.01</v>
      </c>
      <c r="Z1437" s="267">
        <v>0.9763520408085437</v>
      </c>
      <c r="AA1437" s="269"/>
      <c r="AB1437" s="270"/>
      <c r="AC1437" s="270"/>
      <c r="AD1437" s="270"/>
      <c r="AE1437" s="270"/>
    </row>
    <row r="1438">
      <c r="A1438" s="256">
        <f>IFERROR(__xludf.DUMMYFUNCTION("""COMPUTED_VALUE"""),42494.79513888889)</f>
        <v>42494.79514</v>
      </c>
      <c r="B1438" s="257" t="str">
        <f>IFERROR(__xludf.DUMMYFUNCTION("""COMPUTED_VALUE"""),"Todd Burch")</f>
        <v>Todd Burch</v>
      </c>
      <c r="C1438" s="258" t="str">
        <f>IFERROR(__xludf.DUMMYFUNCTION("""COMPUTED_VALUE"""),"USA")</f>
        <v>USA</v>
      </c>
      <c r="D1438" s="258" t="str">
        <f>IFERROR(__xludf.DUMMYFUNCTION("""COMPUTED_VALUE"""),"mi. My car displays range in miles and I will enter all range numbers in miles.")</f>
        <v>mi. My car displays range in miles and I will enter all range numbers in miles.</v>
      </c>
      <c r="E1438" s="259">
        <f>IFERROR(__xludf.DUMMYFUNCTION("""COMPUTED_VALUE"""),41913.0)</f>
        <v>41913</v>
      </c>
      <c r="F1438" s="258" t="str">
        <f>IFERROR(__xludf.DUMMYFUNCTION("""COMPUTED_VALUE"""),"Model S P85")</f>
        <v>Model S P85</v>
      </c>
      <c r="G1438" s="258" t="str">
        <f>IFERROR(__xludf.DUMMYFUNCTION("""COMPUTED_VALUE"""),"Monthly")</f>
        <v>Monthly</v>
      </c>
      <c r="H1438" s="258" t="str">
        <f>IFERROR(__xludf.DUMMYFUNCTION("""COMPUTED_VALUE"""),"Monthly")</f>
        <v>Monthly</v>
      </c>
      <c r="I1438" s="258" t="str">
        <f>IFERROR(__xludf.DUMMYFUNCTION("""COMPUTED_VALUE"""),"Never")</f>
        <v>Never</v>
      </c>
      <c r="J1438" s="260">
        <f>IFERROR(__xludf.DUMMYFUNCTION("""COMPUTED_VALUE"""),0.9)</f>
        <v>0.9</v>
      </c>
      <c r="K1438" s="258">
        <f>IFERROR(__xludf.DUMMYFUNCTION("""COMPUTED_VALUE"""),265.0)</f>
        <v>265</v>
      </c>
      <c r="L1438" s="258" t="str">
        <f>IFERROR(__xludf.DUMMYFUNCTION("""COMPUTED_VALUE"""),"")</f>
        <v/>
      </c>
      <c r="M1438" s="261">
        <f>IFERROR(__xludf.DUMMYFUNCTION("""COMPUTED_VALUE"""),293.0)</f>
        <v>293</v>
      </c>
      <c r="N1438" s="262" t="str">
        <f>IFERROR(__xludf.DUMMYFUNCTION("""COMPUTED_VALUE"""),"")</f>
        <v/>
      </c>
      <c r="O1438" s="259" t="str">
        <f>IFERROR(__xludf.DUMMYFUNCTION("""COMPUTED_VALUE"""),"")</f>
        <v/>
      </c>
      <c r="P1438" s="259">
        <f>IFERROR(__xludf.DUMMYFUNCTION("""COMPUTED_VALUE"""),42494.0)</f>
        <v>42494</v>
      </c>
      <c r="Q1438" s="258">
        <f>IFERROR(__xludf.DUMMYFUNCTION("""COMPUTED_VALUE"""),34970.0)</f>
        <v>34970</v>
      </c>
      <c r="R1438" s="261">
        <f>IFERROR(__xludf.DUMMYFUNCTION("""COMPUTED_VALUE"""),261.0)</f>
        <v>261</v>
      </c>
      <c r="S1438" s="258">
        <v>266.0</v>
      </c>
      <c r="T1438" s="263">
        <v>0.981203007518797</v>
      </c>
      <c r="U1438" s="264">
        <v>34970.0</v>
      </c>
      <c r="V1438" s="265">
        <v>56279.0</v>
      </c>
      <c r="W1438" s="264">
        <v>34970.0</v>
      </c>
      <c r="X1438" s="266"/>
      <c r="Y1438" s="267">
        <v>-0.01</v>
      </c>
      <c r="Z1438" s="267">
        <v>0.9577334960095635</v>
      </c>
      <c r="AA1438" s="269"/>
      <c r="AB1438" s="270"/>
      <c r="AC1438" s="270"/>
      <c r="AD1438" s="270"/>
      <c r="AE1438" s="270"/>
    </row>
    <row r="1439">
      <c r="A1439" s="256">
        <f>IFERROR(__xludf.DUMMYFUNCTION("""COMPUTED_VALUE"""),43152.705555555556)</f>
        <v>43152.70556</v>
      </c>
      <c r="B1439" s="257" t="str">
        <f>IFERROR(__xludf.DUMMYFUNCTION("""COMPUTED_VALUE"""),"Tom Pot")</f>
        <v>Tom Pot</v>
      </c>
      <c r="C1439" s="258" t="str">
        <f>IFERROR(__xludf.DUMMYFUNCTION("""COMPUTED_VALUE"""),"Europe (excluding UK) &amp; Asia Pacific")</f>
        <v>Europe (excluding UK) &amp; Asia Pacific</v>
      </c>
      <c r="D1439" s="258" t="str">
        <f>IFERROR(__xludf.DUMMYFUNCTION("""COMPUTED_VALUE"""),"km. My car displays range in kilometres and I will enter all range numbers in kilometres.")</f>
        <v>km. My car displays range in kilometres and I will enter all range numbers in kilometres.</v>
      </c>
      <c r="E1439" s="259">
        <f>IFERROR(__xludf.DUMMYFUNCTION("""COMPUTED_VALUE"""),42278.0)</f>
        <v>42278</v>
      </c>
      <c r="F1439" s="258" t="str">
        <f>IFERROR(__xludf.DUMMYFUNCTION("""COMPUTED_VALUE"""),"Model S 85D")</f>
        <v>Model S 85D</v>
      </c>
      <c r="G1439" s="258" t="str">
        <f>IFERROR(__xludf.DUMMYFUNCTION("""COMPUTED_VALUE"""),"Monthly")</f>
        <v>Monthly</v>
      </c>
      <c r="H1439" s="258" t="str">
        <f>IFERROR(__xludf.DUMMYFUNCTION("""COMPUTED_VALUE"""),"A few times a year")</f>
        <v>A few times a year</v>
      </c>
      <c r="I1439" s="258" t="str">
        <f>IFERROR(__xludf.DUMMYFUNCTION("""COMPUTED_VALUE"""),"Never")</f>
        <v>Never</v>
      </c>
      <c r="J1439" s="260">
        <f>IFERROR(__xludf.DUMMYFUNCTION("""COMPUTED_VALUE"""),0.7)</f>
        <v>0.7</v>
      </c>
      <c r="K1439" s="258" t="str">
        <f>IFERROR(__xludf.DUMMYFUNCTION("""COMPUTED_VALUE"""),"")</f>
        <v/>
      </c>
      <c r="L1439" s="258" t="str">
        <f>IFERROR(__xludf.DUMMYFUNCTION("""COMPUTED_VALUE"""),"")</f>
        <v/>
      </c>
      <c r="M1439" s="261">
        <f>IFERROR(__xludf.DUMMYFUNCTION("""COMPUTED_VALUE"""),238.0)</f>
        <v>238</v>
      </c>
      <c r="N1439" s="262" t="str">
        <f>IFERROR(__xludf.DUMMYFUNCTION("""COMPUTED_VALUE"""),"")</f>
        <v/>
      </c>
      <c r="O1439" s="259" t="str">
        <f>IFERROR(__xludf.DUMMYFUNCTION("""COMPUTED_VALUE"""),"")</f>
        <v/>
      </c>
      <c r="P1439" s="259">
        <f>IFERROR(__xludf.DUMMYFUNCTION("""COMPUTED_VALUE"""),43152.0)</f>
        <v>43152</v>
      </c>
      <c r="Q1439" s="258">
        <f>IFERROR(__xludf.DUMMYFUNCTION("""COMPUTED_VALUE"""),115848.0)</f>
        <v>115848</v>
      </c>
      <c r="R1439" s="261">
        <f>IFERROR(__xludf.DUMMYFUNCTION("""COMPUTED_VALUE"""),401.0)</f>
        <v>401</v>
      </c>
      <c r="S1439" s="258">
        <v>425.0</v>
      </c>
      <c r="T1439" s="263">
        <v>0.9435294117647058</v>
      </c>
      <c r="U1439" s="264">
        <v>71985.0</v>
      </c>
      <c r="V1439" s="265">
        <v>115848.0</v>
      </c>
      <c r="W1439" s="264">
        <v>71985.0</v>
      </c>
      <c r="X1439" s="266"/>
      <c r="Y1439" s="267">
        <v>-0.01</v>
      </c>
      <c r="Z1439" s="267">
        <v>0.9428756694056909</v>
      </c>
      <c r="AA1439" s="269"/>
      <c r="AB1439" s="270"/>
      <c r="AC1439" s="270"/>
      <c r="AD1439" s="270"/>
      <c r="AE1439" s="270"/>
    </row>
    <row r="1440">
      <c r="A1440" s="256">
        <f>IFERROR(__xludf.DUMMYFUNCTION("""COMPUTED_VALUE"""),43699.48569443287)</f>
        <v>43699.48569</v>
      </c>
      <c r="B1440" s="257" t="str">
        <f>IFERROR(__xludf.DUMMYFUNCTION("""COMPUTED_VALUE"""),"tom8oe")</f>
        <v>tom8oe</v>
      </c>
      <c r="C1440" s="258" t="str">
        <f>IFERROR(__xludf.DUMMYFUNCTION("""COMPUTED_VALUE"""),"USA")</f>
        <v>USA</v>
      </c>
      <c r="D1440" s="258" t="str">
        <f>IFERROR(__xludf.DUMMYFUNCTION("""COMPUTED_VALUE"""),"mi. My car displays range in miles and I will enter all range numbers in miles.")</f>
        <v>mi. My car displays range in miles and I will enter all range numbers in miles.</v>
      </c>
      <c r="E1440" s="259">
        <f>IFERROR(__xludf.DUMMYFUNCTION("""COMPUTED_VALUE"""),43327.0)</f>
        <v>43327</v>
      </c>
      <c r="F1440" s="258" t="str">
        <f>IFERROR(__xludf.DUMMYFUNCTION("""COMPUTED_VALUE"""),"Model 3 LR AWD")</f>
        <v>Model 3 LR AWD</v>
      </c>
      <c r="G1440" s="258" t="str">
        <f>IFERROR(__xludf.DUMMYFUNCTION("""COMPUTED_VALUE"""),"Monthly")</f>
        <v>Monthly</v>
      </c>
      <c r="H1440" s="258" t="str">
        <f>IFERROR(__xludf.DUMMYFUNCTION("""COMPUTED_VALUE"""),"A few times a year")</f>
        <v>A few times a year</v>
      </c>
      <c r="I1440" s="258" t="str">
        <f>IFERROR(__xludf.DUMMYFUNCTION("""COMPUTED_VALUE"""),"")</f>
        <v/>
      </c>
      <c r="J1440" s="260">
        <f>IFERROR(__xludf.DUMMYFUNCTION("""COMPUTED_VALUE"""),0.8)</f>
        <v>0.8</v>
      </c>
      <c r="K1440" s="258">
        <f>IFERROR(__xludf.DUMMYFUNCTION("""COMPUTED_VALUE"""),309.0)</f>
        <v>309</v>
      </c>
      <c r="L1440" s="258" t="str">
        <f>IFERROR(__xludf.DUMMYFUNCTION("""COMPUTED_VALUE"""),"")</f>
        <v/>
      </c>
      <c r="M1440" s="261">
        <f>IFERROR(__xludf.DUMMYFUNCTION("""COMPUTED_VALUE"""),277.0)</f>
        <v>277</v>
      </c>
      <c r="N1440" s="262" t="str">
        <f>IFERROR(__xludf.DUMMYFUNCTION("""COMPUTED_VALUE"""),"")</f>
        <v/>
      </c>
      <c r="O1440" s="259" t="str">
        <f>IFERROR(__xludf.DUMMYFUNCTION("""COMPUTED_VALUE"""),"")</f>
        <v/>
      </c>
      <c r="P1440" s="259">
        <f>IFERROR(__xludf.DUMMYFUNCTION("""COMPUTED_VALUE"""),43390.0)</f>
        <v>43390</v>
      </c>
      <c r="Q1440" s="258">
        <f>IFERROR(__xludf.DUMMYFUNCTION("""COMPUTED_VALUE"""),2000.0)</f>
        <v>2000</v>
      </c>
      <c r="R1440" s="261">
        <f>IFERROR(__xludf.DUMMYFUNCTION("""COMPUTED_VALUE"""),305.0)</f>
        <v>305</v>
      </c>
      <c r="S1440" s="258">
        <v>310.0</v>
      </c>
      <c r="T1440" s="263">
        <v>0.9838709677419355</v>
      </c>
      <c r="U1440" s="264">
        <v>2000.0</v>
      </c>
      <c r="V1440" s="265">
        <v>3219.0</v>
      </c>
      <c r="W1440" s="264">
        <v>2000.0</v>
      </c>
      <c r="X1440" s="266"/>
      <c r="Y1440" s="267">
        <v>-0.01</v>
      </c>
      <c r="Z1440" s="267">
        <v>0.9940619123126193</v>
      </c>
      <c r="AA1440" s="269"/>
      <c r="AB1440" s="270"/>
      <c r="AC1440" s="270"/>
      <c r="AD1440" s="270"/>
      <c r="AE1440" s="270"/>
    </row>
    <row r="1441">
      <c r="A1441" s="256">
        <f>IFERROR(__xludf.DUMMYFUNCTION("""COMPUTED_VALUE"""),43699.48569443287)</f>
        <v>43699.48569</v>
      </c>
      <c r="B1441" s="257" t="str">
        <f>IFERROR(__xludf.DUMMYFUNCTION("""COMPUTED_VALUE"""),"tom8oe")</f>
        <v>tom8oe</v>
      </c>
      <c r="C1441" s="258" t="str">
        <f>IFERROR(__xludf.DUMMYFUNCTION("""COMPUTED_VALUE"""),"USA")</f>
        <v>USA</v>
      </c>
      <c r="D1441" s="258" t="str">
        <f>IFERROR(__xludf.DUMMYFUNCTION("""COMPUTED_VALUE"""),"mi. My car displays range in miles and I will enter all range numbers in miles.")</f>
        <v>mi. My car displays range in miles and I will enter all range numbers in miles.</v>
      </c>
      <c r="E1441" s="259">
        <f>IFERROR(__xludf.DUMMYFUNCTION("""COMPUTED_VALUE"""),43327.0)</f>
        <v>43327</v>
      </c>
      <c r="F1441" s="258" t="str">
        <f>IFERROR(__xludf.DUMMYFUNCTION("""COMPUTED_VALUE"""),"Model 3 LR AWD")</f>
        <v>Model 3 LR AWD</v>
      </c>
      <c r="G1441" s="258" t="str">
        <f>IFERROR(__xludf.DUMMYFUNCTION("""COMPUTED_VALUE"""),"Monthly")</f>
        <v>Monthly</v>
      </c>
      <c r="H1441" s="258" t="str">
        <f>IFERROR(__xludf.DUMMYFUNCTION("""COMPUTED_VALUE"""),"A few times a year")</f>
        <v>A few times a year</v>
      </c>
      <c r="I1441" s="258" t="str">
        <f>IFERROR(__xludf.DUMMYFUNCTION("""COMPUTED_VALUE"""),"")</f>
        <v/>
      </c>
      <c r="J1441" s="260">
        <f>IFERROR(__xludf.DUMMYFUNCTION("""COMPUTED_VALUE"""),0.8)</f>
        <v>0.8</v>
      </c>
      <c r="K1441" s="258">
        <f>IFERROR(__xludf.DUMMYFUNCTION("""COMPUTED_VALUE"""),309.0)</f>
        <v>309</v>
      </c>
      <c r="L1441" s="258" t="str">
        <f>IFERROR(__xludf.DUMMYFUNCTION("""COMPUTED_VALUE"""),"")</f>
        <v/>
      </c>
      <c r="M1441" s="261">
        <f>IFERROR(__xludf.DUMMYFUNCTION("""COMPUTED_VALUE"""),277.0)</f>
        <v>277</v>
      </c>
      <c r="N1441" s="262" t="str">
        <f>IFERROR(__xludf.DUMMYFUNCTION("""COMPUTED_VALUE"""),"")</f>
        <v/>
      </c>
      <c r="O1441" s="259" t="str">
        <f>IFERROR(__xludf.DUMMYFUNCTION("""COMPUTED_VALUE"""),"")</f>
        <v/>
      </c>
      <c r="P1441" s="259">
        <f>IFERROR(__xludf.DUMMYFUNCTION("""COMPUTED_VALUE"""),43692.0)</f>
        <v>43692</v>
      </c>
      <c r="Q1441" s="258">
        <f>IFERROR(__xludf.DUMMYFUNCTION("""COMPUTED_VALUE"""),11825.0)</f>
        <v>11825</v>
      </c>
      <c r="R1441" s="261">
        <f>IFERROR(__xludf.DUMMYFUNCTION("""COMPUTED_VALUE"""),292.0)</f>
        <v>292</v>
      </c>
      <c r="S1441" s="258">
        <v>310.0</v>
      </c>
      <c r="T1441" s="263">
        <v>0.9419354838709677</v>
      </c>
      <c r="U1441" s="264">
        <v>11825.0</v>
      </c>
      <c r="V1441" s="265">
        <v>19030.0</v>
      </c>
      <c r="W1441" s="264">
        <v>11825.0</v>
      </c>
      <c r="X1441" s="266"/>
      <c r="Y1441" s="267">
        <v>-0.01</v>
      </c>
      <c r="Z1441" s="267">
        <v>0.9752384513008802</v>
      </c>
      <c r="AA1441" s="269"/>
      <c r="AB1441" s="270"/>
      <c r="AC1441" s="270"/>
      <c r="AD1441" s="270"/>
      <c r="AE1441" s="270"/>
    </row>
    <row r="1442">
      <c r="A1442" s="256">
        <f>IFERROR(__xludf.DUMMYFUNCTION("""COMPUTED_VALUE"""),42231.160416666666)</f>
        <v>42231.16042</v>
      </c>
      <c r="B1442" s="257" t="str">
        <f>IFERROR(__xludf.DUMMYFUNCTION("""COMPUTED_VALUE"""),"Top")</f>
        <v>Top</v>
      </c>
      <c r="C1442" s="258" t="str">
        <f>IFERROR(__xludf.DUMMYFUNCTION("""COMPUTED_VALUE"""),"Europe (excluding UK) &amp; Asia Pacific")</f>
        <v>Europe (excluding UK) &amp; Asia Pacific</v>
      </c>
      <c r="D1442" s="258" t="str">
        <f>IFERROR(__xludf.DUMMYFUNCTION("""COMPUTED_VALUE"""),"km. My car displays range in kilometres and I will enter all range numbers in kilometres.")</f>
        <v>km. My car displays range in kilometres and I will enter all range numbers in kilometres.</v>
      </c>
      <c r="E1442" s="259">
        <f>IFERROR(__xludf.DUMMYFUNCTION("""COMPUTED_VALUE"""),42230.0)</f>
        <v>42230</v>
      </c>
      <c r="F1442" s="258" t="str">
        <f>IFERROR(__xludf.DUMMYFUNCTION("""COMPUTED_VALUE"""),"Model S 70D")</f>
        <v>Model S 70D</v>
      </c>
      <c r="G1442" s="258" t="str">
        <f>IFERROR(__xludf.DUMMYFUNCTION("""COMPUTED_VALUE"""),"")</f>
        <v/>
      </c>
      <c r="H1442" s="258" t="str">
        <f>IFERROR(__xludf.DUMMYFUNCTION("""COMPUTED_VALUE"""),"Twice a month")</f>
        <v>Twice a month</v>
      </c>
      <c r="I1442" s="258" t="str">
        <f>IFERROR(__xludf.DUMMYFUNCTION("""COMPUTED_VALUE"""),"Twice a month")</f>
        <v>Twice a month</v>
      </c>
      <c r="J1442" s="260">
        <f>IFERROR(__xludf.DUMMYFUNCTION("""COMPUTED_VALUE"""),0.9)</f>
        <v>0.9</v>
      </c>
      <c r="K1442" s="258">
        <f>IFERROR(__xludf.DUMMYFUNCTION("""COMPUTED_VALUE"""),339.0)</f>
        <v>339</v>
      </c>
      <c r="L1442" s="258" t="str">
        <f>IFERROR(__xludf.DUMMYFUNCTION("""COMPUTED_VALUE"""),"")</f>
        <v/>
      </c>
      <c r="M1442" s="261">
        <f>IFERROR(__xludf.DUMMYFUNCTION("""COMPUTED_VALUE"""),187.0)</f>
        <v>187</v>
      </c>
      <c r="N1442" s="262" t="str">
        <f>IFERROR(__xludf.DUMMYFUNCTION("""COMPUTED_VALUE"""),"")</f>
        <v/>
      </c>
      <c r="O1442" s="259" t="str">
        <f>IFERROR(__xludf.DUMMYFUNCTION("""COMPUTED_VALUE"""),"")</f>
        <v/>
      </c>
      <c r="P1442" s="259">
        <f>IFERROR(__xludf.DUMMYFUNCTION("""COMPUTED_VALUE"""),42231.0)</f>
        <v>42231</v>
      </c>
      <c r="Q1442" s="258">
        <f>IFERROR(__xludf.DUMMYFUNCTION("""COMPUTED_VALUE"""),300.0)</f>
        <v>300</v>
      </c>
      <c r="R1442" s="261">
        <f>IFERROR(__xludf.DUMMYFUNCTION("""COMPUTED_VALUE"""),339.0)</f>
        <v>339</v>
      </c>
      <c r="S1442" s="258">
        <v>360.0</v>
      </c>
      <c r="T1442" s="263">
        <v>0.9416666666666667</v>
      </c>
      <c r="U1442" s="264">
        <v>186.0</v>
      </c>
      <c r="V1442" s="265">
        <v>300.0</v>
      </c>
      <c r="W1442" s="264">
        <v>186.0</v>
      </c>
      <c r="X1442" s="266"/>
      <c r="Y1442" s="267">
        <v>-0.01</v>
      </c>
      <c r="Z1442" s="267">
        <v>0.9994044703563436</v>
      </c>
      <c r="AA1442" s="269"/>
      <c r="AB1442" s="270"/>
      <c r="AC1442" s="270"/>
      <c r="AD1442" s="270"/>
      <c r="AE1442" s="270"/>
    </row>
    <row r="1443">
      <c r="A1443" s="256">
        <f>IFERROR(__xludf.DUMMYFUNCTION("""COMPUTED_VALUE"""),42298.20208333334)</f>
        <v>42298.20208</v>
      </c>
      <c r="B1443" s="257" t="str">
        <f>IFERROR(__xludf.DUMMYFUNCTION("""COMPUTED_VALUE"""),"TR")</f>
        <v>TR</v>
      </c>
      <c r="C1443" s="258" t="str">
        <f>IFERROR(__xludf.DUMMYFUNCTION("""COMPUTED_VALUE"""),"Europe (excluding UK) &amp; Asia Pacific")</f>
        <v>Europe (excluding UK) &amp; Asia Pacific</v>
      </c>
      <c r="D1443" s="258" t="str">
        <f>IFERROR(__xludf.DUMMYFUNCTION("""COMPUTED_VALUE"""),"km. My car displays range in kilometres and I will enter all range numbers in kilometres.")</f>
        <v>km. My car displays range in kilometres and I will enter all range numbers in kilometres.</v>
      </c>
      <c r="E1443" s="259">
        <f>IFERROR(__xludf.DUMMYFUNCTION("""COMPUTED_VALUE"""),41723.0)</f>
        <v>41723</v>
      </c>
      <c r="F1443" s="258" t="str">
        <f>IFERROR(__xludf.DUMMYFUNCTION("""COMPUTED_VALUE"""),"Model S 60")</f>
        <v>Model S 60</v>
      </c>
      <c r="G1443" s="258" t="str">
        <f>IFERROR(__xludf.DUMMYFUNCTION("""COMPUTED_VALUE"""),"A few times a year")</f>
        <v>A few times a year</v>
      </c>
      <c r="H1443" s="258" t="str">
        <f>IFERROR(__xludf.DUMMYFUNCTION("""COMPUTED_VALUE"""),"Twice a month")</f>
        <v>Twice a month</v>
      </c>
      <c r="I1443" s="258" t="str">
        <f>IFERROR(__xludf.DUMMYFUNCTION("""COMPUTED_VALUE"""),"Monthly")</f>
        <v>Monthly</v>
      </c>
      <c r="J1443" s="260">
        <f>IFERROR(__xludf.DUMMYFUNCTION("""COMPUTED_VALUE"""),0.8)</f>
        <v>0.8</v>
      </c>
      <c r="K1443" s="258">
        <f>IFERROR(__xludf.DUMMYFUNCTION("""COMPUTED_VALUE"""),299.0)</f>
        <v>299</v>
      </c>
      <c r="L1443" s="258" t="str">
        <f>IFERROR(__xludf.DUMMYFUNCTION("""COMPUTED_VALUE"""),"")</f>
        <v/>
      </c>
      <c r="M1443" s="261">
        <f>IFERROR(__xludf.DUMMYFUNCTION("""COMPUTED_VALUE"""),200.0)</f>
        <v>200</v>
      </c>
      <c r="N1443" s="262" t="str">
        <f>IFERROR(__xludf.DUMMYFUNCTION("""COMPUTED_VALUE"""),"")</f>
        <v/>
      </c>
      <c r="O1443" s="259" t="str">
        <f>IFERROR(__xludf.DUMMYFUNCTION("""COMPUTED_VALUE"""),"")</f>
        <v/>
      </c>
      <c r="P1443" s="259">
        <f>IFERROR(__xludf.DUMMYFUNCTION("""COMPUTED_VALUE"""),42298.0)</f>
        <v>42298</v>
      </c>
      <c r="Q1443" s="258">
        <f>IFERROR(__xludf.DUMMYFUNCTION("""COMPUTED_VALUE"""),44780.0)</f>
        <v>44780</v>
      </c>
      <c r="R1443" s="261">
        <f>IFERROR(__xludf.DUMMYFUNCTION("""COMPUTED_VALUE"""),256.0)</f>
        <v>256</v>
      </c>
      <c r="S1443" s="258">
        <v>284.0</v>
      </c>
      <c r="T1443" s="263">
        <v>0.9014084507042254</v>
      </c>
      <c r="U1443" s="264">
        <v>27825.0</v>
      </c>
      <c r="V1443" s="265">
        <v>44780.0</v>
      </c>
      <c r="W1443" s="264">
        <v>27825.0</v>
      </c>
      <c r="X1443" s="266"/>
      <c r="Y1443" s="267">
        <v>-0.01</v>
      </c>
      <c r="Z1443" s="267">
        <v>0.9614841749776959</v>
      </c>
      <c r="AA1443" s="269"/>
      <c r="AB1443" s="270"/>
      <c r="AC1443" s="270"/>
      <c r="AD1443" s="270"/>
      <c r="AE1443" s="270"/>
    </row>
    <row r="1444">
      <c r="A1444" s="256">
        <f>IFERROR(__xludf.DUMMYFUNCTION("""COMPUTED_VALUE"""),43613.73443938657)</f>
        <v>43613.73444</v>
      </c>
      <c r="B1444" s="257" t="str">
        <f>IFERROR(__xludf.DUMMYFUNCTION("""COMPUTED_VALUE"""),"triprip")</f>
        <v>triprip</v>
      </c>
      <c r="C1444" s="258" t="str">
        <f>IFERROR(__xludf.DUMMYFUNCTION("""COMPUTED_VALUE"""),"Canada")</f>
        <v>Canada</v>
      </c>
      <c r="D1444" s="258" t="str">
        <f>IFERROR(__xludf.DUMMYFUNCTION("""COMPUTED_VALUE"""),"km. My car displays range in kilometres and I will enter all range numbers in kilometres.")</f>
        <v>km. My car displays range in kilometres and I will enter all range numbers in kilometres.</v>
      </c>
      <c r="E1444" s="259">
        <f>IFERROR(__xludf.DUMMYFUNCTION("""COMPUTED_VALUE"""),43314.0)</f>
        <v>43314</v>
      </c>
      <c r="F1444" s="258" t="str">
        <f>IFERROR(__xludf.DUMMYFUNCTION("""COMPUTED_VALUE"""),"Model X 75D")</f>
        <v>Model X 75D</v>
      </c>
      <c r="G1444" s="258" t="str">
        <f>IFERROR(__xludf.DUMMYFUNCTION("""COMPUTED_VALUE"""),"Weekly")</f>
        <v>Weekly</v>
      </c>
      <c r="H1444" s="258" t="str">
        <f>IFERROR(__xludf.DUMMYFUNCTION("""COMPUTED_VALUE"""),"A few times a year")</f>
        <v>A few times a year</v>
      </c>
      <c r="I1444" s="258" t="str">
        <f>IFERROR(__xludf.DUMMYFUNCTION("""COMPUTED_VALUE"""),"Never")</f>
        <v>Never</v>
      </c>
      <c r="J1444" s="260">
        <f>IFERROR(__xludf.DUMMYFUNCTION("""COMPUTED_VALUE"""),0.9)</f>
        <v>0.9</v>
      </c>
      <c r="K1444" s="258">
        <f>IFERROR(__xludf.DUMMYFUNCTION("""COMPUTED_VALUE"""),373.0)</f>
        <v>373</v>
      </c>
      <c r="L1444" s="258" t="str">
        <f>IFERROR(__xludf.DUMMYFUNCTION("""COMPUTED_VALUE"""),"")</f>
        <v/>
      </c>
      <c r="M1444" s="261" t="str">
        <f>IFERROR(__xludf.DUMMYFUNCTION("""COMPUTED_VALUE"""),"")</f>
        <v/>
      </c>
      <c r="N1444" s="262" t="str">
        <f>IFERROR(__xludf.DUMMYFUNCTION("""COMPUTED_VALUE"""),"")</f>
        <v/>
      </c>
      <c r="O1444" s="259" t="str">
        <f>IFERROR(__xludf.DUMMYFUNCTION("""COMPUTED_VALUE"""),"")</f>
        <v/>
      </c>
      <c r="P1444" s="259">
        <f>IFERROR(__xludf.DUMMYFUNCTION("""COMPUTED_VALUE"""),43527.0)</f>
        <v>43527</v>
      </c>
      <c r="Q1444" s="258">
        <f>IFERROR(__xludf.DUMMYFUNCTION("""COMPUTED_VALUE"""),8318.0)</f>
        <v>8318</v>
      </c>
      <c r="R1444" s="261">
        <f>IFERROR(__xludf.DUMMYFUNCTION("""COMPUTED_VALUE"""),368.0)</f>
        <v>368</v>
      </c>
      <c r="S1444" s="258">
        <v>377.0</v>
      </c>
      <c r="T1444" s="263">
        <v>0.9761273209549072</v>
      </c>
      <c r="U1444" s="264">
        <v>5169.0</v>
      </c>
      <c r="V1444" s="265">
        <v>8318.0</v>
      </c>
      <c r="W1444" s="264">
        <v>5169.0</v>
      </c>
      <c r="X1444" s="266"/>
      <c r="Y1444" s="267">
        <v>-0.01</v>
      </c>
      <c r="Z1444" s="267">
        <v>0.9864092772974993</v>
      </c>
      <c r="AA1444" s="269"/>
      <c r="AB1444" s="270"/>
      <c r="AC1444" s="270"/>
      <c r="AD1444" s="270"/>
      <c r="AE1444" s="270"/>
    </row>
    <row r="1445">
      <c r="A1445" s="256">
        <f>IFERROR(__xludf.DUMMYFUNCTION("""COMPUTED_VALUE"""),43613.73443938657)</f>
        <v>43613.73444</v>
      </c>
      <c r="B1445" s="257" t="str">
        <f>IFERROR(__xludf.DUMMYFUNCTION("""COMPUTED_VALUE"""),"triprip")</f>
        <v>triprip</v>
      </c>
      <c r="C1445" s="258" t="str">
        <f>IFERROR(__xludf.DUMMYFUNCTION("""COMPUTED_VALUE"""),"Canada")</f>
        <v>Canada</v>
      </c>
      <c r="D1445" s="258" t="str">
        <f>IFERROR(__xludf.DUMMYFUNCTION("""COMPUTED_VALUE"""),"km. My car displays range in kilometres and I will enter all range numbers in kilometres.")</f>
        <v>km. My car displays range in kilometres and I will enter all range numbers in kilometres.</v>
      </c>
      <c r="E1445" s="259">
        <f>IFERROR(__xludf.DUMMYFUNCTION("""COMPUTED_VALUE"""),43314.0)</f>
        <v>43314</v>
      </c>
      <c r="F1445" s="258" t="str">
        <f>IFERROR(__xludf.DUMMYFUNCTION("""COMPUTED_VALUE"""),"Model X 75D")</f>
        <v>Model X 75D</v>
      </c>
      <c r="G1445" s="258" t="str">
        <f>IFERROR(__xludf.DUMMYFUNCTION("""COMPUTED_VALUE"""),"Weekly")</f>
        <v>Weekly</v>
      </c>
      <c r="H1445" s="258" t="str">
        <f>IFERROR(__xludf.DUMMYFUNCTION("""COMPUTED_VALUE"""),"A few times a year")</f>
        <v>A few times a year</v>
      </c>
      <c r="I1445" s="258" t="str">
        <f>IFERROR(__xludf.DUMMYFUNCTION("""COMPUTED_VALUE"""),"Never")</f>
        <v>Never</v>
      </c>
      <c r="J1445" s="260">
        <f>IFERROR(__xludf.DUMMYFUNCTION("""COMPUTED_VALUE"""),0.9)</f>
        <v>0.9</v>
      </c>
      <c r="K1445" s="258">
        <f>IFERROR(__xludf.DUMMYFUNCTION("""COMPUTED_VALUE"""),373.0)</f>
        <v>373</v>
      </c>
      <c r="L1445" s="258" t="str">
        <f>IFERROR(__xludf.DUMMYFUNCTION("""COMPUTED_VALUE"""),"")</f>
        <v/>
      </c>
      <c r="M1445" s="261" t="str">
        <f>IFERROR(__xludf.DUMMYFUNCTION("""COMPUTED_VALUE"""),"")</f>
        <v/>
      </c>
      <c r="N1445" s="262" t="str">
        <f>IFERROR(__xludf.DUMMYFUNCTION("""COMPUTED_VALUE"""),"")</f>
        <v/>
      </c>
      <c r="O1445" s="259" t="str">
        <f>IFERROR(__xludf.DUMMYFUNCTION("""COMPUTED_VALUE"""),"")</f>
        <v/>
      </c>
      <c r="P1445" s="259">
        <f>IFERROR(__xludf.DUMMYFUNCTION("""COMPUTED_VALUE"""),43567.0)</f>
        <v>43567</v>
      </c>
      <c r="Q1445" s="258">
        <f>IFERROR(__xludf.DUMMYFUNCTION("""COMPUTED_VALUE"""),12747.0)</f>
        <v>12747</v>
      </c>
      <c r="R1445" s="261">
        <f>IFERROR(__xludf.DUMMYFUNCTION("""COMPUTED_VALUE"""),369.5)</f>
        <v>369.5</v>
      </c>
      <c r="S1445" s="258">
        <v>377.0</v>
      </c>
      <c r="T1445" s="263">
        <v>0.980106100795756</v>
      </c>
      <c r="U1445" s="264">
        <v>7921.0</v>
      </c>
      <c r="V1445" s="265">
        <v>12747.0</v>
      </c>
      <c r="W1445" s="264">
        <v>7921.0</v>
      </c>
      <c r="X1445" s="266"/>
      <c r="Y1445" s="267">
        <v>-0.01</v>
      </c>
      <c r="Z1445" s="267">
        <v>0.9811269920810873</v>
      </c>
      <c r="AA1445" s="269"/>
      <c r="AB1445" s="270"/>
      <c r="AC1445" s="270"/>
      <c r="AD1445" s="270"/>
      <c r="AE1445" s="270"/>
    </row>
    <row r="1446">
      <c r="A1446" s="256">
        <f>IFERROR(__xludf.DUMMYFUNCTION("""COMPUTED_VALUE"""),43024.62708333333)</f>
        <v>43024.62708</v>
      </c>
      <c r="B1446" s="257" t="str">
        <f>IFERROR(__xludf.DUMMYFUNCTION("""COMPUTED_VALUE"""),"trou")</f>
        <v>trou</v>
      </c>
      <c r="C1446" s="258" t="str">
        <f>IFERROR(__xludf.DUMMYFUNCTION("""COMPUTED_VALUE"""),"Europe (excluding UK) &amp; Asia Pacific")</f>
        <v>Europe (excluding UK) &amp; Asia Pacific</v>
      </c>
      <c r="D1446" s="258" t="str">
        <f>IFERROR(__xludf.DUMMYFUNCTION("""COMPUTED_VALUE"""),"km. My car displays range in kilometres and I will enter all range numbers in kilometres.")</f>
        <v>km. My car displays range in kilometres and I will enter all range numbers in kilometres.</v>
      </c>
      <c r="E1446" s="259">
        <f>IFERROR(__xludf.DUMMYFUNCTION("""COMPUTED_VALUE"""),41957.0)</f>
        <v>41957</v>
      </c>
      <c r="F1446" s="258" t="str">
        <f>IFERROR(__xludf.DUMMYFUNCTION("""COMPUTED_VALUE"""),"Model S 85")</f>
        <v>Model S 85</v>
      </c>
      <c r="G1446" s="258" t="str">
        <f>IFERROR(__xludf.DUMMYFUNCTION("""COMPUTED_VALUE"""),"Twice a month")</f>
        <v>Twice a month</v>
      </c>
      <c r="H1446" s="258" t="str">
        <f>IFERROR(__xludf.DUMMYFUNCTION("""COMPUTED_VALUE"""),"A few times a year")</f>
        <v>A few times a year</v>
      </c>
      <c r="I1446" s="258" t="str">
        <f>IFERROR(__xludf.DUMMYFUNCTION("""COMPUTED_VALUE"""),"Twice a month")</f>
        <v>Twice a month</v>
      </c>
      <c r="J1446" s="260">
        <f>IFERROR(__xludf.DUMMYFUNCTION("""COMPUTED_VALUE"""),0.6)</f>
        <v>0.6</v>
      </c>
      <c r="K1446" s="258">
        <f>IFERROR(__xludf.DUMMYFUNCTION("""COMPUTED_VALUE"""),396.0)</f>
        <v>396</v>
      </c>
      <c r="L1446" s="258" t="str">
        <f>IFERROR(__xludf.DUMMYFUNCTION("""COMPUTED_VALUE"""),"")</f>
        <v/>
      </c>
      <c r="M1446" s="261">
        <f>IFERROR(__xludf.DUMMYFUNCTION("""COMPUTED_VALUE"""),223.0)</f>
        <v>223</v>
      </c>
      <c r="N1446" s="262" t="str">
        <f>IFERROR(__xludf.DUMMYFUNCTION("""COMPUTED_VALUE"""),"")</f>
        <v/>
      </c>
      <c r="O1446" s="259" t="str">
        <f>IFERROR(__xludf.DUMMYFUNCTION("""COMPUTED_VALUE"""),"")</f>
        <v/>
      </c>
      <c r="P1446" s="259">
        <f>IFERROR(__xludf.DUMMYFUNCTION("""COMPUTED_VALUE"""),43024.0)</f>
        <v>43024</v>
      </c>
      <c r="Q1446" s="258">
        <f>IFERROR(__xludf.DUMMYFUNCTION("""COMPUTED_VALUE"""),157556.0)</f>
        <v>157556</v>
      </c>
      <c r="R1446" s="261">
        <f>IFERROR(__xludf.DUMMYFUNCTION("""COMPUTED_VALUE"""),370.0)</f>
        <v>370</v>
      </c>
      <c r="S1446" s="258">
        <v>395.0</v>
      </c>
      <c r="T1446" s="263">
        <v>0.9367088607594937</v>
      </c>
      <c r="U1446" s="264">
        <v>97901.0</v>
      </c>
      <c r="V1446" s="265">
        <v>157556.0</v>
      </c>
      <c r="W1446" s="264">
        <v>97901.0</v>
      </c>
      <c r="X1446" s="266"/>
      <c r="Y1446" s="267">
        <v>-0.01</v>
      </c>
      <c r="Z1446" s="267">
        <v>0.9332228760854749</v>
      </c>
      <c r="AA1446" s="269"/>
      <c r="AB1446" s="270"/>
      <c r="AC1446" s="270"/>
      <c r="AD1446" s="270"/>
      <c r="AE1446" s="270"/>
    </row>
    <row r="1447">
      <c r="A1447" s="256">
        <f>IFERROR(__xludf.DUMMYFUNCTION("""COMPUTED_VALUE"""),42292.20416666666)</f>
        <v>42292.20417</v>
      </c>
      <c r="B1447" s="257" t="str">
        <f>IFERROR(__xludf.DUMMYFUNCTION("""COMPUTED_VALUE"""),"trygvelo")</f>
        <v>trygvelo</v>
      </c>
      <c r="C1447" s="258" t="str">
        <f>IFERROR(__xludf.DUMMYFUNCTION("""COMPUTED_VALUE"""),"Europe (excluding UK) &amp; Asia Pacific")</f>
        <v>Europe (excluding UK) &amp; Asia Pacific</v>
      </c>
      <c r="D1447" s="258" t="str">
        <f>IFERROR(__xludf.DUMMYFUNCTION("""COMPUTED_VALUE"""),"km. My car displays range in kilometres and I will enter all range numbers in kilometres.")</f>
        <v>km. My car displays range in kilometres and I will enter all range numbers in kilometres.</v>
      </c>
      <c r="E1447" s="259">
        <f>IFERROR(__xludf.DUMMYFUNCTION("""COMPUTED_VALUE"""),41547.0)</f>
        <v>41547</v>
      </c>
      <c r="F1447" s="258" t="str">
        <f>IFERROR(__xludf.DUMMYFUNCTION("""COMPUTED_VALUE"""),"Model S P85+")</f>
        <v>Model S P85+</v>
      </c>
      <c r="G1447" s="258" t="str">
        <f>IFERROR(__xludf.DUMMYFUNCTION("""COMPUTED_VALUE"""),"A few times a year")</f>
        <v>A few times a year</v>
      </c>
      <c r="H1447" s="258" t="str">
        <f>IFERROR(__xludf.DUMMYFUNCTION("""COMPUTED_VALUE"""),"A few times a year")</f>
        <v>A few times a year</v>
      </c>
      <c r="I1447" s="258" t="str">
        <f>IFERROR(__xludf.DUMMYFUNCTION("""COMPUTED_VALUE"""),"Once or twice a year")</f>
        <v>Once or twice a year</v>
      </c>
      <c r="J1447" s="260">
        <f>IFERROR(__xludf.DUMMYFUNCTION("""COMPUTED_VALUE"""),0.7)</f>
        <v>0.7</v>
      </c>
      <c r="K1447" s="258">
        <f>IFERROR(__xludf.DUMMYFUNCTION("""COMPUTED_VALUE"""),387.0)</f>
        <v>387</v>
      </c>
      <c r="L1447" s="258" t="str">
        <f>IFERROR(__xludf.DUMMYFUNCTION("""COMPUTED_VALUE"""),"")</f>
        <v/>
      </c>
      <c r="M1447" s="261">
        <f>IFERROR(__xludf.DUMMYFUNCTION("""COMPUTED_VALUE"""),223.0)</f>
        <v>223</v>
      </c>
      <c r="N1447" s="262" t="str">
        <f>IFERROR(__xludf.DUMMYFUNCTION("""COMPUTED_VALUE"""),"")</f>
        <v/>
      </c>
      <c r="O1447" s="259" t="str">
        <f>IFERROR(__xludf.DUMMYFUNCTION("""COMPUTED_VALUE"""),"")</f>
        <v/>
      </c>
      <c r="P1447" s="259">
        <f>IFERROR(__xludf.DUMMYFUNCTION("""COMPUTED_VALUE"""),42292.0)</f>
        <v>42292</v>
      </c>
      <c r="Q1447" s="258">
        <f>IFERROR(__xludf.DUMMYFUNCTION("""COMPUTED_VALUE"""),40532.0)</f>
        <v>40532</v>
      </c>
      <c r="R1447" s="261">
        <f>IFERROR(__xludf.DUMMYFUNCTION("""COMPUTED_VALUE"""),367.0)</f>
        <v>367</v>
      </c>
      <c r="S1447" s="258">
        <v>395.0</v>
      </c>
      <c r="T1447" s="263">
        <v>0.9291139240506329</v>
      </c>
      <c r="U1447" s="264">
        <v>25185.0</v>
      </c>
      <c r="V1447" s="265">
        <v>40532.0</v>
      </c>
      <c r="W1447" s="264">
        <v>25185.0</v>
      </c>
      <c r="X1447" s="266"/>
      <c r="Y1447" s="267">
        <v>-0.01</v>
      </c>
      <c r="Z1447" s="267">
        <v>0.9630951544990359</v>
      </c>
      <c r="AA1447" s="269"/>
      <c r="AB1447" s="270"/>
      <c r="AC1447" s="270"/>
      <c r="AD1447" s="270"/>
      <c r="AE1447" s="270"/>
    </row>
    <row r="1448">
      <c r="A1448" s="256">
        <f>IFERROR(__xludf.DUMMYFUNCTION("""COMPUTED_VALUE"""),42674.913194444445)</f>
        <v>42674.91319</v>
      </c>
      <c r="B1448" s="257" t="str">
        <f>IFERROR(__xludf.DUMMYFUNCTION("""COMPUTED_VALUE"""),"TStolz")</f>
        <v>TStolz</v>
      </c>
      <c r="C1448" s="258" t="str">
        <f>IFERROR(__xludf.DUMMYFUNCTION("""COMPUTED_VALUE"""),"Canada")</f>
        <v>Canada</v>
      </c>
      <c r="D1448" s="258" t="str">
        <f>IFERROR(__xludf.DUMMYFUNCTION("""COMPUTED_VALUE"""),"km. My car displays range in kilometres and I will enter all range numbers in kilometres.")</f>
        <v>km. My car displays range in kilometres and I will enter all range numbers in kilometres.</v>
      </c>
      <c r="E1448" s="259">
        <f>IFERROR(__xludf.DUMMYFUNCTION("""COMPUTED_VALUE"""),41685.0)</f>
        <v>41685</v>
      </c>
      <c r="F1448" s="258" t="str">
        <f>IFERROR(__xludf.DUMMYFUNCTION("""COMPUTED_VALUE"""),"Model S 85D")</f>
        <v>Model S 85D</v>
      </c>
      <c r="G1448" s="258" t="str">
        <f>IFERROR(__xludf.DUMMYFUNCTION("""COMPUTED_VALUE"""),"Monthly")</f>
        <v>Monthly</v>
      </c>
      <c r="H1448" s="258" t="str">
        <f>IFERROR(__xludf.DUMMYFUNCTION("""COMPUTED_VALUE"""),"A few times a year")</f>
        <v>A few times a year</v>
      </c>
      <c r="I1448" s="258" t="str">
        <f>IFERROR(__xludf.DUMMYFUNCTION("""COMPUTED_VALUE"""),"Never")</f>
        <v>Never</v>
      </c>
      <c r="J1448" s="260">
        <f>IFERROR(__xludf.DUMMYFUNCTION("""COMPUTED_VALUE"""),0.9)</f>
        <v>0.9</v>
      </c>
      <c r="K1448" s="258">
        <f>IFERROR(__xludf.DUMMYFUNCTION("""COMPUTED_VALUE"""),435.0)</f>
        <v>435</v>
      </c>
      <c r="L1448" s="258" t="str">
        <f>IFERROR(__xludf.DUMMYFUNCTION("""COMPUTED_VALUE"""),"")</f>
        <v/>
      </c>
      <c r="M1448" s="261">
        <f>IFERROR(__xludf.DUMMYFUNCTION("""COMPUTED_VALUE"""),214.0)</f>
        <v>214</v>
      </c>
      <c r="N1448" s="262" t="str">
        <f>IFERROR(__xludf.DUMMYFUNCTION("""COMPUTED_VALUE"""),"")</f>
        <v/>
      </c>
      <c r="O1448" s="259" t="str">
        <f>IFERROR(__xludf.DUMMYFUNCTION("""COMPUTED_VALUE"""),"")</f>
        <v/>
      </c>
      <c r="P1448" s="259">
        <f>IFERROR(__xludf.DUMMYFUNCTION("""COMPUTED_VALUE"""),42674.0)</f>
        <v>42674</v>
      </c>
      <c r="Q1448" s="258">
        <f>IFERROR(__xludf.DUMMYFUNCTION("""COMPUTED_VALUE"""),90000.0)</f>
        <v>90000</v>
      </c>
      <c r="R1448" s="261">
        <f>IFERROR(__xludf.DUMMYFUNCTION("""COMPUTED_VALUE"""),428.0)</f>
        <v>428</v>
      </c>
      <c r="S1448" s="258">
        <v>435.0</v>
      </c>
      <c r="T1448" s="263">
        <v>0.9839080459770115</v>
      </c>
      <c r="U1448" s="264">
        <v>55923.0</v>
      </c>
      <c r="V1448" s="265">
        <v>90000.0</v>
      </c>
      <c r="W1448" s="264">
        <v>55923.0</v>
      </c>
      <c r="X1448" s="266"/>
      <c r="Y1448" s="267">
        <v>-0.01</v>
      </c>
      <c r="Z1448" s="267">
        <v>0.948963812819512</v>
      </c>
      <c r="AA1448" s="269"/>
      <c r="AB1448" s="270"/>
      <c r="AC1448" s="270"/>
      <c r="AD1448" s="270"/>
      <c r="AE1448" s="270"/>
    </row>
    <row r="1449">
      <c r="A1449" s="256">
        <f>IFERROR(__xludf.DUMMYFUNCTION("""COMPUTED_VALUE"""),41909.023611111115)</f>
        <v>41909.02361</v>
      </c>
      <c r="B1449" s="257" t="str">
        <f>IFERROR(__xludf.DUMMYFUNCTION("""COMPUTED_VALUE"""),"TTheo")</f>
        <v>TTheo</v>
      </c>
      <c r="C1449" s="258" t="str">
        <f>IFERROR(__xludf.DUMMYFUNCTION("""COMPUTED_VALUE"""),"Europe (excluding UK) &amp; Asia Pacific")</f>
        <v>Europe (excluding UK) &amp; Asia Pacific</v>
      </c>
      <c r="D1449" s="258" t="str">
        <f>IFERROR(__xludf.DUMMYFUNCTION("""COMPUTED_VALUE"""),"km. My car displays range in kilometres and I will enter all range numbers in kilometres.")</f>
        <v>km. My car displays range in kilometres and I will enter all range numbers in kilometres.</v>
      </c>
      <c r="E1449" s="259">
        <f>IFERROR(__xludf.DUMMYFUNCTION("""COMPUTED_VALUE"""),41766.0)</f>
        <v>41766</v>
      </c>
      <c r="F1449" s="258" t="str">
        <f>IFERROR(__xludf.DUMMYFUNCTION("""COMPUTED_VALUE"""),"Model S 60")</f>
        <v>Model S 60</v>
      </c>
      <c r="G1449" s="258" t="str">
        <f>IFERROR(__xludf.DUMMYFUNCTION("""COMPUTED_VALUE"""),"Never")</f>
        <v>Never</v>
      </c>
      <c r="H1449" s="258" t="str">
        <f>IFERROR(__xludf.DUMMYFUNCTION("""COMPUTED_VALUE"""),"Monthly")</f>
        <v>Monthly</v>
      </c>
      <c r="I1449" s="258" t="str">
        <f>IFERROR(__xludf.DUMMYFUNCTION("""COMPUTED_VALUE"""),"Never")</f>
        <v>Never</v>
      </c>
      <c r="J1449" s="260" t="str">
        <f>IFERROR(__xludf.DUMMYFUNCTION("""COMPUTED_VALUE"""),"")</f>
        <v/>
      </c>
      <c r="K1449" s="258" t="str">
        <f>IFERROR(__xludf.DUMMYFUNCTION("""COMPUTED_VALUE"""),"")</f>
        <v/>
      </c>
      <c r="L1449" s="258" t="str">
        <f>IFERROR(__xludf.DUMMYFUNCTION("""COMPUTED_VALUE"""),"")</f>
        <v/>
      </c>
      <c r="M1449" s="261">
        <f>IFERROR(__xludf.DUMMYFUNCTION("""COMPUTED_VALUE"""),205.0)</f>
        <v>205</v>
      </c>
      <c r="N1449" s="262" t="str">
        <f>IFERROR(__xludf.DUMMYFUNCTION("""COMPUTED_VALUE"""),"")</f>
        <v/>
      </c>
      <c r="O1449" s="259" t="str">
        <f>IFERROR(__xludf.DUMMYFUNCTION("""COMPUTED_VALUE"""),"")</f>
        <v/>
      </c>
      <c r="P1449" s="259">
        <f>IFERROR(__xludf.DUMMYFUNCTION("""COMPUTED_VALUE"""),41909.0)</f>
        <v>41909</v>
      </c>
      <c r="Q1449" s="258">
        <f>IFERROR(__xludf.DUMMYFUNCTION("""COMPUTED_VALUE"""),9161.0)</f>
        <v>9161</v>
      </c>
      <c r="R1449" s="261">
        <f>IFERROR(__xludf.DUMMYFUNCTION("""COMPUTED_VALUE"""),280.0)</f>
        <v>280</v>
      </c>
      <c r="S1449" s="258">
        <v>284.0</v>
      </c>
      <c r="T1449" s="263">
        <v>0.9859154929577465</v>
      </c>
      <c r="U1449" s="264">
        <v>5692.0</v>
      </c>
      <c r="V1449" s="265">
        <v>9161.0</v>
      </c>
      <c r="W1449" s="264">
        <v>5692.0</v>
      </c>
      <c r="X1449" s="266"/>
      <c r="Y1449" s="267">
        <v>-0.01</v>
      </c>
      <c r="Z1449" s="267">
        <v>0.9853171550253644</v>
      </c>
      <c r="AA1449" s="269"/>
      <c r="AB1449" s="270"/>
      <c r="AC1449" s="270"/>
      <c r="AD1449" s="270"/>
      <c r="AE1449" s="270"/>
    </row>
    <row r="1450">
      <c r="A1450" s="256">
        <f>IFERROR(__xludf.DUMMYFUNCTION("""COMPUTED_VALUE"""),42020.05625)</f>
        <v>42020.05625</v>
      </c>
      <c r="B1450" s="257" t="str">
        <f>IFERROR(__xludf.DUMMYFUNCTION("""COMPUTED_VALUE"""),"TTheo")</f>
        <v>TTheo</v>
      </c>
      <c r="C1450" s="258" t="str">
        <f>IFERROR(__xludf.DUMMYFUNCTION("""COMPUTED_VALUE"""),"Europe (excluding UK) &amp; Asia Pacific")</f>
        <v>Europe (excluding UK) &amp; Asia Pacific</v>
      </c>
      <c r="D1450" s="258" t="str">
        <f>IFERROR(__xludf.DUMMYFUNCTION("""COMPUTED_VALUE"""),"km. My car displays range in kilometres and I will enter all range numbers in kilometres.")</f>
        <v>km. My car displays range in kilometres and I will enter all range numbers in kilometres.</v>
      </c>
      <c r="E1450" s="259">
        <f>IFERROR(__xludf.DUMMYFUNCTION("""COMPUTED_VALUE"""),41766.0)</f>
        <v>41766</v>
      </c>
      <c r="F1450" s="258" t="str">
        <f>IFERROR(__xludf.DUMMYFUNCTION("""COMPUTED_VALUE"""),"Model S 60")</f>
        <v>Model S 60</v>
      </c>
      <c r="G1450" s="258" t="str">
        <f>IFERROR(__xludf.DUMMYFUNCTION("""COMPUTED_VALUE"""),"Never")</f>
        <v>Never</v>
      </c>
      <c r="H1450" s="258" t="str">
        <f>IFERROR(__xludf.DUMMYFUNCTION("""COMPUTED_VALUE"""),"Monthly")</f>
        <v>Monthly</v>
      </c>
      <c r="I1450" s="258" t="str">
        <f>IFERROR(__xludf.DUMMYFUNCTION("""COMPUTED_VALUE"""),"Once or twice a year")</f>
        <v>Once or twice a year</v>
      </c>
      <c r="J1450" s="260" t="str">
        <f>IFERROR(__xludf.DUMMYFUNCTION("""COMPUTED_VALUE"""),"")</f>
        <v/>
      </c>
      <c r="K1450" s="258" t="str">
        <f>IFERROR(__xludf.DUMMYFUNCTION("""COMPUTED_VALUE"""),"")</f>
        <v/>
      </c>
      <c r="L1450" s="258" t="str">
        <f>IFERROR(__xludf.DUMMYFUNCTION("""COMPUTED_VALUE"""),"")</f>
        <v/>
      </c>
      <c r="M1450" s="261">
        <f>IFERROR(__xludf.DUMMYFUNCTION("""COMPUTED_VALUE"""),216.0)</f>
        <v>216</v>
      </c>
      <c r="N1450" s="262" t="str">
        <f>IFERROR(__xludf.DUMMYFUNCTION("""COMPUTED_VALUE"""),"")</f>
        <v/>
      </c>
      <c r="O1450" s="259" t="str">
        <f>IFERROR(__xludf.DUMMYFUNCTION("""COMPUTED_VALUE"""),"")</f>
        <v/>
      </c>
      <c r="P1450" s="259">
        <f>IFERROR(__xludf.DUMMYFUNCTION("""COMPUTED_VALUE"""),42020.0)</f>
        <v>42020</v>
      </c>
      <c r="Q1450" s="258">
        <f>IFERROR(__xludf.DUMMYFUNCTION("""COMPUTED_VALUE"""),14267.0)</f>
        <v>14267</v>
      </c>
      <c r="R1450" s="261">
        <f>IFERROR(__xludf.DUMMYFUNCTION("""COMPUTED_VALUE"""),272.0)</f>
        <v>272</v>
      </c>
      <c r="S1450" s="258">
        <v>284.0</v>
      </c>
      <c r="T1450" s="263">
        <v>0.9577464788732394</v>
      </c>
      <c r="U1450" s="264">
        <v>8865.0</v>
      </c>
      <c r="V1450" s="265">
        <v>14267.0</v>
      </c>
      <c r="W1450" s="264">
        <v>8865.0</v>
      </c>
      <c r="X1450" s="266"/>
      <c r="Y1450" s="267">
        <v>-0.01</v>
      </c>
      <c r="Z1450" s="267">
        <v>0.9795493625487671</v>
      </c>
      <c r="AA1450" s="269"/>
      <c r="AB1450" s="270"/>
      <c r="AC1450" s="270"/>
      <c r="AD1450" s="270"/>
      <c r="AE1450" s="270"/>
    </row>
    <row r="1451">
      <c r="A1451" s="256">
        <f>IFERROR(__xludf.DUMMYFUNCTION("""COMPUTED_VALUE"""),42120.10486111111)</f>
        <v>42120.10486</v>
      </c>
      <c r="B1451" s="257" t="str">
        <f>IFERROR(__xludf.DUMMYFUNCTION("""COMPUTED_VALUE"""),"TTheo")</f>
        <v>TTheo</v>
      </c>
      <c r="C1451" s="258" t="str">
        <f>IFERROR(__xludf.DUMMYFUNCTION("""COMPUTED_VALUE"""),"Europe (excluding UK) &amp; Asia Pacific")</f>
        <v>Europe (excluding UK) &amp; Asia Pacific</v>
      </c>
      <c r="D1451" s="258" t="str">
        <f>IFERROR(__xludf.DUMMYFUNCTION("""COMPUTED_VALUE"""),"km. My car displays range in kilometres and I will enter all range numbers in kilometres.")</f>
        <v>km. My car displays range in kilometres and I will enter all range numbers in kilometres.</v>
      </c>
      <c r="E1451" s="259">
        <f>IFERROR(__xludf.DUMMYFUNCTION("""COMPUTED_VALUE"""),41766.0)</f>
        <v>41766</v>
      </c>
      <c r="F1451" s="258" t="str">
        <f>IFERROR(__xludf.DUMMYFUNCTION("""COMPUTED_VALUE"""),"Model S 60")</f>
        <v>Model S 60</v>
      </c>
      <c r="G1451" s="258" t="str">
        <f>IFERROR(__xludf.DUMMYFUNCTION("""COMPUTED_VALUE"""),"Never")</f>
        <v>Never</v>
      </c>
      <c r="H1451" s="258" t="str">
        <f>IFERROR(__xludf.DUMMYFUNCTION("""COMPUTED_VALUE"""),"A few times a year")</f>
        <v>A few times a year</v>
      </c>
      <c r="I1451" s="258" t="str">
        <f>IFERROR(__xludf.DUMMYFUNCTION("""COMPUTED_VALUE"""),"Once or twice a year")</f>
        <v>Once or twice a year</v>
      </c>
      <c r="J1451" s="260" t="str">
        <f>IFERROR(__xludf.DUMMYFUNCTION("""COMPUTED_VALUE"""),"")</f>
        <v/>
      </c>
      <c r="K1451" s="258" t="str">
        <f>IFERROR(__xludf.DUMMYFUNCTION("""COMPUTED_VALUE"""),"")</f>
        <v/>
      </c>
      <c r="L1451" s="258" t="str">
        <f>IFERROR(__xludf.DUMMYFUNCTION("""COMPUTED_VALUE"""),"")</f>
        <v/>
      </c>
      <c r="M1451" s="261">
        <f>IFERROR(__xludf.DUMMYFUNCTION("""COMPUTED_VALUE"""),220.0)</f>
        <v>220</v>
      </c>
      <c r="N1451" s="262" t="str">
        <f>IFERROR(__xludf.DUMMYFUNCTION("""COMPUTED_VALUE"""),"")</f>
        <v/>
      </c>
      <c r="O1451" s="259" t="str">
        <f>IFERROR(__xludf.DUMMYFUNCTION("""COMPUTED_VALUE"""),"")</f>
        <v/>
      </c>
      <c r="P1451" s="259">
        <f>IFERROR(__xludf.DUMMYFUNCTION("""COMPUTED_VALUE"""),42120.0)</f>
        <v>42120</v>
      </c>
      <c r="Q1451" s="258">
        <f>IFERROR(__xludf.DUMMYFUNCTION("""COMPUTED_VALUE"""),18793.0)</f>
        <v>18793</v>
      </c>
      <c r="R1451" s="261">
        <f>IFERROR(__xludf.DUMMYFUNCTION("""COMPUTED_VALUE"""),272.0)</f>
        <v>272</v>
      </c>
      <c r="S1451" s="258">
        <v>284.0</v>
      </c>
      <c r="T1451" s="263">
        <v>0.9577464788732394</v>
      </c>
      <c r="U1451" s="264">
        <v>11677.0</v>
      </c>
      <c r="V1451" s="265">
        <v>18793.0</v>
      </c>
      <c r="W1451" s="264">
        <v>11677.0</v>
      </c>
      <c r="X1451" s="266"/>
      <c r="Y1451" s="267">
        <v>-0.01</v>
      </c>
      <c r="Z1451" s="267">
        <v>0.9754328048179634</v>
      </c>
      <c r="AA1451" s="269"/>
      <c r="AB1451" s="270"/>
      <c r="AC1451" s="270"/>
      <c r="AD1451" s="270"/>
      <c r="AE1451" s="270"/>
    </row>
    <row r="1452">
      <c r="A1452" s="256">
        <f>IFERROR(__xludf.DUMMYFUNCTION("""COMPUTED_VALUE"""),42581.37013888889)</f>
        <v>42581.37014</v>
      </c>
      <c r="B1452" s="257" t="str">
        <f>IFERROR(__xludf.DUMMYFUNCTION("""COMPUTED_VALUE"""),"twall-e")</f>
        <v>twall-e</v>
      </c>
      <c r="C1452" s="258" t="str">
        <f>IFERROR(__xludf.DUMMYFUNCTION("""COMPUTED_VALUE"""),"Europe (excluding UK) &amp; Asia Pacific")</f>
        <v>Europe (excluding UK) &amp; Asia Pacific</v>
      </c>
      <c r="D1452" s="258" t="str">
        <f>IFERROR(__xludf.DUMMYFUNCTION("""COMPUTED_VALUE"""),"km. My car displays range in kilometres and I will enter all range numbers in kilometres.")</f>
        <v>km. My car displays range in kilometres and I will enter all range numbers in kilometres.</v>
      </c>
      <c r="E1452" s="259">
        <f>IFERROR(__xludf.DUMMYFUNCTION("""COMPUTED_VALUE"""),42477.0)</f>
        <v>42477</v>
      </c>
      <c r="F1452" s="258" t="str">
        <f>IFERROR(__xludf.DUMMYFUNCTION("""COMPUTED_VALUE"""),"Model S 70D")</f>
        <v>Model S 70D</v>
      </c>
      <c r="G1452" s="258" t="str">
        <f>IFERROR(__xludf.DUMMYFUNCTION("""COMPUTED_VALUE"""),"")</f>
        <v/>
      </c>
      <c r="H1452" s="258" t="str">
        <f>IFERROR(__xludf.DUMMYFUNCTION("""COMPUTED_VALUE"""),"")</f>
        <v/>
      </c>
      <c r="I1452" s="258" t="str">
        <f>IFERROR(__xludf.DUMMYFUNCTION("""COMPUTED_VALUE"""),"")</f>
        <v/>
      </c>
      <c r="J1452" s="260" t="str">
        <f>IFERROR(__xludf.DUMMYFUNCTION("""COMPUTED_VALUE"""),"")</f>
        <v/>
      </c>
      <c r="K1452" s="258" t="str">
        <f>IFERROR(__xludf.DUMMYFUNCTION("""COMPUTED_VALUE"""),"")</f>
        <v/>
      </c>
      <c r="L1452" s="258" t="str">
        <f>IFERROR(__xludf.DUMMYFUNCTION("""COMPUTED_VALUE"""),"")</f>
        <v/>
      </c>
      <c r="M1452" s="261">
        <f>IFERROR(__xludf.DUMMYFUNCTION("""COMPUTED_VALUE"""),186.0)</f>
        <v>186</v>
      </c>
      <c r="N1452" s="262" t="str">
        <f>IFERROR(__xludf.DUMMYFUNCTION("""COMPUTED_VALUE"""),"")</f>
        <v/>
      </c>
      <c r="O1452" s="259" t="str">
        <f>IFERROR(__xludf.DUMMYFUNCTION("""COMPUTED_VALUE"""),"")</f>
        <v/>
      </c>
      <c r="P1452" s="259">
        <f>IFERROR(__xludf.DUMMYFUNCTION("""COMPUTED_VALUE"""),42581.0)</f>
        <v>42581</v>
      </c>
      <c r="Q1452" s="258">
        <f>IFERROR(__xludf.DUMMYFUNCTION("""COMPUTED_VALUE"""),1700.0)</f>
        <v>1700</v>
      </c>
      <c r="R1452" s="261">
        <f>IFERROR(__xludf.DUMMYFUNCTION("""COMPUTED_VALUE"""),363.0)</f>
        <v>363</v>
      </c>
      <c r="S1452" s="258">
        <v>360.0</v>
      </c>
      <c r="T1452" s="263">
        <v>1.0083333333333333</v>
      </c>
      <c r="U1452" s="264">
        <v>1056.0</v>
      </c>
      <c r="V1452" s="265">
        <v>1700.0</v>
      </c>
      <c r="W1452" s="264">
        <v>1056.0</v>
      </c>
      <c r="X1452" s="266"/>
      <c r="Y1452" s="267">
        <v>-0.01</v>
      </c>
      <c r="Z1452" s="267">
        <v>0.9967431493402386</v>
      </c>
      <c r="AA1452" s="269"/>
      <c r="AB1452" s="270"/>
      <c r="AC1452" s="270"/>
      <c r="AD1452" s="270"/>
      <c r="AE1452" s="270"/>
    </row>
    <row r="1453">
      <c r="A1453" s="256">
        <f>IFERROR(__xludf.DUMMYFUNCTION("""COMPUTED_VALUE"""),42614.38958333334)</f>
        <v>42614.38958</v>
      </c>
      <c r="B1453" s="257" t="str">
        <f>IFERROR(__xludf.DUMMYFUNCTION("""COMPUTED_VALUE"""),"twall-e")</f>
        <v>twall-e</v>
      </c>
      <c r="C1453" s="258" t="str">
        <f>IFERROR(__xludf.DUMMYFUNCTION("""COMPUTED_VALUE"""),"Europe (excluding UK) &amp; Asia Pacific")</f>
        <v>Europe (excluding UK) &amp; Asia Pacific</v>
      </c>
      <c r="D1453" s="258" t="str">
        <f>IFERROR(__xludf.DUMMYFUNCTION("""COMPUTED_VALUE"""),"km. My car displays range in kilometres and I will enter all range numbers in kilometres.")</f>
        <v>km. My car displays range in kilometres and I will enter all range numbers in kilometres.</v>
      </c>
      <c r="E1453" s="259">
        <f>IFERROR(__xludf.DUMMYFUNCTION("""COMPUTED_VALUE"""),42477.0)</f>
        <v>42477</v>
      </c>
      <c r="F1453" s="258" t="str">
        <f>IFERROR(__xludf.DUMMYFUNCTION("""COMPUTED_VALUE"""),"Model S 70D")</f>
        <v>Model S 70D</v>
      </c>
      <c r="G1453" s="258" t="str">
        <f>IFERROR(__xludf.DUMMYFUNCTION("""COMPUTED_VALUE"""),"Twice a month")</f>
        <v>Twice a month</v>
      </c>
      <c r="H1453" s="258" t="str">
        <f>IFERROR(__xludf.DUMMYFUNCTION("""COMPUTED_VALUE"""),"A few times a year")</f>
        <v>A few times a year</v>
      </c>
      <c r="I1453" s="258" t="str">
        <f>IFERROR(__xludf.DUMMYFUNCTION("""COMPUTED_VALUE"""),"")</f>
        <v/>
      </c>
      <c r="J1453" s="260">
        <f>IFERROR(__xludf.DUMMYFUNCTION("""COMPUTED_VALUE"""),0.9)</f>
        <v>0.9</v>
      </c>
      <c r="K1453" s="258">
        <f>IFERROR(__xludf.DUMMYFUNCTION("""COMPUTED_VALUE"""),360.0)</f>
        <v>360</v>
      </c>
      <c r="L1453" s="258" t="str">
        <f>IFERROR(__xludf.DUMMYFUNCTION("""COMPUTED_VALUE"""),"")</f>
        <v/>
      </c>
      <c r="M1453" s="261">
        <f>IFERROR(__xludf.DUMMYFUNCTION("""COMPUTED_VALUE"""),174.0)</f>
        <v>174</v>
      </c>
      <c r="N1453" s="262" t="str">
        <f>IFERROR(__xludf.DUMMYFUNCTION("""COMPUTED_VALUE"""),"")</f>
        <v/>
      </c>
      <c r="O1453" s="259" t="str">
        <f>IFERROR(__xludf.DUMMYFUNCTION("""COMPUTED_VALUE"""),"")</f>
        <v/>
      </c>
      <c r="P1453" s="259">
        <f>IFERROR(__xludf.DUMMYFUNCTION("""COMPUTED_VALUE"""),42614.0)</f>
        <v>42614</v>
      </c>
      <c r="Q1453" s="258">
        <f>IFERROR(__xludf.DUMMYFUNCTION("""COMPUTED_VALUE"""),4000.0)</f>
        <v>4000</v>
      </c>
      <c r="R1453" s="261">
        <f>IFERROR(__xludf.DUMMYFUNCTION("""COMPUTED_VALUE"""),354.0)</f>
        <v>354</v>
      </c>
      <c r="S1453" s="258">
        <v>360.0</v>
      </c>
      <c r="T1453" s="263">
        <v>0.9833333333333333</v>
      </c>
      <c r="U1453" s="264">
        <v>2485.0</v>
      </c>
      <c r="V1453" s="265">
        <v>4000.0</v>
      </c>
      <c r="W1453" s="264">
        <v>2485.0</v>
      </c>
      <c r="X1453" s="266"/>
      <c r="Y1453" s="267">
        <v>-0.01</v>
      </c>
      <c r="Z1453" s="267">
        <v>0.9927611192074426</v>
      </c>
      <c r="AA1453" s="269"/>
      <c r="AB1453" s="270"/>
      <c r="AC1453" s="270"/>
      <c r="AD1453" s="270"/>
      <c r="AE1453" s="270"/>
    </row>
    <row r="1454">
      <c r="A1454" s="256">
        <f>IFERROR(__xludf.DUMMYFUNCTION("""COMPUTED_VALUE"""),42644.40902777778)</f>
        <v>42644.40903</v>
      </c>
      <c r="B1454" s="257" t="str">
        <f>IFERROR(__xludf.DUMMYFUNCTION("""COMPUTED_VALUE"""),"twall-e")</f>
        <v>twall-e</v>
      </c>
      <c r="C1454" s="258" t="str">
        <f>IFERROR(__xludf.DUMMYFUNCTION("""COMPUTED_VALUE"""),"Europe (excluding UK) &amp; Asia Pacific")</f>
        <v>Europe (excluding UK) &amp; Asia Pacific</v>
      </c>
      <c r="D1454" s="258" t="str">
        <f>IFERROR(__xludf.DUMMYFUNCTION("""COMPUTED_VALUE"""),"km. My car displays range in kilometres and I will enter all range numbers in kilometres.")</f>
        <v>km. My car displays range in kilometres and I will enter all range numbers in kilometres.</v>
      </c>
      <c r="E1454" s="259">
        <f>IFERROR(__xludf.DUMMYFUNCTION("""COMPUTED_VALUE"""),42477.0)</f>
        <v>42477</v>
      </c>
      <c r="F1454" s="258" t="str">
        <f>IFERROR(__xludf.DUMMYFUNCTION("""COMPUTED_VALUE"""),"Model S 70")</f>
        <v>Model S 70</v>
      </c>
      <c r="G1454" s="258" t="str">
        <f>IFERROR(__xludf.DUMMYFUNCTION("""COMPUTED_VALUE"""),"Weekly")</f>
        <v>Weekly</v>
      </c>
      <c r="H1454" s="258" t="str">
        <f>IFERROR(__xludf.DUMMYFUNCTION("""COMPUTED_VALUE"""),"Monthly")</f>
        <v>Monthly</v>
      </c>
      <c r="I1454" s="258" t="str">
        <f>IFERROR(__xludf.DUMMYFUNCTION("""COMPUTED_VALUE"""),"Weekly")</f>
        <v>Weekly</v>
      </c>
      <c r="J1454" s="260">
        <f>IFERROR(__xludf.DUMMYFUNCTION("""COMPUTED_VALUE"""),0.9)</f>
        <v>0.9</v>
      </c>
      <c r="K1454" s="258">
        <f>IFERROR(__xludf.DUMMYFUNCTION("""COMPUTED_VALUE"""),360.0)</f>
        <v>360</v>
      </c>
      <c r="L1454" s="258" t="str">
        <f>IFERROR(__xludf.DUMMYFUNCTION("""COMPUTED_VALUE"""),"")</f>
        <v/>
      </c>
      <c r="M1454" s="261">
        <f>IFERROR(__xludf.DUMMYFUNCTION("""COMPUTED_VALUE"""),218.0)</f>
        <v>218</v>
      </c>
      <c r="N1454" s="262" t="str">
        <f>IFERROR(__xludf.DUMMYFUNCTION("""COMPUTED_VALUE"""),"")</f>
        <v/>
      </c>
      <c r="O1454" s="259" t="str">
        <f>IFERROR(__xludf.DUMMYFUNCTION("""COMPUTED_VALUE"""),"")</f>
        <v/>
      </c>
      <c r="P1454" s="259">
        <f>IFERROR(__xludf.DUMMYFUNCTION("""COMPUTED_VALUE"""),42644.0)</f>
        <v>42644</v>
      </c>
      <c r="Q1454" s="258">
        <f>IFERROR(__xludf.DUMMYFUNCTION("""COMPUTED_VALUE"""),6463.0)</f>
        <v>6463</v>
      </c>
      <c r="R1454" s="261">
        <f>IFERROR(__xludf.DUMMYFUNCTION("""COMPUTED_VALUE"""),358.0)</f>
        <v>358</v>
      </c>
      <c r="S1454" s="258">
        <v>355.0</v>
      </c>
      <c r="T1454" s="263">
        <v>1.008450704225352</v>
      </c>
      <c r="U1454" s="264">
        <v>4016.0</v>
      </c>
      <c r="V1454" s="265">
        <v>6463.0</v>
      </c>
      <c r="W1454" s="264">
        <v>4016.0</v>
      </c>
      <c r="X1454" s="266"/>
      <c r="Y1454" s="267">
        <v>-0.01</v>
      </c>
      <c r="Z1454" s="267">
        <v>0.9889744497432414</v>
      </c>
      <c r="AA1454" s="269"/>
      <c r="AB1454" s="270"/>
      <c r="AC1454" s="270"/>
      <c r="AD1454" s="270"/>
      <c r="AE1454" s="270"/>
    </row>
    <row r="1455">
      <c r="A1455" s="256">
        <f>IFERROR(__xludf.DUMMYFUNCTION("""COMPUTED_VALUE"""),42797.50902777778)</f>
        <v>42797.50903</v>
      </c>
      <c r="B1455" s="257" t="str">
        <f>IFERROR(__xludf.DUMMYFUNCTION("""COMPUTED_VALUE"""),"twall-e")</f>
        <v>twall-e</v>
      </c>
      <c r="C1455" s="258" t="str">
        <f>IFERROR(__xludf.DUMMYFUNCTION("""COMPUTED_VALUE"""),"Europe (excluding UK) &amp; Asia Pacific")</f>
        <v>Europe (excluding UK) &amp; Asia Pacific</v>
      </c>
      <c r="D1455" s="258" t="str">
        <f>IFERROR(__xludf.DUMMYFUNCTION("""COMPUTED_VALUE"""),"km. My car displays range in kilometres and I will enter all range numbers in kilometres.")</f>
        <v>km. My car displays range in kilometres and I will enter all range numbers in kilometres.</v>
      </c>
      <c r="E1455" s="259">
        <f>IFERROR(__xludf.DUMMYFUNCTION("""COMPUTED_VALUE"""),42477.0)</f>
        <v>42477</v>
      </c>
      <c r="F1455" s="258" t="str">
        <f>IFERROR(__xludf.DUMMYFUNCTION("""COMPUTED_VALUE"""),"Model S 70D")</f>
        <v>Model S 70D</v>
      </c>
      <c r="G1455" s="258" t="str">
        <f>IFERROR(__xludf.DUMMYFUNCTION("""COMPUTED_VALUE"""),"Monthly")</f>
        <v>Monthly</v>
      </c>
      <c r="H1455" s="258" t="str">
        <f>IFERROR(__xludf.DUMMYFUNCTION("""COMPUTED_VALUE"""),"Monthly")</f>
        <v>Monthly</v>
      </c>
      <c r="I1455" s="258" t="str">
        <f>IFERROR(__xludf.DUMMYFUNCTION("""COMPUTED_VALUE"""),"A few times a year")</f>
        <v>A few times a year</v>
      </c>
      <c r="J1455" s="260">
        <f>IFERROR(__xludf.DUMMYFUNCTION("""COMPUTED_VALUE"""),0.9)</f>
        <v>0.9</v>
      </c>
      <c r="K1455" s="258">
        <f>IFERROR(__xludf.DUMMYFUNCTION("""COMPUTED_VALUE"""),360.0)</f>
        <v>360</v>
      </c>
      <c r="L1455" s="258" t="str">
        <f>IFERROR(__xludf.DUMMYFUNCTION("""COMPUTED_VALUE"""),"")</f>
        <v/>
      </c>
      <c r="M1455" s="261">
        <f>IFERROR(__xludf.DUMMYFUNCTION("""COMPUTED_VALUE"""),193.0)</f>
        <v>193</v>
      </c>
      <c r="N1455" s="262" t="str">
        <f>IFERROR(__xludf.DUMMYFUNCTION("""COMPUTED_VALUE"""),"")</f>
        <v/>
      </c>
      <c r="O1455" s="259" t="str">
        <f>IFERROR(__xludf.DUMMYFUNCTION("""COMPUTED_VALUE"""),"")</f>
        <v/>
      </c>
      <c r="P1455" s="259">
        <f>IFERROR(__xludf.DUMMYFUNCTION("""COMPUTED_VALUE"""),42797.0)</f>
        <v>42797</v>
      </c>
      <c r="Q1455" s="258">
        <f>IFERROR(__xludf.DUMMYFUNCTION("""COMPUTED_VALUE"""),20000.0)</f>
        <v>20000</v>
      </c>
      <c r="R1455" s="261">
        <f>IFERROR(__xludf.DUMMYFUNCTION("""COMPUTED_VALUE"""),344.0)</f>
        <v>344</v>
      </c>
      <c r="S1455" s="258">
        <v>360.0</v>
      </c>
      <c r="T1455" s="263">
        <v>0.9555555555555556</v>
      </c>
      <c r="U1455" s="264">
        <v>12427.0</v>
      </c>
      <c r="V1455" s="265">
        <v>20000.0</v>
      </c>
      <c r="W1455" s="264">
        <v>12427.0</v>
      </c>
      <c r="X1455" s="266"/>
      <c r="Y1455" s="267">
        <v>-0.01</v>
      </c>
      <c r="Z1455" s="267">
        <v>0.9744626396703288</v>
      </c>
      <c r="AA1455" s="269"/>
      <c r="AB1455" s="270"/>
      <c r="AC1455" s="270"/>
      <c r="AD1455" s="270"/>
      <c r="AE1455" s="270"/>
    </row>
    <row r="1456">
      <c r="A1456" s="256">
        <f>IFERROR(__xludf.DUMMYFUNCTION("""COMPUTED_VALUE"""),42677.81527777778)</f>
        <v>42677.81528</v>
      </c>
      <c r="B1456" s="257" t="str">
        <f>IFERROR(__xludf.DUMMYFUNCTION("""COMPUTED_VALUE"""),"txakoli")</f>
        <v>txakoli</v>
      </c>
      <c r="C1456" s="258" t="str">
        <f>IFERROR(__xludf.DUMMYFUNCTION("""COMPUTED_VALUE"""),"USA")</f>
        <v>USA</v>
      </c>
      <c r="D1456" s="258" t="str">
        <f>IFERROR(__xludf.DUMMYFUNCTION("""COMPUTED_VALUE"""),"mi. My car displays range in miles and I will enter all range numbers in miles.")</f>
        <v>mi. My car displays range in miles and I will enter all range numbers in miles.</v>
      </c>
      <c r="E1456" s="259">
        <f>IFERROR(__xludf.DUMMYFUNCTION("""COMPUTED_VALUE"""),41895.0)</f>
        <v>41895</v>
      </c>
      <c r="F1456" s="258" t="str">
        <f>IFERROR(__xludf.DUMMYFUNCTION("""COMPUTED_VALUE"""),"Model S 85")</f>
        <v>Model S 85</v>
      </c>
      <c r="G1456" s="258" t="str">
        <f>IFERROR(__xludf.DUMMYFUNCTION("""COMPUTED_VALUE"""),"Monthly")</f>
        <v>Monthly</v>
      </c>
      <c r="H1456" s="258" t="str">
        <f>IFERROR(__xludf.DUMMYFUNCTION("""COMPUTED_VALUE"""),"Monthly")</f>
        <v>Monthly</v>
      </c>
      <c r="I1456" s="258" t="str">
        <f>IFERROR(__xludf.DUMMYFUNCTION("""COMPUTED_VALUE"""),"Never")</f>
        <v>Never</v>
      </c>
      <c r="J1456" s="260">
        <f>IFERROR(__xludf.DUMMYFUNCTION("""COMPUTED_VALUE"""),0.6)</f>
        <v>0.6</v>
      </c>
      <c r="K1456" s="258">
        <f>IFERROR(__xludf.DUMMYFUNCTION("""COMPUTED_VALUE"""),265.0)</f>
        <v>265</v>
      </c>
      <c r="L1456" s="258" t="str">
        <f>IFERROR(__xludf.DUMMYFUNCTION("""COMPUTED_VALUE"""),"")</f>
        <v/>
      </c>
      <c r="M1456" s="261">
        <f>IFERROR(__xludf.DUMMYFUNCTION("""COMPUTED_VALUE"""),313.0)</f>
        <v>313</v>
      </c>
      <c r="N1456" s="262" t="str">
        <f>IFERROR(__xludf.DUMMYFUNCTION("""COMPUTED_VALUE"""),"")</f>
        <v/>
      </c>
      <c r="O1456" s="259" t="str">
        <f>IFERROR(__xludf.DUMMYFUNCTION("""COMPUTED_VALUE"""),"")</f>
        <v/>
      </c>
      <c r="P1456" s="259">
        <f>IFERROR(__xludf.DUMMYFUNCTION("""COMPUTED_VALUE"""),42677.0)</f>
        <v>42677</v>
      </c>
      <c r="Q1456" s="258">
        <f>IFERROR(__xludf.DUMMYFUNCTION("""COMPUTED_VALUE"""),24239.0)</f>
        <v>24239</v>
      </c>
      <c r="R1456" s="261">
        <f>IFERROR(__xludf.DUMMYFUNCTION("""COMPUTED_VALUE"""),259.0)</f>
        <v>259</v>
      </c>
      <c r="S1456" s="258">
        <v>266.0</v>
      </c>
      <c r="T1456" s="263">
        <v>0.9736842105263158</v>
      </c>
      <c r="U1456" s="264">
        <v>24239.0</v>
      </c>
      <c r="V1456" s="265">
        <v>39009.0</v>
      </c>
      <c r="W1456" s="264">
        <v>24239.0</v>
      </c>
      <c r="X1456" s="266"/>
      <c r="Y1456" s="267">
        <v>-0.01</v>
      </c>
      <c r="Z1456" s="267">
        <v>0.9637134677312165</v>
      </c>
      <c r="AA1456" s="269"/>
      <c r="AB1456" s="270"/>
      <c r="AC1456" s="270"/>
      <c r="AD1456" s="270"/>
      <c r="AE1456" s="270"/>
    </row>
    <row r="1457">
      <c r="A1457" s="256">
        <f>IFERROR(__xludf.DUMMYFUNCTION("""COMPUTED_VALUE"""),42986.853472222225)</f>
        <v>42986.85347</v>
      </c>
      <c r="B1457" s="257" t="str">
        <f>IFERROR(__xludf.DUMMYFUNCTION("""COMPUTED_VALUE"""),"txakoli")</f>
        <v>txakoli</v>
      </c>
      <c r="C1457" s="258" t="str">
        <f>IFERROR(__xludf.DUMMYFUNCTION("""COMPUTED_VALUE"""),"USA")</f>
        <v>USA</v>
      </c>
      <c r="D1457" s="258" t="str">
        <f>IFERROR(__xludf.DUMMYFUNCTION("""COMPUTED_VALUE"""),"mi. My car displays range in miles and I will enter all range numbers in miles.")</f>
        <v>mi. My car displays range in miles and I will enter all range numbers in miles.</v>
      </c>
      <c r="E1457" s="259">
        <f>IFERROR(__xludf.DUMMYFUNCTION("""COMPUTED_VALUE"""),41895.0)</f>
        <v>41895</v>
      </c>
      <c r="F1457" s="258" t="str">
        <f>IFERROR(__xludf.DUMMYFUNCTION("""COMPUTED_VALUE"""),"Model S 85")</f>
        <v>Model S 85</v>
      </c>
      <c r="G1457" s="258" t="str">
        <f>IFERROR(__xludf.DUMMYFUNCTION("""COMPUTED_VALUE"""),"Monthly")</f>
        <v>Monthly</v>
      </c>
      <c r="H1457" s="258" t="str">
        <f>IFERROR(__xludf.DUMMYFUNCTION("""COMPUTED_VALUE"""),"Monthly")</f>
        <v>Monthly</v>
      </c>
      <c r="I1457" s="258" t="str">
        <f>IFERROR(__xludf.DUMMYFUNCTION("""COMPUTED_VALUE"""),"Never")</f>
        <v>Never</v>
      </c>
      <c r="J1457" s="260">
        <f>IFERROR(__xludf.DUMMYFUNCTION("""COMPUTED_VALUE"""),0.6)</f>
        <v>0.6</v>
      </c>
      <c r="K1457" s="258">
        <f>IFERROR(__xludf.DUMMYFUNCTION("""COMPUTED_VALUE"""),265.0)</f>
        <v>265</v>
      </c>
      <c r="L1457" s="258" t="str">
        <f>IFERROR(__xludf.DUMMYFUNCTION("""COMPUTED_VALUE"""),"")</f>
        <v/>
      </c>
      <c r="M1457" s="261">
        <f>IFERROR(__xludf.DUMMYFUNCTION("""COMPUTED_VALUE"""),315.0)</f>
        <v>315</v>
      </c>
      <c r="N1457" s="262" t="str">
        <f>IFERROR(__xludf.DUMMYFUNCTION("""COMPUTED_VALUE"""),"")</f>
        <v/>
      </c>
      <c r="O1457" s="259" t="str">
        <f>IFERROR(__xludf.DUMMYFUNCTION("""COMPUTED_VALUE"""),"")</f>
        <v/>
      </c>
      <c r="P1457" s="259">
        <f>IFERROR(__xludf.DUMMYFUNCTION("""COMPUTED_VALUE"""),42986.0)</f>
        <v>42986</v>
      </c>
      <c r="Q1457" s="258">
        <f>IFERROR(__xludf.DUMMYFUNCTION("""COMPUTED_VALUE"""),34428.0)</f>
        <v>34428</v>
      </c>
      <c r="R1457" s="261">
        <f>IFERROR(__xludf.DUMMYFUNCTION("""COMPUTED_VALUE"""),257.0)</f>
        <v>257</v>
      </c>
      <c r="S1457" s="258">
        <v>266.0</v>
      </c>
      <c r="T1457" s="263">
        <v>0.9661654135338346</v>
      </c>
      <c r="U1457" s="264">
        <v>34428.0</v>
      </c>
      <c r="V1457" s="265">
        <v>55406.0</v>
      </c>
      <c r="W1457" s="264">
        <v>34428.0</v>
      </c>
      <c r="X1457" s="266"/>
      <c r="Y1457" s="267">
        <v>-0.01</v>
      </c>
      <c r="Z1457" s="267">
        <v>0.9579949653232811</v>
      </c>
      <c r="AA1457" s="269"/>
      <c r="AB1457" s="270"/>
      <c r="AC1457" s="270"/>
      <c r="AD1457" s="270"/>
      <c r="AE1457" s="270"/>
    </row>
    <row r="1458">
      <c r="A1458" s="256">
        <f>IFERROR(__xludf.DUMMYFUNCTION("""COMPUTED_VALUE"""),42663.81180555555)</f>
        <v>42663.81181</v>
      </c>
      <c r="B1458" s="257" t="str">
        <f>IFERROR(__xludf.DUMMYFUNCTION("""COMPUTED_VALUE"""),"u00mem9")</f>
        <v>u00mem9</v>
      </c>
      <c r="C1458" s="258" t="str">
        <f>IFERROR(__xludf.DUMMYFUNCTION("""COMPUTED_VALUE"""),"USA")</f>
        <v>USA</v>
      </c>
      <c r="D1458" s="258" t="str">
        <f>IFERROR(__xludf.DUMMYFUNCTION("""COMPUTED_VALUE"""),"mi. My car displays range in miles and I will enter all range numbers in miles.")</f>
        <v>mi. My car displays range in miles and I will enter all range numbers in miles.</v>
      </c>
      <c r="E1458" s="259">
        <f>IFERROR(__xludf.DUMMYFUNCTION("""COMPUTED_VALUE"""),42571.0)</f>
        <v>42571</v>
      </c>
      <c r="F1458" s="258" t="str">
        <f>IFERROR(__xludf.DUMMYFUNCTION("""COMPUTED_VALUE"""),"Model S 60")</f>
        <v>Model S 60</v>
      </c>
      <c r="G1458" s="258" t="str">
        <f>IFERROR(__xludf.DUMMYFUNCTION("""COMPUTED_VALUE"""),"A few times a year")</f>
        <v>A few times a year</v>
      </c>
      <c r="H1458" s="258" t="str">
        <f>IFERROR(__xludf.DUMMYFUNCTION("""COMPUTED_VALUE"""),"Weekly")</f>
        <v>Weekly</v>
      </c>
      <c r="I1458" s="258" t="str">
        <f>IFERROR(__xludf.DUMMYFUNCTION("""COMPUTED_VALUE"""),"Never")</f>
        <v>Never</v>
      </c>
      <c r="J1458" s="260">
        <f>IFERROR(__xludf.DUMMYFUNCTION("""COMPUTED_VALUE"""),0.9)</f>
        <v>0.9</v>
      </c>
      <c r="K1458" s="258">
        <f>IFERROR(__xludf.DUMMYFUNCTION("""COMPUTED_VALUE"""),210.0)</f>
        <v>210</v>
      </c>
      <c r="L1458" s="258" t="str">
        <f>IFERROR(__xludf.DUMMYFUNCTION("""COMPUTED_VALUE"""),"")</f>
        <v/>
      </c>
      <c r="M1458" s="261">
        <f>IFERROR(__xludf.DUMMYFUNCTION("""COMPUTED_VALUE"""),284.0)</f>
        <v>284</v>
      </c>
      <c r="N1458" s="262" t="str">
        <f>IFERROR(__xludf.DUMMYFUNCTION("""COMPUTED_VALUE"""),"")</f>
        <v/>
      </c>
      <c r="O1458" s="259" t="str">
        <f>IFERROR(__xludf.DUMMYFUNCTION("""COMPUTED_VALUE"""),"")</f>
        <v/>
      </c>
      <c r="P1458" s="259">
        <f>IFERROR(__xludf.DUMMYFUNCTION("""COMPUTED_VALUE"""),42663.0)</f>
        <v>42663</v>
      </c>
      <c r="Q1458" s="258">
        <f>IFERROR(__xludf.DUMMYFUNCTION("""COMPUTED_VALUE"""),11104.0)</f>
        <v>11104</v>
      </c>
      <c r="R1458" s="261">
        <f>IFERROR(__xludf.DUMMYFUNCTION("""COMPUTED_VALUE"""),207.0)</f>
        <v>207</v>
      </c>
      <c r="S1458" s="258">
        <v>207.0</v>
      </c>
      <c r="T1458" s="263">
        <v>1.0</v>
      </c>
      <c r="U1458" s="264">
        <v>11104.0</v>
      </c>
      <c r="V1458" s="265">
        <v>17870.0</v>
      </c>
      <c r="W1458" s="264">
        <v>11104.0</v>
      </c>
      <c r="X1458" s="266"/>
      <c r="Y1458" s="267">
        <v>-0.01</v>
      </c>
      <c r="Z1458" s="267">
        <v>0.9762084383822925</v>
      </c>
      <c r="AA1458" s="269"/>
      <c r="AB1458" s="270"/>
      <c r="AC1458" s="270"/>
      <c r="AD1458" s="270"/>
      <c r="AE1458" s="270"/>
    </row>
    <row r="1459">
      <c r="A1459" s="256">
        <f>IFERROR(__xludf.DUMMYFUNCTION("""COMPUTED_VALUE"""),43072.86319444445)</f>
        <v>43072.86319</v>
      </c>
      <c r="B1459" s="257" t="str">
        <f>IFERROR(__xludf.DUMMYFUNCTION("""COMPUTED_VALUE"""),"ucmndd")</f>
        <v>ucmndd</v>
      </c>
      <c r="C1459" s="258" t="str">
        <f>IFERROR(__xludf.DUMMYFUNCTION("""COMPUTED_VALUE"""),"USA")</f>
        <v>USA</v>
      </c>
      <c r="D1459" s="258" t="str">
        <f>IFERROR(__xludf.DUMMYFUNCTION("""COMPUTED_VALUE"""),"mi. My car displays range in miles and I will enter all range numbers in miles.")</f>
        <v>mi. My car displays range in miles and I will enter all range numbers in miles.</v>
      </c>
      <c r="E1459" s="259">
        <f>IFERROR(__xludf.DUMMYFUNCTION("""COMPUTED_VALUE"""),42719.0)</f>
        <v>42719</v>
      </c>
      <c r="F1459" s="258" t="str">
        <f>IFERROR(__xludf.DUMMYFUNCTION("""COMPUTED_VALUE"""),"Model S 75")</f>
        <v>Model S 75</v>
      </c>
      <c r="G1459" s="258" t="str">
        <f>IFERROR(__xludf.DUMMYFUNCTION("""COMPUTED_VALUE"""),"Monthly")</f>
        <v>Monthly</v>
      </c>
      <c r="H1459" s="258" t="str">
        <f>IFERROR(__xludf.DUMMYFUNCTION("""COMPUTED_VALUE"""),"Monthly")</f>
        <v>Monthly</v>
      </c>
      <c r="I1459" s="258" t="str">
        <f>IFERROR(__xludf.DUMMYFUNCTION("""COMPUTED_VALUE"""),"A few times a year")</f>
        <v>A few times a year</v>
      </c>
      <c r="J1459" s="260">
        <f>IFERROR(__xludf.DUMMYFUNCTION("""COMPUTED_VALUE"""),0.9)</f>
        <v>0.9</v>
      </c>
      <c r="K1459" s="258">
        <f>IFERROR(__xludf.DUMMYFUNCTION("""COMPUTED_VALUE"""),248.0)</f>
        <v>248</v>
      </c>
      <c r="L1459" s="258" t="str">
        <f>IFERROR(__xludf.DUMMYFUNCTION("""COMPUTED_VALUE"""),"")</f>
        <v/>
      </c>
      <c r="M1459" s="261">
        <f>IFERROR(__xludf.DUMMYFUNCTION("""COMPUTED_VALUE"""),312.0)</f>
        <v>312</v>
      </c>
      <c r="N1459" s="262" t="str">
        <f>IFERROR(__xludf.DUMMYFUNCTION("""COMPUTED_VALUE"""),"")</f>
        <v/>
      </c>
      <c r="O1459" s="259" t="str">
        <f>IFERROR(__xludf.DUMMYFUNCTION("""COMPUTED_VALUE"""),"")</f>
        <v/>
      </c>
      <c r="P1459" s="259">
        <f>IFERROR(__xludf.DUMMYFUNCTION("""COMPUTED_VALUE"""),43072.0)</f>
        <v>43072</v>
      </c>
      <c r="Q1459" s="258">
        <f>IFERROR(__xludf.DUMMYFUNCTION("""COMPUTED_VALUE"""),33000.0)</f>
        <v>33000</v>
      </c>
      <c r="R1459" s="261">
        <f>IFERROR(__xludf.DUMMYFUNCTION("""COMPUTED_VALUE"""),229.0)</f>
        <v>229</v>
      </c>
      <c r="S1459" s="258">
        <v>246.0</v>
      </c>
      <c r="T1459" s="263">
        <v>0.9308943089430894</v>
      </c>
      <c r="U1459" s="264">
        <v>33000.0</v>
      </c>
      <c r="V1459" s="265">
        <v>53108.0</v>
      </c>
      <c r="W1459" s="264">
        <v>33000.0</v>
      </c>
      <c r="X1459" s="266"/>
      <c r="Y1459" s="267">
        <v>-0.01</v>
      </c>
      <c r="Z1459" s="267">
        <v>0.9586986220635144</v>
      </c>
      <c r="AA1459" s="269"/>
      <c r="AB1459" s="270"/>
      <c r="AC1459" s="270"/>
      <c r="AD1459" s="270"/>
      <c r="AE1459" s="270"/>
    </row>
    <row r="1460">
      <c r="A1460" s="256">
        <f>IFERROR(__xludf.DUMMYFUNCTION("""COMPUTED_VALUE"""),42182.90138888889)</f>
        <v>42182.90139</v>
      </c>
      <c r="B1460" s="257" t="str">
        <f>IFERROR(__xludf.DUMMYFUNCTION("""COMPUTED_VALUE"""),"Ugliest1")</f>
        <v>Ugliest1</v>
      </c>
      <c r="C1460" s="258" t="str">
        <f>IFERROR(__xludf.DUMMYFUNCTION("""COMPUTED_VALUE"""),"Canada")</f>
        <v>Canada</v>
      </c>
      <c r="D1460" s="258" t="str">
        <f>IFERROR(__xludf.DUMMYFUNCTION("""COMPUTED_VALUE"""),"km. My car displays range in kilometres and I will enter all range numbers in kilometres.")</f>
        <v>km. My car displays range in kilometres and I will enter all range numbers in kilometres.</v>
      </c>
      <c r="E1460" s="259">
        <f>IFERROR(__xludf.DUMMYFUNCTION("""COMPUTED_VALUE"""),41647.0)</f>
        <v>41647</v>
      </c>
      <c r="F1460" s="258" t="str">
        <f>IFERROR(__xludf.DUMMYFUNCTION("""COMPUTED_VALUE"""),"Model S 85")</f>
        <v>Model S 85</v>
      </c>
      <c r="G1460" s="258" t="str">
        <f>IFERROR(__xludf.DUMMYFUNCTION("""COMPUTED_VALUE"""),"A few times a year")</f>
        <v>A few times a year</v>
      </c>
      <c r="H1460" s="258" t="str">
        <f>IFERROR(__xludf.DUMMYFUNCTION("""COMPUTED_VALUE"""),"A few times a year")</f>
        <v>A few times a year</v>
      </c>
      <c r="I1460" s="258" t="str">
        <f>IFERROR(__xludf.DUMMYFUNCTION("""COMPUTED_VALUE"""),"Never")</f>
        <v>Never</v>
      </c>
      <c r="J1460" s="260">
        <f>IFERROR(__xludf.DUMMYFUNCTION("""COMPUTED_VALUE"""),0.8)</f>
        <v>0.8</v>
      </c>
      <c r="K1460" s="258">
        <f>IFERROR(__xludf.DUMMYFUNCTION("""COMPUTED_VALUE"""),425.0)</f>
        <v>425</v>
      </c>
      <c r="L1460" s="258" t="str">
        <f>IFERROR(__xludf.DUMMYFUNCTION("""COMPUTED_VALUE"""),"")</f>
        <v/>
      </c>
      <c r="M1460" s="261">
        <f>IFERROR(__xludf.DUMMYFUNCTION("""COMPUTED_VALUE"""),210.0)</f>
        <v>210</v>
      </c>
      <c r="N1460" s="262" t="str">
        <f>IFERROR(__xludf.DUMMYFUNCTION("""COMPUTED_VALUE"""),"")</f>
        <v/>
      </c>
      <c r="O1460" s="259" t="str">
        <f>IFERROR(__xludf.DUMMYFUNCTION("""COMPUTED_VALUE"""),"")</f>
        <v/>
      </c>
      <c r="P1460" s="259">
        <f>IFERROR(__xludf.DUMMYFUNCTION("""COMPUTED_VALUE"""),42182.0)</f>
        <v>42182</v>
      </c>
      <c r="Q1460" s="258">
        <f>IFERROR(__xludf.DUMMYFUNCTION("""COMPUTED_VALUE"""),45756.0)</f>
        <v>45756</v>
      </c>
      <c r="R1460" s="261">
        <f>IFERROR(__xludf.DUMMYFUNCTION("""COMPUTED_VALUE"""),409.0)</f>
        <v>409</v>
      </c>
      <c r="S1460" s="258">
        <v>428.0</v>
      </c>
      <c r="T1460" s="263">
        <v>0.955607476635514</v>
      </c>
      <c r="U1460" s="264">
        <v>28431.0</v>
      </c>
      <c r="V1460" s="265">
        <v>45756.0</v>
      </c>
      <c r="W1460" s="264">
        <v>28431.0</v>
      </c>
      <c r="X1460" s="266"/>
      <c r="Y1460" s="267">
        <v>-0.01</v>
      </c>
      <c r="Z1460" s="267">
        <v>0.9611347755529588</v>
      </c>
      <c r="AA1460" s="269"/>
      <c r="AB1460" s="270"/>
      <c r="AC1460" s="270"/>
      <c r="AD1460" s="270"/>
      <c r="AE1460" s="270"/>
    </row>
    <row r="1461">
      <c r="A1461" s="256">
        <f>IFERROR(__xludf.DUMMYFUNCTION("""COMPUTED_VALUE"""),43021.62569444445)</f>
        <v>43021.62569</v>
      </c>
      <c r="B1461" s="257" t="str">
        <f>IFERROR(__xludf.DUMMYFUNCTION("""COMPUTED_VALUE"""),"UlrA")</f>
        <v>UlrA</v>
      </c>
      <c r="C1461" s="258" t="str">
        <f>IFERROR(__xludf.DUMMYFUNCTION("""COMPUTED_VALUE"""),"Europe (excluding UK) &amp; Asia Pacific")</f>
        <v>Europe (excluding UK) &amp; Asia Pacific</v>
      </c>
      <c r="D1461" s="258" t="str">
        <f>IFERROR(__xludf.DUMMYFUNCTION("""COMPUTED_VALUE"""),"km. My car displays range in kilometres and I will enter all range numbers in kilometres.")</f>
        <v>km. My car displays range in kilometres and I will enter all range numbers in kilometres.</v>
      </c>
      <c r="E1461" s="259">
        <f>IFERROR(__xludf.DUMMYFUNCTION("""COMPUTED_VALUE"""),42481.0)</f>
        <v>42481</v>
      </c>
      <c r="F1461" s="258" t="str">
        <f>IFERROR(__xludf.DUMMYFUNCTION("""COMPUTED_VALUE"""),"Model S 90D")</f>
        <v>Model S 90D</v>
      </c>
      <c r="G1461" s="258" t="str">
        <f>IFERROR(__xludf.DUMMYFUNCTION("""COMPUTED_VALUE"""),"Twice a month")</f>
        <v>Twice a month</v>
      </c>
      <c r="H1461" s="258" t="str">
        <f>IFERROR(__xludf.DUMMYFUNCTION("""COMPUTED_VALUE"""),"A few times a year")</f>
        <v>A few times a year</v>
      </c>
      <c r="I1461" s="258" t="str">
        <f>IFERROR(__xludf.DUMMYFUNCTION("""COMPUTED_VALUE"""),"A few times a year")</f>
        <v>A few times a year</v>
      </c>
      <c r="J1461" s="260">
        <f>IFERROR(__xludf.DUMMYFUNCTION("""COMPUTED_VALUE"""),0.8)</f>
        <v>0.8</v>
      </c>
      <c r="K1461" s="258">
        <f>IFERROR(__xludf.DUMMYFUNCTION("""COMPUTED_VALUE"""),459.0)</f>
        <v>459</v>
      </c>
      <c r="L1461" s="258" t="str">
        <f>IFERROR(__xludf.DUMMYFUNCTION("""COMPUTED_VALUE"""),"")</f>
        <v/>
      </c>
      <c r="M1461" s="261">
        <f>IFERROR(__xludf.DUMMYFUNCTION("""COMPUTED_VALUE"""),220.0)</f>
        <v>220</v>
      </c>
      <c r="N1461" s="262" t="str">
        <f>IFERROR(__xludf.DUMMYFUNCTION("""COMPUTED_VALUE"""),"")</f>
        <v/>
      </c>
      <c r="O1461" s="259" t="str">
        <f>IFERROR(__xludf.DUMMYFUNCTION("""COMPUTED_VALUE"""),"")</f>
        <v/>
      </c>
      <c r="P1461" s="259">
        <f>IFERROR(__xludf.DUMMYFUNCTION("""COMPUTED_VALUE"""),43021.0)</f>
        <v>43021</v>
      </c>
      <c r="Q1461" s="258">
        <f>IFERROR(__xludf.DUMMYFUNCTION("""COMPUTED_VALUE"""),99390.0)</f>
        <v>99390</v>
      </c>
      <c r="R1461" s="261">
        <f>IFERROR(__xludf.DUMMYFUNCTION("""COMPUTED_VALUE"""),425.0)</f>
        <v>425</v>
      </c>
      <c r="S1461" s="258">
        <v>447.0</v>
      </c>
      <c r="T1461" s="263">
        <v>0.9507829977628636</v>
      </c>
      <c r="U1461" s="264">
        <v>61758.0</v>
      </c>
      <c r="V1461" s="265">
        <v>99390.0</v>
      </c>
      <c r="W1461" s="264">
        <v>61758.0</v>
      </c>
      <c r="X1461" s="266"/>
      <c r="Y1461" s="267">
        <v>-0.01</v>
      </c>
      <c r="Z1461" s="267">
        <v>0.9467296540080036</v>
      </c>
      <c r="AA1461" s="269"/>
      <c r="AB1461" s="270"/>
      <c r="AC1461" s="270"/>
      <c r="AD1461" s="270"/>
      <c r="AE1461" s="270"/>
    </row>
    <row r="1462">
      <c r="A1462" s="256">
        <f>IFERROR(__xludf.DUMMYFUNCTION("""COMPUTED_VALUE"""),42459.31527777778)</f>
        <v>42459.31528</v>
      </c>
      <c r="B1462" s="257" t="str">
        <f>IFERROR(__xludf.DUMMYFUNCTION("""COMPUTED_VALUE"""),"univ")</f>
        <v>univ</v>
      </c>
      <c r="C1462" s="258" t="str">
        <f>IFERROR(__xludf.DUMMYFUNCTION("""COMPUTED_VALUE"""),"Europe (excluding UK) &amp; Asia Pacific")</f>
        <v>Europe (excluding UK) &amp; Asia Pacific</v>
      </c>
      <c r="D1462" s="258" t="str">
        <f>IFERROR(__xludf.DUMMYFUNCTION("""COMPUTED_VALUE"""),"km. My car displays range in kilometres and I will enter all range numbers in kilometres.")</f>
        <v>km. My car displays range in kilometres and I will enter all range numbers in kilometres.</v>
      </c>
      <c r="E1462" s="259">
        <f>IFERROR(__xludf.DUMMYFUNCTION("""COMPUTED_VALUE"""),42156.0)</f>
        <v>42156</v>
      </c>
      <c r="F1462" s="258" t="str">
        <f>IFERROR(__xludf.DUMMYFUNCTION("""COMPUTED_VALUE"""),"Model S 85D")</f>
        <v>Model S 85D</v>
      </c>
      <c r="G1462" s="258" t="str">
        <f>IFERROR(__xludf.DUMMYFUNCTION("""COMPUTED_VALUE"""),"Twice a week")</f>
        <v>Twice a week</v>
      </c>
      <c r="H1462" s="258" t="str">
        <f>IFERROR(__xludf.DUMMYFUNCTION("""COMPUTED_VALUE"""),"A few times a year")</f>
        <v>A few times a year</v>
      </c>
      <c r="I1462" s="258" t="str">
        <f>IFERROR(__xludf.DUMMYFUNCTION("""COMPUTED_VALUE"""),"Twice a month")</f>
        <v>Twice a month</v>
      </c>
      <c r="J1462" s="260">
        <f>IFERROR(__xludf.DUMMYFUNCTION("""COMPUTED_VALUE"""),0.5)</f>
        <v>0.5</v>
      </c>
      <c r="K1462" s="258">
        <f>IFERROR(__xludf.DUMMYFUNCTION("""COMPUTED_VALUE"""),404.0)</f>
        <v>404</v>
      </c>
      <c r="L1462" s="258" t="str">
        <f>IFERROR(__xludf.DUMMYFUNCTION("""COMPUTED_VALUE"""),"")</f>
        <v/>
      </c>
      <c r="M1462" s="261">
        <f>IFERROR(__xludf.DUMMYFUNCTION("""COMPUTED_VALUE"""),256.0)</f>
        <v>256</v>
      </c>
      <c r="N1462" s="262" t="str">
        <f>IFERROR(__xludf.DUMMYFUNCTION("""COMPUTED_VALUE"""),"")</f>
        <v/>
      </c>
      <c r="O1462" s="259" t="str">
        <f>IFERROR(__xludf.DUMMYFUNCTION("""COMPUTED_VALUE"""),"")</f>
        <v/>
      </c>
      <c r="P1462" s="259">
        <f>IFERROR(__xludf.DUMMYFUNCTION("""COMPUTED_VALUE"""),42459.0)</f>
        <v>42459</v>
      </c>
      <c r="Q1462" s="258">
        <f>IFERROR(__xludf.DUMMYFUNCTION("""COMPUTED_VALUE"""),41187.0)</f>
        <v>41187</v>
      </c>
      <c r="R1462" s="261">
        <f>IFERROR(__xludf.DUMMYFUNCTION("""COMPUTED_VALUE"""),404.0)</f>
        <v>404</v>
      </c>
      <c r="S1462" s="258">
        <v>425.0</v>
      </c>
      <c r="T1462" s="263">
        <v>0.9505882352941176</v>
      </c>
      <c r="U1462" s="264">
        <v>25592.0</v>
      </c>
      <c r="V1462" s="265">
        <v>41187.0</v>
      </c>
      <c r="W1462" s="264">
        <v>25592.0</v>
      </c>
      <c r="X1462" s="266"/>
      <c r="Y1462" s="267">
        <v>-0.01</v>
      </c>
      <c r="Z1462" s="267">
        <v>0.9628363097679544</v>
      </c>
      <c r="AA1462" s="269"/>
      <c r="AB1462" s="270"/>
      <c r="AC1462" s="270"/>
      <c r="AD1462" s="270"/>
      <c r="AE1462" s="270"/>
    </row>
    <row r="1463">
      <c r="A1463" s="256">
        <f>IFERROR(__xludf.DUMMYFUNCTION("""COMPUTED_VALUE"""),42929.56111111111)</f>
        <v>42929.56111</v>
      </c>
      <c r="B1463" s="257" t="str">
        <f>IFERROR(__xludf.DUMMYFUNCTION("""COMPUTED_VALUE"""),"univ")</f>
        <v>univ</v>
      </c>
      <c r="C1463" s="258" t="str">
        <f>IFERROR(__xludf.DUMMYFUNCTION("""COMPUTED_VALUE"""),"Europe (excluding UK) &amp; Asia Pacific")</f>
        <v>Europe (excluding UK) &amp; Asia Pacific</v>
      </c>
      <c r="D1463" s="258" t="str">
        <f>IFERROR(__xludf.DUMMYFUNCTION("""COMPUTED_VALUE"""),"km. My car displays range in kilometres and I will enter all range numbers in kilometres.")</f>
        <v>km. My car displays range in kilometres and I will enter all range numbers in kilometres.</v>
      </c>
      <c r="E1463" s="259">
        <f>IFERROR(__xludf.DUMMYFUNCTION("""COMPUTED_VALUE"""),42156.0)</f>
        <v>42156</v>
      </c>
      <c r="F1463" s="258" t="str">
        <f>IFERROR(__xludf.DUMMYFUNCTION("""COMPUTED_VALUE"""),"Model S 85D")</f>
        <v>Model S 85D</v>
      </c>
      <c r="G1463" s="258" t="str">
        <f>IFERROR(__xludf.DUMMYFUNCTION("""COMPUTED_VALUE"""),"Twice a week")</f>
        <v>Twice a week</v>
      </c>
      <c r="H1463" s="258" t="str">
        <f>IFERROR(__xludf.DUMMYFUNCTION("""COMPUTED_VALUE"""),"Twice a month")</f>
        <v>Twice a month</v>
      </c>
      <c r="I1463" s="258" t="str">
        <f>IFERROR(__xludf.DUMMYFUNCTION("""COMPUTED_VALUE"""),"Weekly")</f>
        <v>Weekly</v>
      </c>
      <c r="J1463" s="260">
        <f>IFERROR(__xludf.DUMMYFUNCTION("""COMPUTED_VALUE"""),0.5)</f>
        <v>0.5</v>
      </c>
      <c r="K1463" s="258">
        <f>IFERROR(__xludf.DUMMYFUNCTION("""COMPUTED_VALUE"""),404.0)</f>
        <v>404</v>
      </c>
      <c r="L1463" s="258" t="str">
        <f>IFERROR(__xludf.DUMMYFUNCTION("""COMPUTED_VALUE"""),"")</f>
        <v/>
      </c>
      <c r="M1463" s="261">
        <f>IFERROR(__xludf.DUMMYFUNCTION("""COMPUTED_VALUE"""),248.0)</f>
        <v>248</v>
      </c>
      <c r="N1463" s="262" t="str">
        <f>IFERROR(__xludf.DUMMYFUNCTION("""COMPUTED_VALUE"""),"")</f>
        <v/>
      </c>
      <c r="O1463" s="259" t="str">
        <f>IFERROR(__xludf.DUMMYFUNCTION("""COMPUTED_VALUE"""),"")</f>
        <v/>
      </c>
      <c r="P1463" s="259">
        <f>IFERROR(__xludf.DUMMYFUNCTION("""COMPUTED_VALUE"""),42929.0)</f>
        <v>42929</v>
      </c>
      <c r="Q1463" s="258">
        <f>IFERROR(__xludf.DUMMYFUNCTION("""COMPUTED_VALUE"""),169000.0)</f>
        <v>169000</v>
      </c>
      <c r="R1463" s="261">
        <f>IFERROR(__xludf.DUMMYFUNCTION("""COMPUTED_VALUE"""),414.0)</f>
        <v>414</v>
      </c>
      <c r="S1463" s="258">
        <v>425.0</v>
      </c>
      <c r="T1463" s="263">
        <v>0.9741176470588235</v>
      </c>
      <c r="U1463" s="264">
        <v>105012.0</v>
      </c>
      <c r="V1463" s="265">
        <v>169000.0</v>
      </c>
      <c r="W1463" s="264">
        <v>105012.0</v>
      </c>
      <c r="X1463" s="266"/>
      <c r="Y1463" s="267">
        <v>-0.01</v>
      </c>
      <c r="Z1463" s="267">
        <v>0.9305817965538631</v>
      </c>
      <c r="AA1463" s="269"/>
      <c r="AB1463" s="270"/>
      <c r="AC1463" s="270"/>
      <c r="AD1463" s="270"/>
      <c r="AE1463" s="270"/>
    </row>
    <row r="1464">
      <c r="A1464" s="256">
        <f>IFERROR(__xludf.DUMMYFUNCTION("""COMPUTED_VALUE"""),43118.67152777778)</f>
        <v>43118.67153</v>
      </c>
      <c r="B1464" s="257" t="str">
        <f>IFERROR(__xludf.DUMMYFUNCTION("""COMPUTED_VALUE"""),"univ")</f>
        <v>univ</v>
      </c>
      <c r="C1464" s="258" t="str">
        <f>IFERROR(__xludf.DUMMYFUNCTION("""COMPUTED_VALUE"""),"Europe (excluding UK) &amp; Asia Pacific")</f>
        <v>Europe (excluding UK) &amp; Asia Pacific</v>
      </c>
      <c r="D1464" s="258" t="str">
        <f>IFERROR(__xludf.DUMMYFUNCTION("""COMPUTED_VALUE"""),"km. My car displays range in kilometres and I will enter all range numbers in kilometres.")</f>
        <v>km. My car displays range in kilometres and I will enter all range numbers in kilometres.</v>
      </c>
      <c r="E1464" s="259">
        <f>IFERROR(__xludf.DUMMYFUNCTION("""COMPUTED_VALUE"""),42156.0)</f>
        <v>42156</v>
      </c>
      <c r="F1464" s="258" t="str">
        <f>IFERROR(__xludf.DUMMYFUNCTION("""COMPUTED_VALUE"""),"Model S 85D")</f>
        <v>Model S 85D</v>
      </c>
      <c r="G1464" s="258" t="str">
        <f>IFERROR(__xludf.DUMMYFUNCTION("""COMPUTED_VALUE"""),"Twice a week")</f>
        <v>Twice a week</v>
      </c>
      <c r="H1464" s="258" t="str">
        <f>IFERROR(__xludf.DUMMYFUNCTION("""COMPUTED_VALUE"""),"Twice a month")</f>
        <v>Twice a month</v>
      </c>
      <c r="I1464" s="258" t="str">
        <f>IFERROR(__xludf.DUMMYFUNCTION("""COMPUTED_VALUE"""),"Twice a month")</f>
        <v>Twice a month</v>
      </c>
      <c r="J1464" s="260">
        <f>IFERROR(__xludf.DUMMYFUNCTION("""COMPUTED_VALUE"""),0.9)</f>
        <v>0.9</v>
      </c>
      <c r="K1464" s="258">
        <f>IFERROR(__xludf.DUMMYFUNCTION("""COMPUTED_VALUE"""),404.0)</f>
        <v>404</v>
      </c>
      <c r="L1464" s="258" t="str">
        <f>IFERROR(__xludf.DUMMYFUNCTION("""COMPUTED_VALUE"""),"")</f>
        <v/>
      </c>
      <c r="M1464" s="261">
        <f>IFERROR(__xludf.DUMMYFUNCTION("""COMPUTED_VALUE"""),249.0)</f>
        <v>249</v>
      </c>
      <c r="N1464" s="262" t="str">
        <f>IFERROR(__xludf.DUMMYFUNCTION("""COMPUTED_VALUE"""),"")</f>
        <v/>
      </c>
      <c r="O1464" s="259" t="str">
        <f>IFERROR(__xludf.DUMMYFUNCTION("""COMPUTED_VALUE"""),"")</f>
        <v/>
      </c>
      <c r="P1464" s="259">
        <f>IFERROR(__xludf.DUMMYFUNCTION("""COMPUTED_VALUE"""),43118.0)</f>
        <v>43118</v>
      </c>
      <c r="Q1464" s="258">
        <f>IFERROR(__xludf.DUMMYFUNCTION("""COMPUTED_VALUE"""),228291.0)</f>
        <v>228291</v>
      </c>
      <c r="R1464" s="261">
        <f>IFERROR(__xludf.DUMMYFUNCTION("""COMPUTED_VALUE"""),403.0)</f>
        <v>403</v>
      </c>
      <c r="S1464" s="258">
        <v>425.0</v>
      </c>
      <c r="T1464" s="263">
        <v>0.9482352941176471</v>
      </c>
      <c r="U1464" s="264">
        <v>141853.0</v>
      </c>
      <c r="V1464" s="265">
        <v>228291.0</v>
      </c>
      <c r="W1464" s="264">
        <v>141853.0</v>
      </c>
      <c r="X1464" s="266"/>
      <c r="Y1464" s="267">
        <v>-0.01</v>
      </c>
      <c r="Z1464" s="267">
        <v>0.9169049116022915</v>
      </c>
      <c r="AA1464" s="269"/>
      <c r="AB1464" s="270"/>
      <c r="AC1464" s="270"/>
      <c r="AD1464" s="270"/>
      <c r="AE1464" s="270"/>
    </row>
    <row r="1465">
      <c r="A1465" s="256">
        <f>IFERROR(__xludf.DUMMYFUNCTION("""COMPUTED_VALUE"""),43884.31782671296)</f>
        <v>43884.31783</v>
      </c>
      <c r="B1465" s="257" t="str">
        <f>IFERROR(__xludf.DUMMYFUNCTION("""COMPUTED_VALUE"""),"VBRaj")</f>
        <v>VBRaj</v>
      </c>
      <c r="C1465" s="258" t="str">
        <f>IFERROR(__xludf.DUMMYFUNCTION("""COMPUTED_VALUE"""),"USA")</f>
        <v>USA</v>
      </c>
      <c r="D1465" s="258" t="str">
        <f>IFERROR(__xludf.DUMMYFUNCTION("""COMPUTED_VALUE"""),"mi. My car displays range in miles and I will enter all range numbers in miles.")</f>
        <v>mi. My car displays range in miles and I will enter all range numbers in miles.</v>
      </c>
      <c r="E1465" s="259">
        <f>IFERROR(__xludf.DUMMYFUNCTION("""COMPUTED_VALUE"""),43191.0)</f>
        <v>43191</v>
      </c>
      <c r="F1465" s="258" t="str">
        <f>IFERROR(__xludf.DUMMYFUNCTION("""COMPUTED_VALUE"""),"Model 3 LR")</f>
        <v>Model 3 LR</v>
      </c>
      <c r="G1465" s="258" t="str">
        <f>IFERROR(__xludf.DUMMYFUNCTION("""COMPUTED_VALUE"""),"A few times a year")</f>
        <v>A few times a year</v>
      </c>
      <c r="H1465" s="258" t="str">
        <f>IFERROR(__xludf.DUMMYFUNCTION("""COMPUTED_VALUE"""),"A few times a year")</f>
        <v>A few times a year</v>
      </c>
      <c r="I1465" s="258" t="str">
        <f>IFERROR(__xludf.DUMMYFUNCTION("""COMPUTED_VALUE"""),"Once or twice a year")</f>
        <v>Once or twice a year</v>
      </c>
      <c r="J1465" s="260">
        <f>IFERROR(__xludf.DUMMYFUNCTION("""COMPUTED_VALUE"""),0.8)</f>
        <v>0.8</v>
      </c>
      <c r="K1465" s="258">
        <f>IFERROR(__xludf.DUMMYFUNCTION("""COMPUTED_VALUE"""),310.0)</f>
        <v>310</v>
      </c>
      <c r="L1465" s="258" t="str">
        <f>IFERROR(__xludf.DUMMYFUNCTION("""COMPUTED_VALUE"""),"")</f>
        <v/>
      </c>
      <c r="M1465" s="261">
        <f>IFERROR(__xludf.DUMMYFUNCTION("""COMPUTED_VALUE"""),233.0)</f>
        <v>233</v>
      </c>
      <c r="N1465" s="262" t="str">
        <f>IFERROR(__xludf.DUMMYFUNCTION("""COMPUTED_VALUE"""),"")</f>
        <v/>
      </c>
      <c r="O1465" s="259" t="str">
        <f>IFERROR(__xludf.DUMMYFUNCTION("""COMPUTED_VALUE"""),"")</f>
        <v/>
      </c>
      <c r="P1465" s="259">
        <f>IFERROR(__xludf.DUMMYFUNCTION("""COMPUTED_VALUE"""),43882.0)</f>
        <v>43882</v>
      </c>
      <c r="Q1465" s="258">
        <f>IFERROR(__xludf.DUMMYFUNCTION("""COMPUTED_VALUE"""),21550.0)</f>
        <v>21550</v>
      </c>
      <c r="R1465" s="261">
        <f>IFERROR(__xludf.DUMMYFUNCTION("""COMPUTED_VALUE"""),312.0)</f>
        <v>312</v>
      </c>
      <c r="S1465" s="258">
        <v>325.0</v>
      </c>
      <c r="T1465" s="263">
        <v>0.96</v>
      </c>
      <c r="U1465" s="264">
        <v>21550.0</v>
      </c>
      <c r="V1465" s="265">
        <v>34681.0</v>
      </c>
      <c r="W1465" s="264">
        <v>21550.0</v>
      </c>
      <c r="X1465" s="266"/>
      <c r="Y1465" s="267">
        <v>-0.01</v>
      </c>
      <c r="Z1465" s="267">
        <v>0.9656133442392205</v>
      </c>
      <c r="AA1465" s="269"/>
      <c r="AB1465" s="270"/>
      <c r="AC1465" s="270"/>
      <c r="AD1465" s="270"/>
      <c r="AE1465" s="270"/>
    </row>
    <row r="1466">
      <c r="A1466" s="256">
        <f>IFERROR(__xludf.DUMMYFUNCTION("""COMPUTED_VALUE"""),42256.75625)</f>
        <v>42256.75625</v>
      </c>
      <c r="B1466" s="257" t="str">
        <f>IFERROR(__xludf.DUMMYFUNCTION("""COMPUTED_VALUE"""),"vdiv")</f>
        <v>vdiv</v>
      </c>
      <c r="C1466" s="258" t="str">
        <f>IFERROR(__xludf.DUMMYFUNCTION("""COMPUTED_VALUE"""),"USA")</f>
        <v>USA</v>
      </c>
      <c r="D1466" s="258" t="str">
        <f>IFERROR(__xludf.DUMMYFUNCTION("""COMPUTED_VALUE"""),"mi. My car displays range in miles and I will enter all range numbers in miles.")</f>
        <v>mi. My car displays range in miles and I will enter all range numbers in miles.</v>
      </c>
      <c r="E1466" s="259">
        <f>IFERROR(__xludf.DUMMYFUNCTION("""COMPUTED_VALUE"""),42139.0)</f>
        <v>42139</v>
      </c>
      <c r="F1466" s="258" t="str">
        <f>IFERROR(__xludf.DUMMYFUNCTION("""COMPUTED_VALUE"""),"Model S 70D")</f>
        <v>Model S 70D</v>
      </c>
      <c r="G1466" s="258" t="str">
        <f>IFERROR(__xludf.DUMMYFUNCTION("""COMPUTED_VALUE"""),"Twice a month")</f>
        <v>Twice a month</v>
      </c>
      <c r="H1466" s="258" t="str">
        <f>IFERROR(__xludf.DUMMYFUNCTION("""COMPUTED_VALUE"""),"Never")</f>
        <v>Never</v>
      </c>
      <c r="I1466" s="258" t="str">
        <f>IFERROR(__xludf.DUMMYFUNCTION("""COMPUTED_VALUE"""),"Never")</f>
        <v>Never</v>
      </c>
      <c r="J1466" s="260">
        <f>IFERROR(__xludf.DUMMYFUNCTION("""COMPUTED_VALUE"""),0.9)</f>
        <v>0.9</v>
      </c>
      <c r="K1466" s="258">
        <f>IFERROR(__xludf.DUMMYFUNCTION("""COMPUTED_VALUE"""),240.0)</f>
        <v>240</v>
      </c>
      <c r="L1466" s="258" t="str">
        <f>IFERROR(__xludf.DUMMYFUNCTION("""COMPUTED_VALUE"""),"")</f>
        <v/>
      </c>
      <c r="M1466" s="261">
        <f>IFERROR(__xludf.DUMMYFUNCTION("""COMPUTED_VALUE"""),281.0)</f>
        <v>281</v>
      </c>
      <c r="N1466" s="262" t="str">
        <f>IFERROR(__xludf.DUMMYFUNCTION("""COMPUTED_VALUE"""),"")</f>
        <v/>
      </c>
      <c r="O1466" s="259" t="str">
        <f>IFERROR(__xludf.DUMMYFUNCTION("""COMPUTED_VALUE"""),"")</f>
        <v/>
      </c>
      <c r="P1466" s="259">
        <f>IFERROR(__xludf.DUMMYFUNCTION("""COMPUTED_VALUE"""),42256.0)</f>
        <v>42256</v>
      </c>
      <c r="Q1466" s="258">
        <f>IFERROR(__xludf.DUMMYFUNCTION("""COMPUTED_VALUE"""),4674.0)</f>
        <v>4674</v>
      </c>
      <c r="R1466" s="261">
        <f>IFERROR(__xludf.DUMMYFUNCTION("""COMPUTED_VALUE"""),237.0)</f>
        <v>237</v>
      </c>
      <c r="S1466" s="258">
        <v>240.0</v>
      </c>
      <c r="T1466" s="263">
        <v>0.9875</v>
      </c>
      <c r="U1466" s="264">
        <v>4674.0</v>
      </c>
      <c r="V1466" s="265">
        <v>7522.0</v>
      </c>
      <c r="W1466" s="264">
        <v>4674.0</v>
      </c>
      <c r="X1466" s="266"/>
      <c r="Y1466" s="267">
        <v>-0.01</v>
      </c>
      <c r="Z1466" s="267">
        <v>0.9874818641138013</v>
      </c>
      <c r="AA1466" s="269"/>
      <c r="AB1466" s="270"/>
      <c r="AC1466" s="270"/>
      <c r="AD1466" s="270"/>
      <c r="AE1466" s="270"/>
    </row>
    <row r="1467">
      <c r="A1467" s="256">
        <f>IFERROR(__xludf.DUMMYFUNCTION("""COMPUTED_VALUE"""),42470.34305555555)</f>
        <v>42470.34306</v>
      </c>
      <c r="B1467" s="257" t="str">
        <f>IFERROR(__xludf.DUMMYFUNCTION("""COMPUTED_VALUE"""),"velociped77")</f>
        <v>velociped77</v>
      </c>
      <c r="C1467" s="258" t="str">
        <f>IFERROR(__xludf.DUMMYFUNCTION("""COMPUTED_VALUE"""),"Europe (excluding UK) &amp; Asia Pacific")</f>
        <v>Europe (excluding UK) &amp; Asia Pacific</v>
      </c>
      <c r="D1467" s="258" t="str">
        <f>IFERROR(__xludf.DUMMYFUNCTION("""COMPUTED_VALUE"""),"km. My car displays range in kilometres and I will enter all range numbers in kilometres.")</f>
        <v>km. My car displays range in kilometres and I will enter all range numbers in kilometres.</v>
      </c>
      <c r="E1467" s="259">
        <f>IFERROR(__xludf.DUMMYFUNCTION("""COMPUTED_VALUE"""),42389.0)</f>
        <v>42389</v>
      </c>
      <c r="F1467" s="258" t="str">
        <f>IFERROR(__xludf.DUMMYFUNCTION("""COMPUTED_VALUE"""),"Model S 70D")</f>
        <v>Model S 70D</v>
      </c>
      <c r="G1467" s="258" t="str">
        <f>IFERROR(__xludf.DUMMYFUNCTION("""COMPUTED_VALUE"""),"Monthly")</f>
        <v>Monthly</v>
      </c>
      <c r="H1467" s="258" t="str">
        <f>IFERROR(__xludf.DUMMYFUNCTION("""COMPUTED_VALUE"""),"A few times a year")</f>
        <v>A few times a year</v>
      </c>
      <c r="I1467" s="258" t="str">
        <f>IFERROR(__xludf.DUMMYFUNCTION("""COMPUTED_VALUE"""),"Never")</f>
        <v>Never</v>
      </c>
      <c r="J1467" s="260">
        <f>IFERROR(__xludf.DUMMYFUNCTION("""COMPUTED_VALUE"""),0.7)</f>
        <v>0.7</v>
      </c>
      <c r="K1467" s="258" t="str">
        <f>IFERROR(__xludf.DUMMYFUNCTION("""COMPUTED_VALUE"""),"")</f>
        <v/>
      </c>
      <c r="L1467" s="258" t="str">
        <f>IFERROR(__xludf.DUMMYFUNCTION("""COMPUTED_VALUE"""),"")</f>
        <v/>
      </c>
      <c r="M1467" s="261">
        <f>IFERROR(__xludf.DUMMYFUNCTION("""COMPUTED_VALUE"""),179.0)</f>
        <v>179</v>
      </c>
      <c r="N1467" s="262" t="str">
        <f>IFERROR(__xludf.DUMMYFUNCTION("""COMPUTED_VALUE"""),"")</f>
        <v/>
      </c>
      <c r="O1467" s="259" t="str">
        <f>IFERROR(__xludf.DUMMYFUNCTION("""COMPUTED_VALUE"""),"")</f>
        <v/>
      </c>
      <c r="P1467" s="259">
        <f>IFERROR(__xludf.DUMMYFUNCTION("""COMPUTED_VALUE"""),42470.0)</f>
        <v>42470</v>
      </c>
      <c r="Q1467" s="258">
        <f>IFERROR(__xludf.DUMMYFUNCTION("""COMPUTED_VALUE"""),1340.0)</f>
        <v>1340</v>
      </c>
      <c r="R1467" s="261">
        <f>IFERROR(__xludf.DUMMYFUNCTION("""COMPUTED_VALUE"""),364.0)</f>
        <v>364</v>
      </c>
      <c r="S1467" s="258">
        <v>360.0</v>
      </c>
      <c r="T1467" s="263">
        <v>1.011111111111111</v>
      </c>
      <c r="U1467" s="264">
        <v>833.0</v>
      </c>
      <c r="V1467" s="265">
        <v>1340.0</v>
      </c>
      <c r="W1467" s="264">
        <v>833.0</v>
      </c>
      <c r="X1467" s="266"/>
      <c r="Y1467" s="267">
        <v>-0.01</v>
      </c>
      <c r="Z1467" s="267">
        <v>0.9974094316688399</v>
      </c>
      <c r="AA1467" s="269"/>
      <c r="AB1467" s="270"/>
      <c r="AC1467" s="270"/>
      <c r="AD1467" s="270"/>
      <c r="AE1467" s="270"/>
    </row>
    <row r="1468">
      <c r="A1468" s="256">
        <f>IFERROR(__xludf.DUMMYFUNCTION("""COMPUTED_VALUE"""),42504.34375)</f>
        <v>42504.34375</v>
      </c>
      <c r="B1468" s="257" t="str">
        <f>IFERROR(__xludf.DUMMYFUNCTION("""COMPUTED_VALUE"""),"velociped77")</f>
        <v>velociped77</v>
      </c>
      <c r="C1468" s="258" t="str">
        <f>IFERROR(__xludf.DUMMYFUNCTION("""COMPUTED_VALUE"""),"Europe (excluding UK) &amp; Asia Pacific")</f>
        <v>Europe (excluding UK) &amp; Asia Pacific</v>
      </c>
      <c r="D1468" s="258" t="str">
        <f>IFERROR(__xludf.DUMMYFUNCTION("""COMPUTED_VALUE"""),"km. My car displays range in kilometres and I will enter all range numbers in kilometres.")</f>
        <v>km. My car displays range in kilometres and I will enter all range numbers in kilometres.</v>
      </c>
      <c r="E1468" s="259">
        <f>IFERROR(__xludf.DUMMYFUNCTION("""COMPUTED_VALUE"""),42389.0)</f>
        <v>42389</v>
      </c>
      <c r="F1468" s="258" t="str">
        <f>IFERROR(__xludf.DUMMYFUNCTION("""COMPUTED_VALUE"""),"Model S 70D")</f>
        <v>Model S 70D</v>
      </c>
      <c r="G1468" s="258" t="str">
        <f>IFERROR(__xludf.DUMMYFUNCTION("""COMPUTED_VALUE"""),"Monthly")</f>
        <v>Monthly</v>
      </c>
      <c r="H1468" s="258" t="str">
        <f>IFERROR(__xludf.DUMMYFUNCTION("""COMPUTED_VALUE"""),"A few times a year")</f>
        <v>A few times a year</v>
      </c>
      <c r="I1468" s="258" t="str">
        <f>IFERROR(__xludf.DUMMYFUNCTION("""COMPUTED_VALUE"""),"Never")</f>
        <v>Never</v>
      </c>
      <c r="J1468" s="260">
        <f>IFERROR(__xludf.DUMMYFUNCTION("""COMPUTED_VALUE"""),0.7)</f>
        <v>0.7</v>
      </c>
      <c r="K1468" s="258" t="str">
        <f>IFERROR(__xludf.DUMMYFUNCTION("""COMPUTED_VALUE"""),"")</f>
        <v/>
      </c>
      <c r="L1468" s="258" t="str">
        <f>IFERROR(__xludf.DUMMYFUNCTION("""COMPUTED_VALUE"""),"")</f>
        <v/>
      </c>
      <c r="M1468" s="261">
        <f>IFERROR(__xludf.DUMMYFUNCTION("""COMPUTED_VALUE"""),179.0)</f>
        <v>179</v>
      </c>
      <c r="N1468" s="262" t="str">
        <f>IFERROR(__xludf.DUMMYFUNCTION("""COMPUTED_VALUE"""),"")</f>
        <v/>
      </c>
      <c r="O1468" s="259" t="str">
        <f>IFERROR(__xludf.DUMMYFUNCTION("""COMPUTED_VALUE"""),"")</f>
        <v/>
      </c>
      <c r="P1468" s="259">
        <f>IFERROR(__xludf.DUMMYFUNCTION("""COMPUTED_VALUE"""),42504.0)</f>
        <v>42504</v>
      </c>
      <c r="Q1468" s="258">
        <f>IFERROR(__xludf.DUMMYFUNCTION("""COMPUTED_VALUE"""),3177.0)</f>
        <v>3177</v>
      </c>
      <c r="R1468" s="261">
        <f>IFERROR(__xludf.DUMMYFUNCTION("""COMPUTED_VALUE"""),364.0)</f>
        <v>364</v>
      </c>
      <c r="S1468" s="258">
        <v>360.0</v>
      </c>
      <c r="T1468" s="263">
        <v>1.011111111111111</v>
      </c>
      <c r="U1468" s="264">
        <v>1974.0</v>
      </c>
      <c r="V1468" s="265">
        <v>3177.0</v>
      </c>
      <c r="W1468" s="264">
        <v>1974.0</v>
      </c>
      <c r="X1468" s="266"/>
      <c r="Y1468" s="267">
        <v>-0.01</v>
      </c>
      <c r="Z1468" s="267">
        <v>0.9941333192590518</v>
      </c>
      <c r="AA1468" s="269"/>
      <c r="AB1468" s="270"/>
      <c r="AC1468" s="270"/>
      <c r="AD1468" s="270"/>
      <c r="AE1468" s="270"/>
    </row>
    <row r="1469">
      <c r="A1469" s="256">
        <f>IFERROR(__xludf.DUMMYFUNCTION("""COMPUTED_VALUE"""),43188.7125)</f>
        <v>43188.7125</v>
      </c>
      <c r="B1469" s="257" t="str">
        <f>IFERROR(__xludf.DUMMYFUNCTION("""COMPUTED_VALUE"""),"Verdi")</f>
        <v>Verdi</v>
      </c>
      <c r="C1469" s="258" t="str">
        <f>IFERROR(__xludf.DUMMYFUNCTION("""COMPUTED_VALUE"""),"Europe (excluding UK) &amp; Asia Pacific")</f>
        <v>Europe (excluding UK) &amp; Asia Pacific</v>
      </c>
      <c r="D1469" s="258" t="str">
        <f>IFERROR(__xludf.DUMMYFUNCTION("""COMPUTED_VALUE"""),"km. My car displays range in kilometres and I will enter all range numbers in kilometres.")</f>
        <v>km. My car displays range in kilometres and I will enter all range numbers in kilometres.</v>
      </c>
      <c r="E1469" s="259">
        <f>IFERROR(__xludf.DUMMYFUNCTION("""COMPUTED_VALUE"""),42583.0)</f>
        <v>42583</v>
      </c>
      <c r="F1469" s="258" t="str">
        <f>IFERROR(__xludf.DUMMYFUNCTION("""COMPUTED_VALUE"""),"Model S 90D")</f>
        <v>Model S 90D</v>
      </c>
      <c r="G1469" s="258" t="str">
        <f>IFERROR(__xludf.DUMMYFUNCTION("""COMPUTED_VALUE"""),"A few times a year")</f>
        <v>A few times a year</v>
      </c>
      <c r="H1469" s="258" t="str">
        <f>IFERROR(__xludf.DUMMYFUNCTION("""COMPUTED_VALUE"""),"Monthly")</f>
        <v>Monthly</v>
      </c>
      <c r="I1469" s="258" t="str">
        <f>IFERROR(__xludf.DUMMYFUNCTION("""COMPUTED_VALUE"""),"Monthly")</f>
        <v>Monthly</v>
      </c>
      <c r="J1469" s="260">
        <f>IFERROR(__xludf.DUMMYFUNCTION("""COMPUTED_VALUE"""),0.9)</f>
        <v>0.9</v>
      </c>
      <c r="K1469" s="258" t="str">
        <f>IFERROR(__xludf.DUMMYFUNCTION("""COMPUTED_VALUE"""),"")</f>
        <v/>
      </c>
      <c r="L1469" s="258" t="str">
        <f>IFERROR(__xludf.DUMMYFUNCTION("""COMPUTED_VALUE"""),"")</f>
        <v/>
      </c>
      <c r="M1469" s="261">
        <f>IFERROR(__xludf.DUMMYFUNCTION("""COMPUTED_VALUE"""),218.0)</f>
        <v>218</v>
      </c>
      <c r="N1469" s="262" t="str">
        <f>IFERROR(__xludf.DUMMYFUNCTION("""COMPUTED_VALUE"""),"")</f>
        <v/>
      </c>
      <c r="O1469" s="259" t="str">
        <f>IFERROR(__xludf.DUMMYFUNCTION("""COMPUTED_VALUE"""),"")</f>
        <v/>
      </c>
      <c r="P1469" s="259">
        <f>IFERROR(__xludf.DUMMYFUNCTION("""COMPUTED_VALUE"""),43188.0)</f>
        <v>43188</v>
      </c>
      <c r="Q1469" s="258">
        <f>IFERROR(__xludf.DUMMYFUNCTION("""COMPUTED_VALUE"""),60968.0)</f>
        <v>60968</v>
      </c>
      <c r="R1469" s="261">
        <f>IFERROR(__xludf.DUMMYFUNCTION("""COMPUTED_VALUE"""),435.0)</f>
        <v>435</v>
      </c>
      <c r="S1469" s="258">
        <v>447.0</v>
      </c>
      <c r="T1469" s="263">
        <v>0.9731543624161074</v>
      </c>
      <c r="U1469" s="264">
        <v>37884.0</v>
      </c>
      <c r="V1469" s="265">
        <v>60968.0</v>
      </c>
      <c r="W1469" s="264">
        <v>37884.0</v>
      </c>
      <c r="X1469" s="266"/>
      <c r="Y1469" s="267">
        <v>-0.01</v>
      </c>
      <c r="Z1469" s="267">
        <v>0.9563764912330383</v>
      </c>
      <c r="AA1469" s="269"/>
      <c r="AB1469" s="270"/>
      <c r="AC1469" s="270"/>
      <c r="AD1469" s="270"/>
      <c r="AE1469" s="270"/>
    </row>
    <row r="1470">
      <c r="A1470" s="256">
        <f>IFERROR(__xludf.DUMMYFUNCTION("""COMPUTED_VALUE"""),42355.2625)</f>
        <v>42355.2625</v>
      </c>
      <c r="B1470" s="257" t="str">
        <f>IFERROR(__xludf.DUMMYFUNCTION("""COMPUTED_VALUE"""),"Viking")</f>
        <v>Viking</v>
      </c>
      <c r="C1470" s="258" t="str">
        <f>IFERROR(__xludf.DUMMYFUNCTION("""COMPUTED_VALUE"""),"Europe (excluding UK) &amp; Asia Pacific")</f>
        <v>Europe (excluding UK) &amp; Asia Pacific</v>
      </c>
      <c r="D1470" s="258" t="str">
        <f>IFERROR(__xludf.DUMMYFUNCTION("""COMPUTED_VALUE"""),"km. My car displays range in kilometres and I will enter all range numbers in kilometres.")</f>
        <v>km. My car displays range in kilometres and I will enter all range numbers in kilometres.</v>
      </c>
      <c r="E1470" s="259">
        <f>IFERROR(__xludf.DUMMYFUNCTION("""COMPUTED_VALUE"""),42013.0)</f>
        <v>42013</v>
      </c>
      <c r="F1470" s="258" t="str">
        <f>IFERROR(__xludf.DUMMYFUNCTION("""COMPUTED_VALUE"""),"Model S 85")</f>
        <v>Model S 85</v>
      </c>
      <c r="G1470" s="258" t="str">
        <f>IFERROR(__xludf.DUMMYFUNCTION("""COMPUTED_VALUE"""),"Twice a month")</f>
        <v>Twice a month</v>
      </c>
      <c r="H1470" s="258" t="str">
        <f>IFERROR(__xludf.DUMMYFUNCTION("""COMPUTED_VALUE"""),"Monthly")</f>
        <v>Monthly</v>
      </c>
      <c r="I1470" s="258" t="str">
        <f>IFERROR(__xludf.DUMMYFUNCTION("""COMPUTED_VALUE"""),"A few times a year")</f>
        <v>A few times a year</v>
      </c>
      <c r="J1470" s="260">
        <f>IFERROR(__xludf.DUMMYFUNCTION("""COMPUTED_VALUE"""),0.9)</f>
        <v>0.9</v>
      </c>
      <c r="K1470" s="258" t="str">
        <f>IFERROR(__xludf.DUMMYFUNCTION("""COMPUTED_VALUE"""),"")</f>
        <v/>
      </c>
      <c r="L1470" s="258" t="str">
        <f>IFERROR(__xludf.DUMMYFUNCTION("""COMPUTED_VALUE"""),"")</f>
        <v/>
      </c>
      <c r="M1470" s="261">
        <f>IFERROR(__xludf.DUMMYFUNCTION("""COMPUTED_VALUE"""),222.0)</f>
        <v>222</v>
      </c>
      <c r="N1470" s="262" t="str">
        <f>IFERROR(__xludf.DUMMYFUNCTION("""COMPUTED_VALUE"""),"")</f>
        <v/>
      </c>
      <c r="O1470" s="259" t="str">
        <f>IFERROR(__xludf.DUMMYFUNCTION("""COMPUTED_VALUE"""),"")</f>
        <v/>
      </c>
      <c r="P1470" s="259">
        <f>IFERROR(__xludf.DUMMYFUNCTION("""COMPUTED_VALUE"""),42355.0)</f>
        <v>42355</v>
      </c>
      <c r="Q1470" s="258">
        <f>IFERROR(__xludf.DUMMYFUNCTION("""COMPUTED_VALUE"""),34822.0)</f>
        <v>34822</v>
      </c>
      <c r="R1470" s="261">
        <f>IFERROR(__xludf.DUMMYFUNCTION("""COMPUTED_VALUE"""),377.0)</f>
        <v>377</v>
      </c>
      <c r="S1470" s="258">
        <v>395.0</v>
      </c>
      <c r="T1470" s="263">
        <v>0.9544303797468354</v>
      </c>
      <c r="U1470" s="264">
        <v>21637.0</v>
      </c>
      <c r="V1470" s="265">
        <v>34822.0</v>
      </c>
      <c r="W1470" s="264">
        <v>21637.0</v>
      </c>
      <c r="X1470" s="266"/>
      <c r="Y1470" s="267">
        <v>-0.01</v>
      </c>
      <c r="Z1470" s="267">
        <v>0.9655477343268144</v>
      </c>
      <c r="AA1470" s="269"/>
      <c r="AB1470" s="270"/>
      <c r="AC1470" s="270"/>
      <c r="AD1470" s="270"/>
      <c r="AE1470" s="270"/>
    </row>
    <row r="1471">
      <c r="A1471" s="256">
        <f>IFERROR(__xludf.DUMMYFUNCTION("""COMPUTED_VALUE"""),42874.85763888889)</f>
        <v>42874.85764</v>
      </c>
      <c r="B1471" s="257" t="str">
        <f>IFERROR(__xludf.DUMMYFUNCTION("""COMPUTED_VALUE"""),"VikingC")</f>
        <v>VikingC</v>
      </c>
      <c r="C1471" s="258" t="str">
        <f>IFERROR(__xludf.DUMMYFUNCTION("""COMPUTED_VALUE"""),"USA")</f>
        <v>USA</v>
      </c>
      <c r="D1471" s="258" t="str">
        <f>IFERROR(__xludf.DUMMYFUNCTION("""COMPUTED_VALUE"""),"mi. My car displays range in miles and I will enter all range numbers in miles.")</f>
        <v>mi. My car displays range in miles and I will enter all range numbers in miles.</v>
      </c>
      <c r="E1471" s="259">
        <f>IFERROR(__xludf.DUMMYFUNCTION("""COMPUTED_VALUE"""),42703.0)</f>
        <v>42703</v>
      </c>
      <c r="F1471" s="258" t="str">
        <f>IFERROR(__xludf.DUMMYFUNCTION("""COMPUTED_VALUE"""),"Model S 90D")</f>
        <v>Model S 90D</v>
      </c>
      <c r="G1471" s="258" t="str">
        <f>IFERROR(__xludf.DUMMYFUNCTION("""COMPUTED_VALUE"""),"A few times a year")</f>
        <v>A few times a year</v>
      </c>
      <c r="H1471" s="258" t="str">
        <f>IFERROR(__xludf.DUMMYFUNCTION("""COMPUTED_VALUE"""),"A few times a year")</f>
        <v>A few times a year</v>
      </c>
      <c r="I1471" s="258" t="str">
        <f>IFERROR(__xludf.DUMMYFUNCTION("""COMPUTED_VALUE"""),"Never")</f>
        <v>Never</v>
      </c>
      <c r="J1471" s="260">
        <f>IFERROR(__xludf.DUMMYFUNCTION("""COMPUTED_VALUE"""),0.9)</f>
        <v>0.9</v>
      </c>
      <c r="K1471" s="258">
        <f>IFERROR(__xludf.DUMMYFUNCTION("""COMPUTED_VALUE"""),293.0)</f>
        <v>293</v>
      </c>
      <c r="L1471" s="258" t="str">
        <f>IFERROR(__xludf.DUMMYFUNCTION("""COMPUTED_VALUE"""),"")</f>
        <v/>
      </c>
      <c r="M1471" s="261">
        <f>IFERROR(__xludf.DUMMYFUNCTION("""COMPUTED_VALUE"""),263.0)</f>
        <v>263</v>
      </c>
      <c r="N1471" s="262" t="str">
        <f>IFERROR(__xludf.DUMMYFUNCTION("""COMPUTED_VALUE"""),"")</f>
        <v/>
      </c>
      <c r="O1471" s="259" t="str">
        <f>IFERROR(__xludf.DUMMYFUNCTION("""COMPUTED_VALUE"""),"")</f>
        <v/>
      </c>
      <c r="P1471" s="259">
        <f>IFERROR(__xludf.DUMMYFUNCTION("""COMPUTED_VALUE"""),42874.0)</f>
        <v>42874</v>
      </c>
      <c r="Q1471" s="258">
        <f>IFERROR(__xludf.DUMMYFUNCTION("""COMPUTED_VALUE"""),5000.0)</f>
        <v>5000</v>
      </c>
      <c r="R1471" s="261">
        <f>IFERROR(__xludf.DUMMYFUNCTION("""COMPUTED_VALUE"""),291.0)</f>
        <v>291</v>
      </c>
      <c r="S1471" s="258">
        <v>292.0</v>
      </c>
      <c r="T1471" s="263">
        <v>0.9965753424657534</v>
      </c>
      <c r="U1471" s="264">
        <v>5000.0</v>
      </c>
      <c r="V1471" s="265">
        <v>8047.0</v>
      </c>
      <c r="W1471" s="264">
        <v>5000.0</v>
      </c>
      <c r="X1471" s="266"/>
      <c r="Y1471" s="267">
        <v>-0.01</v>
      </c>
      <c r="Z1471" s="267">
        <v>0.9867698343845213</v>
      </c>
      <c r="AA1471" s="269"/>
      <c r="AB1471" s="270"/>
      <c r="AC1471" s="270"/>
      <c r="AD1471" s="270"/>
      <c r="AE1471" s="270"/>
    </row>
    <row r="1472">
      <c r="A1472" s="256">
        <f>IFERROR(__xludf.DUMMYFUNCTION("""COMPUTED_VALUE"""),42971.85833333334)</f>
        <v>42971.85833</v>
      </c>
      <c r="B1472" s="257" t="str">
        <f>IFERROR(__xludf.DUMMYFUNCTION("""COMPUTED_VALUE"""),"VikingC")</f>
        <v>VikingC</v>
      </c>
      <c r="C1472" s="258" t="str">
        <f>IFERROR(__xludf.DUMMYFUNCTION("""COMPUTED_VALUE"""),"USA")</f>
        <v>USA</v>
      </c>
      <c r="D1472" s="258" t="str">
        <f>IFERROR(__xludf.DUMMYFUNCTION("""COMPUTED_VALUE"""),"mi. My car displays range in miles and I will enter all range numbers in miles.")</f>
        <v>mi. My car displays range in miles and I will enter all range numbers in miles.</v>
      </c>
      <c r="E1472" s="259">
        <f>IFERROR(__xludf.DUMMYFUNCTION("""COMPUTED_VALUE"""),42703.0)</f>
        <v>42703</v>
      </c>
      <c r="F1472" s="258" t="str">
        <f>IFERROR(__xludf.DUMMYFUNCTION("""COMPUTED_VALUE"""),"Model S 90D")</f>
        <v>Model S 90D</v>
      </c>
      <c r="G1472" s="258" t="str">
        <f>IFERROR(__xludf.DUMMYFUNCTION("""COMPUTED_VALUE"""),"A few times a year")</f>
        <v>A few times a year</v>
      </c>
      <c r="H1472" s="258" t="str">
        <f>IFERROR(__xludf.DUMMYFUNCTION("""COMPUTED_VALUE"""),"A few times a year")</f>
        <v>A few times a year</v>
      </c>
      <c r="I1472" s="258" t="str">
        <f>IFERROR(__xludf.DUMMYFUNCTION("""COMPUTED_VALUE"""),"Never")</f>
        <v>Never</v>
      </c>
      <c r="J1472" s="260">
        <f>IFERROR(__xludf.DUMMYFUNCTION("""COMPUTED_VALUE"""),0.9)</f>
        <v>0.9</v>
      </c>
      <c r="K1472" s="258">
        <f>IFERROR(__xludf.DUMMYFUNCTION("""COMPUTED_VALUE"""),293.0)</f>
        <v>293</v>
      </c>
      <c r="L1472" s="258" t="str">
        <f>IFERROR(__xludf.DUMMYFUNCTION("""COMPUTED_VALUE"""),"")</f>
        <v/>
      </c>
      <c r="M1472" s="261">
        <f>IFERROR(__xludf.DUMMYFUNCTION("""COMPUTED_VALUE"""),263.0)</f>
        <v>263</v>
      </c>
      <c r="N1472" s="262" t="str">
        <f>IFERROR(__xludf.DUMMYFUNCTION("""COMPUTED_VALUE"""),"")</f>
        <v/>
      </c>
      <c r="O1472" s="259" t="str">
        <f>IFERROR(__xludf.DUMMYFUNCTION("""COMPUTED_VALUE"""),"")</f>
        <v/>
      </c>
      <c r="P1472" s="259">
        <f>IFERROR(__xludf.DUMMYFUNCTION("""COMPUTED_VALUE"""),42971.0)</f>
        <v>42971</v>
      </c>
      <c r="Q1472" s="258">
        <f>IFERROR(__xludf.DUMMYFUNCTION("""COMPUTED_VALUE"""),10000.0)</f>
        <v>10000</v>
      </c>
      <c r="R1472" s="261">
        <f>IFERROR(__xludf.DUMMYFUNCTION("""COMPUTED_VALUE"""),284.0)</f>
        <v>284</v>
      </c>
      <c r="S1472" s="258">
        <v>292.0</v>
      </c>
      <c r="T1472" s="263">
        <v>0.9726027397260274</v>
      </c>
      <c r="U1472" s="264">
        <v>10000.0</v>
      </c>
      <c r="V1472" s="265">
        <v>16093.0</v>
      </c>
      <c r="W1472" s="264">
        <v>10000.0</v>
      </c>
      <c r="X1472" s="266"/>
      <c r="Y1472" s="267">
        <v>-0.01</v>
      </c>
      <c r="Z1472" s="267">
        <v>0.9777905650707128</v>
      </c>
      <c r="AA1472" s="269"/>
      <c r="AB1472" s="270"/>
      <c r="AC1472" s="270"/>
      <c r="AD1472" s="270"/>
      <c r="AE1472" s="270"/>
    </row>
    <row r="1473">
      <c r="A1473" s="256">
        <f>IFERROR(__xludf.DUMMYFUNCTION("""COMPUTED_VALUE"""),42697.46041666667)</f>
        <v>42697.46042</v>
      </c>
      <c r="B1473" s="257" t="str">
        <f>IFERROR(__xludf.DUMMYFUNCTION("""COMPUTED_VALUE"""),"villena")</f>
        <v>villena</v>
      </c>
      <c r="C1473" s="258" t="str">
        <f>IFERROR(__xludf.DUMMYFUNCTION("""COMPUTED_VALUE"""),"Europe (excluding UK) &amp; Asia Pacific")</f>
        <v>Europe (excluding UK) &amp; Asia Pacific</v>
      </c>
      <c r="D1473" s="258" t="str">
        <f>IFERROR(__xludf.DUMMYFUNCTION("""COMPUTED_VALUE"""),"km. My car displays range in kilometres and I will enter all range numbers in kilometres.")</f>
        <v>km. My car displays range in kilometres and I will enter all range numbers in kilometres.</v>
      </c>
      <c r="E1473" s="259">
        <f>IFERROR(__xludf.DUMMYFUNCTION("""COMPUTED_VALUE"""),42122.0)</f>
        <v>42122</v>
      </c>
      <c r="F1473" s="258" t="str">
        <f>IFERROR(__xludf.DUMMYFUNCTION("""COMPUTED_VALUE"""),"Model S 85D")</f>
        <v>Model S 85D</v>
      </c>
      <c r="G1473" s="258" t="str">
        <f>IFERROR(__xludf.DUMMYFUNCTION("""COMPUTED_VALUE"""),"A few times a year")</f>
        <v>A few times a year</v>
      </c>
      <c r="H1473" s="258" t="str">
        <f>IFERROR(__xludf.DUMMYFUNCTION("""COMPUTED_VALUE"""),"Monthly")</f>
        <v>Monthly</v>
      </c>
      <c r="I1473" s="258" t="str">
        <f>IFERROR(__xludf.DUMMYFUNCTION("""COMPUTED_VALUE"""),"Once or twice a year")</f>
        <v>Once or twice a year</v>
      </c>
      <c r="J1473" s="260">
        <f>IFERROR(__xludf.DUMMYFUNCTION("""COMPUTED_VALUE"""),0.9)</f>
        <v>0.9</v>
      </c>
      <c r="K1473" s="258" t="str">
        <f>IFERROR(__xludf.DUMMYFUNCTION("""COMPUTED_VALUE"""),"")</f>
        <v/>
      </c>
      <c r="L1473" s="258" t="str">
        <f>IFERROR(__xludf.DUMMYFUNCTION("""COMPUTED_VALUE"""),"")</f>
        <v/>
      </c>
      <c r="M1473" s="261">
        <f>IFERROR(__xludf.DUMMYFUNCTION("""COMPUTED_VALUE"""),203.0)</f>
        <v>203</v>
      </c>
      <c r="N1473" s="262" t="str">
        <f>IFERROR(__xludf.DUMMYFUNCTION("""COMPUTED_VALUE"""),"")</f>
        <v/>
      </c>
      <c r="O1473" s="259" t="str">
        <f>IFERROR(__xludf.DUMMYFUNCTION("""COMPUTED_VALUE"""),"")</f>
        <v/>
      </c>
      <c r="P1473" s="259">
        <f>IFERROR(__xludf.DUMMYFUNCTION("""COMPUTED_VALUE"""),42697.0)</f>
        <v>42697</v>
      </c>
      <c r="Q1473" s="258">
        <f>IFERROR(__xludf.DUMMYFUNCTION("""COMPUTED_VALUE"""),88932.0)</f>
        <v>88932</v>
      </c>
      <c r="R1473" s="261">
        <f>IFERROR(__xludf.DUMMYFUNCTION("""COMPUTED_VALUE"""),410.0)</f>
        <v>410</v>
      </c>
      <c r="S1473" s="258">
        <v>425.0</v>
      </c>
      <c r="T1473" s="263">
        <v>0.9647058823529412</v>
      </c>
      <c r="U1473" s="264">
        <v>55260.0</v>
      </c>
      <c r="V1473" s="265">
        <v>88932.0</v>
      </c>
      <c r="W1473" s="264">
        <v>55260.0</v>
      </c>
      <c r="X1473" s="266"/>
      <c r="Y1473" s="267">
        <v>-0.01</v>
      </c>
      <c r="Z1473" s="267">
        <v>0.9492205568461526</v>
      </c>
      <c r="AA1473" s="269"/>
      <c r="AB1473" s="270"/>
      <c r="AC1473" s="270"/>
      <c r="AD1473" s="270"/>
      <c r="AE1473" s="270"/>
    </row>
    <row r="1474">
      <c r="A1474" s="256">
        <f>IFERROR(__xludf.DUMMYFUNCTION("""COMPUTED_VALUE"""),43787.4624640625)</f>
        <v>43787.46246</v>
      </c>
      <c r="B1474" s="257" t="str">
        <f>IFERROR(__xludf.DUMMYFUNCTION("""COMPUTED_VALUE"""),"vmbert")</f>
        <v>vmbert</v>
      </c>
      <c r="C1474" s="258" t="str">
        <f>IFERROR(__xludf.DUMMYFUNCTION("""COMPUTED_VALUE"""),"Europe (excluding UK) &amp; Asia Pacific")</f>
        <v>Europe (excluding UK) &amp; Asia Pacific</v>
      </c>
      <c r="D1474" s="258" t="str">
        <f>IFERROR(__xludf.DUMMYFUNCTION("""COMPUTED_VALUE"""),"km. My car displays range in kilometres and I will enter all range numbers in kilometres.")</f>
        <v>km. My car displays range in kilometres and I will enter all range numbers in kilometres.</v>
      </c>
      <c r="E1474" s="259">
        <f>IFERROR(__xludf.DUMMYFUNCTION("""COMPUTED_VALUE"""),43617.0)</f>
        <v>43617</v>
      </c>
      <c r="F1474" s="258" t="str">
        <f>IFERROR(__xludf.DUMMYFUNCTION("""COMPUTED_VALUE"""),"Model 3 SR+")</f>
        <v>Model 3 SR+</v>
      </c>
      <c r="G1474" s="258" t="str">
        <f>IFERROR(__xludf.DUMMYFUNCTION("""COMPUTED_VALUE"""),"Twice a month")</f>
        <v>Twice a month</v>
      </c>
      <c r="H1474" s="258" t="str">
        <f>IFERROR(__xludf.DUMMYFUNCTION("""COMPUTED_VALUE"""),"Monthly")</f>
        <v>Monthly</v>
      </c>
      <c r="I1474" s="258" t="str">
        <f>IFERROR(__xludf.DUMMYFUNCTION("""COMPUTED_VALUE"""),"Twice a month")</f>
        <v>Twice a month</v>
      </c>
      <c r="J1474" s="260">
        <f>IFERROR(__xludf.DUMMYFUNCTION("""COMPUTED_VALUE"""),0.8)</f>
        <v>0.8</v>
      </c>
      <c r="K1474" s="258">
        <f>IFERROR(__xludf.DUMMYFUNCTION("""COMPUTED_VALUE"""),381.0)</f>
        <v>381</v>
      </c>
      <c r="L1474" s="258" t="str">
        <f>IFERROR(__xludf.DUMMYFUNCTION("""COMPUTED_VALUE"""),"")</f>
        <v/>
      </c>
      <c r="M1474" s="261">
        <f>IFERROR(__xludf.DUMMYFUNCTION("""COMPUTED_VALUE"""),163.0)</f>
        <v>163</v>
      </c>
      <c r="N1474" s="262" t="str">
        <f>IFERROR(__xludf.DUMMYFUNCTION("""COMPUTED_VALUE"""),"")</f>
        <v/>
      </c>
      <c r="O1474" s="259" t="str">
        <f>IFERROR(__xludf.DUMMYFUNCTION("""COMPUTED_VALUE"""),"")</f>
        <v/>
      </c>
      <c r="P1474" s="259">
        <f>IFERROR(__xludf.DUMMYFUNCTION("""COMPUTED_VALUE"""),43670.0)</f>
        <v>43670</v>
      </c>
      <c r="Q1474" s="258">
        <f>IFERROR(__xludf.DUMMYFUNCTION("""COMPUTED_VALUE"""),3717.0)</f>
        <v>3717</v>
      </c>
      <c r="R1474" s="261">
        <f>IFERROR(__xludf.DUMMYFUNCTION("""COMPUTED_VALUE"""),379.0)</f>
        <v>379</v>
      </c>
      <c r="S1474" s="258">
        <v>415.0</v>
      </c>
      <c r="T1474" s="263">
        <v>0.9132530120481928</v>
      </c>
      <c r="U1474" s="264">
        <v>2310.0</v>
      </c>
      <c r="V1474" s="265">
        <v>3717.0</v>
      </c>
      <c r="W1474" s="264">
        <v>2310.0</v>
      </c>
      <c r="X1474" s="266"/>
      <c r="Y1474" s="267">
        <v>-0.01</v>
      </c>
      <c r="Z1474" s="267">
        <v>0.9932266031406222</v>
      </c>
      <c r="AA1474" s="269"/>
      <c r="AB1474" s="270"/>
      <c r="AC1474" s="270"/>
      <c r="AD1474" s="270"/>
      <c r="AE1474" s="270"/>
    </row>
    <row r="1475">
      <c r="A1475" s="256">
        <f>IFERROR(__xludf.DUMMYFUNCTION("""COMPUTED_VALUE"""),43787.4624640625)</f>
        <v>43787.46246</v>
      </c>
      <c r="B1475" s="257" t="str">
        <f>IFERROR(__xludf.DUMMYFUNCTION("""COMPUTED_VALUE"""),"vmbert")</f>
        <v>vmbert</v>
      </c>
      <c r="C1475" s="258" t="str">
        <f>IFERROR(__xludf.DUMMYFUNCTION("""COMPUTED_VALUE"""),"Europe (excluding UK) &amp; Asia Pacific")</f>
        <v>Europe (excluding UK) &amp; Asia Pacific</v>
      </c>
      <c r="D1475" s="258" t="str">
        <f>IFERROR(__xludf.DUMMYFUNCTION("""COMPUTED_VALUE"""),"km. My car displays range in kilometres and I will enter all range numbers in kilometres.")</f>
        <v>km. My car displays range in kilometres and I will enter all range numbers in kilometres.</v>
      </c>
      <c r="E1475" s="259">
        <f>IFERROR(__xludf.DUMMYFUNCTION("""COMPUTED_VALUE"""),43617.0)</f>
        <v>43617</v>
      </c>
      <c r="F1475" s="258" t="str">
        <f>IFERROR(__xludf.DUMMYFUNCTION("""COMPUTED_VALUE"""),"Model 3 SR+")</f>
        <v>Model 3 SR+</v>
      </c>
      <c r="G1475" s="258" t="str">
        <f>IFERROR(__xludf.DUMMYFUNCTION("""COMPUTED_VALUE"""),"Twice a month")</f>
        <v>Twice a month</v>
      </c>
      <c r="H1475" s="258" t="str">
        <f>IFERROR(__xludf.DUMMYFUNCTION("""COMPUTED_VALUE"""),"Monthly")</f>
        <v>Monthly</v>
      </c>
      <c r="I1475" s="258" t="str">
        <f>IFERROR(__xludf.DUMMYFUNCTION("""COMPUTED_VALUE"""),"Twice a month")</f>
        <v>Twice a month</v>
      </c>
      <c r="J1475" s="260">
        <f>IFERROR(__xludf.DUMMYFUNCTION("""COMPUTED_VALUE"""),0.8)</f>
        <v>0.8</v>
      </c>
      <c r="K1475" s="258">
        <f>IFERROR(__xludf.DUMMYFUNCTION("""COMPUTED_VALUE"""),381.0)</f>
        <v>381</v>
      </c>
      <c r="L1475" s="258" t="str">
        <f>IFERROR(__xludf.DUMMYFUNCTION("""COMPUTED_VALUE"""),"")</f>
        <v/>
      </c>
      <c r="M1475" s="261">
        <f>IFERROR(__xludf.DUMMYFUNCTION("""COMPUTED_VALUE"""),163.0)</f>
        <v>163</v>
      </c>
      <c r="N1475" s="262" t="str">
        <f>IFERROR(__xludf.DUMMYFUNCTION("""COMPUTED_VALUE"""),"")</f>
        <v/>
      </c>
      <c r="O1475" s="259" t="str">
        <f>IFERROR(__xludf.DUMMYFUNCTION("""COMPUTED_VALUE"""),"")</f>
        <v/>
      </c>
      <c r="P1475" s="259">
        <f>IFERROR(__xludf.DUMMYFUNCTION("""COMPUTED_VALUE"""),43693.0)</f>
        <v>43693</v>
      </c>
      <c r="Q1475" s="258">
        <f>IFERROR(__xludf.DUMMYFUNCTION("""COMPUTED_VALUE"""),7366.0)</f>
        <v>7366</v>
      </c>
      <c r="R1475" s="261">
        <f>IFERROR(__xludf.DUMMYFUNCTION("""COMPUTED_VALUE"""),369.0)</f>
        <v>369</v>
      </c>
      <c r="S1475" s="258">
        <v>415.0</v>
      </c>
      <c r="T1475" s="263">
        <v>0.8891566265060241</v>
      </c>
      <c r="U1475" s="264">
        <v>4577.0</v>
      </c>
      <c r="V1475" s="265">
        <v>7366.0</v>
      </c>
      <c r="W1475" s="264">
        <v>4577.0</v>
      </c>
      <c r="X1475" s="266"/>
      <c r="Y1475" s="267">
        <v>-0.01</v>
      </c>
      <c r="Z1475" s="267">
        <v>0.9876969431001685</v>
      </c>
      <c r="AA1475" s="269"/>
      <c r="AB1475" s="270"/>
      <c r="AC1475" s="270"/>
      <c r="AD1475" s="270"/>
      <c r="AE1475" s="270"/>
    </row>
    <row r="1476">
      <c r="A1476" s="256">
        <f>IFERROR(__xludf.DUMMYFUNCTION("""COMPUTED_VALUE"""),43787.4624640625)</f>
        <v>43787.46246</v>
      </c>
      <c r="B1476" s="257" t="str">
        <f>IFERROR(__xludf.DUMMYFUNCTION("""COMPUTED_VALUE"""),"vmbert")</f>
        <v>vmbert</v>
      </c>
      <c r="C1476" s="258" t="str">
        <f>IFERROR(__xludf.DUMMYFUNCTION("""COMPUTED_VALUE"""),"Europe (excluding UK) &amp; Asia Pacific")</f>
        <v>Europe (excluding UK) &amp; Asia Pacific</v>
      </c>
      <c r="D1476" s="258" t="str">
        <f>IFERROR(__xludf.DUMMYFUNCTION("""COMPUTED_VALUE"""),"km. My car displays range in kilometres and I will enter all range numbers in kilometres.")</f>
        <v>km. My car displays range in kilometres and I will enter all range numbers in kilometres.</v>
      </c>
      <c r="E1476" s="259">
        <f>IFERROR(__xludf.DUMMYFUNCTION("""COMPUTED_VALUE"""),43617.0)</f>
        <v>43617</v>
      </c>
      <c r="F1476" s="258" t="str">
        <f>IFERROR(__xludf.DUMMYFUNCTION("""COMPUTED_VALUE"""),"Model 3 SR+")</f>
        <v>Model 3 SR+</v>
      </c>
      <c r="G1476" s="258" t="str">
        <f>IFERROR(__xludf.DUMMYFUNCTION("""COMPUTED_VALUE"""),"Twice a month")</f>
        <v>Twice a month</v>
      </c>
      <c r="H1476" s="258" t="str">
        <f>IFERROR(__xludf.DUMMYFUNCTION("""COMPUTED_VALUE"""),"Monthly")</f>
        <v>Monthly</v>
      </c>
      <c r="I1476" s="258" t="str">
        <f>IFERROR(__xludf.DUMMYFUNCTION("""COMPUTED_VALUE"""),"Twice a month")</f>
        <v>Twice a month</v>
      </c>
      <c r="J1476" s="260">
        <f>IFERROR(__xludf.DUMMYFUNCTION("""COMPUTED_VALUE"""),0.8)</f>
        <v>0.8</v>
      </c>
      <c r="K1476" s="258">
        <f>IFERROR(__xludf.DUMMYFUNCTION("""COMPUTED_VALUE"""),381.0)</f>
        <v>381</v>
      </c>
      <c r="L1476" s="258" t="str">
        <f>IFERROR(__xludf.DUMMYFUNCTION("""COMPUTED_VALUE"""),"")</f>
        <v/>
      </c>
      <c r="M1476" s="261">
        <f>IFERROR(__xludf.DUMMYFUNCTION("""COMPUTED_VALUE"""),163.0)</f>
        <v>163</v>
      </c>
      <c r="N1476" s="262" t="str">
        <f>IFERROR(__xludf.DUMMYFUNCTION("""COMPUTED_VALUE"""),"")</f>
        <v/>
      </c>
      <c r="O1476" s="259" t="str">
        <f>IFERROR(__xludf.DUMMYFUNCTION("""COMPUTED_VALUE"""),"")</f>
        <v/>
      </c>
      <c r="P1476" s="259">
        <f>IFERROR(__xludf.DUMMYFUNCTION("""COMPUTED_VALUE"""),43704.0)</f>
        <v>43704</v>
      </c>
      <c r="Q1476" s="258">
        <f>IFERROR(__xludf.DUMMYFUNCTION("""COMPUTED_VALUE"""),9923.0)</f>
        <v>9923</v>
      </c>
      <c r="R1476" s="261">
        <f>IFERROR(__xludf.DUMMYFUNCTION("""COMPUTED_VALUE"""),371.0)</f>
        <v>371</v>
      </c>
      <c r="S1476" s="258">
        <v>415.0</v>
      </c>
      <c r="T1476" s="263">
        <v>0.8939759036144578</v>
      </c>
      <c r="U1476" s="264">
        <v>6166.0</v>
      </c>
      <c r="V1476" s="265">
        <v>9923.0</v>
      </c>
      <c r="W1476" s="264">
        <v>6166.0</v>
      </c>
      <c r="X1476" s="266"/>
      <c r="Y1476" s="267">
        <v>-0.01</v>
      </c>
      <c r="Z1476" s="267">
        <v>0.984366973307381</v>
      </c>
      <c r="AA1476" s="269"/>
      <c r="AB1476" s="270"/>
      <c r="AC1476" s="270"/>
      <c r="AD1476" s="270"/>
      <c r="AE1476" s="270"/>
    </row>
    <row r="1477">
      <c r="A1477" s="256">
        <f>IFERROR(__xludf.DUMMYFUNCTION("""COMPUTED_VALUE"""),43787.4624640625)</f>
        <v>43787.46246</v>
      </c>
      <c r="B1477" s="257" t="str">
        <f>IFERROR(__xludf.DUMMYFUNCTION("""COMPUTED_VALUE"""),"vmbert")</f>
        <v>vmbert</v>
      </c>
      <c r="C1477" s="258" t="str">
        <f>IFERROR(__xludf.DUMMYFUNCTION("""COMPUTED_VALUE"""),"Europe (excluding UK) &amp; Asia Pacific")</f>
        <v>Europe (excluding UK) &amp; Asia Pacific</v>
      </c>
      <c r="D1477" s="258" t="str">
        <f>IFERROR(__xludf.DUMMYFUNCTION("""COMPUTED_VALUE"""),"km. My car displays range in kilometres and I will enter all range numbers in kilometres.")</f>
        <v>km. My car displays range in kilometres and I will enter all range numbers in kilometres.</v>
      </c>
      <c r="E1477" s="259">
        <f>IFERROR(__xludf.DUMMYFUNCTION("""COMPUTED_VALUE"""),43617.0)</f>
        <v>43617</v>
      </c>
      <c r="F1477" s="258" t="str">
        <f>IFERROR(__xludf.DUMMYFUNCTION("""COMPUTED_VALUE"""),"Model 3 SR+")</f>
        <v>Model 3 SR+</v>
      </c>
      <c r="G1477" s="258" t="str">
        <f>IFERROR(__xludf.DUMMYFUNCTION("""COMPUTED_VALUE"""),"Twice a month")</f>
        <v>Twice a month</v>
      </c>
      <c r="H1477" s="258" t="str">
        <f>IFERROR(__xludf.DUMMYFUNCTION("""COMPUTED_VALUE"""),"Monthly")</f>
        <v>Monthly</v>
      </c>
      <c r="I1477" s="258" t="str">
        <f>IFERROR(__xludf.DUMMYFUNCTION("""COMPUTED_VALUE"""),"Twice a month")</f>
        <v>Twice a month</v>
      </c>
      <c r="J1477" s="260">
        <f>IFERROR(__xludf.DUMMYFUNCTION("""COMPUTED_VALUE"""),0.8)</f>
        <v>0.8</v>
      </c>
      <c r="K1477" s="258">
        <f>IFERROR(__xludf.DUMMYFUNCTION("""COMPUTED_VALUE"""),381.0)</f>
        <v>381</v>
      </c>
      <c r="L1477" s="258" t="str">
        <f>IFERROR(__xludf.DUMMYFUNCTION("""COMPUTED_VALUE"""),"")</f>
        <v/>
      </c>
      <c r="M1477" s="261">
        <f>IFERROR(__xludf.DUMMYFUNCTION("""COMPUTED_VALUE"""),163.0)</f>
        <v>163</v>
      </c>
      <c r="N1477" s="262" t="str">
        <f>IFERROR(__xludf.DUMMYFUNCTION("""COMPUTED_VALUE"""),"")</f>
        <v/>
      </c>
      <c r="O1477" s="259" t="str">
        <f>IFERROR(__xludf.DUMMYFUNCTION("""COMPUTED_VALUE"""),"")</f>
        <v/>
      </c>
      <c r="P1477" s="259">
        <f>IFERROR(__xludf.DUMMYFUNCTION("""COMPUTED_VALUE"""),43764.0)</f>
        <v>43764</v>
      </c>
      <c r="Q1477" s="258">
        <f>IFERROR(__xludf.DUMMYFUNCTION("""COMPUTED_VALUE"""),18957.0)</f>
        <v>18957</v>
      </c>
      <c r="R1477" s="261">
        <f>IFERROR(__xludf.DUMMYFUNCTION("""COMPUTED_VALUE"""),369.0)</f>
        <v>369</v>
      </c>
      <c r="S1477" s="258">
        <v>415.0</v>
      </c>
      <c r="T1477" s="263">
        <v>0.8891566265060241</v>
      </c>
      <c r="U1477" s="264">
        <v>11779.0</v>
      </c>
      <c r="V1477" s="265">
        <v>18957.0</v>
      </c>
      <c r="W1477" s="264">
        <v>11779.0</v>
      </c>
      <c r="X1477" s="266"/>
      <c r="Y1477" s="267">
        <v>-0.01</v>
      </c>
      <c r="Z1477" s="267">
        <v>0.9752981105175447</v>
      </c>
      <c r="AA1477" s="269"/>
      <c r="AB1477" s="270"/>
      <c r="AC1477" s="270"/>
      <c r="AD1477" s="270"/>
      <c r="AE1477" s="270"/>
    </row>
    <row r="1478">
      <c r="A1478" s="256">
        <f>IFERROR(__xludf.DUMMYFUNCTION("""COMPUTED_VALUE"""),43192.71736111111)</f>
        <v>43192.71736</v>
      </c>
      <c r="B1478" s="257" t="str">
        <f>IFERROR(__xludf.DUMMYFUNCTION("""COMPUTED_VALUE"""),"Volker.Berlin")</f>
        <v>Volker.Berlin</v>
      </c>
      <c r="C1478" s="258" t="str">
        <f>IFERROR(__xludf.DUMMYFUNCTION("""COMPUTED_VALUE"""),"Europe (excluding UK) &amp; Asia Pacific")</f>
        <v>Europe (excluding UK) &amp; Asia Pacific</v>
      </c>
      <c r="D1478" s="258" t="str">
        <f>IFERROR(__xludf.DUMMYFUNCTION("""COMPUTED_VALUE"""),"km. My car displays range in kilometres and I will enter all range numbers in kilometres.")</f>
        <v>km. My car displays range in kilometres and I will enter all range numbers in kilometres.</v>
      </c>
      <c r="E1478" s="259">
        <f>IFERROR(__xludf.DUMMYFUNCTION("""COMPUTED_VALUE"""),41558.0)</f>
        <v>41558</v>
      </c>
      <c r="F1478" s="258" t="str">
        <f>IFERROR(__xludf.DUMMYFUNCTION("""COMPUTED_VALUE"""),"Model S 85")</f>
        <v>Model S 85</v>
      </c>
      <c r="G1478" s="258" t="str">
        <f>IFERROR(__xludf.DUMMYFUNCTION("""COMPUTED_VALUE"""),"A few times a year")</f>
        <v>A few times a year</v>
      </c>
      <c r="H1478" s="258" t="str">
        <f>IFERROR(__xludf.DUMMYFUNCTION("""COMPUTED_VALUE"""),"A few times a year")</f>
        <v>A few times a year</v>
      </c>
      <c r="I1478" s="258" t="str">
        <f>IFERROR(__xludf.DUMMYFUNCTION("""COMPUTED_VALUE"""),"A few times a year")</f>
        <v>A few times a year</v>
      </c>
      <c r="J1478" s="260">
        <f>IFERROR(__xludf.DUMMYFUNCTION("""COMPUTED_VALUE"""),0.8)</f>
        <v>0.8</v>
      </c>
      <c r="K1478" s="258" t="str">
        <f>IFERROR(__xludf.DUMMYFUNCTION("""COMPUTED_VALUE"""),"")</f>
        <v/>
      </c>
      <c r="L1478" s="258" t="str">
        <f>IFERROR(__xludf.DUMMYFUNCTION("""COMPUTED_VALUE"""),"")</f>
        <v/>
      </c>
      <c r="M1478" s="261">
        <f>IFERROR(__xludf.DUMMYFUNCTION("""COMPUTED_VALUE"""),210.0)</f>
        <v>210</v>
      </c>
      <c r="N1478" s="262">
        <f>IFERROR(__xludf.DUMMYFUNCTION("""COMPUTED_VALUE"""),27000.0)</f>
        <v>27000</v>
      </c>
      <c r="O1478" s="259" t="str">
        <f>IFERROR(__xludf.DUMMYFUNCTION("""COMPUTED_VALUE"""),"Dropped by 4 km or mi")</f>
        <v>Dropped by 4 km or mi</v>
      </c>
      <c r="P1478" s="259">
        <f>IFERROR(__xludf.DUMMYFUNCTION("""COMPUTED_VALUE"""),43192.0)</f>
        <v>43192</v>
      </c>
      <c r="Q1478" s="258">
        <f>IFERROR(__xludf.DUMMYFUNCTION("""COMPUTED_VALUE"""),129000.0)</f>
        <v>129000</v>
      </c>
      <c r="R1478" s="261">
        <f>IFERROR(__xludf.DUMMYFUNCTION("""COMPUTED_VALUE"""),360.0)</f>
        <v>360</v>
      </c>
      <c r="S1478" s="258">
        <v>395.0</v>
      </c>
      <c r="T1478" s="263">
        <v>0.9113924050632911</v>
      </c>
      <c r="U1478" s="264">
        <v>80157.0</v>
      </c>
      <c r="V1478" s="265">
        <v>129000.0</v>
      </c>
      <c r="W1478" s="264">
        <v>80157.0</v>
      </c>
      <c r="X1478" s="266"/>
      <c r="Y1478" s="267">
        <v>-0.01</v>
      </c>
      <c r="Z1478" s="267">
        <v>0.9398228678612246</v>
      </c>
      <c r="AA1478" s="269"/>
      <c r="AB1478" s="270"/>
      <c r="AC1478" s="270"/>
      <c r="AD1478" s="270"/>
      <c r="AE1478" s="270"/>
    </row>
    <row r="1479">
      <c r="A1479" s="256">
        <f>IFERROR(__xludf.DUMMYFUNCTION("""COMPUTED_VALUE"""),42318.22430555556)</f>
        <v>42318.22431</v>
      </c>
      <c r="B1479" s="257" t="str">
        <f>IFERROR(__xludf.DUMMYFUNCTION("""COMPUTED_VALUE"""),"voll1")</f>
        <v>voll1</v>
      </c>
      <c r="C1479" s="258" t="str">
        <f>IFERROR(__xludf.DUMMYFUNCTION("""COMPUTED_VALUE"""),"Europe (excluding UK) &amp; Asia Pacific")</f>
        <v>Europe (excluding UK) &amp; Asia Pacific</v>
      </c>
      <c r="D1479" s="258" t="str">
        <f>IFERROR(__xludf.DUMMYFUNCTION("""COMPUTED_VALUE"""),"km. My car displays range in kilometres and I will enter all range numbers in kilometres.")</f>
        <v>km. My car displays range in kilometres and I will enter all range numbers in kilometres.</v>
      </c>
      <c r="E1479" s="259">
        <f>IFERROR(__xludf.DUMMYFUNCTION("""COMPUTED_VALUE"""),41548.0)</f>
        <v>41548</v>
      </c>
      <c r="F1479" s="258" t="str">
        <f>IFERROR(__xludf.DUMMYFUNCTION("""COMPUTED_VALUE"""),"Model S 85")</f>
        <v>Model S 85</v>
      </c>
      <c r="G1479" s="258" t="str">
        <f>IFERROR(__xludf.DUMMYFUNCTION("""COMPUTED_VALUE"""),"A few times a year")</f>
        <v>A few times a year</v>
      </c>
      <c r="H1479" s="258" t="str">
        <f>IFERROR(__xludf.DUMMYFUNCTION("""COMPUTED_VALUE"""),"A few times a year")</f>
        <v>A few times a year</v>
      </c>
      <c r="I1479" s="258" t="str">
        <f>IFERROR(__xludf.DUMMYFUNCTION("""COMPUTED_VALUE"""),"Once or twice a year")</f>
        <v>Once or twice a year</v>
      </c>
      <c r="J1479" s="260">
        <f>IFERROR(__xludf.DUMMYFUNCTION("""COMPUTED_VALUE"""),0.8)</f>
        <v>0.8</v>
      </c>
      <c r="K1479" s="258" t="str">
        <f>IFERROR(__xludf.DUMMYFUNCTION("""COMPUTED_VALUE"""),"")</f>
        <v/>
      </c>
      <c r="L1479" s="258" t="str">
        <f>IFERROR(__xludf.DUMMYFUNCTION("""COMPUTED_VALUE"""),"")</f>
        <v/>
      </c>
      <c r="M1479" s="261">
        <f>IFERROR(__xludf.DUMMYFUNCTION("""COMPUTED_VALUE"""),230.0)</f>
        <v>230</v>
      </c>
      <c r="N1479" s="262" t="str">
        <f>IFERROR(__xludf.DUMMYFUNCTION("""COMPUTED_VALUE"""),"")</f>
        <v/>
      </c>
      <c r="O1479" s="259" t="str">
        <f>IFERROR(__xludf.DUMMYFUNCTION("""COMPUTED_VALUE"""),"")</f>
        <v/>
      </c>
      <c r="P1479" s="259">
        <f>IFERROR(__xludf.DUMMYFUNCTION("""COMPUTED_VALUE"""),42318.0)</f>
        <v>42318</v>
      </c>
      <c r="Q1479" s="258">
        <f>IFERROR(__xludf.DUMMYFUNCTION("""COMPUTED_VALUE"""),40108.0)</f>
        <v>40108</v>
      </c>
      <c r="R1479" s="261">
        <f>IFERROR(__xludf.DUMMYFUNCTION("""COMPUTED_VALUE"""),386.0)</f>
        <v>386</v>
      </c>
      <c r="S1479" s="258">
        <v>395.0</v>
      </c>
      <c r="T1479" s="263">
        <v>0.9772151898734177</v>
      </c>
      <c r="U1479" s="264">
        <v>24922.0</v>
      </c>
      <c r="V1479" s="265">
        <v>40108.0</v>
      </c>
      <c r="W1479" s="264">
        <v>24922.0</v>
      </c>
      <c r="X1479" s="266"/>
      <c r="Y1479" s="267">
        <v>-0.01</v>
      </c>
      <c r="Z1479" s="267">
        <v>0.9632649323681747</v>
      </c>
      <c r="AA1479" s="269"/>
      <c r="AB1479" s="270"/>
      <c r="AC1479" s="270"/>
      <c r="AD1479" s="270"/>
      <c r="AE1479" s="270"/>
    </row>
    <row r="1480">
      <c r="A1480" s="256">
        <f>IFERROR(__xludf.DUMMYFUNCTION("""COMPUTED_VALUE"""),42984.601388888885)</f>
        <v>42984.60139</v>
      </c>
      <c r="B1480" s="257" t="str">
        <f>IFERROR(__xludf.DUMMYFUNCTION("""COMPUTED_VALUE"""),"Wannes")</f>
        <v>Wannes</v>
      </c>
      <c r="C1480" s="258" t="str">
        <f>IFERROR(__xludf.DUMMYFUNCTION("""COMPUTED_VALUE"""),"Europe (excluding UK) &amp; Asia Pacific")</f>
        <v>Europe (excluding UK) &amp; Asia Pacific</v>
      </c>
      <c r="D1480" s="258" t="str">
        <f>IFERROR(__xludf.DUMMYFUNCTION("""COMPUTED_VALUE"""),"km. My car displays range in kilometres and I will enter all range numbers in kilometres.")</f>
        <v>km. My car displays range in kilometres and I will enter all range numbers in kilometres.</v>
      </c>
      <c r="E1480" s="259">
        <f>IFERROR(__xludf.DUMMYFUNCTION("""COMPUTED_VALUE"""),41973.0)</f>
        <v>41973</v>
      </c>
      <c r="F1480" s="258" t="str">
        <f>IFERROR(__xludf.DUMMYFUNCTION("""COMPUTED_VALUE"""),"Model S 85")</f>
        <v>Model S 85</v>
      </c>
      <c r="G1480" s="258" t="str">
        <f>IFERROR(__xludf.DUMMYFUNCTION("""COMPUTED_VALUE"""),"Weekly")</f>
        <v>Weekly</v>
      </c>
      <c r="H1480" s="258" t="str">
        <f>IFERROR(__xludf.DUMMYFUNCTION("""COMPUTED_VALUE"""),"Once or twice a year")</f>
        <v>Once or twice a year</v>
      </c>
      <c r="I1480" s="258" t="str">
        <f>IFERROR(__xludf.DUMMYFUNCTION("""COMPUTED_VALUE"""),"Once or twice a year")</f>
        <v>Once or twice a year</v>
      </c>
      <c r="J1480" s="260">
        <f>IFERROR(__xludf.DUMMYFUNCTION("""COMPUTED_VALUE"""),0.6)</f>
        <v>0.6</v>
      </c>
      <c r="K1480" s="258" t="str">
        <f>IFERROR(__xludf.DUMMYFUNCTION("""COMPUTED_VALUE"""),"")</f>
        <v/>
      </c>
      <c r="L1480" s="258" t="str">
        <f>IFERROR(__xludf.DUMMYFUNCTION("""COMPUTED_VALUE"""),"")</f>
        <v/>
      </c>
      <c r="M1480" s="261">
        <f>IFERROR(__xludf.DUMMYFUNCTION("""COMPUTED_VALUE"""),204.0)</f>
        <v>204</v>
      </c>
      <c r="N1480" s="262" t="str">
        <f>IFERROR(__xludf.DUMMYFUNCTION("""COMPUTED_VALUE"""),"")</f>
        <v/>
      </c>
      <c r="O1480" s="259" t="str">
        <f>IFERROR(__xludf.DUMMYFUNCTION("""COMPUTED_VALUE"""),"")</f>
        <v/>
      </c>
      <c r="P1480" s="259">
        <f>IFERROR(__xludf.DUMMYFUNCTION("""COMPUTED_VALUE"""),42984.0)</f>
        <v>42984</v>
      </c>
      <c r="Q1480" s="258">
        <f>IFERROR(__xludf.DUMMYFUNCTION("""COMPUTED_VALUE"""),69189.0)</f>
        <v>69189</v>
      </c>
      <c r="R1480" s="261">
        <f>IFERROR(__xludf.DUMMYFUNCTION("""COMPUTED_VALUE"""),388.0)</f>
        <v>388</v>
      </c>
      <c r="S1480" s="258">
        <v>395.0</v>
      </c>
      <c r="T1480" s="263">
        <v>0.9822784810126582</v>
      </c>
      <c r="U1480" s="264">
        <v>42992.0</v>
      </c>
      <c r="V1480" s="265">
        <v>69189.0</v>
      </c>
      <c r="W1480" s="264">
        <v>42992.0</v>
      </c>
      <c r="X1480" s="266"/>
      <c r="Y1480" s="267">
        <v>-0.01</v>
      </c>
      <c r="Z1480" s="267">
        <v>0.9541463295080184</v>
      </c>
      <c r="AA1480" s="269"/>
      <c r="AB1480" s="270"/>
      <c r="AC1480" s="270"/>
      <c r="AD1480" s="270"/>
      <c r="AE1480" s="270"/>
    </row>
    <row r="1481">
      <c r="A1481" s="256">
        <f>IFERROR(__xludf.DUMMYFUNCTION("""COMPUTED_VALUE"""),42143.118055555555)</f>
        <v>42143.11806</v>
      </c>
      <c r="B1481" s="257" t="str">
        <f>IFERROR(__xludf.DUMMYFUNCTION("""COMPUTED_VALUE"""),"ward")</f>
        <v>ward</v>
      </c>
      <c r="C1481" s="258" t="str">
        <f>IFERROR(__xludf.DUMMYFUNCTION("""COMPUTED_VALUE"""),"Europe (excluding UK) &amp; Asia Pacific")</f>
        <v>Europe (excluding UK) &amp; Asia Pacific</v>
      </c>
      <c r="D1481" s="258" t="str">
        <f>IFERROR(__xludf.DUMMYFUNCTION("""COMPUTED_VALUE"""),"km. My car displays range in kilometres and I will enter all range numbers in kilometres.")</f>
        <v>km. My car displays range in kilometres and I will enter all range numbers in kilometres.</v>
      </c>
      <c r="E1481" s="259">
        <f>IFERROR(__xludf.DUMMYFUNCTION("""COMPUTED_VALUE"""),41729.0)</f>
        <v>41729</v>
      </c>
      <c r="F1481" s="258" t="str">
        <f>IFERROR(__xludf.DUMMYFUNCTION("""COMPUTED_VALUE"""),"Model S 85")</f>
        <v>Model S 85</v>
      </c>
      <c r="G1481" s="258" t="str">
        <f>IFERROR(__xludf.DUMMYFUNCTION("""COMPUTED_VALUE"""),"Twice a week")</f>
        <v>Twice a week</v>
      </c>
      <c r="H1481" s="258" t="str">
        <f>IFERROR(__xludf.DUMMYFUNCTION("""COMPUTED_VALUE"""),"Twice a month")</f>
        <v>Twice a month</v>
      </c>
      <c r="I1481" s="258" t="str">
        <f>IFERROR(__xludf.DUMMYFUNCTION("""COMPUTED_VALUE"""),"A few times a year")</f>
        <v>A few times a year</v>
      </c>
      <c r="J1481" s="260">
        <f>IFERROR(__xludf.DUMMYFUNCTION("""COMPUTED_VALUE"""),0.9)</f>
        <v>0.9</v>
      </c>
      <c r="K1481" s="258" t="str">
        <f>IFERROR(__xludf.DUMMYFUNCTION("""COMPUTED_VALUE"""),"")</f>
        <v/>
      </c>
      <c r="L1481" s="258" t="str">
        <f>IFERROR(__xludf.DUMMYFUNCTION("""COMPUTED_VALUE"""),"")</f>
        <v/>
      </c>
      <c r="M1481" s="261">
        <f>IFERROR(__xludf.DUMMYFUNCTION("""COMPUTED_VALUE"""),254.0)</f>
        <v>254</v>
      </c>
      <c r="N1481" s="262">
        <f>IFERROR(__xludf.DUMMYFUNCTION("""COMPUTED_VALUE"""),31500.0)</f>
        <v>31500</v>
      </c>
      <c r="O1481" s="259" t="str">
        <f>IFERROR(__xludf.DUMMYFUNCTION("""COMPUTED_VALUE"""),"It didn't change")</f>
        <v>It didn't change</v>
      </c>
      <c r="P1481" s="259">
        <f>IFERROR(__xludf.DUMMYFUNCTION("""COMPUTED_VALUE"""),42143.0)</f>
        <v>42143</v>
      </c>
      <c r="Q1481" s="258">
        <f>IFERROR(__xludf.DUMMYFUNCTION("""COMPUTED_VALUE"""),57500.0)</f>
        <v>57500</v>
      </c>
      <c r="R1481" s="261">
        <f>IFERROR(__xludf.DUMMYFUNCTION("""COMPUTED_VALUE"""),375.0)</f>
        <v>375</v>
      </c>
      <c r="S1481" s="258">
        <v>395.0</v>
      </c>
      <c r="T1481" s="263">
        <v>0.9493670886075949</v>
      </c>
      <c r="U1481" s="264">
        <v>35729.0</v>
      </c>
      <c r="V1481" s="265">
        <v>57500.0</v>
      </c>
      <c r="W1481" s="264">
        <v>35729.0</v>
      </c>
      <c r="X1481" s="266"/>
      <c r="Y1481" s="267">
        <v>-0.01</v>
      </c>
      <c r="Z1481" s="267">
        <v>0.9573727555822535</v>
      </c>
      <c r="AA1481" s="269"/>
      <c r="AB1481" s="270"/>
      <c r="AC1481" s="270"/>
      <c r="AD1481" s="270"/>
      <c r="AE1481" s="270"/>
    </row>
    <row r="1482">
      <c r="A1482" s="256">
        <f>IFERROR(__xludf.DUMMYFUNCTION("""COMPUTED_VALUE"""),43581.05658784722)</f>
        <v>43581.05659</v>
      </c>
      <c r="B1482" s="257" t="str">
        <f>IFERROR(__xludf.DUMMYFUNCTION("""COMPUTED_VALUE"""),"Wennfred")</f>
        <v>Wennfred</v>
      </c>
      <c r="C1482" s="258" t="str">
        <f>IFERROR(__xludf.DUMMYFUNCTION("""COMPUTED_VALUE"""),"USA")</f>
        <v>USA</v>
      </c>
      <c r="D1482" s="258" t="str">
        <f>IFERROR(__xludf.DUMMYFUNCTION("""COMPUTED_VALUE"""),"mi. My car displays range in miles and I will enter all range numbers in miles.")</f>
        <v>mi. My car displays range in miles and I will enter all range numbers in miles.</v>
      </c>
      <c r="E1482" s="259">
        <f>IFERROR(__xludf.DUMMYFUNCTION("""COMPUTED_VALUE"""),43525.0)</f>
        <v>43525</v>
      </c>
      <c r="F1482" s="258" t="str">
        <f>IFERROR(__xludf.DUMMYFUNCTION("""COMPUTED_VALUE"""),"Model 3 SR+")</f>
        <v>Model 3 SR+</v>
      </c>
      <c r="G1482" s="258" t="str">
        <f>IFERROR(__xludf.DUMMYFUNCTION("""COMPUTED_VALUE"""),"A few times a year")</f>
        <v>A few times a year</v>
      </c>
      <c r="H1482" s="258" t="str">
        <f>IFERROR(__xludf.DUMMYFUNCTION("""COMPUTED_VALUE"""),"A few times a year")</f>
        <v>A few times a year</v>
      </c>
      <c r="I1482" s="258" t="str">
        <f>IFERROR(__xludf.DUMMYFUNCTION("""COMPUTED_VALUE"""),"Never")</f>
        <v>Never</v>
      </c>
      <c r="J1482" s="260">
        <f>IFERROR(__xludf.DUMMYFUNCTION("""COMPUTED_VALUE"""),0.8)</f>
        <v>0.8</v>
      </c>
      <c r="K1482" s="258">
        <f>IFERROR(__xludf.DUMMYFUNCTION("""COMPUTED_VALUE"""),240.0)</f>
        <v>240</v>
      </c>
      <c r="L1482" s="258">
        <f>IFERROR(__xludf.DUMMYFUNCTION("""COMPUTED_VALUE"""),218.0)</f>
        <v>218</v>
      </c>
      <c r="M1482" s="261">
        <f>IFERROR(__xludf.DUMMYFUNCTION("""COMPUTED_VALUE"""),218.0)</f>
        <v>218</v>
      </c>
      <c r="N1482" s="262" t="str">
        <f>IFERROR(__xludf.DUMMYFUNCTION("""COMPUTED_VALUE"""),"")</f>
        <v/>
      </c>
      <c r="O1482" s="259" t="str">
        <f>IFERROR(__xludf.DUMMYFUNCTION("""COMPUTED_VALUE"""),"")</f>
        <v/>
      </c>
      <c r="P1482" s="259">
        <f>IFERROR(__xludf.DUMMYFUNCTION("""COMPUTED_VALUE"""),43580.0)</f>
        <v>43580</v>
      </c>
      <c r="Q1482" s="258">
        <f>IFERROR(__xludf.DUMMYFUNCTION("""COMPUTED_VALUE"""),1700.0)</f>
        <v>1700</v>
      </c>
      <c r="R1482" s="261">
        <f>IFERROR(__xludf.DUMMYFUNCTION("""COMPUTED_VALUE"""),237.0)</f>
        <v>237</v>
      </c>
      <c r="S1482" s="258">
        <v>240.0</v>
      </c>
      <c r="T1482" s="263">
        <v>0.9875</v>
      </c>
      <c r="U1482" s="264">
        <v>1700.0</v>
      </c>
      <c r="V1482" s="265">
        <v>2736.0</v>
      </c>
      <c r="W1482" s="264">
        <v>1700.0</v>
      </c>
      <c r="X1482" s="266"/>
      <c r="Y1482" s="267">
        <v>-0.01</v>
      </c>
      <c r="Z1482" s="267">
        <v>0.9948922733957977</v>
      </c>
      <c r="AA1482" s="269"/>
      <c r="AB1482" s="270"/>
      <c r="AC1482" s="270"/>
      <c r="AD1482" s="270"/>
      <c r="AE1482" s="270"/>
    </row>
    <row r="1483">
      <c r="A1483" s="256">
        <f>IFERROR(__xludf.DUMMYFUNCTION("""COMPUTED_VALUE"""),42871.53680555556)</f>
        <v>42871.53681</v>
      </c>
      <c r="B1483" s="257" t="str">
        <f>IFERROR(__xludf.DUMMYFUNCTION("""COMPUTED_VALUE"""),"WhiteStorm")</f>
        <v>WhiteStorm</v>
      </c>
      <c r="C1483" s="258" t="str">
        <f>IFERROR(__xludf.DUMMYFUNCTION("""COMPUTED_VALUE"""),"Europe (excluding UK) &amp; Asia Pacific")</f>
        <v>Europe (excluding UK) &amp; Asia Pacific</v>
      </c>
      <c r="D1483" s="258" t="str">
        <f>IFERROR(__xludf.DUMMYFUNCTION("""COMPUTED_VALUE"""),"km. My car displays range in kilometres and I will enter all range numbers in kilometres.")</f>
        <v>km. My car displays range in kilometres and I will enter all range numbers in kilometres.</v>
      </c>
      <c r="E1483" s="259">
        <f>IFERROR(__xludf.DUMMYFUNCTION("""COMPUTED_VALUE"""),42864.0)</f>
        <v>42864</v>
      </c>
      <c r="F1483" s="258" t="str">
        <f>IFERROR(__xludf.DUMMYFUNCTION("""COMPUTED_VALUE"""),"Model S P100D")</f>
        <v>Model S P100D</v>
      </c>
      <c r="G1483" s="258" t="str">
        <f>IFERROR(__xludf.DUMMYFUNCTION("""COMPUTED_VALUE"""),"Weekly")</f>
        <v>Weekly</v>
      </c>
      <c r="H1483" s="258" t="str">
        <f>IFERROR(__xludf.DUMMYFUNCTION("""COMPUTED_VALUE"""),"A few times a year")</f>
        <v>A few times a year</v>
      </c>
      <c r="I1483" s="258" t="str">
        <f>IFERROR(__xludf.DUMMYFUNCTION("""COMPUTED_VALUE"""),"Never")</f>
        <v>Never</v>
      </c>
      <c r="J1483" s="260">
        <f>IFERROR(__xludf.DUMMYFUNCTION("""COMPUTED_VALUE"""),0.8)</f>
        <v>0.8</v>
      </c>
      <c r="K1483" s="258">
        <f>IFERROR(__xludf.DUMMYFUNCTION("""COMPUTED_VALUE"""),488.0)</f>
        <v>488</v>
      </c>
      <c r="L1483" s="258" t="str">
        <f>IFERROR(__xludf.DUMMYFUNCTION("""COMPUTED_VALUE"""),"")</f>
        <v/>
      </c>
      <c r="M1483" s="261">
        <f>IFERROR(__xludf.DUMMYFUNCTION("""COMPUTED_VALUE"""),188.0)</f>
        <v>188</v>
      </c>
      <c r="N1483" s="262" t="str">
        <f>IFERROR(__xludf.DUMMYFUNCTION("""COMPUTED_VALUE"""),"")</f>
        <v/>
      </c>
      <c r="O1483" s="259" t="str">
        <f>IFERROR(__xludf.DUMMYFUNCTION("""COMPUTED_VALUE"""),"")</f>
        <v/>
      </c>
      <c r="P1483" s="259">
        <f>IFERROR(__xludf.DUMMYFUNCTION("""COMPUTED_VALUE"""),42871.0)</f>
        <v>42871</v>
      </c>
      <c r="Q1483" s="258">
        <f>IFERROR(__xludf.DUMMYFUNCTION("""COMPUTED_VALUE"""),1364.0)</f>
        <v>1364</v>
      </c>
      <c r="R1483" s="261">
        <f>IFERROR(__xludf.DUMMYFUNCTION("""COMPUTED_VALUE"""),488.0)</f>
        <v>488</v>
      </c>
      <c r="S1483" s="258">
        <v>483.0</v>
      </c>
      <c r="T1483" s="263">
        <v>1.010351966873706</v>
      </c>
      <c r="U1483" s="264">
        <v>848.0</v>
      </c>
      <c r="V1483" s="265">
        <v>1364.0</v>
      </c>
      <c r="W1483" s="264">
        <v>848.0</v>
      </c>
      <c r="X1483" s="266"/>
      <c r="Y1483" s="267">
        <v>-0.01</v>
      </c>
      <c r="Z1483" s="267">
        <v>0.9973646319092928</v>
      </c>
      <c r="AA1483" s="269"/>
      <c r="AB1483" s="270"/>
      <c r="AC1483" s="270"/>
      <c r="AD1483" s="270"/>
      <c r="AE1483" s="270"/>
    </row>
    <row r="1484">
      <c r="A1484" s="256">
        <f>IFERROR(__xludf.DUMMYFUNCTION("""COMPUTED_VALUE"""),42962.57708333334)</f>
        <v>42962.57708</v>
      </c>
      <c r="B1484" s="257" t="str">
        <f>IFERROR(__xludf.DUMMYFUNCTION("""COMPUTED_VALUE"""),"WhiteStorm")</f>
        <v>WhiteStorm</v>
      </c>
      <c r="C1484" s="258" t="str">
        <f>IFERROR(__xludf.DUMMYFUNCTION("""COMPUTED_VALUE"""),"Europe (excluding UK) &amp; Asia Pacific")</f>
        <v>Europe (excluding UK) &amp; Asia Pacific</v>
      </c>
      <c r="D1484" s="258" t="str">
        <f>IFERROR(__xludf.DUMMYFUNCTION("""COMPUTED_VALUE"""),"km. My car displays range in kilometres and I will enter all range numbers in kilometres.")</f>
        <v>km. My car displays range in kilometres and I will enter all range numbers in kilometres.</v>
      </c>
      <c r="E1484" s="259">
        <f>IFERROR(__xludf.DUMMYFUNCTION("""COMPUTED_VALUE"""),42864.0)</f>
        <v>42864</v>
      </c>
      <c r="F1484" s="258" t="str">
        <f>IFERROR(__xludf.DUMMYFUNCTION("""COMPUTED_VALUE"""),"Model S P100D")</f>
        <v>Model S P100D</v>
      </c>
      <c r="G1484" s="258" t="str">
        <f>IFERROR(__xludf.DUMMYFUNCTION("""COMPUTED_VALUE"""),"Weekly")</f>
        <v>Weekly</v>
      </c>
      <c r="H1484" s="258" t="str">
        <f>IFERROR(__xludf.DUMMYFUNCTION("""COMPUTED_VALUE"""),"Monthly")</f>
        <v>Monthly</v>
      </c>
      <c r="I1484" s="258" t="str">
        <f>IFERROR(__xludf.DUMMYFUNCTION("""COMPUTED_VALUE"""),"Never")</f>
        <v>Never</v>
      </c>
      <c r="J1484" s="260">
        <f>IFERROR(__xludf.DUMMYFUNCTION("""COMPUTED_VALUE"""),0.8)</f>
        <v>0.8</v>
      </c>
      <c r="K1484" s="258">
        <f>IFERROR(__xludf.DUMMYFUNCTION("""COMPUTED_VALUE"""),488.0)</f>
        <v>488</v>
      </c>
      <c r="L1484" s="258" t="str">
        <f>IFERROR(__xludf.DUMMYFUNCTION("""COMPUTED_VALUE"""),"")</f>
        <v/>
      </c>
      <c r="M1484" s="261" t="str">
        <f>IFERROR(__xludf.DUMMYFUNCTION("""COMPUTED_VALUE"""),"")</f>
        <v/>
      </c>
      <c r="N1484" s="262" t="str">
        <f>IFERROR(__xludf.DUMMYFUNCTION("""COMPUTED_VALUE"""),"")</f>
        <v/>
      </c>
      <c r="O1484" s="259" t="str">
        <f>IFERROR(__xludf.DUMMYFUNCTION("""COMPUTED_VALUE"""),"")</f>
        <v/>
      </c>
      <c r="P1484" s="259">
        <f>IFERROR(__xludf.DUMMYFUNCTION("""COMPUTED_VALUE"""),42962.0)</f>
        <v>42962</v>
      </c>
      <c r="Q1484" s="258">
        <f>IFERROR(__xludf.DUMMYFUNCTION("""COMPUTED_VALUE"""),9695.0)</f>
        <v>9695</v>
      </c>
      <c r="R1484" s="261">
        <f>IFERROR(__xludf.DUMMYFUNCTION("""COMPUTED_VALUE"""),484.0)</f>
        <v>484</v>
      </c>
      <c r="S1484" s="258">
        <v>483.0</v>
      </c>
      <c r="T1484" s="263">
        <v>1.0020703933747412</v>
      </c>
      <c r="U1484" s="264">
        <v>6024.0</v>
      </c>
      <c r="V1484" s="265">
        <v>9695.0</v>
      </c>
      <c r="W1484" s="264">
        <v>6024.0</v>
      </c>
      <c r="X1484" s="266"/>
      <c r="Y1484" s="267">
        <v>-0.01</v>
      </c>
      <c r="Z1484" s="267">
        <v>0.984647693406045</v>
      </c>
      <c r="AA1484" s="269"/>
      <c r="AB1484" s="270"/>
      <c r="AC1484" s="270"/>
      <c r="AD1484" s="270"/>
      <c r="AE1484" s="270"/>
    </row>
    <row r="1485">
      <c r="A1485" s="256">
        <f>IFERROR(__xludf.DUMMYFUNCTION("""COMPUTED_VALUE"""),43090.65)</f>
        <v>43090.65</v>
      </c>
      <c r="B1485" s="257" t="str">
        <f>IFERROR(__xludf.DUMMYFUNCTION("""COMPUTED_VALUE"""),"WhiteStorm")</f>
        <v>WhiteStorm</v>
      </c>
      <c r="C1485" s="258" t="str">
        <f>IFERROR(__xludf.DUMMYFUNCTION("""COMPUTED_VALUE"""),"Europe (excluding UK) &amp; Asia Pacific")</f>
        <v>Europe (excluding UK) &amp; Asia Pacific</v>
      </c>
      <c r="D1485" s="258" t="str">
        <f>IFERROR(__xludf.DUMMYFUNCTION("""COMPUTED_VALUE"""),"km. My car displays range in kilometres and I will enter all range numbers in kilometres.")</f>
        <v>km. My car displays range in kilometres and I will enter all range numbers in kilometres.</v>
      </c>
      <c r="E1485" s="259">
        <f>IFERROR(__xludf.DUMMYFUNCTION("""COMPUTED_VALUE"""),42864.0)</f>
        <v>42864</v>
      </c>
      <c r="F1485" s="258" t="str">
        <f>IFERROR(__xludf.DUMMYFUNCTION("""COMPUTED_VALUE"""),"Model S P100D")</f>
        <v>Model S P100D</v>
      </c>
      <c r="G1485" s="258" t="str">
        <f>IFERROR(__xludf.DUMMYFUNCTION("""COMPUTED_VALUE"""),"Twice a month")</f>
        <v>Twice a month</v>
      </c>
      <c r="H1485" s="258" t="str">
        <f>IFERROR(__xludf.DUMMYFUNCTION("""COMPUTED_VALUE"""),"A few times a year")</f>
        <v>A few times a year</v>
      </c>
      <c r="I1485" s="258" t="str">
        <f>IFERROR(__xludf.DUMMYFUNCTION("""COMPUTED_VALUE"""),"Once or twice a year")</f>
        <v>Once or twice a year</v>
      </c>
      <c r="J1485" s="260">
        <f>IFERROR(__xludf.DUMMYFUNCTION("""COMPUTED_VALUE"""),0.8)</f>
        <v>0.8</v>
      </c>
      <c r="K1485" s="258">
        <f>IFERROR(__xludf.DUMMYFUNCTION("""COMPUTED_VALUE"""),488.0)</f>
        <v>488</v>
      </c>
      <c r="L1485" s="258" t="str">
        <f>IFERROR(__xludf.DUMMYFUNCTION("""COMPUTED_VALUE"""),"")</f>
        <v/>
      </c>
      <c r="M1485" s="261">
        <f>IFERROR(__xludf.DUMMYFUNCTION("""COMPUTED_VALUE"""),182.0)</f>
        <v>182</v>
      </c>
      <c r="N1485" s="262" t="str">
        <f>IFERROR(__xludf.DUMMYFUNCTION("""COMPUTED_VALUE"""),"")</f>
        <v/>
      </c>
      <c r="O1485" s="259" t="str">
        <f>IFERROR(__xludf.DUMMYFUNCTION("""COMPUTED_VALUE"""),"")</f>
        <v/>
      </c>
      <c r="P1485" s="259">
        <f>IFERROR(__xludf.DUMMYFUNCTION("""COMPUTED_VALUE"""),43090.0)</f>
        <v>43090</v>
      </c>
      <c r="Q1485" s="258">
        <f>IFERROR(__xludf.DUMMYFUNCTION("""COMPUTED_VALUE"""),13558.0)</f>
        <v>13558</v>
      </c>
      <c r="R1485" s="261">
        <f>IFERROR(__xludf.DUMMYFUNCTION("""COMPUTED_VALUE"""),480.0)</f>
        <v>480</v>
      </c>
      <c r="S1485" s="258">
        <v>483.0</v>
      </c>
      <c r="T1485" s="263">
        <v>0.9937888198757764</v>
      </c>
      <c r="U1485" s="264">
        <v>8425.0</v>
      </c>
      <c r="V1485" s="265">
        <v>13558.0</v>
      </c>
      <c r="W1485" s="264">
        <v>8425.0</v>
      </c>
      <c r="X1485" s="266"/>
      <c r="Y1485" s="267">
        <v>-0.01</v>
      </c>
      <c r="Z1485" s="267">
        <v>0.9802717656702842</v>
      </c>
      <c r="AA1485" s="269"/>
      <c r="AB1485" s="270"/>
      <c r="AC1485" s="270"/>
      <c r="AD1485" s="270"/>
      <c r="AE1485" s="270"/>
    </row>
    <row r="1486">
      <c r="A1486" s="256">
        <f>IFERROR(__xludf.DUMMYFUNCTION("""COMPUTED_VALUE"""),43575.90177787037)</f>
        <v>43575.90178</v>
      </c>
      <c r="B1486" s="257" t="str">
        <f>IFERROR(__xludf.DUMMYFUNCTION("""COMPUTED_VALUE"""),"WhiteStorm")</f>
        <v>WhiteStorm</v>
      </c>
      <c r="C1486" s="258" t="str">
        <f>IFERROR(__xludf.DUMMYFUNCTION("""COMPUTED_VALUE"""),"Europe (excluding UK) &amp; Asia Pacific")</f>
        <v>Europe (excluding UK) &amp; Asia Pacific</v>
      </c>
      <c r="D1486" s="258" t="str">
        <f>IFERROR(__xludf.DUMMYFUNCTION("""COMPUTED_VALUE"""),"km. My car displays range in kilometres and I will enter all range numbers in kilometres.")</f>
        <v>km. My car displays range in kilometres and I will enter all range numbers in kilometres.</v>
      </c>
      <c r="E1486" s="259">
        <f>IFERROR(__xludf.DUMMYFUNCTION("""COMPUTED_VALUE"""),42780.0)</f>
        <v>42780</v>
      </c>
      <c r="F1486" s="258" t="str">
        <f>IFERROR(__xludf.DUMMYFUNCTION("""COMPUTED_VALUE"""),"Model S P100D")</f>
        <v>Model S P100D</v>
      </c>
      <c r="G1486" s="258" t="str">
        <f>IFERROR(__xludf.DUMMYFUNCTION("""COMPUTED_VALUE"""),"Twice a month")</f>
        <v>Twice a month</v>
      </c>
      <c r="H1486" s="258" t="str">
        <f>IFERROR(__xludf.DUMMYFUNCTION("""COMPUTED_VALUE"""),"Monthly")</f>
        <v>Monthly</v>
      </c>
      <c r="I1486" s="258" t="str">
        <f>IFERROR(__xludf.DUMMYFUNCTION("""COMPUTED_VALUE"""),"A few times a year")</f>
        <v>A few times a year</v>
      </c>
      <c r="J1486" s="260">
        <f>IFERROR(__xludf.DUMMYFUNCTION("""COMPUTED_VALUE"""),0.8)</f>
        <v>0.8</v>
      </c>
      <c r="K1486" s="258">
        <f>IFERROR(__xludf.DUMMYFUNCTION("""COMPUTED_VALUE"""),490.0)</f>
        <v>490</v>
      </c>
      <c r="L1486" s="258" t="str">
        <f>IFERROR(__xludf.DUMMYFUNCTION("""COMPUTED_VALUE"""),"")</f>
        <v/>
      </c>
      <c r="M1486" s="261" t="str">
        <f>IFERROR(__xludf.DUMMYFUNCTION("""COMPUTED_VALUE"""),"")</f>
        <v/>
      </c>
      <c r="N1486" s="262" t="str">
        <f>IFERROR(__xludf.DUMMYFUNCTION("""COMPUTED_VALUE"""),"")</f>
        <v/>
      </c>
      <c r="O1486" s="259" t="str">
        <f>IFERROR(__xludf.DUMMYFUNCTION("""COMPUTED_VALUE"""),"")</f>
        <v/>
      </c>
      <c r="P1486" s="259">
        <f>IFERROR(__xludf.DUMMYFUNCTION("""COMPUTED_VALUE"""),43567.0)</f>
        <v>43567</v>
      </c>
      <c r="Q1486" s="258">
        <f>IFERROR(__xludf.DUMMYFUNCTION("""COMPUTED_VALUE"""),48560.0)</f>
        <v>48560</v>
      </c>
      <c r="R1486" s="261">
        <f>IFERROR(__xludf.DUMMYFUNCTION("""COMPUTED_VALUE"""),453.0)</f>
        <v>453</v>
      </c>
      <c r="S1486" s="258">
        <v>483.0</v>
      </c>
      <c r="T1486" s="263">
        <v>0.937888198757764</v>
      </c>
      <c r="U1486" s="264">
        <v>30174.0</v>
      </c>
      <c r="V1486" s="265">
        <v>48560.0</v>
      </c>
      <c r="W1486" s="264">
        <v>30174.0</v>
      </c>
      <c r="X1486" s="266"/>
      <c r="Y1486" s="267">
        <v>-0.01</v>
      </c>
      <c r="Z1486" s="267">
        <v>0.960167814410182</v>
      </c>
      <c r="AA1486" s="269"/>
      <c r="AB1486" s="270"/>
      <c r="AC1486" s="270"/>
      <c r="AD1486" s="270"/>
      <c r="AE1486" s="270"/>
    </row>
    <row r="1487">
      <c r="A1487" s="256">
        <f>IFERROR(__xludf.DUMMYFUNCTION("""COMPUTED_VALUE"""),41906.01458333334)</f>
        <v>41906.01458</v>
      </c>
      <c r="B1487" s="257" t="str">
        <f>IFERROR(__xludf.DUMMYFUNCTION("""COMPUTED_VALUE"""),"widodh")</f>
        <v>widodh</v>
      </c>
      <c r="C1487" s="258" t="str">
        <f>IFERROR(__xludf.DUMMYFUNCTION("""COMPUTED_VALUE"""),"Europe (excluding UK) &amp; Asia Pacific")</f>
        <v>Europe (excluding UK) &amp; Asia Pacific</v>
      </c>
      <c r="D1487" s="258" t="str">
        <f>IFERROR(__xludf.DUMMYFUNCTION("""COMPUTED_VALUE"""),"km. My car displays range in kilometres and I will enter all range numbers in kilometres.")</f>
        <v>km. My car displays range in kilometres and I will enter all range numbers in kilometres.</v>
      </c>
      <c r="E1487" s="259">
        <f>IFERROR(__xludf.DUMMYFUNCTION("""COMPUTED_VALUE"""),41543.0)</f>
        <v>41543</v>
      </c>
      <c r="F1487" s="258" t="str">
        <f>IFERROR(__xludf.DUMMYFUNCTION("""COMPUTED_VALUE"""),"Model S 85")</f>
        <v>Model S 85</v>
      </c>
      <c r="G1487" s="258" t="str">
        <f>IFERROR(__xludf.DUMMYFUNCTION("""COMPUTED_VALUE"""),"Twice a month")</f>
        <v>Twice a month</v>
      </c>
      <c r="H1487" s="258" t="str">
        <f>IFERROR(__xludf.DUMMYFUNCTION("""COMPUTED_VALUE"""),"Monthly")</f>
        <v>Monthly</v>
      </c>
      <c r="I1487" s="258" t="str">
        <f>IFERROR(__xludf.DUMMYFUNCTION("""COMPUTED_VALUE"""),"Never")</f>
        <v>Never</v>
      </c>
      <c r="J1487" s="260" t="str">
        <f>IFERROR(__xludf.DUMMYFUNCTION("""COMPUTED_VALUE"""),"")</f>
        <v/>
      </c>
      <c r="K1487" s="258" t="str">
        <f>IFERROR(__xludf.DUMMYFUNCTION("""COMPUTED_VALUE"""),"")</f>
        <v/>
      </c>
      <c r="L1487" s="258" t="str">
        <f>IFERROR(__xludf.DUMMYFUNCTION("""COMPUTED_VALUE"""),"")</f>
        <v/>
      </c>
      <c r="M1487" s="261">
        <f>IFERROR(__xludf.DUMMYFUNCTION("""COMPUTED_VALUE"""),221.0)</f>
        <v>221</v>
      </c>
      <c r="N1487" s="262" t="str">
        <f>IFERROR(__xludf.DUMMYFUNCTION("""COMPUTED_VALUE"""),"")</f>
        <v/>
      </c>
      <c r="O1487" s="259" t="str">
        <f>IFERROR(__xludf.DUMMYFUNCTION("""COMPUTED_VALUE"""),"")</f>
        <v/>
      </c>
      <c r="P1487" s="259">
        <f>IFERROR(__xludf.DUMMYFUNCTION("""COMPUTED_VALUE"""),41906.0)</f>
        <v>41906</v>
      </c>
      <c r="Q1487" s="258">
        <f>IFERROR(__xludf.DUMMYFUNCTION("""COMPUTED_VALUE"""),49600.0)</f>
        <v>49600</v>
      </c>
      <c r="R1487" s="261">
        <f>IFERROR(__xludf.DUMMYFUNCTION("""COMPUTED_VALUE"""),386.0)</f>
        <v>386</v>
      </c>
      <c r="S1487" s="258">
        <v>395.0</v>
      </c>
      <c r="T1487" s="263">
        <v>0.9772151898734177</v>
      </c>
      <c r="U1487" s="264">
        <v>30820.0</v>
      </c>
      <c r="V1487" s="265">
        <v>49600.0</v>
      </c>
      <c r="W1487" s="264">
        <v>30820.0</v>
      </c>
      <c r="X1487" s="266"/>
      <c r="Y1487" s="267">
        <v>-0.01</v>
      </c>
      <c r="Z1487" s="267">
        <v>0.9598218285087373</v>
      </c>
      <c r="AA1487" s="269"/>
      <c r="AB1487" s="270"/>
      <c r="AC1487" s="270"/>
      <c r="AD1487" s="270"/>
      <c r="AE1487" s="270"/>
    </row>
    <row r="1488">
      <c r="A1488" s="256">
        <f>IFERROR(__xludf.DUMMYFUNCTION("""COMPUTED_VALUE"""),41950.035416666666)</f>
        <v>41950.03542</v>
      </c>
      <c r="B1488" s="257" t="str">
        <f>IFERROR(__xludf.DUMMYFUNCTION("""COMPUTED_VALUE"""),"widodh")</f>
        <v>widodh</v>
      </c>
      <c r="C1488" s="258" t="str">
        <f>IFERROR(__xludf.DUMMYFUNCTION("""COMPUTED_VALUE"""),"Europe (excluding UK) &amp; Asia Pacific")</f>
        <v>Europe (excluding UK) &amp; Asia Pacific</v>
      </c>
      <c r="D1488" s="258" t="str">
        <f>IFERROR(__xludf.DUMMYFUNCTION("""COMPUTED_VALUE"""),"km. My car displays range in kilometres and I will enter all range numbers in kilometres.")</f>
        <v>km. My car displays range in kilometres and I will enter all range numbers in kilometres.</v>
      </c>
      <c r="E1488" s="259">
        <f>IFERROR(__xludf.DUMMYFUNCTION("""COMPUTED_VALUE"""),41543.0)</f>
        <v>41543</v>
      </c>
      <c r="F1488" s="258" t="str">
        <f>IFERROR(__xludf.DUMMYFUNCTION("""COMPUTED_VALUE"""),"Model S 85")</f>
        <v>Model S 85</v>
      </c>
      <c r="G1488" s="258" t="str">
        <f>IFERROR(__xludf.DUMMYFUNCTION("""COMPUTED_VALUE"""),"Twice a month")</f>
        <v>Twice a month</v>
      </c>
      <c r="H1488" s="258" t="str">
        <f>IFERROR(__xludf.DUMMYFUNCTION("""COMPUTED_VALUE"""),"Twice a month")</f>
        <v>Twice a month</v>
      </c>
      <c r="I1488" s="258" t="str">
        <f>IFERROR(__xludf.DUMMYFUNCTION("""COMPUTED_VALUE"""),"Never")</f>
        <v>Never</v>
      </c>
      <c r="J1488" s="260" t="str">
        <f>IFERROR(__xludf.DUMMYFUNCTION("""COMPUTED_VALUE"""),"")</f>
        <v/>
      </c>
      <c r="K1488" s="258" t="str">
        <f>IFERROR(__xludf.DUMMYFUNCTION("""COMPUTED_VALUE"""),"")</f>
        <v/>
      </c>
      <c r="L1488" s="258" t="str">
        <f>IFERROR(__xludf.DUMMYFUNCTION("""COMPUTED_VALUE"""),"")</f>
        <v/>
      </c>
      <c r="M1488" s="261">
        <f>IFERROR(__xludf.DUMMYFUNCTION("""COMPUTED_VALUE"""),221.0)</f>
        <v>221</v>
      </c>
      <c r="N1488" s="262" t="str">
        <f>IFERROR(__xludf.DUMMYFUNCTION("""COMPUTED_VALUE"""),"")</f>
        <v/>
      </c>
      <c r="O1488" s="259" t="str">
        <f>IFERROR(__xludf.DUMMYFUNCTION("""COMPUTED_VALUE"""),"")</f>
        <v/>
      </c>
      <c r="P1488" s="259">
        <f>IFERROR(__xludf.DUMMYFUNCTION("""COMPUTED_VALUE"""),41950.0)</f>
        <v>41950</v>
      </c>
      <c r="Q1488" s="258">
        <f>IFERROR(__xludf.DUMMYFUNCTION("""COMPUTED_VALUE"""),54000.0)</f>
        <v>54000</v>
      </c>
      <c r="R1488" s="261">
        <f>IFERROR(__xludf.DUMMYFUNCTION("""COMPUTED_VALUE"""),377.0)</f>
        <v>377</v>
      </c>
      <c r="S1488" s="258">
        <v>395.0</v>
      </c>
      <c r="T1488" s="263">
        <v>0.9544303797468354</v>
      </c>
      <c r="U1488" s="264">
        <v>33554.0</v>
      </c>
      <c r="V1488" s="265">
        <v>54000.0</v>
      </c>
      <c r="W1488" s="264">
        <v>33554.0</v>
      </c>
      <c r="X1488" s="266"/>
      <c r="Y1488" s="267">
        <v>-0.01</v>
      </c>
      <c r="Z1488" s="267">
        <v>0.9584227207266385</v>
      </c>
      <c r="AA1488" s="269"/>
      <c r="AB1488" s="270"/>
      <c r="AC1488" s="270"/>
      <c r="AD1488" s="270"/>
      <c r="AE1488" s="270"/>
    </row>
    <row r="1489">
      <c r="A1489" s="256">
        <f>IFERROR(__xludf.DUMMYFUNCTION("""COMPUTED_VALUE"""),42019.05416666667)</f>
        <v>42019.05417</v>
      </c>
      <c r="B1489" s="257" t="str">
        <f>IFERROR(__xludf.DUMMYFUNCTION("""COMPUTED_VALUE"""),"widodh")</f>
        <v>widodh</v>
      </c>
      <c r="C1489" s="258" t="str">
        <f>IFERROR(__xludf.DUMMYFUNCTION("""COMPUTED_VALUE"""),"Europe (excluding UK) &amp; Asia Pacific")</f>
        <v>Europe (excluding UK) &amp; Asia Pacific</v>
      </c>
      <c r="D1489" s="258" t="str">
        <f>IFERROR(__xludf.DUMMYFUNCTION("""COMPUTED_VALUE"""),"km. My car displays range in kilometres and I will enter all range numbers in kilometres.")</f>
        <v>km. My car displays range in kilometres and I will enter all range numbers in kilometres.</v>
      </c>
      <c r="E1489" s="259">
        <f>IFERROR(__xludf.DUMMYFUNCTION("""COMPUTED_VALUE"""),41543.0)</f>
        <v>41543</v>
      </c>
      <c r="F1489" s="258" t="str">
        <f>IFERROR(__xludf.DUMMYFUNCTION("""COMPUTED_VALUE"""),"Model S 85")</f>
        <v>Model S 85</v>
      </c>
      <c r="G1489" s="258" t="str">
        <f>IFERROR(__xludf.DUMMYFUNCTION("""COMPUTED_VALUE"""),"Twice a month")</f>
        <v>Twice a month</v>
      </c>
      <c r="H1489" s="258" t="str">
        <f>IFERROR(__xludf.DUMMYFUNCTION("""COMPUTED_VALUE"""),"Twice a month")</f>
        <v>Twice a month</v>
      </c>
      <c r="I1489" s="258" t="str">
        <f>IFERROR(__xludf.DUMMYFUNCTION("""COMPUTED_VALUE"""),"Once or twice a year")</f>
        <v>Once or twice a year</v>
      </c>
      <c r="J1489" s="260" t="str">
        <f>IFERROR(__xludf.DUMMYFUNCTION("""COMPUTED_VALUE"""),"")</f>
        <v/>
      </c>
      <c r="K1489" s="258" t="str">
        <f>IFERROR(__xludf.DUMMYFUNCTION("""COMPUTED_VALUE"""),"")</f>
        <v/>
      </c>
      <c r="L1489" s="258" t="str">
        <f>IFERROR(__xludf.DUMMYFUNCTION("""COMPUTED_VALUE"""),"")</f>
        <v/>
      </c>
      <c r="M1489" s="261">
        <f>IFERROR(__xludf.DUMMYFUNCTION("""COMPUTED_VALUE"""),227.0)</f>
        <v>227</v>
      </c>
      <c r="N1489" s="262" t="str">
        <f>IFERROR(__xludf.DUMMYFUNCTION("""COMPUTED_VALUE"""),"")</f>
        <v/>
      </c>
      <c r="O1489" s="259" t="str">
        <f>IFERROR(__xludf.DUMMYFUNCTION("""COMPUTED_VALUE"""),"")</f>
        <v/>
      </c>
      <c r="P1489" s="259">
        <f>IFERROR(__xludf.DUMMYFUNCTION("""COMPUTED_VALUE"""),42019.0)</f>
        <v>42019</v>
      </c>
      <c r="Q1489" s="258">
        <f>IFERROR(__xludf.DUMMYFUNCTION("""COMPUTED_VALUE"""),59500.0)</f>
        <v>59500</v>
      </c>
      <c r="R1489" s="261">
        <f>IFERROR(__xludf.DUMMYFUNCTION("""COMPUTED_VALUE"""),374.0)</f>
        <v>374</v>
      </c>
      <c r="S1489" s="258">
        <v>395.0</v>
      </c>
      <c r="T1489" s="263">
        <v>0.9468354430379747</v>
      </c>
      <c r="U1489" s="264">
        <v>36972.0</v>
      </c>
      <c r="V1489" s="265">
        <v>59500.0</v>
      </c>
      <c r="W1489" s="264">
        <v>36972.0</v>
      </c>
      <c r="X1489" s="266"/>
      <c r="Y1489" s="267">
        <v>-0.01</v>
      </c>
      <c r="Z1489" s="267">
        <v>0.9567934045448937</v>
      </c>
      <c r="AA1489" s="269"/>
      <c r="AB1489" s="270"/>
      <c r="AC1489" s="270"/>
      <c r="AD1489" s="270"/>
      <c r="AE1489" s="270"/>
    </row>
    <row r="1490">
      <c r="A1490" s="256">
        <f>IFERROR(__xludf.DUMMYFUNCTION("""COMPUTED_VALUE"""),42029.06597222222)</f>
        <v>42029.06597</v>
      </c>
      <c r="B1490" s="257" t="str">
        <f>IFERROR(__xludf.DUMMYFUNCTION("""COMPUTED_VALUE"""),"widodh")</f>
        <v>widodh</v>
      </c>
      <c r="C1490" s="258" t="str">
        <f>IFERROR(__xludf.DUMMYFUNCTION("""COMPUTED_VALUE"""),"Europe (excluding UK) &amp; Asia Pacific")</f>
        <v>Europe (excluding UK) &amp; Asia Pacific</v>
      </c>
      <c r="D1490" s="258" t="str">
        <f>IFERROR(__xludf.DUMMYFUNCTION("""COMPUTED_VALUE"""),"km. My car displays range in kilometres and I will enter all range numbers in kilometres.")</f>
        <v>km. My car displays range in kilometres and I will enter all range numbers in kilometres.</v>
      </c>
      <c r="E1490" s="259">
        <f>IFERROR(__xludf.DUMMYFUNCTION("""COMPUTED_VALUE"""),41543.0)</f>
        <v>41543</v>
      </c>
      <c r="F1490" s="258" t="str">
        <f>IFERROR(__xludf.DUMMYFUNCTION("""COMPUTED_VALUE"""),"Model S 85")</f>
        <v>Model S 85</v>
      </c>
      <c r="G1490" s="258" t="str">
        <f>IFERROR(__xludf.DUMMYFUNCTION("""COMPUTED_VALUE"""),"Weekly")</f>
        <v>Weekly</v>
      </c>
      <c r="H1490" s="258" t="str">
        <f>IFERROR(__xludf.DUMMYFUNCTION("""COMPUTED_VALUE"""),"Twice a month")</f>
        <v>Twice a month</v>
      </c>
      <c r="I1490" s="258" t="str">
        <f>IFERROR(__xludf.DUMMYFUNCTION("""COMPUTED_VALUE"""),"Once or twice a year")</f>
        <v>Once or twice a year</v>
      </c>
      <c r="J1490" s="260" t="str">
        <f>IFERROR(__xludf.DUMMYFUNCTION("""COMPUTED_VALUE"""),"")</f>
        <v/>
      </c>
      <c r="K1490" s="258" t="str">
        <f>IFERROR(__xludf.DUMMYFUNCTION("""COMPUTED_VALUE"""),"")</f>
        <v/>
      </c>
      <c r="L1490" s="258" t="str">
        <f>IFERROR(__xludf.DUMMYFUNCTION("""COMPUTED_VALUE"""),"")</f>
        <v/>
      </c>
      <c r="M1490" s="261">
        <f>IFERROR(__xludf.DUMMYFUNCTION("""COMPUTED_VALUE"""),224.0)</f>
        <v>224</v>
      </c>
      <c r="N1490" s="262" t="str">
        <f>IFERROR(__xludf.DUMMYFUNCTION("""COMPUTED_VALUE"""),"")</f>
        <v/>
      </c>
      <c r="O1490" s="259" t="str">
        <f>IFERROR(__xludf.DUMMYFUNCTION("""COMPUTED_VALUE"""),"")</f>
        <v/>
      </c>
      <c r="P1490" s="259">
        <f>IFERROR(__xludf.DUMMYFUNCTION("""COMPUTED_VALUE"""),42029.0)</f>
        <v>42029</v>
      </c>
      <c r="Q1490" s="258">
        <f>IFERROR(__xludf.DUMMYFUNCTION("""COMPUTED_VALUE"""),63000.0)</f>
        <v>63000</v>
      </c>
      <c r="R1490" s="261">
        <f>IFERROR(__xludf.DUMMYFUNCTION("""COMPUTED_VALUE"""),374.0)</f>
        <v>374</v>
      </c>
      <c r="S1490" s="258">
        <v>395.0</v>
      </c>
      <c r="T1490" s="263">
        <v>0.9468354430379747</v>
      </c>
      <c r="U1490" s="264">
        <v>39146.0</v>
      </c>
      <c r="V1490" s="265">
        <v>63000.0</v>
      </c>
      <c r="W1490" s="264">
        <v>39146.0</v>
      </c>
      <c r="X1490" s="266"/>
      <c r="Y1490" s="267">
        <v>-0.01</v>
      </c>
      <c r="Z1490" s="267">
        <v>0.9558098622040557</v>
      </c>
      <c r="AA1490" s="269"/>
      <c r="AB1490" s="270"/>
      <c r="AC1490" s="270"/>
      <c r="AD1490" s="270"/>
      <c r="AE1490" s="270"/>
    </row>
    <row r="1491">
      <c r="A1491" s="256">
        <f>IFERROR(__xludf.DUMMYFUNCTION("""COMPUTED_VALUE"""),42060.07777777778)</f>
        <v>42060.07778</v>
      </c>
      <c r="B1491" s="257" t="str">
        <f>IFERROR(__xludf.DUMMYFUNCTION("""COMPUTED_VALUE"""),"widodh")</f>
        <v>widodh</v>
      </c>
      <c r="C1491" s="258" t="str">
        <f>IFERROR(__xludf.DUMMYFUNCTION("""COMPUTED_VALUE"""),"Europe (excluding UK) &amp; Asia Pacific")</f>
        <v>Europe (excluding UK) &amp; Asia Pacific</v>
      </c>
      <c r="D1491" s="258" t="str">
        <f>IFERROR(__xludf.DUMMYFUNCTION("""COMPUTED_VALUE"""),"km. My car displays range in kilometres and I will enter all range numbers in kilometres.")</f>
        <v>km. My car displays range in kilometres and I will enter all range numbers in kilometres.</v>
      </c>
      <c r="E1491" s="259">
        <f>IFERROR(__xludf.DUMMYFUNCTION("""COMPUTED_VALUE"""),41543.0)</f>
        <v>41543</v>
      </c>
      <c r="F1491" s="258" t="str">
        <f>IFERROR(__xludf.DUMMYFUNCTION("""COMPUTED_VALUE"""),"Model S 85")</f>
        <v>Model S 85</v>
      </c>
      <c r="G1491" s="258" t="str">
        <f>IFERROR(__xludf.DUMMYFUNCTION("""COMPUTED_VALUE"""),"Twice a month")</f>
        <v>Twice a month</v>
      </c>
      <c r="H1491" s="258" t="str">
        <f>IFERROR(__xludf.DUMMYFUNCTION("""COMPUTED_VALUE"""),"Monthly")</f>
        <v>Monthly</v>
      </c>
      <c r="I1491" s="258" t="str">
        <f>IFERROR(__xludf.DUMMYFUNCTION("""COMPUTED_VALUE"""),"Once or twice a year")</f>
        <v>Once or twice a year</v>
      </c>
      <c r="J1491" s="260" t="str">
        <f>IFERROR(__xludf.DUMMYFUNCTION("""COMPUTED_VALUE"""),"")</f>
        <v/>
      </c>
      <c r="K1491" s="258" t="str">
        <f>IFERROR(__xludf.DUMMYFUNCTION("""COMPUTED_VALUE"""),"")</f>
        <v/>
      </c>
      <c r="L1491" s="258" t="str">
        <f>IFERROR(__xludf.DUMMYFUNCTION("""COMPUTED_VALUE"""),"")</f>
        <v/>
      </c>
      <c r="M1491" s="261">
        <f>IFERROR(__xludf.DUMMYFUNCTION("""COMPUTED_VALUE"""),226.0)</f>
        <v>226</v>
      </c>
      <c r="N1491" s="262">
        <f>IFERROR(__xludf.DUMMYFUNCTION("""COMPUTED_VALUE"""),66000.0)</f>
        <v>66000</v>
      </c>
      <c r="O1491" s="259" t="str">
        <f>IFERROR(__xludf.DUMMYFUNCTION("""COMPUTED_VALUE"""),"It didn't change")</f>
        <v>It didn't change</v>
      </c>
      <c r="P1491" s="259">
        <f>IFERROR(__xludf.DUMMYFUNCTION("""COMPUTED_VALUE"""),42060.0)</f>
        <v>42060</v>
      </c>
      <c r="Q1491" s="258">
        <f>IFERROR(__xludf.DUMMYFUNCTION("""COMPUTED_VALUE"""),68018.0)</f>
        <v>68018</v>
      </c>
      <c r="R1491" s="261">
        <f>IFERROR(__xludf.DUMMYFUNCTION("""COMPUTED_VALUE"""),373.0)</f>
        <v>373</v>
      </c>
      <c r="S1491" s="258">
        <v>395.0</v>
      </c>
      <c r="T1491" s="263">
        <v>0.9443037974683545</v>
      </c>
      <c r="U1491" s="264">
        <v>42264.0</v>
      </c>
      <c r="V1491" s="265">
        <v>68018.0</v>
      </c>
      <c r="W1491" s="264">
        <v>42264.0</v>
      </c>
      <c r="X1491" s="266"/>
      <c r="Y1491" s="267">
        <v>-0.01</v>
      </c>
      <c r="Z1491" s="267">
        <v>0.9544548186237855</v>
      </c>
      <c r="AA1491" s="269"/>
      <c r="AB1491" s="270"/>
      <c r="AC1491" s="270"/>
      <c r="AD1491" s="270"/>
      <c r="AE1491" s="270"/>
    </row>
    <row r="1492">
      <c r="A1492" s="256">
        <f>IFERROR(__xludf.DUMMYFUNCTION("""COMPUTED_VALUE"""),42106.09444444445)</f>
        <v>42106.09444</v>
      </c>
      <c r="B1492" s="257" t="str">
        <f>IFERROR(__xludf.DUMMYFUNCTION("""COMPUTED_VALUE"""),"widodh")</f>
        <v>widodh</v>
      </c>
      <c r="C1492" s="258" t="str">
        <f>IFERROR(__xludf.DUMMYFUNCTION("""COMPUTED_VALUE"""),"Europe (excluding UK) &amp; Asia Pacific")</f>
        <v>Europe (excluding UK) &amp; Asia Pacific</v>
      </c>
      <c r="D1492" s="258" t="str">
        <f>IFERROR(__xludf.DUMMYFUNCTION("""COMPUTED_VALUE"""),"km. My car displays range in kilometres and I will enter all range numbers in kilometres.")</f>
        <v>km. My car displays range in kilometres and I will enter all range numbers in kilometres.</v>
      </c>
      <c r="E1492" s="259">
        <f>IFERROR(__xludf.DUMMYFUNCTION("""COMPUTED_VALUE"""),41543.0)</f>
        <v>41543</v>
      </c>
      <c r="F1492" s="258" t="str">
        <f>IFERROR(__xludf.DUMMYFUNCTION("""COMPUTED_VALUE"""),"Model S 85")</f>
        <v>Model S 85</v>
      </c>
      <c r="G1492" s="258" t="str">
        <f>IFERROR(__xludf.DUMMYFUNCTION("""COMPUTED_VALUE"""),"Twice a month")</f>
        <v>Twice a month</v>
      </c>
      <c r="H1492" s="258" t="str">
        <f>IFERROR(__xludf.DUMMYFUNCTION("""COMPUTED_VALUE"""),"Twice a month")</f>
        <v>Twice a month</v>
      </c>
      <c r="I1492" s="258" t="str">
        <f>IFERROR(__xludf.DUMMYFUNCTION("""COMPUTED_VALUE"""),"Once or twice a year")</f>
        <v>Once or twice a year</v>
      </c>
      <c r="J1492" s="260" t="str">
        <f>IFERROR(__xludf.DUMMYFUNCTION("""COMPUTED_VALUE"""),"")</f>
        <v/>
      </c>
      <c r="K1492" s="258" t="str">
        <f>IFERROR(__xludf.DUMMYFUNCTION("""COMPUTED_VALUE"""),"")</f>
        <v/>
      </c>
      <c r="L1492" s="258" t="str">
        <f>IFERROR(__xludf.DUMMYFUNCTION("""COMPUTED_VALUE"""),"")</f>
        <v/>
      </c>
      <c r="M1492" s="261">
        <f>IFERROR(__xludf.DUMMYFUNCTION("""COMPUTED_VALUE"""),225.0)</f>
        <v>225</v>
      </c>
      <c r="N1492" s="262">
        <f>IFERROR(__xludf.DUMMYFUNCTION("""COMPUTED_VALUE"""),65000.0)</f>
        <v>65000</v>
      </c>
      <c r="O1492" s="259" t="str">
        <f>IFERROR(__xludf.DUMMYFUNCTION("""COMPUTED_VALUE"""),"It didn't change")</f>
        <v>It didn't change</v>
      </c>
      <c r="P1492" s="259">
        <f>IFERROR(__xludf.DUMMYFUNCTION("""COMPUTED_VALUE"""),42106.0)</f>
        <v>42106</v>
      </c>
      <c r="Q1492" s="258">
        <f>IFERROR(__xludf.DUMMYFUNCTION("""COMPUTED_VALUE"""),74020.0)</f>
        <v>74020</v>
      </c>
      <c r="R1492" s="261">
        <f>IFERROR(__xludf.DUMMYFUNCTION("""COMPUTED_VALUE"""),375.0)</f>
        <v>375</v>
      </c>
      <c r="S1492" s="258">
        <v>395.0</v>
      </c>
      <c r="T1492" s="263">
        <v>0.9493670886075949</v>
      </c>
      <c r="U1492" s="264">
        <v>45994.0</v>
      </c>
      <c r="V1492" s="265">
        <v>74020.0</v>
      </c>
      <c r="W1492" s="264">
        <v>45994.0</v>
      </c>
      <c r="X1492" s="266"/>
      <c r="Y1492" s="267">
        <v>-0.01</v>
      </c>
      <c r="Z1492" s="267">
        <v>0.9528985998830789</v>
      </c>
      <c r="AA1492" s="269"/>
      <c r="AB1492" s="270"/>
      <c r="AC1492" s="270"/>
      <c r="AD1492" s="270"/>
      <c r="AE1492" s="270"/>
    </row>
    <row r="1493">
      <c r="A1493" s="256">
        <f>IFERROR(__xludf.DUMMYFUNCTION("""COMPUTED_VALUE"""),42142.117361111115)</f>
        <v>42142.11736</v>
      </c>
      <c r="B1493" s="257" t="str">
        <f>IFERROR(__xludf.DUMMYFUNCTION("""COMPUTED_VALUE"""),"widodh")</f>
        <v>widodh</v>
      </c>
      <c r="C1493" s="258" t="str">
        <f>IFERROR(__xludf.DUMMYFUNCTION("""COMPUTED_VALUE"""),"Europe (excluding UK) &amp; Asia Pacific")</f>
        <v>Europe (excluding UK) &amp; Asia Pacific</v>
      </c>
      <c r="D1493" s="258" t="str">
        <f>IFERROR(__xludf.DUMMYFUNCTION("""COMPUTED_VALUE"""),"km. My car displays range in kilometres and I will enter all range numbers in kilometres.")</f>
        <v>km. My car displays range in kilometres and I will enter all range numbers in kilometres.</v>
      </c>
      <c r="E1493" s="259">
        <f>IFERROR(__xludf.DUMMYFUNCTION("""COMPUTED_VALUE"""),41543.0)</f>
        <v>41543</v>
      </c>
      <c r="F1493" s="258" t="str">
        <f>IFERROR(__xludf.DUMMYFUNCTION("""COMPUTED_VALUE"""),"Model S 85")</f>
        <v>Model S 85</v>
      </c>
      <c r="G1493" s="258" t="str">
        <f>IFERROR(__xludf.DUMMYFUNCTION("""COMPUTED_VALUE"""),"Twice a month")</f>
        <v>Twice a month</v>
      </c>
      <c r="H1493" s="258" t="str">
        <f>IFERROR(__xludf.DUMMYFUNCTION("""COMPUTED_VALUE"""),"Monthly")</f>
        <v>Monthly</v>
      </c>
      <c r="I1493" s="258" t="str">
        <f>IFERROR(__xludf.DUMMYFUNCTION("""COMPUTED_VALUE"""),"Once or twice a year")</f>
        <v>Once or twice a year</v>
      </c>
      <c r="J1493" s="260">
        <f>IFERROR(__xludf.DUMMYFUNCTION("""COMPUTED_VALUE"""),0.9)</f>
        <v>0.9</v>
      </c>
      <c r="K1493" s="258" t="str">
        <f>IFERROR(__xludf.DUMMYFUNCTION("""COMPUTED_VALUE"""),"")</f>
        <v/>
      </c>
      <c r="L1493" s="258" t="str">
        <f>IFERROR(__xludf.DUMMYFUNCTION("""COMPUTED_VALUE"""),"")</f>
        <v/>
      </c>
      <c r="M1493" s="261">
        <f>IFERROR(__xludf.DUMMYFUNCTION("""COMPUTED_VALUE"""),224.0)</f>
        <v>224</v>
      </c>
      <c r="N1493" s="262">
        <f>IFERROR(__xludf.DUMMYFUNCTION("""COMPUTED_VALUE"""),65000.0)</f>
        <v>65000</v>
      </c>
      <c r="O1493" s="259" t="str">
        <f>IFERROR(__xludf.DUMMYFUNCTION("""COMPUTED_VALUE"""),"It didn't change")</f>
        <v>It didn't change</v>
      </c>
      <c r="P1493" s="259">
        <f>IFERROR(__xludf.DUMMYFUNCTION("""COMPUTED_VALUE"""),42142.0)</f>
        <v>42142</v>
      </c>
      <c r="Q1493" s="258">
        <f>IFERROR(__xludf.DUMMYFUNCTION("""COMPUTED_VALUE"""),78500.0)</f>
        <v>78500</v>
      </c>
      <c r="R1493" s="261">
        <f>IFERROR(__xludf.DUMMYFUNCTION("""COMPUTED_VALUE"""),375.0)</f>
        <v>375</v>
      </c>
      <c r="S1493" s="258">
        <v>395.0</v>
      </c>
      <c r="T1493" s="263">
        <v>0.9493670886075949</v>
      </c>
      <c r="U1493" s="264">
        <v>48778.0</v>
      </c>
      <c r="V1493" s="265">
        <v>78500.0</v>
      </c>
      <c r="W1493" s="264">
        <v>48778.0</v>
      </c>
      <c r="X1493" s="266"/>
      <c r="Y1493" s="267">
        <v>-0.01</v>
      </c>
      <c r="Z1493" s="267">
        <v>0.9517709195642237</v>
      </c>
      <c r="AA1493" s="269"/>
      <c r="AB1493" s="270"/>
      <c r="AC1493" s="270"/>
      <c r="AD1493" s="270"/>
      <c r="AE1493" s="270"/>
    </row>
    <row r="1494">
      <c r="A1494" s="256">
        <f>IFERROR(__xludf.DUMMYFUNCTION("""COMPUTED_VALUE"""),42159.131944444445)</f>
        <v>42159.13194</v>
      </c>
      <c r="B1494" s="257" t="str">
        <f>IFERROR(__xludf.DUMMYFUNCTION("""COMPUTED_VALUE"""),"widodh")</f>
        <v>widodh</v>
      </c>
      <c r="C1494" s="258" t="str">
        <f>IFERROR(__xludf.DUMMYFUNCTION("""COMPUTED_VALUE"""),"Europe (excluding UK) &amp; Asia Pacific")</f>
        <v>Europe (excluding UK) &amp; Asia Pacific</v>
      </c>
      <c r="D1494" s="258" t="str">
        <f>IFERROR(__xludf.DUMMYFUNCTION("""COMPUTED_VALUE"""),"km. My car displays range in kilometres and I will enter all range numbers in kilometres.")</f>
        <v>km. My car displays range in kilometres and I will enter all range numbers in kilometres.</v>
      </c>
      <c r="E1494" s="259">
        <f>IFERROR(__xludf.DUMMYFUNCTION("""COMPUTED_VALUE"""),41543.0)</f>
        <v>41543</v>
      </c>
      <c r="F1494" s="258" t="str">
        <f>IFERROR(__xludf.DUMMYFUNCTION("""COMPUTED_VALUE"""),"Model S 85")</f>
        <v>Model S 85</v>
      </c>
      <c r="G1494" s="258" t="str">
        <f>IFERROR(__xludf.DUMMYFUNCTION("""COMPUTED_VALUE"""),"Monthly")</f>
        <v>Monthly</v>
      </c>
      <c r="H1494" s="258" t="str">
        <f>IFERROR(__xludf.DUMMYFUNCTION("""COMPUTED_VALUE"""),"Twice a month")</f>
        <v>Twice a month</v>
      </c>
      <c r="I1494" s="258" t="str">
        <f>IFERROR(__xludf.DUMMYFUNCTION("""COMPUTED_VALUE"""),"A few times a year")</f>
        <v>A few times a year</v>
      </c>
      <c r="J1494" s="260">
        <f>IFERROR(__xludf.DUMMYFUNCTION("""COMPUTED_VALUE"""),0.9)</f>
        <v>0.9</v>
      </c>
      <c r="K1494" s="258" t="str">
        <f>IFERROR(__xludf.DUMMYFUNCTION("""COMPUTED_VALUE"""),"")</f>
        <v/>
      </c>
      <c r="L1494" s="258" t="str">
        <f>IFERROR(__xludf.DUMMYFUNCTION("""COMPUTED_VALUE"""),"")</f>
        <v/>
      </c>
      <c r="M1494" s="261">
        <f>IFERROR(__xludf.DUMMYFUNCTION("""COMPUTED_VALUE"""),223.0)</f>
        <v>223</v>
      </c>
      <c r="N1494" s="262">
        <f>IFERROR(__xludf.DUMMYFUNCTION("""COMPUTED_VALUE"""),62000.0)</f>
        <v>62000</v>
      </c>
      <c r="O1494" s="259" t="str">
        <f>IFERROR(__xludf.DUMMYFUNCTION("""COMPUTED_VALUE"""),"It didn't change")</f>
        <v>It didn't change</v>
      </c>
      <c r="P1494" s="259">
        <f>IFERROR(__xludf.DUMMYFUNCTION("""COMPUTED_VALUE"""),42159.0)</f>
        <v>42159</v>
      </c>
      <c r="Q1494" s="258">
        <f>IFERROR(__xludf.DUMMYFUNCTION("""COMPUTED_VALUE"""),81000.0)</f>
        <v>81000</v>
      </c>
      <c r="R1494" s="261">
        <f>IFERROR(__xludf.DUMMYFUNCTION("""COMPUTED_VALUE"""),375.0)</f>
        <v>375</v>
      </c>
      <c r="S1494" s="258">
        <v>395.0</v>
      </c>
      <c r="T1494" s="263">
        <v>0.9493670886075949</v>
      </c>
      <c r="U1494" s="264">
        <v>50331.0</v>
      </c>
      <c r="V1494" s="265">
        <v>81000.0</v>
      </c>
      <c r="W1494" s="264">
        <v>50331.0</v>
      </c>
      <c r="X1494" s="266"/>
      <c r="Y1494" s="267">
        <v>-0.01</v>
      </c>
      <c r="Z1494" s="267">
        <v>0.9511513895448231</v>
      </c>
      <c r="AA1494" s="269"/>
      <c r="AB1494" s="270"/>
      <c r="AC1494" s="270"/>
      <c r="AD1494" s="270"/>
      <c r="AE1494" s="270"/>
    </row>
    <row r="1495">
      <c r="A1495" s="256">
        <f>IFERROR(__xludf.DUMMYFUNCTION("""COMPUTED_VALUE"""),42228.15625)</f>
        <v>42228.15625</v>
      </c>
      <c r="B1495" s="257" t="str">
        <f>IFERROR(__xludf.DUMMYFUNCTION("""COMPUTED_VALUE"""),"widodh")</f>
        <v>widodh</v>
      </c>
      <c r="C1495" s="258" t="str">
        <f>IFERROR(__xludf.DUMMYFUNCTION("""COMPUTED_VALUE"""),"Europe (excluding UK) &amp; Asia Pacific")</f>
        <v>Europe (excluding UK) &amp; Asia Pacific</v>
      </c>
      <c r="D1495" s="258" t="str">
        <f>IFERROR(__xludf.DUMMYFUNCTION("""COMPUTED_VALUE"""),"km. My car displays range in kilometres and I will enter all range numbers in kilometres.")</f>
        <v>km. My car displays range in kilometres and I will enter all range numbers in kilometres.</v>
      </c>
      <c r="E1495" s="259">
        <f>IFERROR(__xludf.DUMMYFUNCTION("""COMPUTED_VALUE"""),41543.0)</f>
        <v>41543</v>
      </c>
      <c r="F1495" s="258" t="str">
        <f>IFERROR(__xludf.DUMMYFUNCTION("""COMPUTED_VALUE"""),"Model S 85")</f>
        <v>Model S 85</v>
      </c>
      <c r="G1495" s="258" t="str">
        <f>IFERROR(__xludf.DUMMYFUNCTION("""COMPUTED_VALUE"""),"Monthly")</f>
        <v>Monthly</v>
      </c>
      <c r="H1495" s="258" t="str">
        <f>IFERROR(__xludf.DUMMYFUNCTION("""COMPUTED_VALUE"""),"Twice a month")</f>
        <v>Twice a month</v>
      </c>
      <c r="I1495" s="258" t="str">
        <f>IFERROR(__xludf.DUMMYFUNCTION("""COMPUTED_VALUE"""),"A few times a year")</f>
        <v>A few times a year</v>
      </c>
      <c r="J1495" s="260">
        <f>IFERROR(__xludf.DUMMYFUNCTION("""COMPUTED_VALUE"""),0.9)</f>
        <v>0.9</v>
      </c>
      <c r="K1495" s="258">
        <f>IFERROR(__xludf.DUMMYFUNCTION("""COMPUTED_VALUE"""),399.0)</f>
        <v>399</v>
      </c>
      <c r="L1495" s="258" t="str">
        <f>IFERROR(__xludf.DUMMYFUNCTION("""COMPUTED_VALUE"""),"")</f>
        <v/>
      </c>
      <c r="M1495" s="261">
        <f>IFERROR(__xludf.DUMMYFUNCTION("""COMPUTED_VALUE"""),219.0)</f>
        <v>219</v>
      </c>
      <c r="N1495" s="262">
        <f>IFERROR(__xludf.DUMMYFUNCTION("""COMPUTED_VALUE"""),65000.0)</f>
        <v>65000</v>
      </c>
      <c r="O1495" s="259" t="str">
        <f>IFERROR(__xludf.DUMMYFUNCTION("""COMPUTED_VALUE"""),"It didn't change")</f>
        <v>It didn't change</v>
      </c>
      <c r="P1495" s="259">
        <f>IFERROR(__xludf.DUMMYFUNCTION("""COMPUTED_VALUE"""),42228.0)</f>
        <v>42228</v>
      </c>
      <c r="Q1495" s="258">
        <f>IFERROR(__xludf.DUMMYFUNCTION("""COMPUTED_VALUE"""),90600.0)</f>
        <v>90600</v>
      </c>
      <c r="R1495" s="261">
        <f>IFERROR(__xludf.DUMMYFUNCTION("""COMPUTED_VALUE"""),378.0)</f>
        <v>378</v>
      </c>
      <c r="S1495" s="258">
        <v>395.0</v>
      </c>
      <c r="T1495" s="263">
        <v>0.9569620253164557</v>
      </c>
      <c r="U1495" s="264">
        <v>56296.0</v>
      </c>
      <c r="V1495" s="265">
        <v>90600.0</v>
      </c>
      <c r="W1495" s="264">
        <v>56296.0</v>
      </c>
      <c r="X1495" s="266"/>
      <c r="Y1495" s="267">
        <v>-0.01</v>
      </c>
      <c r="Z1495" s="267">
        <v>0.9488198521052071</v>
      </c>
      <c r="AA1495" s="269"/>
      <c r="AB1495" s="270"/>
      <c r="AC1495" s="270"/>
      <c r="AD1495" s="270"/>
      <c r="AE1495" s="270"/>
    </row>
    <row r="1496">
      <c r="A1496" s="256">
        <f>IFERROR(__xludf.DUMMYFUNCTION("""COMPUTED_VALUE"""),42319.225694444445)</f>
        <v>42319.22569</v>
      </c>
      <c r="B1496" s="257" t="str">
        <f>IFERROR(__xludf.DUMMYFUNCTION("""COMPUTED_VALUE"""),"widodh")</f>
        <v>widodh</v>
      </c>
      <c r="C1496" s="258" t="str">
        <f>IFERROR(__xludf.DUMMYFUNCTION("""COMPUTED_VALUE"""),"Europe (excluding UK) &amp; Asia Pacific")</f>
        <v>Europe (excluding UK) &amp; Asia Pacific</v>
      </c>
      <c r="D1496" s="258" t="str">
        <f>IFERROR(__xludf.DUMMYFUNCTION("""COMPUTED_VALUE"""),"km. My car displays range in kilometres and I will enter all range numbers in kilometres.")</f>
        <v>km. My car displays range in kilometres and I will enter all range numbers in kilometres.</v>
      </c>
      <c r="E1496" s="259">
        <f>IFERROR(__xludf.DUMMYFUNCTION("""COMPUTED_VALUE"""),41543.0)</f>
        <v>41543</v>
      </c>
      <c r="F1496" s="258" t="str">
        <f>IFERROR(__xludf.DUMMYFUNCTION("""COMPUTED_VALUE"""),"Model S 85")</f>
        <v>Model S 85</v>
      </c>
      <c r="G1496" s="258" t="str">
        <f>IFERROR(__xludf.DUMMYFUNCTION("""COMPUTED_VALUE"""),"Monthly")</f>
        <v>Monthly</v>
      </c>
      <c r="H1496" s="258" t="str">
        <f>IFERROR(__xludf.DUMMYFUNCTION("""COMPUTED_VALUE"""),"A few times a year")</f>
        <v>A few times a year</v>
      </c>
      <c r="I1496" s="258" t="str">
        <f>IFERROR(__xludf.DUMMYFUNCTION("""COMPUTED_VALUE"""),"Once or twice a year")</f>
        <v>Once or twice a year</v>
      </c>
      <c r="J1496" s="260">
        <f>IFERROR(__xludf.DUMMYFUNCTION("""COMPUTED_VALUE"""),0.9)</f>
        <v>0.9</v>
      </c>
      <c r="K1496" s="258" t="str">
        <f>IFERROR(__xludf.DUMMYFUNCTION("""COMPUTED_VALUE"""),"")</f>
        <v/>
      </c>
      <c r="L1496" s="258" t="str">
        <f>IFERROR(__xludf.DUMMYFUNCTION("""COMPUTED_VALUE"""),"")</f>
        <v/>
      </c>
      <c r="M1496" s="261">
        <f>IFERROR(__xludf.DUMMYFUNCTION("""COMPUTED_VALUE"""),211.0)</f>
        <v>211</v>
      </c>
      <c r="N1496" s="262">
        <f>IFERROR(__xludf.DUMMYFUNCTION("""COMPUTED_VALUE"""),65000.0)</f>
        <v>65000</v>
      </c>
      <c r="O1496" s="259" t="str">
        <f>IFERROR(__xludf.DUMMYFUNCTION("""COMPUTED_VALUE"""),"It didn't change")</f>
        <v>It didn't change</v>
      </c>
      <c r="P1496" s="259">
        <f>IFERROR(__xludf.DUMMYFUNCTION("""COMPUTED_VALUE"""),42319.0)</f>
        <v>42319</v>
      </c>
      <c r="Q1496" s="258">
        <f>IFERROR(__xludf.DUMMYFUNCTION("""COMPUTED_VALUE"""),99478.0)</f>
        <v>99478</v>
      </c>
      <c r="R1496" s="261">
        <f>IFERROR(__xludf.DUMMYFUNCTION("""COMPUTED_VALUE"""),372.0)</f>
        <v>372</v>
      </c>
      <c r="S1496" s="258">
        <v>395.0</v>
      </c>
      <c r="T1496" s="263">
        <v>0.9417721518987342</v>
      </c>
      <c r="U1496" s="264">
        <v>61813.0</v>
      </c>
      <c r="V1496" s="265">
        <v>99478.0</v>
      </c>
      <c r="W1496" s="264">
        <v>61813.0</v>
      </c>
      <c r="X1496" s="266"/>
      <c r="Y1496" s="267">
        <v>-0.01</v>
      </c>
      <c r="Z1496" s="267">
        <v>0.9467088765305112</v>
      </c>
      <c r="AA1496" s="269"/>
      <c r="AB1496" s="270"/>
      <c r="AC1496" s="270"/>
      <c r="AD1496" s="270"/>
      <c r="AE1496" s="270"/>
    </row>
    <row r="1497">
      <c r="A1497" s="256">
        <f>IFERROR(__xludf.DUMMYFUNCTION("""COMPUTED_VALUE"""),42365.26111111111)</f>
        <v>42365.26111</v>
      </c>
      <c r="B1497" s="257" t="str">
        <f>IFERROR(__xludf.DUMMYFUNCTION("""COMPUTED_VALUE"""),"widodh")</f>
        <v>widodh</v>
      </c>
      <c r="C1497" s="258" t="str">
        <f>IFERROR(__xludf.DUMMYFUNCTION("""COMPUTED_VALUE"""),"Europe (excluding UK) &amp; Asia Pacific")</f>
        <v>Europe (excluding UK) &amp; Asia Pacific</v>
      </c>
      <c r="D1497" s="258" t="str">
        <f>IFERROR(__xludf.DUMMYFUNCTION("""COMPUTED_VALUE"""),"km. My car displays range in kilometres and I will enter all range numbers in kilometres.")</f>
        <v>km. My car displays range in kilometres and I will enter all range numbers in kilometres.</v>
      </c>
      <c r="E1497" s="259">
        <f>IFERROR(__xludf.DUMMYFUNCTION("""COMPUTED_VALUE"""),41543.0)</f>
        <v>41543</v>
      </c>
      <c r="F1497" s="258" t="str">
        <f>IFERROR(__xludf.DUMMYFUNCTION("""COMPUTED_VALUE"""),"Model S 85")</f>
        <v>Model S 85</v>
      </c>
      <c r="G1497" s="258" t="str">
        <f>IFERROR(__xludf.DUMMYFUNCTION("""COMPUTED_VALUE"""),"Monthly")</f>
        <v>Monthly</v>
      </c>
      <c r="H1497" s="258" t="str">
        <f>IFERROR(__xludf.DUMMYFUNCTION("""COMPUTED_VALUE"""),"A few times a year")</f>
        <v>A few times a year</v>
      </c>
      <c r="I1497" s="258" t="str">
        <f>IFERROR(__xludf.DUMMYFUNCTION("""COMPUTED_VALUE"""),"A few times a year")</f>
        <v>A few times a year</v>
      </c>
      <c r="J1497" s="260">
        <f>IFERROR(__xludf.DUMMYFUNCTION("""COMPUTED_VALUE"""),0.9)</f>
        <v>0.9</v>
      </c>
      <c r="K1497" s="258" t="str">
        <f>IFERROR(__xludf.DUMMYFUNCTION("""COMPUTED_VALUE"""),"")</f>
        <v/>
      </c>
      <c r="L1497" s="258" t="str">
        <f>IFERROR(__xludf.DUMMYFUNCTION("""COMPUTED_VALUE"""),"")</f>
        <v/>
      </c>
      <c r="M1497" s="261">
        <f>IFERROR(__xludf.DUMMYFUNCTION("""COMPUTED_VALUE"""),223.0)</f>
        <v>223</v>
      </c>
      <c r="N1497" s="262">
        <f>IFERROR(__xludf.DUMMYFUNCTION("""COMPUTED_VALUE"""),66000.0)</f>
        <v>66000</v>
      </c>
      <c r="O1497" s="259" t="str">
        <f>IFERROR(__xludf.DUMMYFUNCTION("""COMPUTED_VALUE"""),"It didn't change")</f>
        <v>It didn't change</v>
      </c>
      <c r="P1497" s="259">
        <f>IFERROR(__xludf.DUMMYFUNCTION("""COMPUTED_VALUE"""),42365.0)</f>
        <v>42365</v>
      </c>
      <c r="Q1497" s="258">
        <f>IFERROR(__xludf.DUMMYFUNCTION("""COMPUTED_VALUE"""),106023.0)</f>
        <v>106023</v>
      </c>
      <c r="R1497" s="261">
        <f>IFERROR(__xludf.DUMMYFUNCTION("""COMPUTED_VALUE"""),368.0)</f>
        <v>368</v>
      </c>
      <c r="S1497" s="258">
        <v>395.0</v>
      </c>
      <c r="T1497" s="263">
        <v>0.9316455696202531</v>
      </c>
      <c r="U1497" s="264">
        <v>65880.0</v>
      </c>
      <c r="V1497" s="265">
        <v>106023.0</v>
      </c>
      <c r="W1497" s="264">
        <v>65880.0</v>
      </c>
      <c r="X1497" s="266"/>
      <c r="Y1497" s="267">
        <v>-0.01</v>
      </c>
      <c r="Z1497" s="267">
        <v>0.9451696412745784</v>
      </c>
      <c r="AA1497" s="269"/>
      <c r="AB1497" s="270"/>
      <c r="AC1497" s="270"/>
      <c r="AD1497" s="270"/>
      <c r="AE1497" s="270"/>
    </row>
    <row r="1498">
      <c r="A1498" s="256">
        <f>IFERROR(__xludf.DUMMYFUNCTION("""COMPUTED_VALUE"""),43202.72083333333)</f>
        <v>43202.72083</v>
      </c>
      <c r="B1498" s="257" t="str">
        <f>IFERROR(__xludf.DUMMYFUNCTION("""COMPUTED_VALUE"""),"widodh")</f>
        <v>widodh</v>
      </c>
      <c r="C1498" s="258" t="str">
        <f>IFERROR(__xludf.DUMMYFUNCTION("""COMPUTED_VALUE"""),"Europe (excluding UK) &amp; Asia Pacific")</f>
        <v>Europe (excluding UK) &amp; Asia Pacific</v>
      </c>
      <c r="D1498" s="258" t="str">
        <f>IFERROR(__xludf.DUMMYFUNCTION("""COMPUTED_VALUE"""),"km. My car displays range in kilometres and I will enter all range numbers in kilometres.")</f>
        <v>km. My car displays range in kilometres and I will enter all range numbers in kilometres.</v>
      </c>
      <c r="E1498" s="259">
        <f>IFERROR(__xludf.DUMMYFUNCTION("""COMPUTED_VALUE"""),41487.0)</f>
        <v>41487</v>
      </c>
      <c r="F1498" s="258" t="str">
        <f>IFERROR(__xludf.DUMMYFUNCTION("""COMPUTED_VALUE"""),"Model S 85")</f>
        <v>Model S 85</v>
      </c>
      <c r="G1498" s="258" t="str">
        <f>IFERROR(__xludf.DUMMYFUNCTION("""COMPUTED_VALUE"""),"")</f>
        <v/>
      </c>
      <c r="H1498" s="258" t="str">
        <f>IFERROR(__xludf.DUMMYFUNCTION("""COMPUTED_VALUE"""),"")</f>
        <v/>
      </c>
      <c r="I1498" s="258" t="str">
        <f>IFERROR(__xludf.DUMMYFUNCTION("""COMPUTED_VALUE"""),"")</f>
        <v/>
      </c>
      <c r="J1498" s="260" t="str">
        <f>IFERROR(__xludf.DUMMYFUNCTION("""COMPUTED_VALUE"""),"")</f>
        <v/>
      </c>
      <c r="K1498" s="258" t="str">
        <f>IFERROR(__xludf.DUMMYFUNCTION("""COMPUTED_VALUE"""),"")</f>
        <v/>
      </c>
      <c r="L1498" s="258" t="str">
        <f>IFERROR(__xludf.DUMMYFUNCTION("""COMPUTED_VALUE"""),"")</f>
        <v/>
      </c>
      <c r="M1498" s="261">
        <f>IFERROR(__xludf.DUMMYFUNCTION("""COMPUTED_VALUE"""),224.0)</f>
        <v>224</v>
      </c>
      <c r="N1498" s="262">
        <f>IFERROR(__xludf.DUMMYFUNCTION("""COMPUTED_VALUE"""),67000.0)</f>
        <v>67000</v>
      </c>
      <c r="O1498" s="259" t="str">
        <f>IFERROR(__xludf.DUMMYFUNCTION("""COMPUTED_VALUE"""),"It didn't change")</f>
        <v>It didn't change</v>
      </c>
      <c r="P1498" s="259">
        <f>IFERROR(__xludf.DUMMYFUNCTION("""COMPUTED_VALUE"""),43202.0)</f>
        <v>43202</v>
      </c>
      <c r="Q1498" s="258">
        <f>IFERROR(__xludf.DUMMYFUNCTION("""COMPUTED_VALUE"""),211130.0)</f>
        <v>211130</v>
      </c>
      <c r="R1498" s="261">
        <f>IFERROR(__xludf.DUMMYFUNCTION("""COMPUTED_VALUE"""),381.0)</f>
        <v>381</v>
      </c>
      <c r="S1498" s="258">
        <v>395.0</v>
      </c>
      <c r="T1498" s="263">
        <v>0.9645569620253165</v>
      </c>
      <c r="U1498" s="264">
        <v>131190.0</v>
      </c>
      <c r="V1498" s="265">
        <v>211130.0</v>
      </c>
      <c r="W1498" s="264">
        <v>131190.0</v>
      </c>
      <c r="X1498" s="266"/>
      <c r="Y1498" s="267">
        <v>-0.01</v>
      </c>
      <c r="Z1498" s="267">
        <v>0.9208631346596563</v>
      </c>
      <c r="AA1498" s="269"/>
      <c r="AB1498" s="270"/>
      <c r="AC1498" s="270"/>
      <c r="AD1498" s="270"/>
      <c r="AE1498" s="270"/>
    </row>
    <row r="1499">
      <c r="A1499" s="256">
        <f>IFERROR(__xludf.DUMMYFUNCTION("""COMPUTED_VALUE"""),41916.02638888889)</f>
        <v>41916.02639</v>
      </c>
      <c r="B1499" s="257" t="str">
        <f>IFERROR(__xludf.DUMMYFUNCTION("""COMPUTED_VALUE"""),"Willem")</f>
        <v>Willem</v>
      </c>
      <c r="C1499" s="258" t="str">
        <f>IFERROR(__xludf.DUMMYFUNCTION("""COMPUTED_VALUE"""),"Europe (excluding UK) &amp; Asia Pacific")</f>
        <v>Europe (excluding UK) &amp; Asia Pacific</v>
      </c>
      <c r="D1499" s="258" t="str">
        <f>IFERROR(__xludf.DUMMYFUNCTION("""COMPUTED_VALUE"""),"km. My car displays range in kilometres and I will enter all range numbers in kilometres.")</f>
        <v>km. My car displays range in kilometres and I will enter all range numbers in kilometres.</v>
      </c>
      <c r="E1499" s="259">
        <f>IFERROR(__xludf.DUMMYFUNCTION("""COMPUTED_VALUE"""),41614.0)</f>
        <v>41614</v>
      </c>
      <c r="F1499" s="258" t="str">
        <f>IFERROR(__xludf.DUMMYFUNCTION("""COMPUTED_VALUE"""),"Unspecified 85 kWh")</f>
        <v>Unspecified 85 kWh</v>
      </c>
      <c r="G1499" s="258" t="str">
        <f>IFERROR(__xludf.DUMMYFUNCTION("""COMPUTED_VALUE"""),"Monthly")</f>
        <v>Monthly</v>
      </c>
      <c r="H1499" s="258" t="str">
        <f>IFERROR(__xludf.DUMMYFUNCTION("""COMPUTED_VALUE"""),"Once or twice a year")</f>
        <v>Once or twice a year</v>
      </c>
      <c r="I1499" s="258" t="str">
        <f>IFERROR(__xludf.DUMMYFUNCTION("""COMPUTED_VALUE"""),"Once or twice a year")</f>
        <v>Once or twice a year</v>
      </c>
      <c r="J1499" s="260" t="str">
        <f>IFERROR(__xludf.DUMMYFUNCTION("""COMPUTED_VALUE"""),"")</f>
        <v/>
      </c>
      <c r="K1499" s="258" t="str">
        <f>IFERROR(__xludf.DUMMYFUNCTION("""COMPUTED_VALUE"""),"")</f>
        <v/>
      </c>
      <c r="L1499" s="258" t="str">
        <f>IFERROR(__xludf.DUMMYFUNCTION("""COMPUTED_VALUE"""),"")</f>
        <v/>
      </c>
      <c r="M1499" s="261">
        <f>IFERROR(__xludf.DUMMYFUNCTION("""COMPUTED_VALUE"""),193.0)</f>
        <v>193</v>
      </c>
      <c r="N1499" s="262" t="str">
        <f>IFERROR(__xludf.DUMMYFUNCTION("""COMPUTED_VALUE"""),"")</f>
        <v/>
      </c>
      <c r="O1499" s="259" t="str">
        <f>IFERROR(__xludf.DUMMYFUNCTION("""COMPUTED_VALUE"""),"")</f>
        <v/>
      </c>
      <c r="P1499" s="259">
        <f>IFERROR(__xludf.DUMMYFUNCTION("""COMPUTED_VALUE"""),41916.0)</f>
        <v>41916</v>
      </c>
      <c r="Q1499" s="258">
        <f>IFERROR(__xludf.DUMMYFUNCTION("""COMPUTED_VALUE"""),25050.0)</f>
        <v>25050</v>
      </c>
      <c r="R1499" s="261">
        <f>IFERROR(__xludf.DUMMYFUNCTION("""COMPUTED_VALUE"""),391.0)</f>
        <v>391</v>
      </c>
      <c r="S1499" s="258">
        <v>395.0</v>
      </c>
      <c r="T1499" s="263">
        <v>0.9898734177215189</v>
      </c>
      <c r="U1499" s="264">
        <v>15565.0</v>
      </c>
      <c r="V1499" s="265">
        <v>25050.0</v>
      </c>
      <c r="W1499" s="264">
        <v>15565.0</v>
      </c>
      <c r="X1499" s="266"/>
      <c r="Y1499" s="267">
        <v>-0.01</v>
      </c>
      <c r="Z1499" s="267">
        <v>0.9708767064543868</v>
      </c>
      <c r="AA1499" s="269"/>
      <c r="AB1499" s="270"/>
      <c r="AC1499" s="270"/>
      <c r="AD1499" s="270"/>
      <c r="AE1499" s="270"/>
    </row>
    <row r="1500">
      <c r="A1500" s="256">
        <f>IFERROR(__xludf.DUMMYFUNCTION("""COMPUTED_VALUE"""),41906.01527777778)</f>
        <v>41906.01528</v>
      </c>
      <c r="B1500" s="257" t="str">
        <f>IFERROR(__xludf.DUMMYFUNCTION("""COMPUTED_VALUE"""),"Wim S.")</f>
        <v>Wim S.</v>
      </c>
      <c r="C1500" s="258" t="str">
        <f>IFERROR(__xludf.DUMMYFUNCTION("""COMPUTED_VALUE"""),"Europe (excluding UK) &amp; Asia Pacific")</f>
        <v>Europe (excluding UK) &amp; Asia Pacific</v>
      </c>
      <c r="D1500" s="258" t="str">
        <f>IFERROR(__xludf.DUMMYFUNCTION("""COMPUTED_VALUE"""),"km. My car displays range in kilometres and I will enter all range numbers in kilometres.")</f>
        <v>km. My car displays range in kilometres and I will enter all range numbers in kilometres.</v>
      </c>
      <c r="E1500" s="259">
        <f>IFERROR(__xludf.DUMMYFUNCTION("""COMPUTED_VALUE"""),41601.0)</f>
        <v>41601</v>
      </c>
      <c r="F1500" s="258" t="str">
        <f>IFERROR(__xludf.DUMMYFUNCTION("""COMPUTED_VALUE"""),"Model S 85")</f>
        <v>Model S 85</v>
      </c>
      <c r="G1500" s="258" t="str">
        <f>IFERROR(__xludf.DUMMYFUNCTION("""COMPUTED_VALUE"""),"Monthly")</f>
        <v>Monthly</v>
      </c>
      <c r="H1500" s="258" t="str">
        <f>IFERROR(__xludf.DUMMYFUNCTION("""COMPUTED_VALUE"""),"Monthly")</f>
        <v>Monthly</v>
      </c>
      <c r="I1500" s="258" t="str">
        <f>IFERROR(__xludf.DUMMYFUNCTION("""COMPUTED_VALUE"""),"Never")</f>
        <v>Never</v>
      </c>
      <c r="J1500" s="260" t="str">
        <f>IFERROR(__xludf.DUMMYFUNCTION("""COMPUTED_VALUE"""),"")</f>
        <v/>
      </c>
      <c r="K1500" s="258" t="str">
        <f>IFERROR(__xludf.DUMMYFUNCTION("""COMPUTED_VALUE"""),"")</f>
        <v/>
      </c>
      <c r="L1500" s="258" t="str">
        <f>IFERROR(__xludf.DUMMYFUNCTION("""COMPUTED_VALUE"""),"")</f>
        <v/>
      </c>
      <c r="M1500" s="261">
        <f>IFERROR(__xludf.DUMMYFUNCTION("""COMPUTED_VALUE"""),219.0)</f>
        <v>219</v>
      </c>
      <c r="N1500" s="262" t="str">
        <f>IFERROR(__xludf.DUMMYFUNCTION("""COMPUTED_VALUE"""),"")</f>
        <v/>
      </c>
      <c r="O1500" s="259" t="str">
        <f>IFERROR(__xludf.DUMMYFUNCTION("""COMPUTED_VALUE"""),"")</f>
        <v/>
      </c>
      <c r="P1500" s="259">
        <f>IFERROR(__xludf.DUMMYFUNCTION("""COMPUTED_VALUE"""),41906.0)</f>
        <v>41906</v>
      </c>
      <c r="Q1500" s="258">
        <f>IFERROR(__xludf.DUMMYFUNCTION("""COMPUTED_VALUE"""),17800.0)</f>
        <v>17800</v>
      </c>
      <c r="R1500" s="261">
        <f>IFERROR(__xludf.DUMMYFUNCTION("""COMPUTED_VALUE"""),386.0)</f>
        <v>386</v>
      </c>
      <c r="S1500" s="258">
        <v>395.0</v>
      </c>
      <c r="T1500" s="263">
        <v>0.9772151898734177</v>
      </c>
      <c r="U1500" s="264">
        <v>11060.0</v>
      </c>
      <c r="V1500" s="265">
        <v>17800.0</v>
      </c>
      <c r="W1500" s="264">
        <v>11060.0</v>
      </c>
      <c r="X1500" s="266"/>
      <c r="Y1500" s="267">
        <v>-0.01</v>
      </c>
      <c r="Z1500" s="267">
        <v>0.9762685068455196</v>
      </c>
      <c r="AA1500" s="269"/>
      <c r="AB1500" s="270"/>
      <c r="AC1500" s="270"/>
      <c r="AD1500" s="270"/>
      <c r="AE1500" s="270"/>
    </row>
    <row r="1501">
      <c r="A1501" s="256">
        <f>IFERROR(__xludf.DUMMYFUNCTION("""COMPUTED_VALUE"""),42005.04722222222)</f>
        <v>42005.04722</v>
      </c>
      <c r="B1501" s="257" t="str">
        <f>IFERROR(__xludf.DUMMYFUNCTION("""COMPUTED_VALUE"""),"Wim S.")</f>
        <v>Wim S.</v>
      </c>
      <c r="C1501" s="258" t="str">
        <f>IFERROR(__xludf.DUMMYFUNCTION("""COMPUTED_VALUE"""),"Europe (excluding UK) &amp; Asia Pacific")</f>
        <v>Europe (excluding UK) &amp; Asia Pacific</v>
      </c>
      <c r="D1501" s="258" t="str">
        <f>IFERROR(__xludf.DUMMYFUNCTION("""COMPUTED_VALUE"""),"km. My car displays range in kilometres and I will enter all range numbers in kilometres.")</f>
        <v>km. My car displays range in kilometres and I will enter all range numbers in kilometres.</v>
      </c>
      <c r="E1501" s="259">
        <f>IFERROR(__xludf.DUMMYFUNCTION("""COMPUTED_VALUE"""),41601.0)</f>
        <v>41601</v>
      </c>
      <c r="F1501" s="258" t="str">
        <f>IFERROR(__xludf.DUMMYFUNCTION("""COMPUTED_VALUE"""),"Model S 85")</f>
        <v>Model S 85</v>
      </c>
      <c r="G1501" s="258" t="str">
        <f>IFERROR(__xludf.DUMMYFUNCTION("""COMPUTED_VALUE"""),"Monthly")</f>
        <v>Monthly</v>
      </c>
      <c r="H1501" s="258" t="str">
        <f>IFERROR(__xludf.DUMMYFUNCTION("""COMPUTED_VALUE"""),"Monthly")</f>
        <v>Monthly</v>
      </c>
      <c r="I1501" s="258" t="str">
        <f>IFERROR(__xludf.DUMMYFUNCTION("""COMPUTED_VALUE"""),"Never")</f>
        <v>Never</v>
      </c>
      <c r="J1501" s="260" t="str">
        <f>IFERROR(__xludf.DUMMYFUNCTION("""COMPUTED_VALUE"""),"")</f>
        <v/>
      </c>
      <c r="K1501" s="258" t="str">
        <f>IFERROR(__xludf.DUMMYFUNCTION("""COMPUTED_VALUE"""),"")</f>
        <v/>
      </c>
      <c r="L1501" s="258" t="str">
        <f>IFERROR(__xludf.DUMMYFUNCTION("""COMPUTED_VALUE"""),"")</f>
        <v/>
      </c>
      <c r="M1501" s="261">
        <f>IFERROR(__xludf.DUMMYFUNCTION("""COMPUTED_VALUE"""),219.0)</f>
        <v>219</v>
      </c>
      <c r="N1501" s="262" t="str">
        <f>IFERROR(__xludf.DUMMYFUNCTION("""COMPUTED_VALUE"""),"")</f>
        <v/>
      </c>
      <c r="O1501" s="259" t="str">
        <f>IFERROR(__xludf.DUMMYFUNCTION("""COMPUTED_VALUE"""),"")</f>
        <v/>
      </c>
      <c r="P1501" s="259">
        <f>IFERROR(__xludf.DUMMYFUNCTION("""COMPUTED_VALUE"""),42005.0)</f>
        <v>42005</v>
      </c>
      <c r="Q1501" s="258">
        <f>IFERROR(__xludf.DUMMYFUNCTION("""COMPUTED_VALUE"""),20500.0)</f>
        <v>20500</v>
      </c>
      <c r="R1501" s="261">
        <f>IFERROR(__xludf.DUMMYFUNCTION("""COMPUTED_VALUE"""),378.0)</f>
        <v>378</v>
      </c>
      <c r="S1501" s="258">
        <v>395.0</v>
      </c>
      <c r="T1501" s="263">
        <v>0.9569620253164557</v>
      </c>
      <c r="U1501" s="264">
        <v>12738.0</v>
      </c>
      <c r="V1501" s="265">
        <v>20500.0</v>
      </c>
      <c r="W1501" s="264">
        <v>12738.0</v>
      </c>
      <c r="X1501" s="266"/>
      <c r="Y1501" s="267">
        <v>-0.01</v>
      </c>
      <c r="Z1501" s="267">
        <v>0.9740746679354586</v>
      </c>
      <c r="AA1501" s="269"/>
      <c r="AB1501" s="270"/>
      <c r="AC1501" s="270"/>
      <c r="AD1501" s="270"/>
      <c r="AE1501" s="270"/>
    </row>
    <row r="1502">
      <c r="A1502" s="256">
        <f>IFERROR(__xludf.DUMMYFUNCTION("""COMPUTED_VALUE"""),42247.17638888889)</f>
        <v>42247.17639</v>
      </c>
      <c r="B1502" s="257" t="str">
        <f>IFERROR(__xludf.DUMMYFUNCTION("""COMPUTED_VALUE"""),"Wim S.")</f>
        <v>Wim S.</v>
      </c>
      <c r="C1502" s="258" t="str">
        <f>IFERROR(__xludf.DUMMYFUNCTION("""COMPUTED_VALUE"""),"Europe (excluding UK) &amp; Asia Pacific")</f>
        <v>Europe (excluding UK) &amp; Asia Pacific</v>
      </c>
      <c r="D1502" s="258" t="str">
        <f>IFERROR(__xludf.DUMMYFUNCTION("""COMPUTED_VALUE"""),"km. My car displays range in kilometres and I will enter all range numbers in kilometres.")</f>
        <v>km. My car displays range in kilometres and I will enter all range numbers in kilometres.</v>
      </c>
      <c r="E1502" s="259">
        <f>IFERROR(__xludf.DUMMYFUNCTION("""COMPUTED_VALUE"""),41601.0)</f>
        <v>41601</v>
      </c>
      <c r="F1502" s="258" t="str">
        <f>IFERROR(__xludf.DUMMYFUNCTION("""COMPUTED_VALUE"""),"Model S 85")</f>
        <v>Model S 85</v>
      </c>
      <c r="G1502" s="258" t="str">
        <f>IFERROR(__xludf.DUMMYFUNCTION("""COMPUTED_VALUE"""),"A few times a year")</f>
        <v>A few times a year</v>
      </c>
      <c r="H1502" s="258" t="str">
        <f>IFERROR(__xludf.DUMMYFUNCTION("""COMPUTED_VALUE"""),"A few times a year")</f>
        <v>A few times a year</v>
      </c>
      <c r="I1502" s="258" t="str">
        <f>IFERROR(__xludf.DUMMYFUNCTION("""COMPUTED_VALUE"""),"Once or twice a year")</f>
        <v>Once or twice a year</v>
      </c>
      <c r="J1502" s="260">
        <f>IFERROR(__xludf.DUMMYFUNCTION("""COMPUTED_VALUE"""),0.8)</f>
        <v>0.8</v>
      </c>
      <c r="K1502" s="258">
        <f>IFERROR(__xludf.DUMMYFUNCTION("""COMPUTED_VALUE"""),398.0)</f>
        <v>398</v>
      </c>
      <c r="L1502" s="258" t="str">
        <f>IFERROR(__xludf.DUMMYFUNCTION("""COMPUTED_VALUE"""),"")</f>
        <v/>
      </c>
      <c r="M1502" s="261">
        <f>IFERROR(__xludf.DUMMYFUNCTION("""COMPUTED_VALUE"""),214.0)</f>
        <v>214</v>
      </c>
      <c r="N1502" s="262" t="str">
        <f>IFERROR(__xludf.DUMMYFUNCTION("""COMPUTED_VALUE"""),"")</f>
        <v/>
      </c>
      <c r="O1502" s="259" t="str">
        <f>IFERROR(__xludf.DUMMYFUNCTION("""COMPUTED_VALUE"""),"")</f>
        <v/>
      </c>
      <c r="P1502" s="259">
        <f>IFERROR(__xludf.DUMMYFUNCTION("""COMPUTED_VALUE"""),42247.0)</f>
        <v>42247</v>
      </c>
      <c r="Q1502" s="258">
        <f>IFERROR(__xludf.DUMMYFUNCTION("""COMPUTED_VALUE"""),31960.0)</f>
        <v>31960</v>
      </c>
      <c r="R1502" s="261">
        <f>IFERROR(__xludf.DUMMYFUNCTION("""COMPUTED_VALUE"""),378.0)</f>
        <v>378</v>
      </c>
      <c r="S1502" s="258">
        <v>395.0</v>
      </c>
      <c r="T1502" s="263">
        <v>0.9569620253164557</v>
      </c>
      <c r="U1502" s="264">
        <v>19859.0</v>
      </c>
      <c r="V1502" s="265">
        <v>31960.0</v>
      </c>
      <c r="W1502" s="264">
        <v>19859.0</v>
      </c>
      <c r="X1502" s="266"/>
      <c r="Y1502" s="267">
        <v>-0.01</v>
      </c>
      <c r="Z1502" s="267">
        <v>0.9669355955239022</v>
      </c>
      <c r="AA1502" s="269"/>
      <c r="AB1502" s="270"/>
      <c r="AC1502" s="270"/>
      <c r="AD1502" s="270"/>
      <c r="AE1502" s="270"/>
    </row>
    <row r="1503">
      <c r="A1503" s="256">
        <f>IFERROR(__xludf.DUMMYFUNCTION("""COMPUTED_VALUE"""),42348.77777777778)</f>
        <v>42348.77778</v>
      </c>
      <c r="B1503" s="257" t="str">
        <f>IFERROR(__xludf.DUMMYFUNCTION("""COMPUTED_VALUE"""),"wizputer")</f>
        <v>wizputer</v>
      </c>
      <c r="C1503" s="258" t="str">
        <f>IFERROR(__xludf.DUMMYFUNCTION("""COMPUTED_VALUE"""),"USA")</f>
        <v>USA</v>
      </c>
      <c r="D1503" s="258" t="str">
        <f>IFERROR(__xludf.DUMMYFUNCTION("""COMPUTED_VALUE"""),"mi. My car displays range in miles and I will enter all range numbers in miles.")</f>
        <v>mi. My car displays range in miles and I will enter all range numbers in miles.</v>
      </c>
      <c r="E1503" s="259">
        <f>IFERROR(__xludf.DUMMYFUNCTION("""COMPUTED_VALUE"""),42272.0)</f>
        <v>42272</v>
      </c>
      <c r="F1503" s="258" t="str">
        <f>IFERROR(__xludf.DUMMYFUNCTION("""COMPUTED_VALUE"""),"Model S 90D 2015")</f>
        <v>Model S 90D 2015</v>
      </c>
      <c r="G1503" s="258" t="str">
        <f>IFERROR(__xludf.DUMMYFUNCTION("""COMPUTED_VALUE"""),"A few times a year")</f>
        <v>A few times a year</v>
      </c>
      <c r="H1503" s="258" t="str">
        <f>IFERROR(__xludf.DUMMYFUNCTION("""COMPUTED_VALUE"""),"A few times a year")</f>
        <v>A few times a year</v>
      </c>
      <c r="I1503" s="258" t="str">
        <f>IFERROR(__xludf.DUMMYFUNCTION("""COMPUTED_VALUE"""),"Once or twice a year")</f>
        <v>Once or twice a year</v>
      </c>
      <c r="J1503" s="260">
        <f>IFERROR(__xludf.DUMMYFUNCTION("""COMPUTED_VALUE"""),0.6)</f>
        <v>0.6</v>
      </c>
      <c r="K1503" s="258">
        <f>IFERROR(__xludf.DUMMYFUNCTION("""COMPUTED_VALUE"""),282.0)</f>
        <v>282</v>
      </c>
      <c r="L1503" s="258" t="str">
        <f>IFERROR(__xludf.DUMMYFUNCTION("""COMPUTED_VALUE"""),"")</f>
        <v/>
      </c>
      <c r="M1503" s="261">
        <f>IFERROR(__xludf.DUMMYFUNCTION("""COMPUTED_VALUE"""),317.0)</f>
        <v>317</v>
      </c>
      <c r="N1503" s="262" t="str">
        <f>IFERROR(__xludf.DUMMYFUNCTION("""COMPUTED_VALUE"""),"")</f>
        <v/>
      </c>
      <c r="O1503" s="259" t="str">
        <f>IFERROR(__xludf.DUMMYFUNCTION("""COMPUTED_VALUE"""),"")</f>
        <v/>
      </c>
      <c r="P1503" s="259">
        <f>IFERROR(__xludf.DUMMYFUNCTION("""COMPUTED_VALUE"""),42348.0)</f>
        <v>42348</v>
      </c>
      <c r="Q1503" s="258">
        <f>IFERROR(__xludf.DUMMYFUNCTION("""COMPUTED_VALUE"""),2132.0)</f>
        <v>2132</v>
      </c>
      <c r="R1503" s="261">
        <f>IFERROR(__xludf.DUMMYFUNCTION("""COMPUTED_VALUE"""),274.0)</f>
        <v>274</v>
      </c>
      <c r="S1503" s="258">
        <v>277.0</v>
      </c>
      <c r="T1503" s="263">
        <v>0.9891696750902527</v>
      </c>
      <c r="U1503" s="264">
        <v>2132.0</v>
      </c>
      <c r="V1503" s="265">
        <v>3431.0</v>
      </c>
      <c r="W1503" s="264">
        <v>2132.0</v>
      </c>
      <c r="X1503" s="266"/>
      <c r="Y1503" s="267">
        <v>-0.01</v>
      </c>
      <c r="Z1503" s="267">
        <v>0.993703767206305</v>
      </c>
      <c r="AA1503" s="269"/>
      <c r="AB1503" s="270"/>
      <c r="AC1503" s="270"/>
      <c r="AD1503" s="270"/>
      <c r="AE1503" s="270"/>
    </row>
    <row r="1504">
      <c r="A1504" s="256">
        <f>IFERROR(__xludf.DUMMYFUNCTION("""COMPUTED_VALUE"""),42413.78958333333)</f>
        <v>42413.78958</v>
      </c>
      <c r="B1504" s="257" t="str">
        <f>IFERROR(__xludf.DUMMYFUNCTION("""COMPUTED_VALUE"""),"wizputer")</f>
        <v>wizputer</v>
      </c>
      <c r="C1504" s="258" t="str">
        <f>IFERROR(__xludf.DUMMYFUNCTION("""COMPUTED_VALUE"""),"USA")</f>
        <v>USA</v>
      </c>
      <c r="D1504" s="258" t="str">
        <f>IFERROR(__xludf.DUMMYFUNCTION("""COMPUTED_VALUE"""),"mi. My car displays range in miles and I will enter all range numbers in miles.")</f>
        <v>mi. My car displays range in miles and I will enter all range numbers in miles.</v>
      </c>
      <c r="E1504" s="259">
        <f>IFERROR(__xludf.DUMMYFUNCTION("""COMPUTED_VALUE"""),42272.0)</f>
        <v>42272</v>
      </c>
      <c r="F1504" s="258" t="str">
        <f>IFERROR(__xludf.DUMMYFUNCTION("""COMPUTED_VALUE"""),"Model S 90D 2015")</f>
        <v>Model S 90D 2015</v>
      </c>
      <c r="G1504" s="258" t="str">
        <f>IFERROR(__xludf.DUMMYFUNCTION("""COMPUTED_VALUE"""),"Monthly")</f>
        <v>Monthly</v>
      </c>
      <c r="H1504" s="258" t="str">
        <f>IFERROR(__xludf.DUMMYFUNCTION("""COMPUTED_VALUE"""),"A few times a year")</f>
        <v>A few times a year</v>
      </c>
      <c r="I1504" s="258" t="str">
        <f>IFERROR(__xludf.DUMMYFUNCTION("""COMPUTED_VALUE"""),"Once or twice a year")</f>
        <v>Once or twice a year</v>
      </c>
      <c r="J1504" s="260">
        <f>IFERROR(__xludf.DUMMYFUNCTION("""COMPUTED_VALUE"""),0.5)</f>
        <v>0.5</v>
      </c>
      <c r="K1504" s="258">
        <f>IFERROR(__xludf.DUMMYFUNCTION("""COMPUTED_VALUE"""),282.0)</f>
        <v>282</v>
      </c>
      <c r="L1504" s="258" t="str">
        <f>IFERROR(__xludf.DUMMYFUNCTION("""COMPUTED_VALUE"""),"")</f>
        <v/>
      </c>
      <c r="M1504" s="261">
        <f>IFERROR(__xludf.DUMMYFUNCTION("""COMPUTED_VALUE"""),314.0)</f>
        <v>314</v>
      </c>
      <c r="N1504" s="262" t="str">
        <f>IFERROR(__xludf.DUMMYFUNCTION("""COMPUTED_VALUE"""),"")</f>
        <v/>
      </c>
      <c r="O1504" s="259" t="str">
        <f>IFERROR(__xludf.DUMMYFUNCTION("""COMPUTED_VALUE"""),"")</f>
        <v/>
      </c>
      <c r="P1504" s="259">
        <f>IFERROR(__xludf.DUMMYFUNCTION("""COMPUTED_VALUE"""),42413.0)</f>
        <v>42413</v>
      </c>
      <c r="Q1504" s="258">
        <f>IFERROR(__xludf.DUMMYFUNCTION("""COMPUTED_VALUE"""),4935.0)</f>
        <v>4935</v>
      </c>
      <c r="R1504" s="261">
        <f>IFERROR(__xludf.DUMMYFUNCTION("""COMPUTED_VALUE"""),277.0)</f>
        <v>277</v>
      </c>
      <c r="S1504" s="258">
        <v>277.0</v>
      </c>
      <c r="T1504" s="263">
        <v>1.0</v>
      </c>
      <c r="U1504" s="264">
        <v>4935.0</v>
      </c>
      <c r="V1504" s="265">
        <v>7942.0</v>
      </c>
      <c r="W1504" s="264">
        <v>4935.0</v>
      </c>
      <c r="X1504" s="266"/>
      <c r="Y1504" s="267">
        <v>-0.01</v>
      </c>
      <c r="Z1504" s="267">
        <v>0.9869108017595455</v>
      </c>
      <c r="AA1504" s="269"/>
      <c r="AB1504" s="270"/>
      <c r="AC1504" s="270"/>
      <c r="AD1504" s="270"/>
      <c r="AE1504" s="270"/>
    </row>
    <row r="1505">
      <c r="A1505" s="256">
        <f>IFERROR(__xludf.DUMMYFUNCTION("""COMPUTED_VALUE"""),43670.57799942129)</f>
        <v>43670.578</v>
      </c>
      <c r="B1505" s="257" t="str">
        <f>IFERROR(__xludf.DUMMYFUNCTION("""COMPUTED_VALUE"""),"WLF46")</f>
        <v>WLF46</v>
      </c>
      <c r="C1505" s="258" t="str">
        <f>IFERROR(__xludf.DUMMYFUNCTION("""COMPUTED_VALUE"""),"Europe (excluding UK) &amp; Asia Pacific")</f>
        <v>Europe (excluding UK) &amp; Asia Pacific</v>
      </c>
      <c r="D1505" s="258" t="str">
        <f>IFERROR(__xludf.DUMMYFUNCTION("""COMPUTED_VALUE"""),"km. My car displays range in kilometres and I will enter all range numbers in kilometres.")</f>
        <v>km. My car displays range in kilometres and I will enter all range numbers in kilometres.</v>
      </c>
      <c r="E1505" s="259">
        <f>IFERROR(__xludf.DUMMYFUNCTION("""COMPUTED_VALUE"""),43023.0)</f>
        <v>43023</v>
      </c>
      <c r="F1505" s="258" t="str">
        <f>IFERROR(__xludf.DUMMYFUNCTION("""COMPUTED_VALUE"""),"Model S 75D")</f>
        <v>Model S 75D</v>
      </c>
      <c r="G1505" s="258" t="str">
        <f>IFERROR(__xludf.DUMMYFUNCTION("""COMPUTED_VALUE"""),"Twice a month")</f>
        <v>Twice a month</v>
      </c>
      <c r="H1505" s="258" t="str">
        <f>IFERROR(__xludf.DUMMYFUNCTION("""COMPUTED_VALUE"""),"Once or twice a year")</f>
        <v>Once or twice a year</v>
      </c>
      <c r="I1505" s="258" t="str">
        <f>IFERROR(__xludf.DUMMYFUNCTION("""COMPUTED_VALUE"""),"Once or twice a year")</f>
        <v>Once or twice a year</v>
      </c>
      <c r="J1505" s="260">
        <f>IFERROR(__xludf.DUMMYFUNCTION("""COMPUTED_VALUE"""),0.6)</f>
        <v>0.6</v>
      </c>
      <c r="K1505" s="258">
        <f>IFERROR(__xludf.DUMMYFUNCTION("""COMPUTED_VALUE"""),384.0)</f>
        <v>384</v>
      </c>
      <c r="L1505" s="258" t="str">
        <f>IFERROR(__xludf.DUMMYFUNCTION("""COMPUTED_VALUE"""),"")</f>
        <v/>
      </c>
      <c r="M1505" s="261">
        <f>IFERROR(__xludf.DUMMYFUNCTION("""COMPUTED_VALUE"""),200.0)</f>
        <v>200</v>
      </c>
      <c r="N1505" s="262" t="str">
        <f>IFERROR(__xludf.DUMMYFUNCTION("""COMPUTED_VALUE"""),"")</f>
        <v/>
      </c>
      <c r="O1505" s="259" t="str">
        <f>IFERROR(__xludf.DUMMYFUNCTION("""COMPUTED_VALUE"""),"")</f>
        <v/>
      </c>
      <c r="P1505" s="259">
        <f>IFERROR(__xludf.DUMMYFUNCTION("""COMPUTED_VALUE"""),43652.0)</f>
        <v>43652</v>
      </c>
      <c r="Q1505" s="258">
        <f>IFERROR(__xludf.DUMMYFUNCTION("""COMPUTED_VALUE"""),49000.0)</f>
        <v>49000</v>
      </c>
      <c r="R1505" s="261">
        <f>IFERROR(__xludf.DUMMYFUNCTION("""COMPUTED_VALUE"""),372.0)</f>
        <v>372</v>
      </c>
      <c r="S1505" s="258">
        <v>384.0</v>
      </c>
      <c r="T1505" s="263">
        <v>0.96875</v>
      </c>
      <c r="U1505" s="264">
        <v>30447.0</v>
      </c>
      <c r="V1505" s="265">
        <v>49000.0</v>
      </c>
      <c r="W1505" s="264">
        <v>30447.0</v>
      </c>
      <c r="X1505" s="266"/>
      <c r="Y1505" s="267">
        <v>-0.01</v>
      </c>
      <c r="Z1505" s="267">
        <v>0.9600206515696383</v>
      </c>
      <c r="AA1505" s="269"/>
      <c r="AB1505" s="270"/>
      <c r="AC1505" s="270"/>
      <c r="AD1505" s="270"/>
      <c r="AE1505" s="270"/>
    </row>
    <row r="1506">
      <c r="A1506" s="256">
        <f>IFERROR(__xludf.DUMMYFUNCTION("""COMPUTED_VALUE"""),43198.71666666667)</f>
        <v>43198.71667</v>
      </c>
      <c r="B1506" s="257" t="str">
        <f>IFERROR(__xludf.DUMMYFUNCTION("""COMPUTED_VALUE"""),"Wulli")</f>
        <v>Wulli</v>
      </c>
      <c r="C1506" s="258" t="str">
        <f>IFERROR(__xludf.DUMMYFUNCTION("""COMPUTED_VALUE"""),"Europe (excluding UK) &amp; Asia Pacific")</f>
        <v>Europe (excluding UK) &amp; Asia Pacific</v>
      </c>
      <c r="D1506" s="258" t="str">
        <f>IFERROR(__xludf.DUMMYFUNCTION("""COMPUTED_VALUE"""),"km. My car displays range in kilometres and I will enter all range numbers in kilometres.")</f>
        <v>km. My car displays range in kilometres and I will enter all range numbers in kilometres.</v>
      </c>
      <c r="E1506" s="259">
        <f>IFERROR(__xludf.DUMMYFUNCTION("""COMPUTED_VALUE"""),41521.0)</f>
        <v>41521</v>
      </c>
      <c r="F1506" s="258" t="str">
        <f>IFERROR(__xludf.DUMMYFUNCTION("""COMPUTED_VALUE"""),"Model S P85+")</f>
        <v>Model S P85+</v>
      </c>
      <c r="G1506" s="258" t="str">
        <f>IFERROR(__xludf.DUMMYFUNCTION("""COMPUTED_VALUE"""),"Twice a week")</f>
        <v>Twice a week</v>
      </c>
      <c r="H1506" s="258" t="str">
        <f>IFERROR(__xludf.DUMMYFUNCTION("""COMPUTED_VALUE"""),"Weekly")</f>
        <v>Weekly</v>
      </c>
      <c r="I1506" s="258" t="str">
        <f>IFERROR(__xludf.DUMMYFUNCTION("""COMPUTED_VALUE"""),"Weekly")</f>
        <v>Weekly</v>
      </c>
      <c r="J1506" s="260">
        <f>IFERROR(__xludf.DUMMYFUNCTION("""COMPUTED_VALUE"""),0.9)</f>
        <v>0.9</v>
      </c>
      <c r="K1506" s="258">
        <f>IFERROR(__xludf.DUMMYFUNCTION("""COMPUTED_VALUE"""),403.0)</f>
        <v>403</v>
      </c>
      <c r="L1506" s="258" t="str">
        <f>IFERROR(__xludf.DUMMYFUNCTION("""COMPUTED_VALUE"""),"")</f>
        <v/>
      </c>
      <c r="M1506" s="261">
        <f>IFERROR(__xludf.DUMMYFUNCTION("""COMPUTED_VALUE"""),203.0)</f>
        <v>203</v>
      </c>
      <c r="N1506" s="262">
        <f>IFERROR(__xludf.DUMMYFUNCTION("""COMPUTED_VALUE"""),50000.0)</f>
        <v>50000</v>
      </c>
      <c r="O1506" s="259" t="str">
        <f>IFERROR(__xludf.DUMMYFUNCTION("""COMPUTED_VALUE"""),"Increased by 4 km or mi")</f>
        <v>Increased by 4 km or mi</v>
      </c>
      <c r="P1506" s="259">
        <f>IFERROR(__xludf.DUMMYFUNCTION("""COMPUTED_VALUE"""),43198.0)</f>
        <v>43198</v>
      </c>
      <c r="Q1506" s="258">
        <f>IFERROR(__xludf.DUMMYFUNCTION("""COMPUTED_VALUE"""),273200.0)</f>
        <v>273200</v>
      </c>
      <c r="R1506" s="261">
        <f>IFERROR(__xludf.DUMMYFUNCTION("""COMPUTED_VALUE"""),360.0)</f>
        <v>360</v>
      </c>
      <c r="S1506" s="258">
        <v>395.0</v>
      </c>
      <c r="T1506" s="263">
        <v>0.9113924050632911</v>
      </c>
      <c r="U1506" s="264">
        <v>169759.0</v>
      </c>
      <c r="V1506" s="265">
        <v>273200.0</v>
      </c>
      <c r="W1506" s="264">
        <v>169759.0</v>
      </c>
      <c r="X1506" s="266"/>
      <c r="Y1506" s="267">
        <v>-0.01</v>
      </c>
      <c r="Z1506" s="267">
        <v>0.9065467364047232</v>
      </c>
      <c r="AA1506" s="269"/>
      <c r="AB1506" s="270"/>
      <c r="AC1506" s="270"/>
      <c r="AD1506" s="270"/>
      <c r="AE1506" s="270"/>
    </row>
    <row r="1507">
      <c r="A1507" s="256">
        <f>IFERROR(__xludf.DUMMYFUNCTION("""COMPUTED_VALUE"""),42007.04791666666)</f>
        <v>42007.04792</v>
      </c>
      <c r="B1507" s="257" t="str">
        <f>IFERROR(__xludf.DUMMYFUNCTION("""COMPUTED_VALUE"""),"x-ray")</f>
        <v>x-ray</v>
      </c>
      <c r="C1507" s="258" t="str">
        <f>IFERROR(__xludf.DUMMYFUNCTION("""COMPUTED_VALUE"""),"Europe (excluding UK) &amp; Asia Pacific")</f>
        <v>Europe (excluding UK) &amp; Asia Pacific</v>
      </c>
      <c r="D1507" s="258" t="str">
        <f>IFERROR(__xludf.DUMMYFUNCTION("""COMPUTED_VALUE"""),"km. My car displays range in kilometres and I will enter all range numbers in kilometres.")</f>
        <v>km. My car displays range in kilometres and I will enter all range numbers in kilometres.</v>
      </c>
      <c r="E1507" s="259">
        <f>IFERROR(__xludf.DUMMYFUNCTION("""COMPUTED_VALUE"""),41542.0)</f>
        <v>41542</v>
      </c>
      <c r="F1507" s="258" t="str">
        <f>IFERROR(__xludf.DUMMYFUNCTION("""COMPUTED_VALUE"""),"Unspecified 85 kWh")</f>
        <v>Unspecified 85 kWh</v>
      </c>
      <c r="G1507" s="258" t="str">
        <f>IFERROR(__xludf.DUMMYFUNCTION("""COMPUTED_VALUE"""),"Twice a month")</f>
        <v>Twice a month</v>
      </c>
      <c r="H1507" s="258" t="str">
        <f>IFERROR(__xludf.DUMMYFUNCTION("""COMPUTED_VALUE"""),"Twice a month")</f>
        <v>Twice a month</v>
      </c>
      <c r="I1507" s="258" t="str">
        <f>IFERROR(__xludf.DUMMYFUNCTION("""COMPUTED_VALUE"""),"A few times a year")</f>
        <v>A few times a year</v>
      </c>
      <c r="J1507" s="260" t="str">
        <f>IFERROR(__xludf.DUMMYFUNCTION("""COMPUTED_VALUE"""),"")</f>
        <v/>
      </c>
      <c r="K1507" s="258" t="str">
        <f>IFERROR(__xludf.DUMMYFUNCTION("""COMPUTED_VALUE"""),"")</f>
        <v/>
      </c>
      <c r="L1507" s="258" t="str">
        <f>IFERROR(__xludf.DUMMYFUNCTION("""COMPUTED_VALUE"""),"")</f>
        <v/>
      </c>
      <c r="M1507" s="261">
        <f>IFERROR(__xludf.DUMMYFUNCTION("""COMPUTED_VALUE"""),210.0)</f>
        <v>210</v>
      </c>
      <c r="N1507" s="262" t="str">
        <f>IFERROR(__xludf.DUMMYFUNCTION("""COMPUTED_VALUE"""),"")</f>
        <v/>
      </c>
      <c r="O1507" s="259" t="str">
        <f>IFERROR(__xludf.DUMMYFUNCTION("""COMPUTED_VALUE"""),"")</f>
        <v/>
      </c>
      <c r="P1507" s="259">
        <f>IFERROR(__xludf.DUMMYFUNCTION("""COMPUTED_VALUE"""),42007.0)</f>
        <v>42007</v>
      </c>
      <c r="Q1507" s="258">
        <f>IFERROR(__xludf.DUMMYFUNCTION("""COMPUTED_VALUE"""),37000.0)</f>
        <v>37000</v>
      </c>
      <c r="R1507" s="261">
        <f>IFERROR(__xludf.DUMMYFUNCTION("""COMPUTED_VALUE"""),374.0)</f>
        <v>374</v>
      </c>
      <c r="S1507" s="258">
        <v>395.0</v>
      </c>
      <c r="T1507" s="263">
        <v>0.9468354430379747</v>
      </c>
      <c r="U1507" s="264">
        <v>22991.0</v>
      </c>
      <c r="V1507" s="265">
        <v>37000.0</v>
      </c>
      <c r="W1507" s="264">
        <v>22991.0</v>
      </c>
      <c r="X1507" s="266"/>
      <c r="Y1507" s="267">
        <v>-0.01</v>
      </c>
      <c r="Z1507" s="267">
        <v>0.9645672725752551</v>
      </c>
      <c r="AA1507" s="269"/>
      <c r="AB1507" s="270"/>
      <c r="AC1507" s="270"/>
      <c r="AD1507" s="270"/>
      <c r="AE1507" s="270"/>
    </row>
    <row r="1508">
      <c r="A1508" s="256">
        <f>IFERROR(__xludf.DUMMYFUNCTION("""COMPUTED_VALUE"""),42677.8125)</f>
        <v>42677.8125</v>
      </c>
      <c r="B1508" s="257" t="str">
        <f>IFERROR(__xludf.DUMMYFUNCTION("""COMPUTED_VALUE"""),"Xenius")</f>
        <v>Xenius</v>
      </c>
      <c r="C1508" s="258" t="str">
        <f>IFERROR(__xludf.DUMMYFUNCTION("""COMPUTED_VALUE"""),"USA")</f>
        <v>USA</v>
      </c>
      <c r="D1508" s="258" t="str">
        <f>IFERROR(__xludf.DUMMYFUNCTION("""COMPUTED_VALUE"""),"mi. My car displays range in miles and I will enter all range numbers in miles.")</f>
        <v>mi. My car displays range in miles and I will enter all range numbers in miles.</v>
      </c>
      <c r="E1508" s="259">
        <f>IFERROR(__xludf.DUMMYFUNCTION("""COMPUTED_VALUE"""),42571.0)</f>
        <v>42571</v>
      </c>
      <c r="F1508" s="258" t="str">
        <f>IFERROR(__xludf.DUMMYFUNCTION("""COMPUTED_VALUE"""),"Model S 60D")</f>
        <v>Model S 60D</v>
      </c>
      <c r="G1508" s="258" t="str">
        <f>IFERROR(__xludf.DUMMYFUNCTION("""COMPUTED_VALUE"""),"Twice a month")</f>
        <v>Twice a month</v>
      </c>
      <c r="H1508" s="258" t="str">
        <f>IFERROR(__xludf.DUMMYFUNCTION("""COMPUTED_VALUE"""),"Twice a month")</f>
        <v>Twice a month</v>
      </c>
      <c r="I1508" s="258" t="str">
        <f>IFERROR(__xludf.DUMMYFUNCTION("""COMPUTED_VALUE"""),"Never")</f>
        <v>Never</v>
      </c>
      <c r="J1508" s="260">
        <f>IFERROR(__xludf.DUMMYFUNCTION("""COMPUTED_VALUE"""),0.9)</f>
        <v>0.9</v>
      </c>
      <c r="K1508" s="258">
        <f>IFERROR(__xludf.DUMMYFUNCTION("""COMPUTED_VALUE"""),219.0)</f>
        <v>219</v>
      </c>
      <c r="L1508" s="258" t="str">
        <f>IFERROR(__xludf.DUMMYFUNCTION("""COMPUTED_VALUE"""),"")</f>
        <v/>
      </c>
      <c r="M1508" s="261">
        <f>IFERROR(__xludf.DUMMYFUNCTION("""COMPUTED_VALUE"""),292.0)</f>
        <v>292</v>
      </c>
      <c r="N1508" s="262" t="str">
        <f>IFERROR(__xludf.DUMMYFUNCTION("""COMPUTED_VALUE"""),"")</f>
        <v/>
      </c>
      <c r="O1508" s="259" t="str">
        <f>IFERROR(__xludf.DUMMYFUNCTION("""COMPUTED_VALUE"""),"")</f>
        <v/>
      </c>
      <c r="P1508" s="259">
        <f>IFERROR(__xludf.DUMMYFUNCTION("""COMPUTED_VALUE"""),42677.0)</f>
        <v>42677</v>
      </c>
      <c r="Q1508" s="258">
        <f>IFERROR(__xludf.DUMMYFUNCTION("""COMPUTED_VALUE"""),5420.0)</f>
        <v>5420</v>
      </c>
      <c r="R1508" s="261">
        <f>IFERROR(__xludf.DUMMYFUNCTION("""COMPUTED_VALUE"""),219.0)</f>
        <v>219</v>
      </c>
      <c r="S1508" s="258">
        <v>219.0</v>
      </c>
      <c r="T1508" s="263">
        <v>1.0</v>
      </c>
      <c r="U1508" s="264">
        <v>5420.0</v>
      </c>
      <c r="V1508" s="265">
        <v>8723.0</v>
      </c>
      <c r="W1508" s="264">
        <v>5420.0</v>
      </c>
      <c r="X1508" s="266"/>
      <c r="Y1508" s="267">
        <v>-0.01</v>
      </c>
      <c r="Z1508" s="267">
        <v>0.9858790995296961</v>
      </c>
      <c r="AA1508" s="269"/>
      <c r="AB1508" s="270"/>
      <c r="AC1508" s="270"/>
      <c r="AD1508" s="270"/>
      <c r="AE1508" s="270"/>
    </row>
    <row r="1509">
      <c r="A1509" s="256">
        <f>IFERROR(__xludf.DUMMYFUNCTION("""COMPUTED_VALUE"""),41903.00833333333)</f>
        <v>41903.00833</v>
      </c>
      <c r="B1509" s="257" t="str">
        <f>IFERROR(__xludf.DUMMYFUNCTION("""COMPUTED_VALUE"""),"Xfrank")</f>
        <v>Xfrank</v>
      </c>
      <c r="C1509" s="258" t="str">
        <f>IFERROR(__xludf.DUMMYFUNCTION("""COMPUTED_VALUE"""),"Europe (excluding UK) &amp; Asia Pacific")</f>
        <v>Europe (excluding UK) &amp; Asia Pacific</v>
      </c>
      <c r="D1509" s="258" t="str">
        <f>IFERROR(__xludf.DUMMYFUNCTION("""COMPUTED_VALUE"""),"km. My car displays range in kilometres and I will enter all range numbers in kilometres.")</f>
        <v>km. My car displays range in kilometres and I will enter all range numbers in kilometres.</v>
      </c>
      <c r="E1509" s="259">
        <f>IFERROR(__xludf.DUMMYFUNCTION("""COMPUTED_VALUE"""),41601.0)</f>
        <v>41601</v>
      </c>
      <c r="F1509" s="258" t="str">
        <f>IFERROR(__xludf.DUMMYFUNCTION("""COMPUTED_VALUE"""),"Model S 60")</f>
        <v>Model S 60</v>
      </c>
      <c r="G1509" s="258" t="str">
        <f>IFERROR(__xludf.DUMMYFUNCTION("""COMPUTED_VALUE"""),"A few times a year")</f>
        <v>A few times a year</v>
      </c>
      <c r="H1509" s="258" t="str">
        <f>IFERROR(__xludf.DUMMYFUNCTION("""COMPUTED_VALUE"""),"A few times a year")</f>
        <v>A few times a year</v>
      </c>
      <c r="I1509" s="258" t="str">
        <f>IFERROR(__xludf.DUMMYFUNCTION("""COMPUTED_VALUE"""),"Once or twice a year")</f>
        <v>Once or twice a year</v>
      </c>
      <c r="J1509" s="260" t="str">
        <f>IFERROR(__xludf.DUMMYFUNCTION("""COMPUTED_VALUE"""),"")</f>
        <v/>
      </c>
      <c r="K1509" s="258" t="str">
        <f>IFERROR(__xludf.DUMMYFUNCTION("""COMPUTED_VALUE"""),"")</f>
        <v/>
      </c>
      <c r="L1509" s="258" t="str">
        <f>IFERROR(__xludf.DUMMYFUNCTION("""COMPUTED_VALUE"""),"")</f>
        <v/>
      </c>
      <c r="M1509" s="261">
        <f>IFERROR(__xludf.DUMMYFUNCTION("""COMPUTED_VALUE"""),207.0)</f>
        <v>207</v>
      </c>
      <c r="N1509" s="262" t="str">
        <f>IFERROR(__xludf.DUMMYFUNCTION("""COMPUTED_VALUE"""),"")</f>
        <v/>
      </c>
      <c r="O1509" s="259" t="str">
        <f>IFERROR(__xludf.DUMMYFUNCTION("""COMPUTED_VALUE"""),"")</f>
        <v/>
      </c>
      <c r="P1509" s="259">
        <f>IFERROR(__xludf.DUMMYFUNCTION("""COMPUTED_VALUE"""),41903.0)</f>
        <v>41903</v>
      </c>
      <c r="Q1509" s="258">
        <f>IFERROR(__xludf.DUMMYFUNCTION("""COMPUTED_VALUE"""),14995.0)</f>
        <v>14995</v>
      </c>
      <c r="R1509" s="261">
        <f>IFERROR(__xludf.DUMMYFUNCTION("""COMPUTED_VALUE"""),284.0)</f>
        <v>284</v>
      </c>
      <c r="S1509" s="258">
        <v>284.0</v>
      </c>
      <c r="T1509" s="263">
        <v>1.0</v>
      </c>
      <c r="U1509" s="264">
        <v>9317.0</v>
      </c>
      <c r="V1509" s="265">
        <v>14995.0</v>
      </c>
      <c r="W1509" s="264">
        <v>9317.0</v>
      </c>
      <c r="X1509" s="266"/>
      <c r="Y1509" s="267">
        <v>-0.01</v>
      </c>
      <c r="Z1509" s="267">
        <v>0.9788310759790698</v>
      </c>
      <c r="AA1509" s="269"/>
      <c r="AB1509" s="270"/>
      <c r="AC1509" s="270"/>
      <c r="AD1509" s="270"/>
      <c r="AE1509" s="270"/>
    </row>
    <row r="1510">
      <c r="A1510" s="256">
        <f>IFERROR(__xludf.DUMMYFUNCTION("""COMPUTED_VALUE"""),41973.04305555555)</f>
        <v>41973.04306</v>
      </c>
      <c r="B1510" s="257" t="str">
        <f>IFERROR(__xludf.DUMMYFUNCTION("""COMPUTED_VALUE"""),"Xfrank")</f>
        <v>Xfrank</v>
      </c>
      <c r="C1510" s="258" t="str">
        <f>IFERROR(__xludf.DUMMYFUNCTION("""COMPUTED_VALUE"""),"Europe (excluding UK) &amp; Asia Pacific")</f>
        <v>Europe (excluding UK) &amp; Asia Pacific</v>
      </c>
      <c r="D1510" s="258" t="str">
        <f>IFERROR(__xludf.DUMMYFUNCTION("""COMPUTED_VALUE"""),"km. My car displays range in kilometres and I will enter all range numbers in kilometres.")</f>
        <v>km. My car displays range in kilometres and I will enter all range numbers in kilometres.</v>
      </c>
      <c r="E1510" s="259">
        <f>IFERROR(__xludf.DUMMYFUNCTION("""COMPUTED_VALUE"""),41601.0)</f>
        <v>41601</v>
      </c>
      <c r="F1510" s="258" t="str">
        <f>IFERROR(__xludf.DUMMYFUNCTION("""COMPUTED_VALUE"""),"Model S 60")</f>
        <v>Model S 60</v>
      </c>
      <c r="G1510" s="258" t="str">
        <f>IFERROR(__xludf.DUMMYFUNCTION("""COMPUTED_VALUE"""),"Monthly")</f>
        <v>Monthly</v>
      </c>
      <c r="H1510" s="258" t="str">
        <f>IFERROR(__xludf.DUMMYFUNCTION("""COMPUTED_VALUE"""),"A few times a year")</f>
        <v>A few times a year</v>
      </c>
      <c r="I1510" s="258" t="str">
        <f>IFERROR(__xludf.DUMMYFUNCTION("""COMPUTED_VALUE"""),"Once or twice a year")</f>
        <v>Once or twice a year</v>
      </c>
      <c r="J1510" s="260" t="str">
        <f>IFERROR(__xludf.DUMMYFUNCTION("""COMPUTED_VALUE"""),"")</f>
        <v/>
      </c>
      <c r="K1510" s="258" t="str">
        <f>IFERROR(__xludf.DUMMYFUNCTION("""COMPUTED_VALUE"""),"")</f>
        <v/>
      </c>
      <c r="L1510" s="258" t="str">
        <f>IFERROR(__xludf.DUMMYFUNCTION("""COMPUTED_VALUE"""),"")</f>
        <v/>
      </c>
      <c r="M1510" s="261">
        <f>IFERROR(__xludf.DUMMYFUNCTION("""COMPUTED_VALUE"""),208.0)</f>
        <v>208</v>
      </c>
      <c r="N1510" s="262" t="str">
        <f>IFERROR(__xludf.DUMMYFUNCTION("""COMPUTED_VALUE"""),"")</f>
        <v/>
      </c>
      <c r="O1510" s="259" t="str">
        <f>IFERROR(__xludf.DUMMYFUNCTION("""COMPUTED_VALUE"""),"")</f>
        <v/>
      </c>
      <c r="P1510" s="259">
        <f>IFERROR(__xludf.DUMMYFUNCTION("""COMPUTED_VALUE"""),41973.0)</f>
        <v>41973</v>
      </c>
      <c r="Q1510" s="258">
        <f>IFERROR(__xludf.DUMMYFUNCTION("""COMPUTED_VALUE"""),19700.0)</f>
        <v>19700</v>
      </c>
      <c r="R1510" s="261">
        <f>IFERROR(__xludf.DUMMYFUNCTION("""COMPUTED_VALUE"""),285.0)</f>
        <v>285</v>
      </c>
      <c r="S1510" s="258">
        <v>284.0</v>
      </c>
      <c r="T1510" s="263">
        <v>1.0035211267605635</v>
      </c>
      <c r="U1510" s="264">
        <v>12241.0</v>
      </c>
      <c r="V1510" s="265">
        <v>19700.0</v>
      </c>
      <c r="W1510" s="264">
        <v>12241.0</v>
      </c>
      <c r="X1510" s="266"/>
      <c r="Y1510" s="267">
        <v>-0.01</v>
      </c>
      <c r="Z1510" s="267">
        <v>0.9746992679141214</v>
      </c>
      <c r="AA1510" s="269"/>
      <c r="AB1510" s="270"/>
      <c r="AC1510" s="270"/>
      <c r="AD1510" s="270"/>
      <c r="AE1510" s="270"/>
    </row>
    <row r="1511">
      <c r="A1511" s="256">
        <f>IFERROR(__xludf.DUMMYFUNCTION("""COMPUTED_VALUE"""),42022.05902777778)</f>
        <v>42022.05903</v>
      </c>
      <c r="B1511" s="257" t="str">
        <f>IFERROR(__xludf.DUMMYFUNCTION("""COMPUTED_VALUE"""),"Xfrank")</f>
        <v>Xfrank</v>
      </c>
      <c r="C1511" s="258" t="str">
        <f>IFERROR(__xludf.DUMMYFUNCTION("""COMPUTED_VALUE"""),"Europe (excluding UK) &amp; Asia Pacific")</f>
        <v>Europe (excluding UK) &amp; Asia Pacific</v>
      </c>
      <c r="D1511" s="258" t="str">
        <f>IFERROR(__xludf.DUMMYFUNCTION("""COMPUTED_VALUE"""),"km. My car displays range in kilometres and I will enter all range numbers in kilometres.")</f>
        <v>km. My car displays range in kilometres and I will enter all range numbers in kilometres.</v>
      </c>
      <c r="E1511" s="259">
        <f>IFERROR(__xludf.DUMMYFUNCTION("""COMPUTED_VALUE"""),41601.0)</f>
        <v>41601</v>
      </c>
      <c r="F1511" s="258" t="str">
        <f>IFERROR(__xludf.DUMMYFUNCTION("""COMPUTED_VALUE"""),"Model S 60")</f>
        <v>Model S 60</v>
      </c>
      <c r="G1511" s="258" t="str">
        <f>IFERROR(__xludf.DUMMYFUNCTION("""COMPUTED_VALUE"""),"Twice a month")</f>
        <v>Twice a month</v>
      </c>
      <c r="H1511" s="258" t="str">
        <f>IFERROR(__xludf.DUMMYFUNCTION("""COMPUTED_VALUE"""),"A few times a year")</f>
        <v>A few times a year</v>
      </c>
      <c r="I1511" s="258" t="str">
        <f>IFERROR(__xludf.DUMMYFUNCTION("""COMPUTED_VALUE"""),"Once or twice a year")</f>
        <v>Once or twice a year</v>
      </c>
      <c r="J1511" s="260" t="str">
        <f>IFERROR(__xludf.DUMMYFUNCTION("""COMPUTED_VALUE"""),"")</f>
        <v/>
      </c>
      <c r="K1511" s="258" t="str">
        <f>IFERROR(__xludf.DUMMYFUNCTION("""COMPUTED_VALUE"""),"")</f>
        <v/>
      </c>
      <c r="L1511" s="258" t="str">
        <f>IFERROR(__xludf.DUMMYFUNCTION("""COMPUTED_VALUE"""),"")</f>
        <v/>
      </c>
      <c r="M1511" s="261">
        <f>IFERROR(__xludf.DUMMYFUNCTION("""COMPUTED_VALUE"""),211.0)</f>
        <v>211</v>
      </c>
      <c r="N1511" s="262" t="str">
        <f>IFERROR(__xludf.DUMMYFUNCTION("""COMPUTED_VALUE"""),"")</f>
        <v/>
      </c>
      <c r="O1511" s="259" t="str">
        <f>IFERROR(__xludf.DUMMYFUNCTION("""COMPUTED_VALUE"""),"")</f>
        <v/>
      </c>
      <c r="P1511" s="259">
        <f>IFERROR(__xludf.DUMMYFUNCTION("""COMPUTED_VALUE"""),42022.0)</f>
        <v>42022</v>
      </c>
      <c r="Q1511" s="258">
        <f>IFERROR(__xludf.DUMMYFUNCTION("""COMPUTED_VALUE"""),23373.0)</f>
        <v>23373</v>
      </c>
      <c r="R1511" s="261">
        <f>IFERROR(__xludf.DUMMYFUNCTION("""COMPUTED_VALUE"""),282.0)</f>
        <v>282</v>
      </c>
      <c r="S1511" s="258">
        <v>284.0</v>
      </c>
      <c r="T1511" s="263">
        <v>0.9929577464788732</v>
      </c>
      <c r="U1511" s="264">
        <v>14523.0</v>
      </c>
      <c r="V1511" s="265">
        <v>23373.0</v>
      </c>
      <c r="W1511" s="264">
        <v>14523.0</v>
      </c>
      <c r="X1511" s="266"/>
      <c r="Y1511" s="267">
        <v>-0.01</v>
      </c>
      <c r="Z1511" s="267">
        <v>0.97199010225914</v>
      </c>
      <c r="AA1511" s="269"/>
      <c r="AB1511" s="270"/>
      <c r="AC1511" s="270"/>
      <c r="AD1511" s="270"/>
      <c r="AE1511" s="270"/>
    </row>
    <row r="1512">
      <c r="A1512" s="256">
        <f>IFERROR(__xludf.DUMMYFUNCTION("""COMPUTED_VALUE"""),42109.09652777778)</f>
        <v>42109.09653</v>
      </c>
      <c r="B1512" s="257" t="str">
        <f>IFERROR(__xludf.DUMMYFUNCTION("""COMPUTED_VALUE"""),"Xfrank")</f>
        <v>Xfrank</v>
      </c>
      <c r="C1512" s="258" t="str">
        <f>IFERROR(__xludf.DUMMYFUNCTION("""COMPUTED_VALUE"""),"Europe (excluding UK) &amp; Asia Pacific")</f>
        <v>Europe (excluding UK) &amp; Asia Pacific</v>
      </c>
      <c r="D1512" s="258" t="str">
        <f>IFERROR(__xludf.DUMMYFUNCTION("""COMPUTED_VALUE"""),"km. My car displays range in kilometres and I will enter all range numbers in kilometres.")</f>
        <v>km. My car displays range in kilometres and I will enter all range numbers in kilometres.</v>
      </c>
      <c r="E1512" s="259">
        <f>IFERROR(__xludf.DUMMYFUNCTION("""COMPUTED_VALUE"""),41601.0)</f>
        <v>41601</v>
      </c>
      <c r="F1512" s="258" t="str">
        <f>IFERROR(__xludf.DUMMYFUNCTION("""COMPUTED_VALUE"""),"Model S 60")</f>
        <v>Model S 60</v>
      </c>
      <c r="G1512" s="258" t="str">
        <f>IFERROR(__xludf.DUMMYFUNCTION("""COMPUTED_VALUE"""),"Twice a month")</f>
        <v>Twice a month</v>
      </c>
      <c r="H1512" s="258" t="str">
        <f>IFERROR(__xludf.DUMMYFUNCTION("""COMPUTED_VALUE"""),"Monthly")</f>
        <v>Monthly</v>
      </c>
      <c r="I1512" s="258" t="str">
        <f>IFERROR(__xludf.DUMMYFUNCTION("""COMPUTED_VALUE"""),"Never")</f>
        <v>Never</v>
      </c>
      <c r="J1512" s="260" t="str">
        <f>IFERROR(__xludf.DUMMYFUNCTION("""COMPUTED_VALUE"""),"")</f>
        <v/>
      </c>
      <c r="K1512" s="258" t="str">
        <f>IFERROR(__xludf.DUMMYFUNCTION("""COMPUTED_VALUE"""),"")</f>
        <v/>
      </c>
      <c r="L1512" s="258" t="str">
        <f>IFERROR(__xludf.DUMMYFUNCTION("""COMPUTED_VALUE"""),"")</f>
        <v/>
      </c>
      <c r="M1512" s="261">
        <f>IFERROR(__xludf.DUMMYFUNCTION("""COMPUTED_VALUE"""),213.0)</f>
        <v>213</v>
      </c>
      <c r="N1512" s="262" t="str">
        <f>IFERROR(__xludf.DUMMYFUNCTION("""COMPUTED_VALUE"""),"")</f>
        <v/>
      </c>
      <c r="O1512" s="259" t="str">
        <f>IFERROR(__xludf.DUMMYFUNCTION("""COMPUTED_VALUE"""),"")</f>
        <v/>
      </c>
      <c r="P1512" s="259">
        <f>IFERROR(__xludf.DUMMYFUNCTION("""COMPUTED_VALUE"""),42109.0)</f>
        <v>42109</v>
      </c>
      <c r="Q1512" s="258">
        <f>IFERROR(__xludf.DUMMYFUNCTION("""COMPUTED_VALUE"""),27120.0)</f>
        <v>27120</v>
      </c>
      <c r="R1512" s="261">
        <f>IFERROR(__xludf.DUMMYFUNCTION("""COMPUTED_VALUE"""),275.0)</f>
        <v>275</v>
      </c>
      <c r="S1512" s="258">
        <v>284.0</v>
      </c>
      <c r="T1512" s="263">
        <v>0.9683098591549296</v>
      </c>
      <c r="U1512" s="264">
        <v>16852.0</v>
      </c>
      <c r="V1512" s="265">
        <v>27120.0</v>
      </c>
      <c r="W1512" s="264">
        <v>16852.0</v>
      </c>
      <c r="X1512" s="266"/>
      <c r="Y1512" s="267">
        <v>-0.01</v>
      </c>
      <c r="Z1512" s="267">
        <v>0.9695947822067612</v>
      </c>
      <c r="AA1512" s="269"/>
      <c r="AB1512" s="270"/>
      <c r="AC1512" s="270"/>
      <c r="AD1512" s="270"/>
      <c r="AE1512" s="270"/>
    </row>
    <row r="1513">
      <c r="A1513" s="256">
        <f>IFERROR(__xludf.DUMMYFUNCTION("""COMPUTED_VALUE"""),42150.12291666667)</f>
        <v>42150.12292</v>
      </c>
      <c r="B1513" s="257" t="str">
        <f>IFERROR(__xludf.DUMMYFUNCTION("""COMPUTED_VALUE"""),"Xfrank")</f>
        <v>Xfrank</v>
      </c>
      <c r="C1513" s="258" t="str">
        <f>IFERROR(__xludf.DUMMYFUNCTION("""COMPUTED_VALUE"""),"Europe (excluding UK) &amp; Asia Pacific")</f>
        <v>Europe (excluding UK) &amp; Asia Pacific</v>
      </c>
      <c r="D1513" s="258" t="str">
        <f>IFERROR(__xludf.DUMMYFUNCTION("""COMPUTED_VALUE"""),"km. My car displays range in kilometres and I will enter all range numbers in kilometres.")</f>
        <v>km. My car displays range in kilometres and I will enter all range numbers in kilometres.</v>
      </c>
      <c r="E1513" s="259">
        <f>IFERROR(__xludf.DUMMYFUNCTION("""COMPUTED_VALUE"""),41601.0)</f>
        <v>41601</v>
      </c>
      <c r="F1513" s="258" t="str">
        <f>IFERROR(__xludf.DUMMYFUNCTION("""COMPUTED_VALUE"""),"Model S 60")</f>
        <v>Model S 60</v>
      </c>
      <c r="G1513" s="258" t="str">
        <f>IFERROR(__xludf.DUMMYFUNCTION("""COMPUTED_VALUE"""),"Twice a week")</f>
        <v>Twice a week</v>
      </c>
      <c r="H1513" s="258" t="str">
        <f>IFERROR(__xludf.DUMMYFUNCTION("""COMPUTED_VALUE"""),"Weekly")</f>
        <v>Weekly</v>
      </c>
      <c r="I1513" s="258" t="str">
        <f>IFERROR(__xludf.DUMMYFUNCTION("""COMPUTED_VALUE"""),"Once or twice a year")</f>
        <v>Once or twice a year</v>
      </c>
      <c r="J1513" s="260">
        <f>IFERROR(__xludf.DUMMYFUNCTION("""COMPUTED_VALUE"""),0.9)</f>
        <v>0.9</v>
      </c>
      <c r="K1513" s="258" t="str">
        <f>IFERROR(__xludf.DUMMYFUNCTION("""COMPUTED_VALUE"""),"")</f>
        <v/>
      </c>
      <c r="L1513" s="258" t="str">
        <f>IFERROR(__xludf.DUMMYFUNCTION("""COMPUTED_VALUE"""),"")</f>
        <v/>
      </c>
      <c r="M1513" s="261">
        <f>IFERROR(__xludf.DUMMYFUNCTION("""COMPUTED_VALUE"""),210.0)</f>
        <v>210</v>
      </c>
      <c r="N1513" s="262" t="str">
        <f>IFERROR(__xludf.DUMMYFUNCTION("""COMPUTED_VALUE"""),"")</f>
        <v/>
      </c>
      <c r="O1513" s="259" t="str">
        <f>IFERROR(__xludf.DUMMYFUNCTION("""COMPUTED_VALUE"""),"")</f>
        <v/>
      </c>
      <c r="P1513" s="259">
        <f>IFERROR(__xludf.DUMMYFUNCTION("""COMPUTED_VALUE"""),42150.0)</f>
        <v>42150</v>
      </c>
      <c r="Q1513" s="258">
        <f>IFERROR(__xludf.DUMMYFUNCTION("""COMPUTED_VALUE"""),31000.0)</f>
        <v>31000</v>
      </c>
      <c r="R1513" s="261">
        <f>IFERROR(__xludf.DUMMYFUNCTION("""COMPUTED_VALUE"""),277.0)</f>
        <v>277</v>
      </c>
      <c r="S1513" s="258">
        <v>284.0</v>
      </c>
      <c r="T1513" s="263">
        <v>0.9753521126760564</v>
      </c>
      <c r="U1513" s="264">
        <v>19263.0</v>
      </c>
      <c r="V1513" s="265">
        <v>31000.0</v>
      </c>
      <c r="W1513" s="264">
        <v>19263.0</v>
      </c>
      <c r="X1513" s="266"/>
      <c r="Y1513" s="267">
        <v>-0.01</v>
      </c>
      <c r="Z1513" s="267">
        <v>0.9674295320812504</v>
      </c>
      <c r="AA1513" s="269"/>
      <c r="AB1513" s="270"/>
      <c r="AC1513" s="270"/>
      <c r="AD1513" s="270"/>
      <c r="AE1513" s="270"/>
    </row>
    <row r="1514">
      <c r="A1514" s="256">
        <f>IFERROR(__xludf.DUMMYFUNCTION("""COMPUTED_VALUE"""),42225.152083333334)</f>
        <v>42225.15208</v>
      </c>
      <c r="B1514" s="257" t="str">
        <f>IFERROR(__xludf.DUMMYFUNCTION("""COMPUTED_VALUE"""),"Xfrank")</f>
        <v>Xfrank</v>
      </c>
      <c r="C1514" s="258" t="str">
        <f>IFERROR(__xludf.DUMMYFUNCTION("""COMPUTED_VALUE"""),"Europe (excluding UK) &amp; Asia Pacific")</f>
        <v>Europe (excluding UK) &amp; Asia Pacific</v>
      </c>
      <c r="D1514" s="258" t="str">
        <f>IFERROR(__xludf.DUMMYFUNCTION("""COMPUTED_VALUE"""),"km. My car displays range in kilometres and I will enter all range numbers in kilometres.")</f>
        <v>km. My car displays range in kilometres and I will enter all range numbers in kilometres.</v>
      </c>
      <c r="E1514" s="259">
        <f>IFERROR(__xludf.DUMMYFUNCTION("""COMPUTED_VALUE"""),41601.0)</f>
        <v>41601</v>
      </c>
      <c r="F1514" s="258" t="str">
        <f>IFERROR(__xludf.DUMMYFUNCTION("""COMPUTED_VALUE"""),"Model S 60")</f>
        <v>Model S 60</v>
      </c>
      <c r="G1514" s="258" t="str">
        <f>IFERROR(__xludf.DUMMYFUNCTION("""COMPUTED_VALUE"""),"Twice a week")</f>
        <v>Twice a week</v>
      </c>
      <c r="H1514" s="258" t="str">
        <f>IFERROR(__xludf.DUMMYFUNCTION("""COMPUTED_VALUE"""),"A few times a year")</f>
        <v>A few times a year</v>
      </c>
      <c r="I1514" s="258" t="str">
        <f>IFERROR(__xludf.DUMMYFUNCTION("""COMPUTED_VALUE"""),"Once or twice a year")</f>
        <v>Once or twice a year</v>
      </c>
      <c r="J1514" s="260">
        <f>IFERROR(__xludf.DUMMYFUNCTION("""COMPUTED_VALUE"""),0.7)</f>
        <v>0.7</v>
      </c>
      <c r="K1514" s="258">
        <f>IFERROR(__xludf.DUMMYFUNCTION("""COMPUTED_VALUE"""),286.0)</f>
        <v>286</v>
      </c>
      <c r="L1514" s="258" t="str">
        <f>IFERROR(__xludf.DUMMYFUNCTION("""COMPUTED_VALUE"""),"")</f>
        <v/>
      </c>
      <c r="M1514" s="261">
        <f>IFERROR(__xludf.DUMMYFUNCTION("""COMPUTED_VALUE"""),209.0)</f>
        <v>209</v>
      </c>
      <c r="N1514" s="262" t="str">
        <f>IFERROR(__xludf.DUMMYFUNCTION("""COMPUTED_VALUE"""),"")</f>
        <v/>
      </c>
      <c r="O1514" s="259" t="str">
        <f>IFERROR(__xludf.DUMMYFUNCTION("""COMPUTED_VALUE"""),"")</f>
        <v/>
      </c>
      <c r="P1514" s="259">
        <f>IFERROR(__xludf.DUMMYFUNCTION("""COMPUTED_VALUE"""),42225.0)</f>
        <v>42225</v>
      </c>
      <c r="Q1514" s="258">
        <f>IFERROR(__xludf.DUMMYFUNCTION("""COMPUTED_VALUE"""),35900.0)</f>
        <v>35900</v>
      </c>
      <c r="R1514" s="261">
        <f>IFERROR(__xludf.DUMMYFUNCTION("""COMPUTED_VALUE"""),276.0)</f>
        <v>276</v>
      </c>
      <c r="S1514" s="258">
        <v>284.0</v>
      </c>
      <c r="T1514" s="263">
        <v>0.971830985915493</v>
      </c>
      <c r="U1514" s="264">
        <v>22307.0</v>
      </c>
      <c r="V1514" s="265">
        <v>35900.0</v>
      </c>
      <c r="W1514" s="264">
        <v>22307.0</v>
      </c>
      <c r="X1514" s="266"/>
      <c r="Y1514" s="267">
        <v>-0.01</v>
      </c>
      <c r="Z1514" s="267">
        <v>0.9650548891652815</v>
      </c>
      <c r="AA1514" s="269"/>
      <c r="AB1514" s="270"/>
      <c r="AC1514" s="270"/>
      <c r="AD1514" s="270"/>
      <c r="AE1514" s="270"/>
    </row>
    <row r="1515">
      <c r="A1515" s="256">
        <f>IFERROR(__xludf.DUMMYFUNCTION("""COMPUTED_VALUE"""),42301.2125)</f>
        <v>42301.2125</v>
      </c>
      <c r="B1515" s="257" t="str">
        <f>IFERROR(__xludf.DUMMYFUNCTION("""COMPUTED_VALUE"""),"Xfrank")</f>
        <v>Xfrank</v>
      </c>
      <c r="C1515" s="258" t="str">
        <f>IFERROR(__xludf.DUMMYFUNCTION("""COMPUTED_VALUE"""),"Europe (excluding UK) &amp; Asia Pacific")</f>
        <v>Europe (excluding UK) &amp; Asia Pacific</v>
      </c>
      <c r="D1515" s="258" t="str">
        <f>IFERROR(__xludf.DUMMYFUNCTION("""COMPUTED_VALUE"""),"km. My car displays range in kilometres and I will enter all range numbers in kilometres.")</f>
        <v>km. My car displays range in kilometres and I will enter all range numbers in kilometres.</v>
      </c>
      <c r="E1515" s="259">
        <f>IFERROR(__xludf.DUMMYFUNCTION("""COMPUTED_VALUE"""),41601.0)</f>
        <v>41601</v>
      </c>
      <c r="F1515" s="258" t="str">
        <f>IFERROR(__xludf.DUMMYFUNCTION("""COMPUTED_VALUE"""),"Model S 60")</f>
        <v>Model S 60</v>
      </c>
      <c r="G1515" s="258" t="str">
        <f>IFERROR(__xludf.DUMMYFUNCTION("""COMPUTED_VALUE"""),"Twice a week")</f>
        <v>Twice a week</v>
      </c>
      <c r="H1515" s="258" t="str">
        <f>IFERROR(__xludf.DUMMYFUNCTION("""COMPUTED_VALUE"""),"Monthly")</f>
        <v>Monthly</v>
      </c>
      <c r="I1515" s="258" t="str">
        <f>IFERROR(__xludf.DUMMYFUNCTION("""COMPUTED_VALUE"""),"Twice a month")</f>
        <v>Twice a month</v>
      </c>
      <c r="J1515" s="260">
        <f>IFERROR(__xludf.DUMMYFUNCTION("""COMPUTED_VALUE"""),0.8)</f>
        <v>0.8</v>
      </c>
      <c r="K1515" s="258">
        <f>IFERROR(__xludf.DUMMYFUNCTION("""COMPUTED_VALUE"""),286.0)</f>
        <v>286</v>
      </c>
      <c r="L1515" s="258" t="str">
        <f>IFERROR(__xludf.DUMMYFUNCTION("""COMPUTED_VALUE"""),"")</f>
        <v/>
      </c>
      <c r="M1515" s="261">
        <f>IFERROR(__xludf.DUMMYFUNCTION("""COMPUTED_VALUE"""),209.0)</f>
        <v>209</v>
      </c>
      <c r="N1515" s="262" t="str">
        <f>IFERROR(__xludf.DUMMYFUNCTION("""COMPUTED_VALUE"""),"")</f>
        <v/>
      </c>
      <c r="O1515" s="259" t="str">
        <f>IFERROR(__xludf.DUMMYFUNCTION("""COMPUTED_VALUE"""),"")</f>
        <v/>
      </c>
      <c r="P1515" s="259">
        <f>IFERROR(__xludf.DUMMYFUNCTION("""COMPUTED_VALUE"""),42301.0)</f>
        <v>42301</v>
      </c>
      <c r="Q1515" s="258">
        <f>IFERROR(__xludf.DUMMYFUNCTION("""COMPUTED_VALUE"""),39300.0)</f>
        <v>39300</v>
      </c>
      <c r="R1515" s="261">
        <f>IFERROR(__xludf.DUMMYFUNCTION("""COMPUTED_VALUE"""),275.0)</f>
        <v>275</v>
      </c>
      <c r="S1515" s="258">
        <v>284.0</v>
      </c>
      <c r="T1515" s="263">
        <v>0.9683098591549296</v>
      </c>
      <c r="U1515" s="264">
        <v>24420.0</v>
      </c>
      <c r="V1515" s="265">
        <v>39300.0</v>
      </c>
      <c r="W1515" s="264">
        <v>24420.0</v>
      </c>
      <c r="X1515" s="266"/>
      <c r="Y1515" s="267">
        <v>-0.01</v>
      </c>
      <c r="Z1515" s="267">
        <v>0.963593482654379</v>
      </c>
      <c r="AA1515" s="269"/>
      <c r="AB1515" s="270"/>
      <c r="AC1515" s="270"/>
      <c r="AD1515" s="270"/>
      <c r="AE1515" s="270"/>
    </row>
    <row r="1516">
      <c r="A1516" s="256">
        <f>IFERROR(__xludf.DUMMYFUNCTION("""COMPUTED_VALUE"""),42320.22708333333)</f>
        <v>42320.22708</v>
      </c>
      <c r="B1516" s="257" t="str">
        <f>IFERROR(__xludf.DUMMYFUNCTION("""COMPUTED_VALUE"""),"Xfrank")</f>
        <v>Xfrank</v>
      </c>
      <c r="C1516" s="258" t="str">
        <f>IFERROR(__xludf.DUMMYFUNCTION("""COMPUTED_VALUE"""),"Europe (excluding UK) &amp; Asia Pacific")</f>
        <v>Europe (excluding UK) &amp; Asia Pacific</v>
      </c>
      <c r="D1516" s="258" t="str">
        <f>IFERROR(__xludf.DUMMYFUNCTION("""COMPUTED_VALUE"""),"km. My car displays range in kilometres and I will enter all range numbers in kilometres.")</f>
        <v>km. My car displays range in kilometres and I will enter all range numbers in kilometres.</v>
      </c>
      <c r="E1516" s="259">
        <f>IFERROR(__xludf.DUMMYFUNCTION("""COMPUTED_VALUE"""),41601.0)</f>
        <v>41601</v>
      </c>
      <c r="F1516" s="258" t="str">
        <f>IFERROR(__xludf.DUMMYFUNCTION("""COMPUTED_VALUE"""),"Model S 60")</f>
        <v>Model S 60</v>
      </c>
      <c r="G1516" s="258" t="str">
        <f>IFERROR(__xludf.DUMMYFUNCTION("""COMPUTED_VALUE"""),"Twice a week")</f>
        <v>Twice a week</v>
      </c>
      <c r="H1516" s="258" t="str">
        <f>IFERROR(__xludf.DUMMYFUNCTION("""COMPUTED_VALUE"""),"Weekly")</f>
        <v>Weekly</v>
      </c>
      <c r="I1516" s="258" t="str">
        <f>IFERROR(__xludf.DUMMYFUNCTION("""COMPUTED_VALUE"""),"A few times a year")</f>
        <v>A few times a year</v>
      </c>
      <c r="J1516" s="260">
        <f>IFERROR(__xludf.DUMMYFUNCTION("""COMPUTED_VALUE"""),0.8)</f>
        <v>0.8</v>
      </c>
      <c r="K1516" s="258" t="str">
        <f>IFERROR(__xludf.DUMMYFUNCTION("""COMPUTED_VALUE"""),"")</f>
        <v/>
      </c>
      <c r="L1516" s="258" t="str">
        <f>IFERROR(__xludf.DUMMYFUNCTION("""COMPUTED_VALUE"""),"")</f>
        <v/>
      </c>
      <c r="M1516" s="261">
        <f>IFERROR(__xludf.DUMMYFUNCTION("""COMPUTED_VALUE"""),208.0)</f>
        <v>208</v>
      </c>
      <c r="N1516" s="262" t="str">
        <f>IFERROR(__xludf.DUMMYFUNCTION("""COMPUTED_VALUE"""),"")</f>
        <v/>
      </c>
      <c r="O1516" s="259" t="str">
        <f>IFERROR(__xludf.DUMMYFUNCTION("""COMPUTED_VALUE"""),"")</f>
        <v/>
      </c>
      <c r="P1516" s="259">
        <f>IFERROR(__xludf.DUMMYFUNCTION("""COMPUTED_VALUE"""),42320.0)</f>
        <v>42320</v>
      </c>
      <c r="Q1516" s="258">
        <f>IFERROR(__xludf.DUMMYFUNCTION("""COMPUTED_VALUE"""),40750.0)</f>
        <v>40750</v>
      </c>
      <c r="R1516" s="261">
        <f>IFERROR(__xludf.DUMMYFUNCTION("""COMPUTED_VALUE"""),295.0)</f>
        <v>295</v>
      </c>
      <c r="S1516" s="258">
        <v>284.0</v>
      </c>
      <c r="T1516" s="263">
        <v>1.0387323943661972</v>
      </c>
      <c r="U1516" s="264">
        <v>25321.0</v>
      </c>
      <c r="V1516" s="265">
        <v>40750.0</v>
      </c>
      <c r="W1516" s="264">
        <v>25321.0</v>
      </c>
      <c r="X1516" s="266"/>
      <c r="Y1516" s="267">
        <v>-0.01</v>
      </c>
      <c r="Z1516" s="267">
        <v>0.9630085480360289</v>
      </c>
      <c r="AA1516" s="269"/>
      <c r="AB1516" s="270"/>
      <c r="AC1516" s="270"/>
      <c r="AD1516" s="270"/>
      <c r="AE1516" s="270"/>
    </row>
    <row r="1517">
      <c r="A1517" s="256">
        <f>IFERROR(__xludf.DUMMYFUNCTION("""COMPUTED_VALUE"""),42357.25625)</f>
        <v>42357.25625</v>
      </c>
      <c r="B1517" s="257" t="str">
        <f>IFERROR(__xludf.DUMMYFUNCTION("""COMPUTED_VALUE"""),"Xfrank-85")</f>
        <v>Xfrank-85</v>
      </c>
      <c r="C1517" s="258" t="str">
        <f>IFERROR(__xludf.DUMMYFUNCTION("""COMPUTED_VALUE"""),"Europe (excluding UK) &amp; Asia Pacific")</f>
        <v>Europe (excluding UK) &amp; Asia Pacific</v>
      </c>
      <c r="D1517" s="258" t="str">
        <f>IFERROR(__xludf.DUMMYFUNCTION("""COMPUTED_VALUE"""),"km. My car displays range in kilometres and I will enter all range numbers in kilometres.")</f>
        <v>km. My car displays range in kilometres and I will enter all range numbers in kilometres.</v>
      </c>
      <c r="E1517" s="259">
        <f>IFERROR(__xludf.DUMMYFUNCTION("""COMPUTED_VALUE"""),42249.0)</f>
        <v>42249</v>
      </c>
      <c r="F1517" s="258" t="str">
        <f>IFERROR(__xludf.DUMMYFUNCTION("""COMPUTED_VALUE"""),"Model S 85")</f>
        <v>Model S 85</v>
      </c>
      <c r="G1517" s="258" t="str">
        <f>IFERROR(__xludf.DUMMYFUNCTION("""COMPUTED_VALUE"""),"Weekly")</f>
        <v>Weekly</v>
      </c>
      <c r="H1517" s="258" t="str">
        <f>IFERROR(__xludf.DUMMYFUNCTION("""COMPUTED_VALUE"""),"Twice a month")</f>
        <v>Twice a month</v>
      </c>
      <c r="I1517" s="258" t="str">
        <f>IFERROR(__xludf.DUMMYFUNCTION("""COMPUTED_VALUE"""),"A few times a year")</f>
        <v>A few times a year</v>
      </c>
      <c r="J1517" s="260">
        <f>IFERROR(__xludf.DUMMYFUNCTION("""COMPUTED_VALUE"""),0.8)</f>
        <v>0.8</v>
      </c>
      <c r="K1517" s="258" t="str">
        <f>IFERROR(__xludf.DUMMYFUNCTION("""COMPUTED_VALUE"""),"")</f>
        <v/>
      </c>
      <c r="L1517" s="258" t="str">
        <f>IFERROR(__xludf.DUMMYFUNCTION("""COMPUTED_VALUE"""),"")</f>
        <v/>
      </c>
      <c r="M1517" s="261">
        <f>IFERROR(__xludf.DUMMYFUNCTION("""COMPUTED_VALUE"""),218.0)</f>
        <v>218</v>
      </c>
      <c r="N1517" s="262" t="str">
        <f>IFERROR(__xludf.DUMMYFUNCTION("""COMPUTED_VALUE"""),"")</f>
        <v/>
      </c>
      <c r="O1517" s="259" t="str">
        <f>IFERROR(__xludf.DUMMYFUNCTION("""COMPUTED_VALUE"""),"")</f>
        <v/>
      </c>
      <c r="P1517" s="259">
        <f>IFERROR(__xludf.DUMMYFUNCTION("""COMPUTED_VALUE"""),42357.0)</f>
        <v>42357</v>
      </c>
      <c r="Q1517" s="258">
        <f>IFERROR(__xludf.DUMMYFUNCTION("""COMPUTED_VALUE"""),3200.0)</f>
        <v>3200</v>
      </c>
      <c r="R1517" s="261">
        <f>IFERROR(__xludf.DUMMYFUNCTION("""COMPUTED_VALUE"""),398.0)</f>
        <v>398</v>
      </c>
      <c r="S1517" s="258">
        <v>395.0</v>
      </c>
      <c r="T1517" s="263">
        <v>1.0075949367088608</v>
      </c>
      <c r="U1517" s="264">
        <v>1988.0</v>
      </c>
      <c r="V1517" s="265">
        <v>3200.0</v>
      </c>
      <c r="W1517" s="264">
        <v>1988.0</v>
      </c>
      <c r="X1517" s="266"/>
      <c r="Y1517" s="267">
        <v>-0.01</v>
      </c>
      <c r="Z1517" s="267">
        <v>0.9940941967877692</v>
      </c>
      <c r="AA1517" s="269"/>
      <c r="AB1517" s="270"/>
      <c r="AC1517" s="270"/>
      <c r="AD1517" s="270"/>
      <c r="AE1517" s="270"/>
    </row>
    <row r="1518">
      <c r="A1518" s="256">
        <f>IFERROR(__xludf.DUMMYFUNCTION("""COMPUTED_VALUE"""),42605.38333333333)</f>
        <v>42605.38333</v>
      </c>
      <c r="B1518" s="257" t="str">
        <f>IFERROR(__xludf.DUMMYFUNCTION("""COMPUTED_VALUE"""),"XFrank-85")</f>
        <v>XFrank-85</v>
      </c>
      <c r="C1518" s="258" t="str">
        <f>IFERROR(__xludf.DUMMYFUNCTION("""COMPUTED_VALUE"""),"Europe (excluding UK) &amp; Asia Pacific")</f>
        <v>Europe (excluding UK) &amp; Asia Pacific</v>
      </c>
      <c r="D1518" s="258" t="str">
        <f>IFERROR(__xludf.DUMMYFUNCTION("""COMPUTED_VALUE"""),"km. My car displays range in kilometres and I will enter all range numbers in kilometres.")</f>
        <v>km. My car displays range in kilometres and I will enter all range numbers in kilometres.</v>
      </c>
      <c r="E1518" s="259">
        <f>IFERROR(__xludf.DUMMYFUNCTION("""COMPUTED_VALUE"""),42249.0)</f>
        <v>42249</v>
      </c>
      <c r="F1518" s="258" t="str">
        <f>IFERROR(__xludf.DUMMYFUNCTION("""COMPUTED_VALUE"""),"Model S P85")</f>
        <v>Model S P85</v>
      </c>
      <c r="G1518" s="258" t="str">
        <f>IFERROR(__xludf.DUMMYFUNCTION("""COMPUTED_VALUE"""),"Weekly")</f>
        <v>Weekly</v>
      </c>
      <c r="H1518" s="258" t="str">
        <f>IFERROR(__xludf.DUMMYFUNCTION("""COMPUTED_VALUE"""),"Twice a month")</f>
        <v>Twice a month</v>
      </c>
      <c r="I1518" s="258" t="str">
        <f>IFERROR(__xludf.DUMMYFUNCTION("""COMPUTED_VALUE"""),"Once or twice a year")</f>
        <v>Once or twice a year</v>
      </c>
      <c r="J1518" s="260">
        <f>IFERROR(__xludf.DUMMYFUNCTION("""COMPUTED_VALUE"""),0.8)</f>
        <v>0.8</v>
      </c>
      <c r="K1518" s="258">
        <f>IFERROR(__xludf.DUMMYFUNCTION("""COMPUTED_VALUE"""),398.0)</f>
        <v>398</v>
      </c>
      <c r="L1518" s="258" t="str">
        <f>IFERROR(__xludf.DUMMYFUNCTION("""COMPUTED_VALUE"""),"")</f>
        <v/>
      </c>
      <c r="M1518" s="261">
        <f>IFERROR(__xludf.DUMMYFUNCTION("""COMPUTED_VALUE"""),212.0)</f>
        <v>212</v>
      </c>
      <c r="N1518" s="262" t="str">
        <f>IFERROR(__xludf.DUMMYFUNCTION("""COMPUTED_VALUE"""),"")</f>
        <v/>
      </c>
      <c r="O1518" s="259" t="str">
        <f>IFERROR(__xludf.DUMMYFUNCTION("""COMPUTED_VALUE"""),"")</f>
        <v/>
      </c>
      <c r="P1518" s="259">
        <f>IFERROR(__xludf.DUMMYFUNCTION("""COMPUTED_VALUE"""),42605.0)</f>
        <v>42605</v>
      </c>
      <c r="Q1518" s="258">
        <f>IFERROR(__xludf.DUMMYFUNCTION("""COMPUTED_VALUE"""),20500.0)</f>
        <v>20500</v>
      </c>
      <c r="R1518" s="261">
        <f>IFERROR(__xludf.DUMMYFUNCTION("""COMPUTED_VALUE"""),386.0)</f>
        <v>386</v>
      </c>
      <c r="S1518" s="258">
        <v>395.0</v>
      </c>
      <c r="T1518" s="263">
        <v>0.9772151898734177</v>
      </c>
      <c r="U1518" s="264">
        <v>12738.0</v>
      </c>
      <c r="V1518" s="265">
        <v>20500.0</v>
      </c>
      <c r="W1518" s="264">
        <v>12738.0</v>
      </c>
      <c r="X1518" s="266"/>
      <c r="Y1518" s="267">
        <v>-0.01</v>
      </c>
      <c r="Z1518" s="267">
        <v>0.9740746679354586</v>
      </c>
      <c r="AA1518" s="269"/>
      <c r="AB1518" s="270"/>
      <c r="AC1518" s="270"/>
      <c r="AD1518" s="270"/>
      <c r="AE1518" s="270"/>
    </row>
    <row r="1519">
      <c r="A1519" s="256">
        <f>IFERROR(__xludf.DUMMYFUNCTION("""COMPUTED_VALUE"""),43124.67638888889)</f>
        <v>43124.67639</v>
      </c>
      <c r="B1519" s="257" t="str">
        <f>IFERROR(__xludf.DUMMYFUNCTION("""COMPUTED_VALUE"""),"Xfrank-85")</f>
        <v>Xfrank-85</v>
      </c>
      <c r="C1519" s="258" t="str">
        <f>IFERROR(__xludf.DUMMYFUNCTION("""COMPUTED_VALUE"""),"Europe (excluding UK) &amp; Asia Pacific")</f>
        <v>Europe (excluding UK) &amp; Asia Pacific</v>
      </c>
      <c r="D1519" s="258" t="str">
        <f>IFERROR(__xludf.DUMMYFUNCTION("""COMPUTED_VALUE"""),"km. My car displays range in kilometres and I will enter all range numbers in kilometres.")</f>
        <v>km. My car displays range in kilometres and I will enter all range numbers in kilometres.</v>
      </c>
      <c r="E1519" s="259">
        <f>IFERROR(__xludf.DUMMYFUNCTION("""COMPUTED_VALUE"""),42249.0)</f>
        <v>42249</v>
      </c>
      <c r="F1519" s="258" t="str">
        <f>IFERROR(__xludf.DUMMYFUNCTION("""COMPUTED_VALUE"""),"Model S 85")</f>
        <v>Model S 85</v>
      </c>
      <c r="G1519" s="258" t="str">
        <f>IFERROR(__xludf.DUMMYFUNCTION("""COMPUTED_VALUE"""),"Twice a week")</f>
        <v>Twice a week</v>
      </c>
      <c r="H1519" s="258" t="str">
        <f>IFERROR(__xludf.DUMMYFUNCTION("""COMPUTED_VALUE"""),"A few times a year")</f>
        <v>A few times a year</v>
      </c>
      <c r="I1519" s="258" t="str">
        <f>IFERROR(__xludf.DUMMYFUNCTION("""COMPUTED_VALUE"""),"Never")</f>
        <v>Never</v>
      </c>
      <c r="J1519" s="260">
        <f>IFERROR(__xludf.DUMMYFUNCTION("""COMPUTED_VALUE"""),0.8)</f>
        <v>0.8</v>
      </c>
      <c r="K1519" s="258">
        <f>IFERROR(__xludf.DUMMYFUNCTION("""COMPUTED_VALUE"""),398.0)</f>
        <v>398</v>
      </c>
      <c r="L1519" s="258" t="str">
        <f>IFERROR(__xludf.DUMMYFUNCTION("""COMPUTED_VALUE"""),"")</f>
        <v/>
      </c>
      <c r="M1519" s="261">
        <f>IFERROR(__xludf.DUMMYFUNCTION("""COMPUTED_VALUE"""),215.0)</f>
        <v>215</v>
      </c>
      <c r="N1519" s="262" t="str">
        <f>IFERROR(__xludf.DUMMYFUNCTION("""COMPUTED_VALUE"""),"")</f>
        <v/>
      </c>
      <c r="O1519" s="259" t="str">
        <f>IFERROR(__xludf.DUMMYFUNCTION("""COMPUTED_VALUE"""),"")</f>
        <v/>
      </c>
      <c r="P1519" s="259">
        <f>IFERROR(__xludf.DUMMYFUNCTION("""COMPUTED_VALUE"""),43124.0)</f>
        <v>43124</v>
      </c>
      <c r="Q1519" s="258">
        <f>IFERROR(__xludf.DUMMYFUNCTION("""COMPUTED_VALUE"""),62010.0)</f>
        <v>62010</v>
      </c>
      <c r="R1519" s="261">
        <f>IFERROR(__xludf.DUMMYFUNCTION("""COMPUTED_VALUE"""),385.0)</f>
        <v>385</v>
      </c>
      <c r="S1519" s="258">
        <v>395.0</v>
      </c>
      <c r="T1519" s="263">
        <v>0.9746835443037974</v>
      </c>
      <c r="U1519" s="264">
        <v>38531.0</v>
      </c>
      <c r="V1519" s="265">
        <v>62010.0</v>
      </c>
      <c r="W1519" s="264">
        <v>38531.0</v>
      </c>
      <c r="X1519" s="266"/>
      <c r="Y1519" s="267">
        <v>-0.01</v>
      </c>
      <c r="Z1519" s="267">
        <v>0.9560844821048388</v>
      </c>
      <c r="AA1519" s="269"/>
      <c r="AB1519" s="270"/>
      <c r="AC1519" s="270"/>
      <c r="AD1519" s="270"/>
      <c r="AE1519" s="270"/>
    </row>
    <row r="1520">
      <c r="A1520" s="256">
        <f>IFERROR(__xludf.DUMMYFUNCTION("""COMPUTED_VALUE"""),42230.24652777778)</f>
        <v>42230.24653</v>
      </c>
      <c r="B1520" s="257" t="str">
        <f>IFERROR(__xludf.DUMMYFUNCTION("""COMPUTED_VALUE"""),"Xighting")</f>
        <v>Xighting</v>
      </c>
      <c r="C1520" s="258" t="str">
        <f>IFERROR(__xludf.DUMMYFUNCTION("""COMPUTED_VALUE"""),"Europe (excluding UK) &amp; Asia Pacific")</f>
        <v>Europe (excluding UK) &amp; Asia Pacific</v>
      </c>
      <c r="D1520" s="258" t="str">
        <f>IFERROR(__xludf.DUMMYFUNCTION("""COMPUTED_VALUE"""),"km. My car displays range in kilometres and I will enter all range numbers in kilometres.")</f>
        <v>km. My car displays range in kilometres and I will enter all range numbers in kilometres.</v>
      </c>
      <c r="E1520" s="259">
        <f>IFERROR(__xludf.DUMMYFUNCTION("""COMPUTED_VALUE"""),41816.0)</f>
        <v>41816</v>
      </c>
      <c r="F1520" s="258" t="str">
        <f>IFERROR(__xludf.DUMMYFUNCTION("""COMPUTED_VALUE"""),"Model S 85")</f>
        <v>Model S 85</v>
      </c>
      <c r="G1520" s="258" t="str">
        <f>IFERROR(__xludf.DUMMYFUNCTION("""COMPUTED_VALUE"""),"Weekly")</f>
        <v>Weekly</v>
      </c>
      <c r="H1520" s="258" t="str">
        <f>IFERROR(__xludf.DUMMYFUNCTION("""COMPUTED_VALUE"""),"A few times a year")</f>
        <v>A few times a year</v>
      </c>
      <c r="I1520" s="258" t="str">
        <f>IFERROR(__xludf.DUMMYFUNCTION("""COMPUTED_VALUE"""),"Once or twice a year")</f>
        <v>Once or twice a year</v>
      </c>
      <c r="J1520" s="260">
        <f>IFERROR(__xludf.DUMMYFUNCTION("""COMPUTED_VALUE"""),0.9)</f>
        <v>0.9</v>
      </c>
      <c r="K1520" s="258">
        <f>IFERROR(__xludf.DUMMYFUNCTION("""COMPUTED_VALUE"""),400.0)</f>
        <v>400</v>
      </c>
      <c r="L1520" s="258" t="str">
        <f>IFERROR(__xludf.DUMMYFUNCTION("""COMPUTED_VALUE"""),"")</f>
        <v/>
      </c>
      <c r="M1520" s="261">
        <f>IFERROR(__xludf.DUMMYFUNCTION("""COMPUTED_VALUE"""),223.0)</f>
        <v>223</v>
      </c>
      <c r="N1520" s="262" t="str">
        <f>IFERROR(__xludf.DUMMYFUNCTION("""COMPUTED_VALUE"""),"")</f>
        <v/>
      </c>
      <c r="O1520" s="259" t="str">
        <f>IFERROR(__xludf.DUMMYFUNCTION("""COMPUTED_VALUE"""),"")</f>
        <v/>
      </c>
      <c r="P1520" s="259">
        <f>IFERROR(__xludf.DUMMYFUNCTION("""COMPUTED_VALUE"""),42230.0)</f>
        <v>42230</v>
      </c>
      <c r="Q1520" s="258">
        <f>IFERROR(__xludf.DUMMYFUNCTION("""COMPUTED_VALUE"""),48000.0)</f>
        <v>48000</v>
      </c>
      <c r="R1520" s="261">
        <f>IFERROR(__xludf.DUMMYFUNCTION("""COMPUTED_VALUE"""),374.0)</f>
        <v>374</v>
      </c>
      <c r="S1520" s="258">
        <v>395.0</v>
      </c>
      <c r="T1520" s="263">
        <v>0.9468354430379747</v>
      </c>
      <c r="U1520" s="264">
        <v>29826.0</v>
      </c>
      <c r="V1520" s="265">
        <v>48000.0</v>
      </c>
      <c r="W1520" s="264">
        <v>29826.0</v>
      </c>
      <c r="X1520" s="266"/>
      <c r="Y1520" s="267">
        <v>-0.01</v>
      </c>
      <c r="Z1520" s="267">
        <v>0.9603568283812233</v>
      </c>
      <c r="AA1520" s="269"/>
      <c r="AB1520" s="270"/>
      <c r="AC1520" s="270"/>
      <c r="AD1520" s="270"/>
      <c r="AE1520" s="270"/>
    </row>
    <row r="1521">
      <c r="A1521" s="256">
        <f>IFERROR(__xludf.DUMMYFUNCTION("""COMPUTED_VALUE"""),42620.39444444445)</f>
        <v>42620.39444</v>
      </c>
      <c r="B1521" s="257" t="str">
        <f>IFERROR(__xludf.DUMMYFUNCTION("""COMPUTED_VALUE"""),"Yannick")</f>
        <v>Yannick</v>
      </c>
      <c r="C1521" s="258" t="str">
        <f>IFERROR(__xludf.DUMMYFUNCTION("""COMPUTED_VALUE"""),"Europe (excluding UK) &amp; Asia Pacific")</f>
        <v>Europe (excluding UK) &amp; Asia Pacific</v>
      </c>
      <c r="D1521" s="258" t="str">
        <f>IFERROR(__xludf.DUMMYFUNCTION("""COMPUTED_VALUE"""),"km. My car displays range in kilometres and I will enter all range numbers in kilometres.")</f>
        <v>km. My car displays range in kilometres and I will enter all range numbers in kilometres.</v>
      </c>
      <c r="E1521" s="259">
        <f>IFERROR(__xludf.DUMMYFUNCTION("""COMPUTED_VALUE"""),42489.0)</f>
        <v>42489</v>
      </c>
      <c r="F1521" s="258" t="str">
        <f>IFERROR(__xludf.DUMMYFUNCTION("""COMPUTED_VALUE"""),"Model S 70D")</f>
        <v>Model S 70D</v>
      </c>
      <c r="G1521" s="258" t="str">
        <f>IFERROR(__xludf.DUMMYFUNCTION("""COMPUTED_VALUE"""),"")</f>
        <v/>
      </c>
      <c r="H1521" s="258" t="str">
        <f>IFERROR(__xludf.DUMMYFUNCTION("""COMPUTED_VALUE"""),"")</f>
        <v/>
      </c>
      <c r="I1521" s="258" t="str">
        <f>IFERROR(__xludf.DUMMYFUNCTION("""COMPUTED_VALUE"""),"")</f>
        <v/>
      </c>
      <c r="J1521" s="260" t="str">
        <f>IFERROR(__xludf.DUMMYFUNCTION("""COMPUTED_VALUE"""),"")</f>
        <v/>
      </c>
      <c r="K1521" s="258" t="str">
        <f>IFERROR(__xludf.DUMMYFUNCTION("""COMPUTED_VALUE"""),"")</f>
        <v/>
      </c>
      <c r="L1521" s="258" t="str">
        <f>IFERROR(__xludf.DUMMYFUNCTION("""COMPUTED_VALUE"""),"")</f>
        <v/>
      </c>
      <c r="M1521" s="261">
        <f>IFERROR(__xludf.DUMMYFUNCTION("""COMPUTED_VALUE"""),221.0)</f>
        <v>221</v>
      </c>
      <c r="N1521" s="262" t="str">
        <f>IFERROR(__xludf.DUMMYFUNCTION("""COMPUTED_VALUE"""),"")</f>
        <v/>
      </c>
      <c r="O1521" s="259" t="str">
        <f>IFERROR(__xludf.DUMMYFUNCTION("""COMPUTED_VALUE"""),"")</f>
        <v/>
      </c>
      <c r="P1521" s="259">
        <f>IFERROR(__xludf.DUMMYFUNCTION("""COMPUTED_VALUE"""),42620.0)</f>
        <v>42620</v>
      </c>
      <c r="Q1521" s="258">
        <f>IFERROR(__xludf.DUMMYFUNCTION("""COMPUTED_VALUE"""),10000.0)</f>
        <v>10000</v>
      </c>
      <c r="R1521" s="261">
        <f>IFERROR(__xludf.DUMMYFUNCTION("""COMPUTED_VALUE"""),365.0)</f>
        <v>365</v>
      </c>
      <c r="S1521" s="258">
        <v>360.0</v>
      </c>
      <c r="T1521" s="263">
        <v>1.0138888888888888</v>
      </c>
      <c r="U1521" s="264">
        <v>6214.0</v>
      </c>
      <c r="V1521" s="265">
        <v>10000.0</v>
      </c>
      <c r="W1521" s="264">
        <v>6214.0</v>
      </c>
      <c r="X1521" s="266"/>
      <c r="Y1521" s="267">
        <v>-0.01</v>
      </c>
      <c r="Z1521" s="267">
        <v>0.9842728492891164</v>
      </c>
      <c r="AA1521" s="269"/>
      <c r="AB1521" s="270"/>
      <c r="AC1521" s="270"/>
      <c r="AD1521" s="270"/>
      <c r="AE1521" s="270"/>
    </row>
    <row r="1522">
      <c r="A1522" s="256">
        <f>IFERROR(__xludf.DUMMYFUNCTION("""COMPUTED_VALUE"""),42988.85416666667)</f>
        <v>42988.85417</v>
      </c>
      <c r="B1522" s="257" t="str">
        <f>IFERROR(__xludf.DUMMYFUNCTION("""COMPUTED_VALUE"""),"YippyKayYay")</f>
        <v>YippyKayYay</v>
      </c>
      <c r="C1522" s="258" t="str">
        <f>IFERROR(__xludf.DUMMYFUNCTION("""COMPUTED_VALUE"""),"USA")</f>
        <v>USA</v>
      </c>
      <c r="D1522" s="258" t="str">
        <f>IFERROR(__xludf.DUMMYFUNCTION("""COMPUTED_VALUE"""),"mi. My car displays range in miles and I will enter all range numbers in miles.")</f>
        <v>mi. My car displays range in miles and I will enter all range numbers in miles.</v>
      </c>
      <c r="E1522" s="259">
        <f>IFERROR(__xludf.DUMMYFUNCTION("""COMPUTED_VALUE"""),41456.0)</f>
        <v>41456</v>
      </c>
      <c r="F1522" s="258" t="str">
        <f>IFERROR(__xludf.DUMMYFUNCTION("""COMPUTED_VALUE"""),"Model S P85")</f>
        <v>Model S P85</v>
      </c>
      <c r="G1522" s="258" t="str">
        <f>IFERROR(__xludf.DUMMYFUNCTION("""COMPUTED_VALUE"""),"Twice a month")</f>
        <v>Twice a month</v>
      </c>
      <c r="H1522" s="258" t="str">
        <f>IFERROR(__xludf.DUMMYFUNCTION("""COMPUTED_VALUE"""),"Monthly")</f>
        <v>Monthly</v>
      </c>
      <c r="I1522" s="258" t="str">
        <f>IFERROR(__xludf.DUMMYFUNCTION("""COMPUTED_VALUE"""),"Never")</f>
        <v>Never</v>
      </c>
      <c r="J1522" s="260">
        <f>IFERROR(__xludf.DUMMYFUNCTION("""COMPUTED_VALUE"""),0.9)</f>
        <v>0.9</v>
      </c>
      <c r="K1522" s="258">
        <f>IFERROR(__xludf.DUMMYFUNCTION("""COMPUTED_VALUE"""),265.0)</f>
        <v>265</v>
      </c>
      <c r="L1522" s="258" t="str">
        <f>IFERROR(__xludf.DUMMYFUNCTION("""COMPUTED_VALUE"""),"")</f>
        <v/>
      </c>
      <c r="M1522" s="261">
        <f>IFERROR(__xludf.DUMMYFUNCTION("""COMPUTED_VALUE"""),403.0)</f>
        <v>403</v>
      </c>
      <c r="N1522" s="262" t="str">
        <f>IFERROR(__xludf.DUMMYFUNCTION("""COMPUTED_VALUE"""),"")</f>
        <v/>
      </c>
      <c r="O1522" s="259" t="str">
        <f>IFERROR(__xludf.DUMMYFUNCTION("""COMPUTED_VALUE"""),"")</f>
        <v/>
      </c>
      <c r="P1522" s="259">
        <f>IFERROR(__xludf.DUMMYFUNCTION("""COMPUTED_VALUE"""),42988.0)</f>
        <v>42988</v>
      </c>
      <c r="Q1522" s="258">
        <f>IFERROR(__xludf.DUMMYFUNCTION("""COMPUTED_VALUE"""),70109.0)</f>
        <v>70109</v>
      </c>
      <c r="R1522" s="261">
        <f>IFERROR(__xludf.DUMMYFUNCTION("""COMPUTED_VALUE"""),249.0)</f>
        <v>249</v>
      </c>
      <c r="S1522" s="258">
        <v>266.0</v>
      </c>
      <c r="T1522" s="263">
        <v>0.9360902255639098</v>
      </c>
      <c r="U1522" s="264">
        <v>70109.0</v>
      </c>
      <c r="V1522" s="265">
        <v>112829.0</v>
      </c>
      <c r="W1522" s="264">
        <v>70109.0</v>
      </c>
      <c r="X1522" s="266"/>
      <c r="Y1522" s="267">
        <v>-0.01</v>
      </c>
      <c r="Z1522" s="267">
        <v>0.943578932318673</v>
      </c>
      <c r="AA1522" s="269"/>
      <c r="AB1522" s="270"/>
      <c r="AC1522" s="270"/>
      <c r="AD1522" s="270"/>
      <c r="AE1522" s="270"/>
    </row>
    <row r="1523">
      <c r="A1523" s="256">
        <f>IFERROR(__xludf.DUMMYFUNCTION("""COMPUTED_VALUE"""),42644.86111111111)</f>
        <v>42644.86111</v>
      </c>
      <c r="B1523" s="257" t="str">
        <f>IFERROR(__xludf.DUMMYFUNCTION("""COMPUTED_VALUE"""),"Yurand")</f>
        <v>Yurand</v>
      </c>
      <c r="C1523" s="258" t="str">
        <f>IFERROR(__xludf.DUMMYFUNCTION("""COMPUTED_VALUE"""),"USA")</f>
        <v>USA</v>
      </c>
      <c r="D1523" s="258" t="str">
        <f>IFERROR(__xludf.DUMMYFUNCTION("""COMPUTED_VALUE"""),"mi. My car displays range in miles and I will enter all range numbers in miles.")</f>
        <v>mi. My car displays range in miles and I will enter all range numbers in miles.</v>
      </c>
      <c r="E1523" s="259">
        <f>IFERROR(__xludf.DUMMYFUNCTION("""COMPUTED_VALUE"""),41472.0)</f>
        <v>41472</v>
      </c>
      <c r="F1523" s="258" t="str">
        <f>IFERROR(__xludf.DUMMYFUNCTION("""COMPUTED_VALUE"""),"Model S 60")</f>
        <v>Model S 60</v>
      </c>
      <c r="G1523" s="258" t="str">
        <f>IFERROR(__xludf.DUMMYFUNCTION("""COMPUTED_VALUE"""),"")</f>
        <v/>
      </c>
      <c r="H1523" s="258" t="str">
        <f>IFERROR(__xludf.DUMMYFUNCTION("""COMPUTED_VALUE"""),"")</f>
        <v/>
      </c>
      <c r="I1523" s="258" t="str">
        <f>IFERROR(__xludf.DUMMYFUNCTION("""COMPUTED_VALUE"""),"")</f>
        <v/>
      </c>
      <c r="J1523" s="260" t="str">
        <f>IFERROR(__xludf.DUMMYFUNCTION("""COMPUTED_VALUE"""),"")</f>
        <v/>
      </c>
      <c r="K1523" s="258" t="str">
        <f>IFERROR(__xludf.DUMMYFUNCTION("""COMPUTED_VALUE"""),"")</f>
        <v/>
      </c>
      <c r="L1523" s="258" t="str">
        <f>IFERROR(__xludf.DUMMYFUNCTION("""COMPUTED_VALUE"""),"")</f>
        <v/>
      </c>
      <c r="M1523" s="261">
        <f>IFERROR(__xludf.DUMMYFUNCTION("""COMPUTED_VALUE"""),273.0)</f>
        <v>273</v>
      </c>
      <c r="N1523" s="262" t="str">
        <f>IFERROR(__xludf.DUMMYFUNCTION("""COMPUTED_VALUE"""),"")</f>
        <v/>
      </c>
      <c r="O1523" s="259" t="str">
        <f>IFERROR(__xludf.DUMMYFUNCTION("""COMPUTED_VALUE"""),"")</f>
        <v/>
      </c>
      <c r="P1523" s="259">
        <f>IFERROR(__xludf.DUMMYFUNCTION("""COMPUTED_VALUE"""),42644.0)</f>
        <v>42644</v>
      </c>
      <c r="Q1523" s="258">
        <f>IFERROR(__xludf.DUMMYFUNCTION("""COMPUTED_VALUE"""),77500.0)</f>
        <v>77500</v>
      </c>
      <c r="R1523" s="261">
        <f>IFERROR(__xludf.DUMMYFUNCTION("""COMPUTED_VALUE"""),191.0)</f>
        <v>191</v>
      </c>
      <c r="S1523" s="258">
        <v>207.0</v>
      </c>
      <c r="T1523" s="263">
        <v>0.9227053140096618</v>
      </c>
      <c r="U1523" s="264">
        <v>77500.0</v>
      </c>
      <c r="V1523" s="265">
        <v>124724.0</v>
      </c>
      <c r="W1523" s="264">
        <v>77500.0</v>
      </c>
      <c r="X1523" s="266"/>
      <c r="Y1523" s="267">
        <v>-0.01</v>
      </c>
      <c r="Z1523" s="267">
        <v>0.9408138662403484</v>
      </c>
      <c r="AA1523" s="269"/>
      <c r="AB1523" s="270"/>
      <c r="AC1523" s="270"/>
      <c r="AD1523" s="270"/>
      <c r="AE1523" s="270"/>
    </row>
    <row r="1524">
      <c r="A1524" s="256">
        <f>IFERROR(__xludf.DUMMYFUNCTION("""COMPUTED_VALUE"""),42249.75555555556)</f>
        <v>42249.75556</v>
      </c>
      <c r="B1524" s="257" t="str">
        <f>IFERROR(__xludf.DUMMYFUNCTION("""COMPUTED_VALUE"""),"zdre")</f>
        <v>zdre</v>
      </c>
      <c r="C1524" s="258" t="str">
        <f>IFERROR(__xludf.DUMMYFUNCTION("""COMPUTED_VALUE"""),"USA")</f>
        <v>USA</v>
      </c>
      <c r="D1524" s="258" t="str">
        <f>IFERROR(__xludf.DUMMYFUNCTION("""COMPUTED_VALUE"""),"mi. My car displays range in miles and I will enter all range numbers in miles.")</f>
        <v>mi. My car displays range in miles and I will enter all range numbers in miles.</v>
      </c>
      <c r="E1524" s="259">
        <f>IFERROR(__xludf.DUMMYFUNCTION("""COMPUTED_VALUE"""),41379.0)</f>
        <v>41379</v>
      </c>
      <c r="F1524" s="258" t="str">
        <f>IFERROR(__xludf.DUMMYFUNCTION("""COMPUTED_VALUE"""),"Model S 60")</f>
        <v>Model S 60</v>
      </c>
      <c r="G1524" s="258" t="str">
        <f>IFERROR(__xludf.DUMMYFUNCTION("""COMPUTED_VALUE"""),"Never")</f>
        <v>Never</v>
      </c>
      <c r="H1524" s="258" t="str">
        <f>IFERROR(__xludf.DUMMYFUNCTION("""COMPUTED_VALUE"""),"Never")</f>
        <v>Never</v>
      </c>
      <c r="I1524" s="258" t="str">
        <f>IFERROR(__xludf.DUMMYFUNCTION("""COMPUTED_VALUE"""),"A few times a year")</f>
        <v>A few times a year</v>
      </c>
      <c r="J1524" s="260">
        <f>IFERROR(__xludf.DUMMYFUNCTION("""COMPUTED_VALUE"""),0.7)</f>
        <v>0.7</v>
      </c>
      <c r="K1524" s="258">
        <f>IFERROR(__xludf.DUMMYFUNCTION("""COMPUTED_VALUE"""),209.0)</f>
        <v>209</v>
      </c>
      <c r="L1524" s="258" t="str">
        <f>IFERROR(__xludf.DUMMYFUNCTION("""COMPUTED_VALUE"""),"")</f>
        <v/>
      </c>
      <c r="M1524" s="261">
        <f>IFERROR(__xludf.DUMMYFUNCTION("""COMPUTED_VALUE"""),275.0)</f>
        <v>275</v>
      </c>
      <c r="N1524" s="262" t="str">
        <f>IFERROR(__xludf.DUMMYFUNCTION("""COMPUTED_VALUE"""),"")</f>
        <v/>
      </c>
      <c r="O1524" s="259" t="str">
        <f>IFERROR(__xludf.DUMMYFUNCTION("""COMPUTED_VALUE"""),"")</f>
        <v/>
      </c>
      <c r="P1524" s="259">
        <f>IFERROR(__xludf.DUMMYFUNCTION("""COMPUTED_VALUE"""),42249.0)</f>
        <v>42249</v>
      </c>
      <c r="Q1524" s="258">
        <f>IFERROR(__xludf.DUMMYFUNCTION("""COMPUTED_VALUE"""),28000.0)</f>
        <v>28000</v>
      </c>
      <c r="R1524" s="261">
        <f>IFERROR(__xludf.DUMMYFUNCTION("""COMPUTED_VALUE"""),197.0)</f>
        <v>197</v>
      </c>
      <c r="S1524" s="258">
        <v>207.0</v>
      </c>
      <c r="T1524" s="263">
        <v>0.9516908212560387</v>
      </c>
      <c r="U1524" s="264">
        <v>28000.0</v>
      </c>
      <c r="V1524" s="265">
        <v>45062.0</v>
      </c>
      <c r="W1524" s="264">
        <v>28000.0</v>
      </c>
      <c r="X1524" s="266"/>
      <c r="Y1524" s="267">
        <v>-0.01</v>
      </c>
      <c r="Z1524" s="267">
        <v>0.9613824941183923</v>
      </c>
      <c r="AA1524" s="269"/>
      <c r="AB1524" s="270"/>
      <c r="AC1524" s="270"/>
      <c r="AD1524" s="270"/>
      <c r="AE1524" s="270"/>
    </row>
    <row r="1525">
      <c r="A1525" s="256">
        <f>IFERROR(__xludf.DUMMYFUNCTION("""COMPUTED_VALUE"""),42146.12222222222)</f>
        <v>42146.12222</v>
      </c>
      <c r="B1525" s="257" t="str">
        <f>IFERROR(__xludf.DUMMYFUNCTION("""COMPUTED_VALUE"""),"Zee")</f>
        <v>Zee</v>
      </c>
      <c r="C1525" s="258" t="str">
        <f>IFERROR(__xludf.DUMMYFUNCTION("""COMPUTED_VALUE"""),"Europe (excluding UK) &amp; Asia Pacific")</f>
        <v>Europe (excluding UK) &amp; Asia Pacific</v>
      </c>
      <c r="D1525" s="258" t="str">
        <f>IFERROR(__xludf.DUMMYFUNCTION("""COMPUTED_VALUE"""),"km. My car displays range in kilometres and I will enter all range numbers in kilometres.")</f>
        <v>km. My car displays range in kilometres and I will enter all range numbers in kilometres.</v>
      </c>
      <c r="E1525" s="259">
        <f>IFERROR(__xludf.DUMMYFUNCTION("""COMPUTED_VALUE"""),42090.0)</f>
        <v>42090</v>
      </c>
      <c r="F1525" s="258" t="str">
        <f>IFERROR(__xludf.DUMMYFUNCTION("""COMPUTED_VALUE"""),"Model S 85D")</f>
        <v>Model S 85D</v>
      </c>
      <c r="G1525" s="258" t="str">
        <f>IFERROR(__xludf.DUMMYFUNCTION("""COMPUTED_VALUE"""),"Twice a month")</f>
        <v>Twice a month</v>
      </c>
      <c r="H1525" s="258" t="str">
        <f>IFERROR(__xludf.DUMMYFUNCTION("""COMPUTED_VALUE"""),"Monthly")</f>
        <v>Monthly</v>
      </c>
      <c r="I1525" s="258" t="str">
        <f>IFERROR(__xludf.DUMMYFUNCTION("""COMPUTED_VALUE"""),"Never")</f>
        <v>Never</v>
      </c>
      <c r="J1525" s="260">
        <f>IFERROR(__xludf.DUMMYFUNCTION("""COMPUTED_VALUE"""),0.9)</f>
        <v>0.9</v>
      </c>
      <c r="K1525" s="258" t="str">
        <f>IFERROR(__xludf.DUMMYFUNCTION("""COMPUTED_VALUE"""),"")</f>
        <v/>
      </c>
      <c r="L1525" s="258" t="str">
        <f>IFERROR(__xludf.DUMMYFUNCTION("""COMPUTED_VALUE"""),"")</f>
        <v/>
      </c>
      <c r="M1525" s="261">
        <f>IFERROR(__xludf.DUMMYFUNCTION("""COMPUTED_VALUE"""),222.0)</f>
        <v>222</v>
      </c>
      <c r="N1525" s="262" t="str">
        <f>IFERROR(__xludf.DUMMYFUNCTION("""COMPUTED_VALUE"""),"")</f>
        <v/>
      </c>
      <c r="O1525" s="259" t="str">
        <f>IFERROR(__xludf.DUMMYFUNCTION("""COMPUTED_VALUE"""),"")</f>
        <v/>
      </c>
      <c r="P1525" s="259">
        <f>IFERROR(__xludf.DUMMYFUNCTION("""COMPUTED_VALUE"""),42146.0)</f>
        <v>42146</v>
      </c>
      <c r="Q1525" s="258">
        <f>IFERROR(__xludf.DUMMYFUNCTION("""COMPUTED_VALUE"""),4700.0)</f>
        <v>4700</v>
      </c>
      <c r="R1525" s="261">
        <f>IFERROR(__xludf.DUMMYFUNCTION("""COMPUTED_VALUE"""),405.0)</f>
        <v>405</v>
      </c>
      <c r="S1525" s="258">
        <v>425.0</v>
      </c>
      <c r="T1525" s="263">
        <v>0.9529411764705882</v>
      </c>
      <c r="U1525" s="264">
        <v>2920.0</v>
      </c>
      <c r="V1525" s="265">
        <v>4700.0</v>
      </c>
      <c r="W1525" s="264">
        <v>2920.0</v>
      </c>
      <c r="X1525" s="266"/>
      <c r="Y1525" s="267">
        <v>-0.01</v>
      </c>
      <c r="Z1525" s="267">
        <v>0.9916375771971039</v>
      </c>
      <c r="AA1525" s="269"/>
      <c r="AB1525" s="270"/>
      <c r="AC1525" s="270"/>
      <c r="AD1525" s="270"/>
      <c r="AE1525" s="270"/>
    </row>
    <row r="1526">
      <c r="A1526" s="256">
        <f>IFERROR(__xludf.DUMMYFUNCTION("""COMPUTED_VALUE"""),42168.13958333334)</f>
        <v>42168.13958</v>
      </c>
      <c r="B1526" s="257" t="str">
        <f>IFERROR(__xludf.DUMMYFUNCTION("""COMPUTED_VALUE"""),"Zee")</f>
        <v>Zee</v>
      </c>
      <c r="C1526" s="258" t="str">
        <f>IFERROR(__xludf.DUMMYFUNCTION("""COMPUTED_VALUE"""),"Europe (excluding UK) &amp; Asia Pacific")</f>
        <v>Europe (excluding UK) &amp; Asia Pacific</v>
      </c>
      <c r="D1526" s="258" t="str">
        <f>IFERROR(__xludf.DUMMYFUNCTION("""COMPUTED_VALUE"""),"km. My car displays range in kilometres and I will enter all range numbers in kilometres.")</f>
        <v>km. My car displays range in kilometres and I will enter all range numbers in kilometres.</v>
      </c>
      <c r="E1526" s="259">
        <f>IFERROR(__xludf.DUMMYFUNCTION("""COMPUTED_VALUE"""),42090.0)</f>
        <v>42090</v>
      </c>
      <c r="F1526" s="258" t="str">
        <f>IFERROR(__xludf.DUMMYFUNCTION("""COMPUTED_VALUE"""),"Model S 85D")</f>
        <v>Model S 85D</v>
      </c>
      <c r="G1526" s="258" t="str">
        <f>IFERROR(__xludf.DUMMYFUNCTION("""COMPUTED_VALUE"""),"Twice a month")</f>
        <v>Twice a month</v>
      </c>
      <c r="H1526" s="258" t="str">
        <f>IFERROR(__xludf.DUMMYFUNCTION("""COMPUTED_VALUE"""),"Monthly")</f>
        <v>Monthly</v>
      </c>
      <c r="I1526" s="258" t="str">
        <f>IFERROR(__xludf.DUMMYFUNCTION("""COMPUTED_VALUE"""),"Never")</f>
        <v>Never</v>
      </c>
      <c r="J1526" s="260">
        <f>IFERROR(__xludf.DUMMYFUNCTION("""COMPUTED_VALUE"""),0.9)</f>
        <v>0.9</v>
      </c>
      <c r="K1526" s="258" t="str">
        <f>IFERROR(__xludf.DUMMYFUNCTION("""COMPUTED_VALUE"""),"")</f>
        <v/>
      </c>
      <c r="L1526" s="258" t="str">
        <f>IFERROR(__xludf.DUMMYFUNCTION("""COMPUTED_VALUE"""),"")</f>
        <v/>
      </c>
      <c r="M1526" s="261">
        <f>IFERROR(__xludf.DUMMYFUNCTION("""COMPUTED_VALUE"""),220.0)</f>
        <v>220</v>
      </c>
      <c r="N1526" s="262" t="str">
        <f>IFERROR(__xludf.DUMMYFUNCTION("""COMPUTED_VALUE"""),"")</f>
        <v/>
      </c>
      <c r="O1526" s="259" t="str">
        <f>IFERROR(__xludf.DUMMYFUNCTION("""COMPUTED_VALUE"""),"")</f>
        <v/>
      </c>
      <c r="P1526" s="259">
        <f>IFERROR(__xludf.DUMMYFUNCTION("""COMPUTED_VALUE"""),42168.0)</f>
        <v>42168</v>
      </c>
      <c r="Q1526" s="258">
        <f>IFERROR(__xludf.DUMMYFUNCTION("""COMPUTED_VALUE"""),6950.0)</f>
        <v>6950</v>
      </c>
      <c r="R1526" s="261">
        <f>IFERROR(__xludf.DUMMYFUNCTION("""COMPUTED_VALUE"""),403.0)</f>
        <v>403</v>
      </c>
      <c r="S1526" s="258">
        <v>425.0</v>
      </c>
      <c r="T1526" s="263">
        <v>0.9482352941176471</v>
      </c>
      <c r="U1526" s="264">
        <v>4319.0</v>
      </c>
      <c r="V1526" s="265">
        <v>6950.0</v>
      </c>
      <c r="W1526" s="264">
        <v>4319.0</v>
      </c>
      <c r="X1526" s="266"/>
      <c r="Y1526" s="267">
        <v>-0.01</v>
      </c>
      <c r="Z1526" s="267">
        <v>0.9882785050292396</v>
      </c>
      <c r="AA1526" s="269"/>
      <c r="AB1526" s="270"/>
      <c r="AC1526" s="270"/>
      <c r="AD1526" s="270"/>
      <c r="AE1526" s="270"/>
    </row>
    <row r="1527">
      <c r="A1527" s="256">
        <f>IFERROR(__xludf.DUMMYFUNCTION("""COMPUTED_VALUE"""),42289.78055555555)</f>
        <v>42289.78056</v>
      </c>
      <c r="B1527" s="257" t="str">
        <f>IFERROR(__xludf.DUMMYFUNCTION("""COMPUTED_VALUE"""),"Zextraterrestrial")</f>
        <v>Zextraterrestrial</v>
      </c>
      <c r="C1527" s="258" t="str">
        <f>IFERROR(__xludf.DUMMYFUNCTION("""COMPUTED_VALUE"""),"USA")</f>
        <v>USA</v>
      </c>
      <c r="D1527" s="258" t="str">
        <f>IFERROR(__xludf.DUMMYFUNCTION("""COMPUTED_VALUE"""),"mi. My car displays range in miles and I will enter all range numbers in miles.")</f>
        <v>mi. My car displays range in miles and I will enter all range numbers in miles.</v>
      </c>
      <c r="E1527" s="259">
        <f>IFERROR(__xludf.DUMMYFUNCTION("""COMPUTED_VALUE"""),41241.0)</f>
        <v>41241</v>
      </c>
      <c r="F1527" s="258" t="str">
        <f>IFERROR(__xludf.DUMMYFUNCTION("""COMPUTED_VALUE"""),"Model S P85")</f>
        <v>Model S P85</v>
      </c>
      <c r="G1527" s="258" t="str">
        <f>IFERROR(__xludf.DUMMYFUNCTION("""COMPUTED_VALUE"""),"A few times a year")</f>
        <v>A few times a year</v>
      </c>
      <c r="H1527" s="258" t="str">
        <f>IFERROR(__xludf.DUMMYFUNCTION("""COMPUTED_VALUE"""),"A few times a year")</f>
        <v>A few times a year</v>
      </c>
      <c r="I1527" s="258" t="str">
        <f>IFERROR(__xludf.DUMMYFUNCTION("""COMPUTED_VALUE"""),"Once or twice a year")</f>
        <v>Once or twice a year</v>
      </c>
      <c r="J1527" s="260">
        <f>IFERROR(__xludf.DUMMYFUNCTION("""COMPUTED_VALUE"""),0.8)</f>
        <v>0.8</v>
      </c>
      <c r="K1527" s="258">
        <f>IFERROR(__xludf.DUMMYFUNCTION("""COMPUTED_VALUE"""),272.0)</f>
        <v>272</v>
      </c>
      <c r="L1527" s="258" t="str">
        <f>IFERROR(__xludf.DUMMYFUNCTION("""COMPUTED_VALUE"""),"")</f>
        <v/>
      </c>
      <c r="M1527" s="261">
        <f>IFERROR(__xludf.DUMMYFUNCTION("""COMPUTED_VALUE"""),365.0)</f>
        <v>365</v>
      </c>
      <c r="N1527" s="262">
        <f>IFERROR(__xludf.DUMMYFUNCTION("""COMPUTED_VALUE"""),20796.0)</f>
        <v>20796</v>
      </c>
      <c r="O1527" s="259" t="str">
        <f>IFERROR(__xludf.DUMMYFUNCTION("""COMPUTED_VALUE"""),"Increased by 6 km or mi")</f>
        <v>Increased by 6 km or mi</v>
      </c>
      <c r="P1527" s="259">
        <f>IFERROR(__xludf.DUMMYFUNCTION("""COMPUTED_VALUE"""),42289.0)</f>
        <v>42289</v>
      </c>
      <c r="Q1527" s="258">
        <f>IFERROR(__xludf.DUMMYFUNCTION("""COMPUTED_VALUE"""),42042.0)</f>
        <v>42042</v>
      </c>
      <c r="R1527" s="261">
        <f>IFERROR(__xludf.DUMMYFUNCTION("""COMPUTED_VALUE"""),257.0)</f>
        <v>257</v>
      </c>
      <c r="S1527" s="258">
        <v>266.0</v>
      </c>
      <c r="T1527" s="263">
        <v>0.9661654135338346</v>
      </c>
      <c r="U1527" s="264">
        <v>42042.0</v>
      </c>
      <c r="V1527" s="265">
        <v>67660.0</v>
      </c>
      <c r="W1527" s="264">
        <v>42042.0</v>
      </c>
      <c r="X1527" s="266"/>
      <c r="Y1527" s="267">
        <v>-0.01</v>
      </c>
      <c r="Z1527" s="267">
        <v>0.9545496618562922</v>
      </c>
      <c r="AA1527" s="269"/>
      <c r="AB1527" s="270"/>
      <c r="AC1527" s="270"/>
      <c r="AD1527" s="270"/>
      <c r="AE1527" s="270"/>
    </row>
    <row r="1528">
      <c r="A1528" s="256">
        <f>IFERROR(__xludf.DUMMYFUNCTION("""COMPUTED_VALUE"""),42377.788888888885)</f>
        <v>42377.78889</v>
      </c>
      <c r="B1528" s="257" t="str">
        <f>IFERROR(__xludf.DUMMYFUNCTION("""COMPUTED_VALUE"""),"Zextraterrestrial")</f>
        <v>Zextraterrestrial</v>
      </c>
      <c r="C1528" s="258" t="str">
        <f>IFERROR(__xludf.DUMMYFUNCTION("""COMPUTED_VALUE"""),"USA")</f>
        <v>USA</v>
      </c>
      <c r="D1528" s="258" t="str">
        <f>IFERROR(__xludf.DUMMYFUNCTION("""COMPUTED_VALUE"""),"mi. My car displays range in miles and I will enter all range numbers in miles.")</f>
        <v>mi. My car displays range in miles and I will enter all range numbers in miles.</v>
      </c>
      <c r="E1528" s="259">
        <f>IFERROR(__xludf.DUMMYFUNCTION("""COMPUTED_VALUE"""),41241.0)</f>
        <v>41241</v>
      </c>
      <c r="F1528" s="258" t="str">
        <f>IFERROR(__xludf.DUMMYFUNCTION("""COMPUTED_VALUE"""),"Model S P85")</f>
        <v>Model S P85</v>
      </c>
      <c r="G1528" s="258" t="str">
        <f>IFERROR(__xludf.DUMMYFUNCTION("""COMPUTED_VALUE"""),"A few times a year")</f>
        <v>A few times a year</v>
      </c>
      <c r="H1528" s="258" t="str">
        <f>IFERROR(__xludf.DUMMYFUNCTION("""COMPUTED_VALUE"""),"A few times a year")</f>
        <v>A few times a year</v>
      </c>
      <c r="I1528" s="258" t="str">
        <f>IFERROR(__xludf.DUMMYFUNCTION("""COMPUTED_VALUE"""),"Once or twice a year")</f>
        <v>Once or twice a year</v>
      </c>
      <c r="J1528" s="260">
        <f>IFERROR(__xludf.DUMMYFUNCTION("""COMPUTED_VALUE"""),0.8)</f>
        <v>0.8</v>
      </c>
      <c r="K1528" s="258">
        <f>IFERROR(__xludf.DUMMYFUNCTION("""COMPUTED_VALUE"""),272.0)</f>
        <v>272</v>
      </c>
      <c r="L1528" s="258" t="str">
        <f>IFERROR(__xludf.DUMMYFUNCTION("""COMPUTED_VALUE"""),"")</f>
        <v/>
      </c>
      <c r="M1528" s="261">
        <f>IFERROR(__xludf.DUMMYFUNCTION("""COMPUTED_VALUE"""),363.0)</f>
        <v>363</v>
      </c>
      <c r="N1528" s="262">
        <f>IFERROR(__xludf.DUMMYFUNCTION("""COMPUTED_VALUE"""),20796.0)</f>
        <v>20796</v>
      </c>
      <c r="O1528" s="259" t="str">
        <f>IFERROR(__xludf.DUMMYFUNCTION("""COMPUTED_VALUE"""),"Increased by 6 km or mi")</f>
        <v>Increased by 6 km or mi</v>
      </c>
      <c r="P1528" s="259">
        <f>IFERROR(__xludf.DUMMYFUNCTION("""COMPUTED_VALUE"""),42377.0)</f>
        <v>42377</v>
      </c>
      <c r="Q1528" s="258">
        <f>IFERROR(__xludf.DUMMYFUNCTION("""COMPUTED_VALUE"""),44950.0)</f>
        <v>44950</v>
      </c>
      <c r="R1528" s="261">
        <f>IFERROR(__xludf.DUMMYFUNCTION("""COMPUTED_VALUE"""),257.0)</f>
        <v>257</v>
      </c>
      <c r="S1528" s="258">
        <v>266.0</v>
      </c>
      <c r="T1528" s="263">
        <v>0.9661654135338346</v>
      </c>
      <c r="U1528" s="264">
        <v>44950.0</v>
      </c>
      <c r="V1528" s="265">
        <v>72340.0</v>
      </c>
      <c r="W1528" s="264">
        <v>44950.0</v>
      </c>
      <c r="X1528" s="266"/>
      <c r="Y1528" s="267">
        <v>-0.01</v>
      </c>
      <c r="Z1528" s="267">
        <v>0.9533283180972709</v>
      </c>
      <c r="AA1528" s="269"/>
      <c r="AB1528" s="270"/>
      <c r="AC1528" s="270"/>
      <c r="AD1528" s="270"/>
      <c r="AE1528" s="270"/>
    </row>
    <row r="1529">
      <c r="A1529" s="256">
        <f>IFERROR(__xludf.DUMMYFUNCTION("""COMPUTED_VALUE"""),42969.84861111111)</f>
        <v>42969.84861</v>
      </c>
      <c r="B1529" s="257" t="str">
        <f>IFERROR(__xludf.DUMMYFUNCTION("""COMPUTED_VALUE"""),"Zextraterrestrial")</f>
        <v>Zextraterrestrial</v>
      </c>
      <c r="C1529" s="258" t="str">
        <f>IFERROR(__xludf.DUMMYFUNCTION("""COMPUTED_VALUE"""),"USA")</f>
        <v>USA</v>
      </c>
      <c r="D1529" s="258" t="str">
        <f>IFERROR(__xludf.DUMMYFUNCTION("""COMPUTED_VALUE"""),"mi. My car displays range in miles and I will enter all range numbers in miles.")</f>
        <v>mi. My car displays range in miles and I will enter all range numbers in miles.</v>
      </c>
      <c r="E1529" s="259">
        <f>IFERROR(__xludf.DUMMYFUNCTION("""COMPUTED_VALUE"""),41210.0)</f>
        <v>41210</v>
      </c>
      <c r="F1529" s="258" t="str">
        <f>IFERROR(__xludf.DUMMYFUNCTION("""COMPUTED_VALUE"""),"Model S P85")</f>
        <v>Model S P85</v>
      </c>
      <c r="G1529" s="258" t="str">
        <f>IFERROR(__xludf.DUMMYFUNCTION("""COMPUTED_VALUE"""),"Twice a month")</f>
        <v>Twice a month</v>
      </c>
      <c r="H1529" s="258" t="str">
        <f>IFERROR(__xludf.DUMMYFUNCTION("""COMPUTED_VALUE"""),"A few times a year")</f>
        <v>A few times a year</v>
      </c>
      <c r="I1529" s="258" t="str">
        <f>IFERROR(__xludf.DUMMYFUNCTION("""COMPUTED_VALUE"""),"A few times a year")</f>
        <v>A few times a year</v>
      </c>
      <c r="J1529" s="260">
        <f>IFERROR(__xludf.DUMMYFUNCTION("""COMPUTED_VALUE"""),0.8)</f>
        <v>0.8</v>
      </c>
      <c r="K1529" s="258">
        <f>IFERROR(__xludf.DUMMYFUNCTION("""COMPUTED_VALUE"""),265.0)</f>
        <v>265</v>
      </c>
      <c r="L1529" s="258" t="str">
        <f>IFERROR(__xludf.DUMMYFUNCTION("""COMPUTED_VALUE"""),"")</f>
        <v/>
      </c>
      <c r="M1529" s="261">
        <f>IFERROR(__xludf.DUMMYFUNCTION("""COMPUTED_VALUE"""),363.0)</f>
        <v>363</v>
      </c>
      <c r="N1529" s="262">
        <f>IFERROR(__xludf.DUMMYFUNCTION("""COMPUTED_VALUE"""),20796.0)</f>
        <v>20796</v>
      </c>
      <c r="O1529" s="259" t="str">
        <f>IFERROR(__xludf.DUMMYFUNCTION("""COMPUTED_VALUE"""),"Increased by 6 km or mi")</f>
        <v>Increased by 6 km or mi</v>
      </c>
      <c r="P1529" s="259">
        <f>IFERROR(__xludf.DUMMYFUNCTION("""COMPUTED_VALUE"""),42969.0)</f>
        <v>42969</v>
      </c>
      <c r="Q1529" s="258">
        <f>IFERROR(__xludf.DUMMYFUNCTION("""COMPUTED_VALUE"""),66450.0)</f>
        <v>66450</v>
      </c>
      <c r="R1529" s="261">
        <f>IFERROR(__xludf.DUMMYFUNCTION("""COMPUTED_VALUE"""),250.0)</f>
        <v>250</v>
      </c>
      <c r="S1529" s="258">
        <v>266.0</v>
      </c>
      <c r="T1529" s="263">
        <v>0.9398496240601504</v>
      </c>
      <c r="U1529" s="264">
        <v>66450.0</v>
      </c>
      <c r="V1529" s="265">
        <v>106941.0</v>
      </c>
      <c r="W1529" s="264">
        <v>66450.0</v>
      </c>
      <c r="X1529" s="266"/>
      <c r="Y1529" s="267">
        <v>-0.01</v>
      </c>
      <c r="Z1529" s="267">
        <v>0.9449545793331569</v>
      </c>
      <c r="AA1529" s="269"/>
      <c r="AB1529" s="270"/>
      <c r="AC1529" s="270"/>
      <c r="AD1529" s="270"/>
      <c r="AE1529" s="270"/>
    </row>
    <row r="1530">
      <c r="A1530" s="256">
        <f>IFERROR(__xludf.DUMMYFUNCTION("""COMPUTED_VALUE"""),42354.24930555555)</f>
        <v>42354.24931</v>
      </c>
      <c r="B1530" s="257" t="str">
        <f>IFERROR(__xludf.DUMMYFUNCTION("""COMPUTED_VALUE"""),"Zneip")</f>
        <v>Zneip</v>
      </c>
      <c r="C1530" s="258" t="str">
        <f>IFERROR(__xludf.DUMMYFUNCTION("""COMPUTED_VALUE"""),"Europe (excluding UK) &amp; Asia Pacific")</f>
        <v>Europe (excluding UK) &amp; Asia Pacific</v>
      </c>
      <c r="D1530" s="258" t="str">
        <f>IFERROR(__xludf.DUMMYFUNCTION("""COMPUTED_VALUE"""),"km. My car displays range in kilometres and I will enter all range numbers in kilometres.")</f>
        <v>km. My car displays range in kilometres and I will enter all range numbers in kilometres.</v>
      </c>
      <c r="E1530" s="259">
        <f>IFERROR(__xludf.DUMMYFUNCTION("""COMPUTED_VALUE"""),41609.0)</f>
        <v>41609</v>
      </c>
      <c r="F1530" s="258" t="str">
        <f>IFERROR(__xludf.DUMMYFUNCTION("""COMPUTED_VALUE"""),"Model S 85")</f>
        <v>Model S 85</v>
      </c>
      <c r="G1530" s="258" t="str">
        <f>IFERROR(__xludf.DUMMYFUNCTION("""COMPUTED_VALUE"""),"A few times a year")</f>
        <v>A few times a year</v>
      </c>
      <c r="H1530" s="258" t="str">
        <f>IFERROR(__xludf.DUMMYFUNCTION("""COMPUTED_VALUE"""),"A few times a year")</f>
        <v>A few times a year</v>
      </c>
      <c r="I1530" s="258" t="str">
        <f>IFERROR(__xludf.DUMMYFUNCTION("""COMPUTED_VALUE"""),"Never")</f>
        <v>Never</v>
      </c>
      <c r="J1530" s="260">
        <f>IFERROR(__xludf.DUMMYFUNCTION("""COMPUTED_VALUE"""),0.7)</f>
        <v>0.7</v>
      </c>
      <c r="K1530" s="258">
        <f>IFERROR(__xludf.DUMMYFUNCTION("""COMPUTED_VALUE"""),400.0)</f>
        <v>400</v>
      </c>
      <c r="L1530" s="258" t="str">
        <f>IFERROR(__xludf.DUMMYFUNCTION("""COMPUTED_VALUE"""),"")</f>
        <v/>
      </c>
      <c r="M1530" s="261">
        <f>IFERROR(__xludf.DUMMYFUNCTION("""COMPUTED_VALUE"""),202.0)</f>
        <v>202</v>
      </c>
      <c r="N1530" s="262" t="str">
        <f>IFERROR(__xludf.DUMMYFUNCTION("""COMPUTED_VALUE"""),"")</f>
        <v/>
      </c>
      <c r="O1530" s="259" t="str">
        <f>IFERROR(__xludf.DUMMYFUNCTION("""COMPUTED_VALUE"""),"")</f>
        <v/>
      </c>
      <c r="P1530" s="259">
        <f>IFERROR(__xludf.DUMMYFUNCTION("""COMPUTED_VALUE"""),42354.0)</f>
        <v>42354</v>
      </c>
      <c r="Q1530" s="258">
        <f>IFERROR(__xludf.DUMMYFUNCTION("""COMPUTED_VALUE"""),61000.0)</f>
        <v>61000</v>
      </c>
      <c r="R1530" s="261">
        <f>IFERROR(__xludf.DUMMYFUNCTION("""COMPUTED_VALUE"""),363.0)</f>
        <v>363</v>
      </c>
      <c r="S1530" s="258">
        <v>395.0</v>
      </c>
      <c r="T1530" s="263">
        <v>0.9189873417721519</v>
      </c>
      <c r="U1530" s="264">
        <v>37904.0</v>
      </c>
      <c r="V1530" s="265">
        <v>61000.0</v>
      </c>
      <c r="W1530" s="264">
        <v>37904.0</v>
      </c>
      <c r="X1530" s="266"/>
      <c r="Y1530" s="267">
        <v>-0.01</v>
      </c>
      <c r="Z1530" s="267">
        <v>0.9563674765476833</v>
      </c>
      <c r="AA1530" s="269"/>
      <c r="AB1530" s="270"/>
      <c r="AC1530" s="270"/>
      <c r="AD1530" s="270"/>
      <c r="AE1530" s="270"/>
    </row>
    <row r="1531">
      <c r="A1531" s="256">
        <f>IFERROR(__xludf.DUMMYFUNCTION("""COMPUTED_VALUE"""),42642.40763888889)</f>
        <v>42642.40764</v>
      </c>
      <c r="B1531" s="257" t="str">
        <f>IFERROR(__xludf.DUMMYFUNCTION("""COMPUTED_VALUE"""),"Zneip")</f>
        <v>Zneip</v>
      </c>
      <c r="C1531" s="258" t="str">
        <f>IFERROR(__xludf.DUMMYFUNCTION("""COMPUTED_VALUE"""),"Europe (excluding UK) &amp; Asia Pacific")</f>
        <v>Europe (excluding UK) &amp; Asia Pacific</v>
      </c>
      <c r="D1531" s="258" t="str">
        <f>IFERROR(__xludf.DUMMYFUNCTION("""COMPUTED_VALUE"""),"km. My car displays range in kilometres and I will enter all range numbers in kilometres.")</f>
        <v>km. My car displays range in kilometres and I will enter all range numbers in kilometres.</v>
      </c>
      <c r="E1531" s="259">
        <f>IFERROR(__xludf.DUMMYFUNCTION("""COMPUTED_VALUE"""),41609.0)</f>
        <v>41609</v>
      </c>
      <c r="F1531" s="258" t="str">
        <f>IFERROR(__xludf.DUMMYFUNCTION("""COMPUTED_VALUE"""),"Model S 85")</f>
        <v>Model S 85</v>
      </c>
      <c r="G1531" s="258" t="str">
        <f>IFERROR(__xludf.DUMMYFUNCTION("""COMPUTED_VALUE"""),"Monthly")</f>
        <v>Monthly</v>
      </c>
      <c r="H1531" s="258" t="str">
        <f>IFERROR(__xludf.DUMMYFUNCTION("""COMPUTED_VALUE"""),"A few times a year")</f>
        <v>A few times a year</v>
      </c>
      <c r="I1531" s="258" t="str">
        <f>IFERROR(__xludf.DUMMYFUNCTION("""COMPUTED_VALUE"""),"A few times a year")</f>
        <v>A few times a year</v>
      </c>
      <c r="J1531" s="260">
        <f>IFERROR(__xludf.DUMMYFUNCTION("""COMPUTED_VALUE"""),0.8)</f>
        <v>0.8</v>
      </c>
      <c r="K1531" s="258">
        <f>IFERROR(__xludf.DUMMYFUNCTION("""COMPUTED_VALUE"""),400.0)</f>
        <v>400</v>
      </c>
      <c r="L1531" s="258" t="str">
        <f>IFERROR(__xludf.DUMMYFUNCTION("""COMPUTED_VALUE"""),"")</f>
        <v/>
      </c>
      <c r="M1531" s="261">
        <f>IFERROR(__xludf.DUMMYFUNCTION("""COMPUTED_VALUE"""),203.0)</f>
        <v>203</v>
      </c>
      <c r="N1531" s="262" t="str">
        <f>IFERROR(__xludf.DUMMYFUNCTION("""COMPUTED_VALUE"""),"")</f>
        <v/>
      </c>
      <c r="O1531" s="259" t="str">
        <f>IFERROR(__xludf.DUMMYFUNCTION("""COMPUTED_VALUE"""),"")</f>
        <v/>
      </c>
      <c r="P1531" s="259">
        <f>IFERROR(__xludf.DUMMYFUNCTION("""COMPUTED_VALUE"""),42642.0)</f>
        <v>42642</v>
      </c>
      <c r="Q1531" s="258">
        <f>IFERROR(__xludf.DUMMYFUNCTION("""COMPUTED_VALUE"""),84000.0)</f>
        <v>84000</v>
      </c>
      <c r="R1531" s="261">
        <f>IFERROR(__xludf.DUMMYFUNCTION("""COMPUTED_VALUE"""),379.0)</f>
        <v>379</v>
      </c>
      <c r="S1531" s="258">
        <v>395.0</v>
      </c>
      <c r="T1531" s="263">
        <v>0.959493670886076</v>
      </c>
      <c r="U1531" s="264">
        <v>52195.0</v>
      </c>
      <c r="V1531" s="265">
        <v>84000.0</v>
      </c>
      <c r="W1531" s="264">
        <v>52195.0</v>
      </c>
      <c r="X1531" s="266"/>
      <c r="Y1531" s="267">
        <v>-0.01</v>
      </c>
      <c r="Z1531" s="267">
        <v>0.9504155452786733</v>
      </c>
      <c r="AA1531" s="269"/>
      <c r="AB1531" s="270"/>
      <c r="AC1531" s="270"/>
      <c r="AD1531" s="270"/>
      <c r="AE1531" s="270"/>
    </row>
    <row r="1532">
      <c r="A1532" s="256">
        <f>IFERROR(__xludf.DUMMYFUNCTION("""COMPUTED_VALUE"""),42227.15486111111)</f>
        <v>42227.15486</v>
      </c>
      <c r="B1532" s="257" t="str">
        <f>IFERROR(__xludf.DUMMYFUNCTION("""COMPUTED_VALUE"""),"Zouteval")</f>
        <v>Zouteval</v>
      </c>
      <c r="C1532" s="258" t="str">
        <f>IFERROR(__xludf.DUMMYFUNCTION("""COMPUTED_VALUE"""),"Europe (excluding UK) &amp; Asia Pacific")</f>
        <v>Europe (excluding UK) &amp; Asia Pacific</v>
      </c>
      <c r="D1532" s="258" t="str">
        <f>IFERROR(__xludf.DUMMYFUNCTION("""COMPUTED_VALUE"""),"km. My car displays range in kilometres and I will enter all range numbers in kilometres.")</f>
        <v>km. My car displays range in kilometres and I will enter all range numbers in kilometres.</v>
      </c>
      <c r="E1532" s="259">
        <f>IFERROR(__xludf.DUMMYFUNCTION("""COMPUTED_VALUE"""),42192.0)</f>
        <v>42192</v>
      </c>
      <c r="F1532" s="258" t="str">
        <f>IFERROR(__xludf.DUMMYFUNCTION("""COMPUTED_VALUE"""),"Model S 85")</f>
        <v>Model S 85</v>
      </c>
      <c r="G1532" s="258" t="str">
        <f>IFERROR(__xludf.DUMMYFUNCTION("""COMPUTED_VALUE"""),"Twice a week")</f>
        <v>Twice a week</v>
      </c>
      <c r="H1532" s="258" t="str">
        <f>IFERROR(__xludf.DUMMYFUNCTION("""COMPUTED_VALUE"""),"Twice a month")</f>
        <v>Twice a month</v>
      </c>
      <c r="I1532" s="258" t="str">
        <f>IFERROR(__xludf.DUMMYFUNCTION("""COMPUTED_VALUE"""),"Once or twice a year")</f>
        <v>Once or twice a year</v>
      </c>
      <c r="J1532" s="260">
        <f>IFERROR(__xludf.DUMMYFUNCTION("""COMPUTED_VALUE"""),0.9)</f>
        <v>0.9</v>
      </c>
      <c r="K1532" s="258">
        <f>IFERROR(__xludf.DUMMYFUNCTION("""COMPUTED_VALUE"""),399.0)</f>
        <v>399</v>
      </c>
      <c r="L1532" s="258" t="str">
        <f>IFERROR(__xludf.DUMMYFUNCTION("""COMPUTED_VALUE"""),"")</f>
        <v/>
      </c>
      <c r="M1532" s="261">
        <f>IFERROR(__xludf.DUMMYFUNCTION("""COMPUTED_VALUE"""),205.0)</f>
        <v>205</v>
      </c>
      <c r="N1532" s="262" t="str">
        <f>IFERROR(__xludf.DUMMYFUNCTION("""COMPUTED_VALUE"""),"")</f>
        <v/>
      </c>
      <c r="O1532" s="259" t="str">
        <f>IFERROR(__xludf.DUMMYFUNCTION("""COMPUTED_VALUE"""),"")</f>
        <v/>
      </c>
      <c r="P1532" s="259">
        <f>IFERROR(__xludf.DUMMYFUNCTION("""COMPUTED_VALUE"""),42227.0)</f>
        <v>42227</v>
      </c>
      <c r="Q1532" s="258">
        <f>IFERROR(__xludf.DUMMYFUNCTION("""COMPUTED_VALUE"""),5650.0)</f>
        <v>5650</v>
      </c>
      <c r="R1532" s="261">
        <f>IFERROR(__xludf.DUMMYFUNCTION("""COMPUTED_VALUE"""),399.0)</f>
        <v>399</v>
      </c>
      <c r="S1532" s="258">
        <v>395.0</v>
      </c>
      <c r="T1532" s="263">
        <v>1.010126582278481</v>
      </c>
      <c r="U1532" s="264">
        <v>3511.0</v>
      </c>
      <c r="V1532" s="265">
        <v>5650.0</v>
      </c>
      <c r="W1532" s="264">
        <v>3511.0</v>
      </c>
      <c r="X1532" s="266"/>
      <c r="Y1532" s="267">
        <v>-0.01</v>
      </c>
      <c r="Z1532" s="267">
        <v>0.9901738473215246</v>
      </c>
      <c r="AA1532" s="269"/>
      <c r="AB1532" s="270"/>
      <c r="AC1532" s="270"/>
      <c r="AD1532" s="270"/>
      <c r="AE1532" s="270"/>
    </row>
    <row r="1533">
      <c r="A1533" s="256">
        <f>IFERROR(__xludf.DUMMYFUNCTION("""COMPUTED_VALUE"""),42214.75138888889)</f>
        <v>42214.75139</v>
      </c>
      <c r="B1533" s="257" t="str">
        <f>IFERROR(__xludf.DUMMYFUNCTION("""COMPUTED_VALUE"""),"ZSW")</f>
        <v>ZSW</v>
      </c>
      <c r="C1533" s="258" t="str">
        <f>IFERROR(__xludf.DUMMYFUNCTION("""COMPUTED_VALUE"""),"USA")</f>
        <v>USA</v>
      </c>
      <c r="D1533" s="258" t="str">
        <f>IFERROR(__xludf.DUMMYFUNCTION("""COMPUTED_VALUE"""),"mi. My car displays range in miles and I will enter all range numbers in miles.")</f>
        <v>mi. My car displays range in miles and I will enter all range numbers in miles.</v>
      </c>
      <c r="E1533" s="259">
        <f>IFERROR(__xludf.DUMMYFUNCTION("""COMPUTED_VALUE"""),42068.0)</f>
        <v>42068</v>
      </c>
      <c r="F1533" s="258" t="str">
        <f>IFERROR(__xludf.DUMMYFUNCTION("""COMPUTED_VALUE"""),"Model S P85D")</f>
        <v>Model S P85D</v>
      </c>
      <c r="G1533" s="258" t="str">
        <f>IFERROR(__xludf.DUMMYFUNCTION("""COMPUTED_VALUE"""),"Twice a month")</f>
        <v>Twice a month</v>
      </c>
      <c r="H1533" s="258" t="str">
        <f>IFERROR(__xludf.DUMMYFUNCTION("""COMPUTED_VALUE"""),"Monthly")</f>
        <v>Monthly</v>
      </c>
      <c r="I1533" s="258" t="str">
        <f>IFERROR(__xludf.DUMMYFUNCTION("""COMPUTED_VALUE"""),"Never")</f>
        <v>Never</v>
      </c>
      <c r="J1533" s="260">
        <f>IFERROR(__xludf.DUMMYFUNCTION("""COMPUTED_VALUE"""),0.9)</f>
        <v>0.9</v>
      </c>
      <c r="K1533" s="258">
        <f>IFERROR(__xludf.DUMMYFUNCTION("""COMPUTED_VALUE"""),255.0)</f>
        <v>255</v>
      </c>
      <c r="L1533" s="258" t="str">
        <f>IFERROR(__xludf.DUMMYFUNCTION("""COMPUTED_VALUE"""),"")</f>
        <v/>
      </c>
      <c r="M1533" s="261">
        <f>IFERROR(__xludf.DUMMYFUNCTION("""COMPUTED_VALUE"""),316.0)</f>
        <v>316</v>
      </c>
      <c r="N1533" s="262" t="str">
        <f>IFERROR(__xludf.DUMMYFUNCTION("""COMPUTED_VALUE"""),"")</f>
        <v/>
      </c>
      <c r="O1533" s="259" t="str">
        <f>IFERROR(__xludf.DUMMYFUNCTION("""COMPUTED_VALUE"""),"")</f>
        <v/>
      </c>
      <c r="P1533" s="259">
        <f>IFERROR(__xludf.DUMMYFUNCTION("""COMPUTED_VALUE"""),42214.0)</f>
        <v>42214</v>
      </c>
      <c r="Q1533" s="258">
        <f>IFERROR(__xludf.DUMMYFUNCTION("""COMPUTED_VALUE"""),9100.0)</f>
        <v>9100</v>
      </c>
      <c r="R1533" s="261">
        <f>IFERROR(__xludf.DUMMYFUNCTION("""COMPUTED_VALUE"""),254.0)</f>
        <v>254</v>
      </c>
      <c r="S1533" s="258">
        <v>253.0</v>
      </c>
      <c r="T1533" s="263">
        <v>1.0039525691699605</v>
      </c>
      <c r="U1533" s="264">
        <v>9100.0</v>
      </c>
      <c r="V1533" s="265">
        <v>14645.0</v>
      </c>
      <c r="W1533" s="264">
        <v>9100.0</v>
      </c>
      <c r="X1533" s="266"/>
      <c r="Y1533" s="267">
        <v>-0.01</v>
      </c>
      <c r="Z1533" s="267">
        <v>0.9791734993947235</v>
      </c>
      <c r="AA1533" s="269"/>
      <c r="AB1533" s="270"/>
      <c r="AC1533" s="270"/>
      <c r="AD1533" s="270"/>
      <c r="AE1533" s="270"/>
    </row>
    <row r="1534">
      <c r="A1534" s="256">
        <f>IFERROR(__xludf.DUMMYFUNCTION("""COMPUTED_VALUE"""),41916.027083333334)</f>
        <v>41916.02708</v>
      </c>
      <c r="B1534" s="257" t="str">
        <f>IFERROR(__xludf.DUMMYFUNCTION("""COMPUTED_VALUE"""),"Zuid5.nl")</f>
        <v>Zuid5.nl</v>
      </c>
      <c r="C1534" s="258" t="str">
        <f>IFERROR(__xludf.DUMMYFUNCTION("""COMPUTED_VALUE"""),"Europe (excluding UK) &amp; Asia Pacific")</f>
        <v>Europe (excluding UK) &amp; Asia Pacific</v>
      </c>
      <c r="D1534" s="258" t="str">
        <f>IFERROR(__xludf.DUMMYFUNCTION("""COMPUTED_VALUE"""),"km. My car displays range in kilometres and I will enter all range numbers in kilometres.")</f>
        <v>km. My car displays range in kilometres and I will enter all range numbers in kilometres.</v>
      </c>
      <c r="E1534" s="259">
        <f>IFERROR(__xludf.DUMMYFUNCTION("""COMPUTED_VALUE"""),41618.0)</f>
        <v>41618</v>
      </c>
      <c r="F1534" s="258" t="str">
        <f>IFERROR(__xludf.DUMMYFUNCTION("""COMPUTED_VALUE"""),"Model S P85")</f>
        <v>Model S P85</v>
      </c>
      <c r="G1534" s="258" t="str">
        <f>IFERROR(__xludf.DUMMYFUNCTION("""COMPUTED_VALUE"""),"Twice a month")</f>
        <v>Twice a month</v>
      </c>
      <c r="H1534" s="258" t="str">
        <f>IFERROR(__xludf.DUMMYFUNCTION("""COMPUTED_VALUE"""),"Monthly")</f>
        <v>Monthly</v>
      </c>
      <c r="I1534" s="258" t="str">
        <f>IFERROR(__xludf.DUMMYFUNCTION("""COMPUTED_VALUE"""),"A few times a year")</f>
        <v>A few times a year</v>
      </c>
      <c r="J1534" s="260" t="str">
        <f>IFERROR(__xludf.DUMMYFUNCTION("""COMPUTED_VALUE"""),"")</f>
        <v/>
      </c>
      <c r="K1534" s="258" t="str">
        <f>IFERROR(__xludf.DUMMYFUNCTION("""COMPUTED_VALUE"""),"")</f>
        <v/>
      </c>
      <c r="L1534" s="258" t="str">
        <f>IFERROR(__xludf.DUMMYFUNCTION("""COMPUTED_VALUE"""),"")</f>
        <v/>
      </c>
      <c r="M1534" s="261">
        <f>IFERROR(__xludf.DUMMYFUNCTION("""COMPUTED_VALUE"""),203.0)</f>
        <v>203</v>
      </c>
      <c r="N1534" s="262" t="str">
        <f>IFERROR(__xludf.DUMMYFUNCTION("""COMPUTED_VALUE"""),"")</f>
        <v/>
      </c>
      <c r="O1534" s="259" t="str">
        <f>IFERROR(__xludf.DUMMYFUNCTION("""COMPUTED_VALUE"""),"")</f>
        <v/>
      </c>
      <c r="P1534" s="259">
        <f>IFERROR(__xludf.DUMMYFUNCTION("""COMPUTED_VALUE"""),41916.0)</f>
        <v>41916</v>
      </c>
      <c r="Q1534" s="258">
        <f>IFERROR(__xludf.DUMMYFUNCTION("""COMPUTED_VALUE"""),23945.0)</f>
        <v>23945</v>
      </c>
      <c r="R1534" s="261">
        <f>IFERROR(__xludf.DUMMYFUNCTION("""COMPUTED_VALUE"""),387.0)</f>
        <v>387</v>
      </c>
      <c r="S1534" s="258">
        <v>395.0</v>
      </c>
      <c r="T1534" s="263">
        <v>0.979746835443038</v>
      </c>
      <c r="U1534" s="264">
        <v>14879.0</v>
      </c>
      <c r="V1534" s="265">
        <v>23945.0</v>
      </c>
      <c r="W1534" s="264">
        <v>14879.0</v>
      </c>
      <c r="X1534" s="266"/>
      <c r="Y1534" s="267">
        <v>-0.01</v>
      </c>
      <c r="Z1534" s="267">
        <v>0.9716023387521299</v>
      </c>
      <c r="AA1534" s="269"/>
      <c r="AB1534" s="270"/>
      <c r="AC1534" s="270"/>
      <c r="AD1534" s="270"/>
      <c r="AE1534" s="270"/>
    </row>
    <row r="1535">
      <c r="A1535" s="256">
        <f>IFERROR(__xludf.DUMMYFUNCTION("""COMPUTED_VALUE"""),42025.0625)</f>
        <v>42025.0625</v>
      </c>
      <c r="B1535" s="257" t="str">
        <f>IFERROR(__xludf.DUMMYFUNCTION("""COMPUTED_VALUE"""),"Zuid5.nl")</f>
        <v>Zuid5.nl</v>
      </c>
      <c r="C1535" s="258" t="str">
        <f>IFERROR(__xludf.DUMMYFUNCTION("""COMPUTED_VALUE"""),"Europe (excluding UK) &amp; Asia Pacific")</f>
        <v>Europe (excluding UK) &amp; Asia Pacific</v>
      </c>
      <c r="D1535" s="258" t="str">
        <f>IFERROR(__xludf.DUMMYFUNCTION("""COMPUTED_VALUE"""),"km. My car displays range in kilometres and I will enter all range numbers in kilometres.")</f>
        <v>km. My car displays range in kilometres and I will enter all range numbers in kilometres.</v>
      </c>
      <c r="E1535" s="259">
        <f>IFERROR(__xludf.DUMMYFUNCTION("""COMPUTED_VALUE"""),41618.0)</f>
        <v>41618</v>
      </c>
      <c r="F1535" s="258" t="str">
        <f>IFERROR(__xludf.DUMMYFUNCTION("""COMPUTED_VALUE"""),"Model S P85")</f>
        <v>Model S P85</v>
      </c>
      <c r="G1535" s="258" t="str">
        <f>IFERROR(__xludf.DUMMYFUNCTION("""COMPUTED_VALUE"""),"Twice a month")</f>
        <v>Twice a month</v>
      </c>
      <c r="H1535" s="258" t="str">
        <f>IFERROR(__xludf.DUMMYFUNCTION("""COMPUTED_VALUE"""),"Monthly")</f>
        <v>Monthly</v>
      </c>
      <c r="I1535" s="258" t="str">
        <f>IFERROR(__xludf.DUMMYFUNCTION("""COMPUTED_VALUE"""),"Never")</f>
        <v>Never</v>
      </c>
      <c r="J1535" s="260" t="str">
        <f>IFERROR(__xludf.DUMMYFUNCTION("""COMPUTED_VALUE"""),"")</f>
        <v/>
      </c>
      <c r="K1535" s="258" t="str">
        <f>IFERROR(__xludf.DUMMYFUNCTION("""COMPUTED_VALUE"""),"")</f>
        <v/>
      </c>
      <c r="L1535" s="258" t="str">
        <f>IFERROR(__xludf.DUMMYFUNCTION("""COMPUTED_VALUE"""),"")</f>
        <v/>
      </c>
      <c r="M1535" s="261">
        <f>IFERROR(__xludf.DUMMYFUNCTION("""COMPUTED_VALUE"""),209.0)</f>
        <v>209</v>
      </c>
      <c r="N1535" s="262" t="str">
        <f>IFERROR(__xludf.DUMMYFUNCTION("""COMPUTED_VALUE"""),"")</f>
        <v/>
      </c>
      <c r="O1535" s="259" t="str">
        <f>IFERROR(__xludf.DUMMYFUNCTION("""COMPUTED_VALUE"""),"")</f>
        <v/>
      </c>
      <c r="P1535" s="259">
        <f>IFERROR(__xludf.DUMMYFUNCTION("""COMPUTED_VALUE"""),42025.0)</f>
        <v>42025</v>
      </c>
      <c r="Q1535" s="258">
        <f>IFERROR(__xludf.DUMMYFUNCTION("""COMPUTED_VALUE"""),33000.0)</f>
        <v>33000</v>
      </c>
      <c r="R1535" s="261">
        <f>IFERROR(__xludf.DUMMYFUNCTION("""COMPUTED_VALUE"""),384.0)</f>
        <v>384</v>
      </c>
      <c r="S1535" s="258">
        <v>395.0</v>
      </c>
      <c r="T1535" s="263">
        <v>0.9721518987341772</v>
      </c>
      <c r="U1535" s="264">
        <v>20505.0</v>
      </c>
      <c r="V1535" s="265">
        <v>33000.0</v>
      </c>
      <c r="W1535" s="264">
        <v>20505.0</v>
      </c>
      <c r="X1535" s="266"/>
      <c r="Y1535" s="267">
        <v>-0.01</v>
      </c>
      <c r="Z1535" s="267">
        <v>0.966417166126978</v>
      </c>
      <c r="AA1535" s="269"/>
      <c r="AB1535" s="270"/>
      <c r="AC1535" s="270"/>
      <c r="AD1535" s="270"/>
      <c r="AE1535" s="270"/>
    </row>
    <row r="1536">
      <c r="A1536" s="256">
        <f>IFERROR(__xludf.DUMMYFUNCTION("""COMPUTED_VALUE"""),42129.1125)</f>
        <v>42129.1125</v>
      </c>
      <c r="B1536" s="257" t="str">
        <f>IFERROR(__xludf.DUMMYFUNCTION("""COMPUTED_VALUE"""),"Zuid5.nl")</f>
        <v>Zuid5.nl</v>
      </c>
      <c r="C1536" s="258" t="str">
        <f>IFERROR(__xludf.DUMMYFUNCTION("""COMPUTED_VALUE"""),"Europe (excluding UK) &amp; Asia Pacific")</f>
        <v>Europe (excluding UK) &amp; Asia Pacific</v>
      </c>
      <c r="D1536" s="258" t="str">
        <f>IFERROR(__xludf.DUMMYFUNCTION("""COMPUTED_VALUE"""),"km. My car displays range in kilometres and I will enter all range numbers in kilometres.")</f>
        <v>km. My car displays range in kilometres and I will enter all range numbers in kilometres.</v>
      </c>
      <c r="E1536" s="259">
        <f>IFERROR(__xludf.DUMMYFUNCTION("""COMPUTED_VALUE"""),41618.0)</f>
        <v>41618</v>
      </c>
      <c r="F1536" s="258" t="str">
        <f>IFERROR(__xludf.DUMMYFUNCTION("""COMPUTED_VALUE"""),"Model S P85")</f>
        <v>Model S P85</v>
      </c>
      <c r="G1536" s="258" t="str">
        <f>IFERROR(__xludf.DUMMYFUNCTION("""COMPUTED_VALUE"""),"Twice a week")</f>
        <v>Twice a week</v>
      </c>
      <c r="H1536" s="258" t="str">
        <f>IFERROR(__xludf.DUMMYFUNCTION("""COMPUTED_VALUE"""),"A few times a year")</f>
        <v>A few times a year</v>
      </c>
      <c r="I1536" s="258" t="str">
        <f>IFERROR(__xludf.DUMMYFUNCTION("""COMPUTED_VALUE"""),"A few times a year")</f>
        <v>A few times a year</v>
      </c>
      <c r="J1536" s="260">
        <f>IFERROR(__xludf.DUMMYFUNCTION("""COMPUTED_VALUE"""),0.8)</f>
        <v>0.8</v>
      </c>
      <c r="K1536" s="258" t="str">
        <f>IFERROR(__xludf.DUMMYFUNCTION("""COMPUTED_VALUE"""),"")</f>
        <v/>
      </c>
      <c r="L1536" s="258" t="str">
        <f>IFERROR(__xludf.DUMMYFUNCTION("""COMPUTED_VALUE"""),"")</f>
        <v/>
      </c>
      <c r="M1536" s="261">
        <f>IFERROR(__xludf.DUMMYFUNCTION("""COMPUTED_VALUE"""),207.0)</f>
        <v>207</v>
      </c>
      <c r="N1536" s="262" t="str">
        <f>IFERROR(__xludf.DUMMYFUNCTION("""COMPUTED_VALUE"""),"")</f>
        <v/>
      </c>
      <c r="O1536" s="259" t="str">
        <f>IFERROR(__xludf.DUMMYFUNCTION("""COMPUTED_VALUE"""),"")</f>
        <v/>
      </c>
      <c r="P1536" s="259">
        <f>IFERROR(__xludf.DUMMYFUNCTION("""COMPUTED_VALUE"""),42129.0)</f>
        <v>42129</v>
      </c>
      <c r="Q1536" s="258">
        <f>IFERROR(__xludf.DUMMYFUNCTION("""COMPUTED_VALUE"""),45025.0)</f>
        <v>45025</v>
      </c>
      <c r="R1536" s="261">
        <f>IFERROR(__xludf.DUMMYFUNCTION("""COMPUTED_VALUE"""),378.0)</f>
        <v>378</v>
      </c>
      <c r="S1536" s="258">
        <v>395.0</v>
      </c>
      <c r="T1536" s="263">
        <v>0.9569620253164557</v>
      </c>
      <c r="U1536" s="264">
        <v>27977.0</v>
      </c>
      <c r="V1536" s="265">
        <v>45025.0</v>
      </c>
      <c r="W1536" s="264">
        <v>27977.0</v>
      </c>
      <c r="X1536" s="266"/>
      <c r="Y1536" s="267">
        <v>-0.01</v>
      </c>
      <c r="Z1536" s="267">
        <v>0.9613958010560527</v>
      </c>
      <c r="AA1536" s="269"/>
      <c r="AB1536" s="270"/>
      <c r="AC1536" s="270"/>
      <c r="AD1536" s="270"/>
      <c r="AE1536" s="270"/>
    </row>
    <row r="1537">
      <c r="A1537" s="258"/>
      <c r="B1537" s="257"/>
      <c r="C1537" s="258"/>
      <c r="D1537" s="258"/>
      <c r="E1537" s="259"/>
      <c r="F1537" s="258"/>
      <c r="G1537" s="258"/>
      <c r="H1537" s="258"/>
      <c r="I1537" s="258"/>
      <c r="J1537" s="258"/>
      <c r="K1537" s="258"/>
      <c r="L1537" s="258"/>
      <c r="M1537" s="261"/>
      <c r="N1537" s="262"/>
      <c r="O1537" s="259"/>
      <c r="P1537" s="259"/>
      <c r="Q1537" s="258"/>
      <c r="R1537" s="261"/>
      <c r="S1537" s="258"/>
      <c r="T1537" s="263"/>
      <c r="U1537" s="264"/>
      <c r="V1537" s="265"/>
      <c r="W1537" s="264"/>
      <c r="X1537" s="266"/>
      <c r="Y1537" s="267"/>
      <c r="Z1537" s="267"/>
      <c r="AA1537" s="269"/>
      <c r="AB1537" s="270"/>
      <c r="AC1537" s="270"/>
      <c r="AD1537" s="270"/>
      <c r="AE1537" s="270"/>
    </row>
    <row r="1538">
      <c r="A1538" s="258"/>
      <c r="B1538" s="257"/>
      <c r="C1538" s="258"/>
      <c r="D1538" s="258"/>
      <c r="E1538" s="259"/>
      <c r="F1538" s="258"/>
      <c r="G1538" s="258"/>
      <c r="H1538" s="258"/>
      <c r="I1538" s="258"/>
      <c r="J1538" s="258"/>
      <c r="K1538" s="258"/>
      <c r="L1538" s="258"/>
      <c r="M1538" s="261"/>
      <c r="N1538" s="262"/>
      <c r="O1538" s="259"/>
      <c r="P1538" s="259"/>
      <c r="Q1538" s="258"/>
      <c r="R1538" s="261"/>
      <c r="S1538" s="258"/>
      <c r="T1538" s="263"/>
      <c r="U1538" s="264"/>
      <c r="V1538" s="265"/>
      <c r="W1538" s="264"/>
      <c r="X1538" s="266"/>
      <c r="Y1538" s="267"/>
      <c r="Z1538" s="267"/>
      <c r="AA1538" s="269"/>
      <c r="AB1538" s="270"/>
      <c r="AC1538" s="270"/>
      <c r="AD1538" s="270"/>
      <c r="AE1538" s="270"/>
    </row>
    <row r="1539">
      <c r="A1539" s="258"/>
      <c r="B1539" s="257"/>
      <c r="C1539" s="258"/>
      <c r="D1539" s="258"/>
      <c r="E1539" s="259"/>
      <c r="F1539" s="258"/>
      <c r="G1539" s="258"/>
      <c r="H1539" s="258"/>
      <c r="I1539" s="258"/>
      <c r="J1539" s="258"/>
      <c r="K1539" s="258"/>
      <c r="L1539" s="258"/>
      <c r="M1539" s="261"/>
      <c r="N1539" s="262"/>
      <c r="O1539" s="259"/>
      <c r="P1539" s="259"/>
      <c r="Q1539" s="258"/>
      <c r="R1539" s="261"/>
      <c r="S1539" s="258"/>
      <c r="T1539" s="263"/>
      <c r="U1539" s="264"/>
      <c r="V1539" s="265"/>
      <c r="W1539" s="264"/>
      <c r="X1539" s="266"/>
      <c r="Y1539" s="267"/>
      <c r="Z1539" s="267"/>
      <c r="AA1539" s="269"/>
      <c r="AB1539" s="270"/>
      <c r="AC1539" s="270"/>
      <c r="AD1539" s="270"/>
      <c r="AE1539" s="270"/>
    </row>
    <row r="1540">
      <c r="A1540" s="258"/>
      <c r="B1540" s="257"/>
      <c r="C1540" s="258"/>
      <c r="D1540" s="258"/>
      <c r="E1540" s="259"/>
      <c r="F1540" s="258"/>
      <c r="G1540" s="258"/>
      <c r="H1540" s="258"/>
      <c r="I1540" s="258"/>
      <c r="J1540" s="258"/>
      <c r="K1540" s="258"/>
      <c r="L1540" s="258"/>
      <c r="M1540" s="261"/>
      <c r="N1540" s="262"/>
      <c r="O1540" s="259"/>
      <c r="P1540" s="259"/>
      <c r="Q1540" s="258"/>
      <c r="R1540" s="261"/>
      <c r="S1540" s="258"/>
      <c r="T1540" s="263"/>
      <c r="U1540" s="264"/>
      <c r="V1540" s="265"/>
      <c r="W1540" s="264"/>
      <c r="X1540" s="266"/>
      <c r="Y1540" s="267"/>
      <c r="Z1540" s="267"/>
      <c r="AA1540" s="269"/>
      <c r="AB1540" s="270"/>
      <c r="AC1540" s="270"/>
      <c r="AD1540" s="270"/>
      <c r="AE1540" s="270"/>
    </row>
    <row r="1541">
      <c r="A1541" s="258"/>
      <c r="B1541" s="257"/>
      <c r="C1541" s="258"/>
      <c r="D1541" s="258"/>
      <c r="E1541" s="259"/>
      <c r="F1541" s="258"/>
      <c r="G1541" s="258"/>
      <c r="H1541" s="258"/>
      <c r="I1541" s="258"/>
      <c r="J1541" s="258"/>
      <c r="K1541" s="258"/>
      <c r="L1541" s="258"/>
      <c r="M1541" s="261"/>
      <c r="N1541" s="262"/>
      <c r="O1541" s="259"/>
      <c r="P1541" s="259"/>
      <c r="Q1541" s="258"/>
      <c r="R1541" s="261"/>
      <c r="S1541" s="258"/>
      <c r="T1541" s="263"/>
      <c r="U1541" s="264"/>
      <c r="V1541" s="265"/>
      <c r="W1541" s="264"/>
      <c r="X1541" s="266"/>
      <c r="Y1541" s="267"/>
      <c r="Z1541" s="267"/>
      <c r="AA1541" s="269"/>
      <c r="AB1541" s="270"/>
      <c r="AC1541" s="270"/>
      <c r="AD1541" s="270"/>
      <c r="AE1541" s="270"/>
    </row>
    <row r="1542">
      <c r="A1542" s="258"/>
      <c r="B1542" s="257"/>
      <c r="C1542" s="258"/>
      <c r="D1542" s="258"/>
      <c r="E1542" s="259"/>
      <c r="F1542" s="258"/>
      <c r="G1542" s="258"/>
      <c r="H1542" s="258"/>
      <c r="I1542" s="258"/>
      <c r="J1542" s="258"/>
      <c r="K1542" s="258"/>
      <c r="L1542" s="258"/>
      <c r="M1542" s="261"/>
      <c r="N1542" s="262"/>
      <c r="O1542" s="259"/>
      <c r="P1542" s="259"/>
      <c r="Q1542" s="258"/>
      <c r="R1542" s="261"/>
      <c r="S1542" s="258"/>
      <c r="T1542" s="263"/>
      <c r="U1542" s="264"/>
      <c r="V1542" s="265"/>
      <c r="W1542" s="264"/>
      <c r="X1542" s="266"/>
      <c r="Y1542" s="267"/>
      <c r="Z1542" s="267"/>
      <c r="AA1542" s="269"/>
      <c r="AB1542" s="270"/>
      <c r="AC1542" s="270"/>
      <c r="AD1542" s="270"/>
      <c r="AE1542" s="270"/>
    </row>
    <row r="1543">
      <c r="A1543" s="258"/>
      <c r="B1543" s="257"/>
      <c r="C1543" s="258"/>
      <c r="D1543" s="258"/>
      <c r="E1543" s="259"/>
      <c r="F1543" s="258"/>
      <c r="G1543" s="258"/>
      <c r="H1543" s="258"/>
      <c r="I1543" s="258"/>
      <c r="J1543" s="258"/>
      <c r="K1543" s="258"/>
      <c r="L1543" s="258"/>
      <c r="M1543" s="261"/>
      <c r="N1543" s="262"/>
      <c r="O1543" s="259"/>
      <c r="P1543" s="259"/>
      <c r="Q1543" s="258"/>
      <c r="R1543" s="261"/>
      <c r="S1543" s="258"/>
      <c r="T1543" s="263"/>
      <c r="U1543" s="264"/>
      <c r="V1543" s="265"/>
      <c r="W1543" s="264"/>
      <c r="X1543" s="266"/>
      <c r="Y1543" s="267"/>
      <c r="Z1543" s="267"/>
      <c r="AA1543" s="269"/>
      <c r="AB1543" s="270"/>
      <c r="AC1543" s="270"/>
      <c r="AD1543" s="270"/>
      <c r="AE1543" s="270"/>
    </row>
    <row r="1544">
      <c r="A1544" s="258"/>
      <c r="B1544" s="257"/>
      <c r="C1544" s="258"/>
      <c r="D1544" s="258"/>
      <c r="E1544" s="259"/>
      <c r="F1544" s="258"/>
      <c r="G1544" s="258"/>
      <c r="H1544" s="258"/>
      <c r="I1544" s="258"/>
      <c r="J1544" s="258"/>
      <c r="K1544" s="258"/>
      <c r="L1544" s="258"/>
      <c r="M1544" s="261"/>
      <c r="N1544" s="262"/>
      <c r="O1544" s="259"/>
      <c r="P1544" s="259"/>
      <c r="Q1544" s="258"/>
      <c r="R1544" s="261"/>
      <c r="S1544" s="258"/>
      <c r="T1544" s="263"/>
      <c r="U1544" s="264"/>
      <c r="V1544" s="265"/>
      <c r="W1544" s="264"/>
      <c r="X1544" s="266"/>
      <c r="Y1544" s="267"/>
      <c r="Z1544" s="267"/>
      <c r="AA1544" s="269"/>
      <c r="AB1544" s="270"/>
      <c r="AC1544" s="270"/>
      <c r="AD1544" s="270"/>
      <c r="AE1544" s="270"/>
    </row>
    <row r="1545">
      <c r="A1545" s="258"/>
      <c r="B1545" s="257"/>
      <c r="C1545" s="258"/>
      <c r="D1545" s="258"/>
      <c r="E1545" s="259"/>
      <c r="F1545" s="258"/>
      <c r="G1545" s="258"/>
      <c r="H1545" s="258"/>
      <c r="I1545" s="258"/>
      <c r="J1545" s="258"/>
      <c r="K1545" s="258"/>
      <c r="L1545" s="258"/>
      <c r="M1545" s="261"/>
      <c r="N1545" s="262"/>
      <c r="O1545" s="259"/>
      <c r="P1545" s="259"/>
      <c r="Q1545" s="258"/>
      <c r="R1545" s="261"/>
      <c r="S1545" s="258"/>
      <c r="T1545" s="263"/>
      <c r="U1545" s="264"/>
      <c r="V1545" s="265"/>
      <c r="W1545" s="264"/>
      <c r="X1545" s="266"/>
      <c r="Y1545" s="267"/>
      <c r="Z1545" s="267"/>
      <c r="AA1545" s="269"/>
      <c r="AB1545" s="270"/>
      <c r="AC1545" s="270"/>
      <c r="AD1545" s="270"/>
      <c r="AE1545" s="270"/>
    </row>
    <row r="1546">
      <c r="A1546" s="258"/>
      <c r="B1546" s="257"/>
      <c r="C1546" s="258"/>
      <c r="D1546" s="258"/>
      <c r="E1546" s="259"/>
      <c r="F1546" s="258"/>
      <c r="G1546" s="258"/>
      <c r="H1546" s="258"/>
      <c r="I1546" s="258"/>
      <c r="J1546" s="258"/>
      <c r="K1546" s="258"/>
      <c r="L1546" s="258"/>
      <c r="M1546" s="261"/>
      <c r="N1546" s="262"/>
      <c r="O1546" s="259"/>
      <c r="P1546" s="259"/>
      <c r="Q1546" s="258"/>
      <c r="R1546" s="261"/>
      <c r="S1546" s="258"/>
      <c r="T1546" s="263"/>
      <c r="U1546" s="264"/>
      <c r="V1546" s="265"/>
      <c r="W1546" s="264"/>
      <c r="X1546" s="266"/>
      <c r="Y1546" s="267"/>
      <c r="Z1546" s="267"/>
      <c r="AA1546" s="269"/>
      <c r="AB1546" s="270"/>
      <c r="AC1546" s="270"/>
      <c r="AD1546" s="270"/>
      <c r="AE1546" s="270"/>
    </row>
    <row r="1547">
      <c r="A1547" s="258"/>
      <c r="B1547" s="257"/>
      <c r="C1547" s="258"/>
      <c r="D1547" s="258"/>
      <c r="E1547" s="259"/>
      <c r="F1547" s="258"/>
      <c r="G1547" s="258"/>
      <c r="H1547" s="258"/>
      <c r="I1547" s="258"/>
      <c r="J1547" s="258"/>
      <c r="K1547" s="258"/>
      <c r="L1547" s="258"/>
      <c r="M1547" s="261"/>
      <c r="N1547" s="262"/>
      <c r="O1547" s="259"/>
      <c r="P1547" s="259"/>
      <c r="Q1547" s="258"/>
      <c r="R1547" s="261"/>
      <c r="S1547" s="258"/>
      <c r="T1547" s="263"/>
      <c r="U1547" s="264"/>
      <c r="V1547" s="265"/>
      <c r="W1547" s="264"/>
      <c r="X1547" s="266"/>
      <c r="Y1547" s="267"/>
      <c r="Z1547" s="267"/>
      <c r="AA1547" s="269"/>
      <c r="AB1547" s="270"/>
      <c r="AC1547" s="270"/>
      <c r="AD1547" s="270"/>
      <c r="AE1547" s="270"/>
    </row>
    <row r="1548">
      <c r="A1548" s="258"/>
      <c r="B1548" s="257"/>
      <c r="C1548" s="258"/>
      <c r="D1548" s="258"/>
      <c r="E1548" s="259"/>
      <c r="F1548" s="258"/>
      <c r="G1548" s="258"/>
      <c r="H1548" s="258"/>
      <c r="I1548" s="258"/>
      <c r="J1548" s="258"/>
      <c r="K1548" s="258"/>
      <c r="L1548" s="258"/>
      <c r="M1548" s="261"/>
      <c r="N1548" s="262"/>
      <c r="O1548" s="259"/>
      <c r="P1548" s="259"/>
      <c r="Q1548" s="258"/>
      <c r="R1548" s="261"/>
      <c r="S1548" s="258"/>
      <c r="T1548" s="263"/>
      <c r="U1548" s="264"/>
      <c r="V1548" s="265"/>
      <c r="W1548" s="264"/>
      <c r="X1548" s="266"/>
      <c r="Y1548" s="267"/>
      <c r="Z1548" s="267"/>
      <c r="AA1548" s="269"/>
      <c r="AB1548" s="270"/>
      <c r="AC1548" s="270"/>
      <c r="AD1548" s="270"/>
      <c r="AE1548" s="270"/>
    </row>
    <row r="1549">
      <c r="A1549" s="258"/>
      <c r="B1549" s="257"/>
      <c r="C1549" s="258"/>
      <c r="D1549" s="258"/>
      <c r="E1549" s="259"/>
      <c r="F1549" s="258"/>
      <c r="G1549" s="258"/>
      <c r="H1549" s="258"/>
      <c r="I1549" s="258"/>
      <c r="J1549" s="258"/>
      <c r="K1549" s="258"/>
      <c r="L1549" s="258"/>
      <c r="M1549" s="261"/>
      <c r="N1549" s="262"/>
      <c r="O1549" s="259"/>
      <c r="P1549" s="259"/>
      <c r="Q1549" s="258"/>
      <c r="R1549" s="261"/>
      <c r="S1549" s="258"/>
      <c r="T1549" s="263"/>
      <c r="U1549" s="264"/>
      <c r="V1549" s="265"/>
      <c r="W1549" s="264"/>
      <c r="X1549" s="266"/>
      <c r="Y1549" s="267"/>
      <c r="Z1549" s="267"/>
      <c r="AA1549" s="269"/>
      <c r="AB1549" s="270"/>
      <c r="AC1549" s="270"/>
      <c r="AD1549" s="270"/>
      <c r="AE1549" s="270"/>
    </row>
    <row r="1550">
      <c r="A1550" s="258"/>
      <c r="B1550" s="257"/>
      <c r="C1550" s="258"/>
      <c r="D1550" s="258"/>
      <c r="E1550" s="259"/>
      <c r="F1550" s="258"/>
      <c r="G1550" s="258"/>
      <c r="H1550" s="258"/>
      <c r="I1550" s="258"/>
      <c r="J1550" s="258"/>
      <c r="K1550" s="258"/>
      <c r="L1550" s="258"/>
      <c r="M1550" s="261"/>
      <c r="N1550" s="262"/>
      <c r="O1550" s="259"/>
      <c r="P1550" s="259"/>
      <c r="Q1550" s="258"/>
      <c r="R1550" s="261"/>
      <c r="S1550" s="258"/>
      <c r="T1550" s="263"/>
      <c r="U1550" s="264"/>
      <c r="V1550" s="265"/>
      <c r="W1550" s="264"/>
      <c r="X1550" s="266"/>
      <c r="Y1550" s="267"/>
      <c r="Z1550" s="267"/>
      <c r="AA1550" s="269"/>
      <c r="AB1550" s="270"/>
      <c r="AC1550" s="270"/>
      <c r="AD1550" s="270"/>
      <c r="AE1550" s="270"/>
    </row>
    <row r="1551">
      <c r="A1551" s="258"/>
      <c r="B1551" s="257"/>
      <c r="C1551" s="258"/>
      <c r="D1551" s="258"/>
      <c r="E1551" s="259"/>
      <c r="F1551" s="258"/>
      <c r="G1551" s="258"/>
      <c r="H1551" s="258"/>
      <c r="I1551" s="258"/>
      <c r="J1551" s="258"/>
      <c r="K1551" s="258"/>
      <c r="L1551" s="258"/>
      <c r="M1551" s="261"/>
      <c r="N1551" s="262"/>
      <c r="O1551" s="259"/>
      <c r="P1551" s="259"/>
      <c r="Q1551" s="258"/>
      <c r="R1551" s="261"/>
      <c r="S1551" s="258"/>
      <c r="T1551" s="263"/>
      <c r="U1551" s="264"/>
      <c r="V1551" s="265"/>
      <c r="W1551" s="264"/>
      <c r="X1551" s="266"/>
      <c r="Y1551" s="267"/>
      <c r="Z1551" s="267"/>
      <c r="AA1551" s="269"/>
      <c r="AB1551" s="270"/>
      <c r="AC1551" s="270"/>
      <c r="AD1551" s="270"/>
      <c r="AE1551" s="270"/>
    </row>
    <row r="1552">
      <c r="A1552" s="258"/>
      <c r="B1552" s="257"/>
      <c r="C1552" s="258"/>
      <c r="D1552" s="258"/>
      <c r="E1552" s="259"/>
      <c r="F1552" s="258"/>
      <c r="G1552" s="258"/>
      <c r="H1552" s="258"/>
      <c r="I1552" s="258"/>
      <c r="J1552" s="258"/>
      <c r="K1552" s="258"/>
      <c r="L1552" s="258"/>
      <c r="M1552" s="261"/>
      <c r="N1552" s="262"/>
      <c r="O1552" s="259"/>
      <c r="P1552" s="259"/>
      <c r="Q1552" s="258"/>
      <c r="R1552" s="261"/>
      <c r="S1552" s="258"/>
      <c r="T1552" s="263"/>
      <c r="U1552" s="264"/>
      <c r="V1552" s="265"/>
      <c r="W1552" s="264"/>
      <c r="X1552" s="266"/>
      <c r="Y1552" s="267"/>
      <c r="Z1552" s="267"/>
      <c r="AA1552" s="269"/>
      <c r="AB1552" s="270"/>
      <c r="AC1552" s="270"/>
      <c r="AD1552" s="270"/>
      <c r="AE1552" s="270"/>
    </row>
    <row r="1553">
      <c r="A1553" s="258"/>
      <c r="B1553" s="257"/>
      <c r="C1553" s="258"/>
      <c r="D1553" s="258"/>
      <c r="E1553" s="259"/>
      <c r="F1553" s="258"/>
      <c r="G1553" s="258"/>
      <c r="H1553" s="258"/>
      <c r="I1553" s="258"/>
      <c r="J1553" s="258"/>
      <c r="K1553" s="258"/>
      <c r="L1553" s="258"/>
      <c r="M1553" s="261"/>
      <c r="N1553" s="262"/>
      <c r="O1553" s="259"/>
      <c r="P1553" s="259"/>
      <c r="Q1553" s="258"/>
      <c r="R1553" s="261"/>
      <c r="S1553" s="258"/>
      <c r="T1553" s="263"/>
      <c r="U1553" s="264"/>
      <c r="V1553" s="265"/>
      <c r="W1553" s="264"/>
      <c r="X1553" s="266"/>
      <c r="Y1553" s="267"/>
      <c r="Z1553" s="267"/>
      <c r="AA1553" s="269"/>
      <c r="AB1553" s="270"/>
      <c r="AC1553" s="270"/>
      <c r="AD1553" s="270"/>
      <c r="AE1553" s="270"/>
    </row>
    <row r="1554">
      <c r="A1554" s="258"/>
      <c r="B1554" s="257"/>
      <c r="C1554" s="258"/>
      <c r="D1554" s="258"/>
      <c r="E1554" s="259"/>
      <c r="F1554" s="258"/>
      <c r="G1554" s="258"/>
      <c r="H1554" s="258"/>
      <c r="I1554" s="258"/>
      <c r="J1554" s="258"/>
      <c r="K1554" s="258"/>
      <c r="L1554" s="258"/>
      <c r="M1554" s="261"/>
      <c r="N1554" s="262"/>
      <c r="O1554" s="259"/>
      <c r="P1554" s="259"/>
      <c r="Q1554" s="258"/>
      <c r="R1554" s="261"/>
      <c r="S1554" s="258"/>
      <c r="T1554" s="263"/>
      <c r="U1554" s="264"/>
      <c r="V1554" s="265"/>
      <c r="W1554" s="264"/>
      <c r="X1554" s="266"/>
      <c r="Y1554" s="267"/>
      <c r="Z1554" s="267"/>
      <c r="AA1554" s="269"/>
      <c r="AB1554" s="270"/>
      <c r="AC1554" s="270"/>
      <c r="AD1554" s="270"/>
      <c r="AE1554" s="270"/>
    </row>
    <row r="1555">
      <c r="A1555" s="258"/>
      <c r="B1555" s="257"/>
      <c r="C1555" s="258"/>
      <c r="D1555" s="258"/>
      <c r="E1555" s="259"/>
      <c r="F1555" s="258"/>
      <c r="G1555" s="258"/>
      <c r="H1555" s="258"/>
      <c r="I1555" s="258"/>
      <c r="J1555" s="258"/>
      <c r="K1555" s="258"/>
      <c r="L1555" s="258"/>
      <c r="M1555" s="261"/>
      <c r="N1555" s="262"/>
      <c r="O1555" s="259"/>
      <c r="P1555" s="259"/>
      <c r="Q1555" s="258"/>
      <c r="R1555" s="261"/>
      <c r="S1555" s="258"/>
      <c r="T1555" s="263"/>
      <c r="U1555" s="264"/>
      <c r="V1555" s="265"/>
      <c r="W1555" s="264"/>
      <c r="X1555" s="266"/>
      <c r="Y1555" s="267"/>
      <c r="Z1555" s="267"/>
      <c r="AA1555" s="269"/>
      <c r="AB1555" s="270"/>
      <c r="AC1555" s="270"/>
      <c r="AD1555" s="270"/>
      <c r="AE1555" s="270"/>
    </row>
    <row r="1556">
      <c r="A1556" s="258"/>
      <c r="B1556" s="257"/>
      <c r="C1556" s="258"/>
      <c r="D1556" s="258"/>
      <c r="E1556" s="259"/>
      <c r="F1556" s="258"/>
      <c r="G1556" s="258"/>
      <c r="H1556" s="258"/>
      <c r="I1556" s="258"/>
      <c r="J1556" s="258"/>
      <c r="K1556" s="258"/>
      <c r="L1556" s="258"/>
      <c r="M1556" s="261"/>
      <c r="N1556" s="262"/>
      <c r="O1556" s="259"/>
      <c r="P1556" s="259"/>
      <c r="Q1556" s="258"/>
      <c r="R1556" s="261"/>
      <c r="S1556" s="258"/>
      <c r="T1556" s="263"/>
      <c r="U1556" s="264"/>
      <c r="V1556" s="265"/>
      <c r="W1556" s="264"/>
      <c r="X1556" s="266"/>
      <c r="Y1556" s="267"/>
      <c r="Z1556" s="267"/>
      <c r="AA1556" s="269"/>
      <c r="AB1556" s="270"/>
      <c r="AC1556" s="270"/>
      <c r="AD1556" s="270"/>
      <c r="AE1556" s="270"/>
    </row>
    <row r="1557">
      <c r="A1557" s="258"/>
      <c r="B1557" s="257"/>
      <c r="C1557" s="258"/>
      <c r="D1557" s="258"/>
      <c r="E1557" s="259"/>
      <c r="F1557" s="258"/>
      <c r="G1557" s="258"/>
      <c r="H1557" s="258"/>
      <c r="I1557" s="258"/>
      <c r="J1557" s="258"/>
      <c r="K1557" s="258"/>
      <c r="L1557" s="258"/>
      <c r="M1557" s="261"/>
      <c r="N1557" s="262"/>
      <c r="O1557" s="259"/>
      <c r="P1557" s="259"/>
      <c r="Q1557" s="258"/>
      <c r="R1557" s="261"/>
      <c r="S1557" s="258"/>
      <c r="T1557" s="263"/>
      <c r="U1557" s="264"/>
      <c r="V1557" s="265"/>
      <c r="W1557" s="264"/>
      <c r="X1557" s="266"/>
      <c r="Y1557" s="267"/>
      <c r="Z1557" s="267"/>
      <c r="AA1557" s="269"/>
      <c r="AB1557" s="270"/>
      <c r="AC1557" s="270"/>
      <c r="AD1557" s="270"/>
      <c r="AE1557" s="270"/>
    </row>
    <row r="1558">
      <c r="A1558" s="258"/>
      <c r="B1558" s="257"/>
      <c r="C1558" s="258"/>
      <c r="D1558" s="258"/>
      <c r="E1558" s="259"/>
      <c r="F1558" s="258"/>
      <c r="G1558" s="258"/>
      <c r="H1558" s="258"/>
      <c r="I1558" s="258"/>
      <c r="J1558" s="258"/>
      <c r="K1558" s="258"/>
      <c r="L1558" s="258"/>
      <c r="M1558" s="261"/>
      <c r="N1558" s="262"/>
      <c r="O1558" s="259"/>
      <c r="P1558" s="259"/>
      <c r="Q1558" s="258"/>
      <c r="R1558" s="261"/>
      <c r="S1558" s="258"/>
      <c r="T1558" s="263"/>
      <c r="U1558" s="264"/>
      <c r="V1558" s="265"/>
      <c r="W1558" s="264"/>
      <c r="X1558" s="266"/>
      <c r="Y1558" s="267"/>
      <c r="Z1558" s="267"/>
      <c r="AA1558" s="269"/>
      <c r="AB1558" s="270"/>
      <c r="AC1558" s="270"/>
      <c r="AD1558" s="270"/>
      <c r="AE1558" s="270"/>
    </row>
    <row r="1559">
      <c r="A1559" s="258"/>
      <c r="B1559" s="257"/>
      <c r="C1559" s="258"/>
      <c r="D1559" s="258"/>
      <c r="E1559" s="259"/>
      <c r="F1559" s="258"/>
      <c r="G1559" s="258"/>
      <c r="H1559" s="258"/>
      <c r="I1559" s="258"/>
      <c r="J1559" s="258"/>
      <c r="K1559" s="258"/>
      <c r="L1559" s="258"/>
      <c r="M1559" s="261"/>
      <c r="N1559" s="262"/>
      <c r="O1559" s="259"/>
      <c r="P1559" s="259"/>
      <c r="Q1559" s="258"/>
      <c r="R1559" s="261"/>
      <c r="S1559" s="258"/>
      <c r="T1559" s="263"/>
      <c r="U1559" s="264"/>
      <c r="V1559" s="265"/>
      <c r="W1559" s="264"/>
      <c r="X1559" s="266"/>
      <c r="Y1559" s="267"/>
      <c r="Z1559" s="267"/>
      <c r="AA1559" s="269"/>
      <c r="AB1559" s="270"/>
      <c r="AC1559" s="270"/>
      <c r="AD1559" s="270"/>
      <c r="AE1559" s="270"/>
    </row>
    <row r="1560">
      <c r="A1560" s="258"/>
      <c r="B1560" s="257"/>
      <c r="C1560" s="258"/>
      <c r="D1560" s="258"/>
      <c r="E1560" s="259"/>
      <c r="F1560" s="258"/>
      <c r="G1560" s="258"/>
      <c r="H1560" s="258"/>
      <c r="I1560" s="258"/>
      <c r="J1560" s="258"/>
      <c r="K1560" s="258"/>
      <c r="L1560" s="258"/>
      <c r="M1560" s="261"/>
      <c r="N1560" s="262"/>
      <c r="O1560" s="259"/>
      <c r="P1560" s="259"/>
      <c r="Q1560" s="258"/>
      <c r="R1560" s="261"/>
      <c r="S1560" s="258"/>
      <c r="T1560" s="263"/>
      <c r="U1560" s="264"/>
      <c r="V1560" s="265"/>
      <c r="W1560" s="264"/>
      <c r="X1560" s="266"/>
      <c r="Y1560" s="267"/>
      <c r="Z1560" s="267"/>
      <c r="AA1560" s="269"/>
      <c r="AB1560" s="270"/>
      <c r="AC1560" s="270"/>
      <c r="AD1560" s="270"/>
      <c r="AE1560" s="270"/>
    </row>
    <row r="1561">
      <c r="A1561" s="258"/>
      <c r="B1561" s="257"/>
      <c r="C1561" s="258"/>
      <c r="D1561" s="258"/>
      <c r="E1561" s="259"/>
      <c r="F1561" s="258"/>
      <c r="G1561" s="258"/>
      <c r="H1561" s="258"/>
      <c r="I1561" s="258"/>
      <c r="J1561" s="258"/>
      <c r="K1561" s="258"/>
      <c r="L1561" s="258"/>
      <c r="M1561" s="261"/>
      <c r="N1561" s="262"/>
      <c r="O1561" s="259"/>
      <c r="P1561" s="259"/>
      <c r="Q1561" s="258"/>
      <c r="R1561" s="261"/>
      <c r="S1561" s="258"/>
      <c r="T1561" s="263"/>
      <c r="U1561" s="264"/>
      <c r="V1561" s="265"/>
      <c r="W1561" s="264"/>
      <c r="X1561" s="266"/>
      <c r="Y1561" s="267"/>
      <c r="Z1561" s="267"/>
      <c r="AA1561" s="269"/>
      <c r="AB1561" s="270"/>
      <c r="AC1561" s="270"/>
      <c r="AD1561" s="270"/>
      <c r="AE1561" s="270"/>
    </row>
    <row r="1562">
      <c r="A1562" s="258"/>
      <c r="B1562" s="257"/>
      <c r="C1562" s="258"/>
      <c r="D1562" s="258"/>
      <c r="E1562" s="259"/>
      <c r="F1562" s="258"/>
      <c r="G1562" s="258"/>
      <c r="H1562" s="258"/>
      <c r="I1562" s="258"/>
      <c r="J1562" s="258"/>
      <c r="K1562" s="258"/>
      <c r="L1562" s="258"/>
      <c r="M1562" s="261"/>
      <c r="N1562" s="262"/>
      <c r="O1562" s="259"/>
      <c r="P1562" s="259"/>
      <c r="Q1562" s="258"/>
      <c r="R1562" s="261"/>
      <c r="S1562" s="258"/>
      <c r="T1562" s="263"/>
      <c r="U1562" s="264"/>
      <c r="V1562" s="265"/>
      <c r="W1562" s="264"/>
      <c r="X1562" s="266"/>
      <c r="Y1562" s="267"/>
      <c r="Z1562" s="267"/>
      <c r="AA1562" s="269"/>
      <c r="AB1562" s="270"/>
      <c r="AC1562" s="270"/>
      <c r="AD1562" s="270"/>
      <c r="AE1562" s="270"/>
    </row>
    <row r="1563">
      <c r="A1563" s="258"/>
      <c r="B1563" s="257"/>
      <c r="C1563" s="258"/>
      <c r="D1563" s="258"/>
      <c r="E1563" s="259"/>
      <c r="F1563" s="258"/>
      <c r="G1563" s="258"/>
      <c r="H1563" s="258"/>
      <c r="I1563" s="258"/>
      <c r="J1563" s="258"/>
      <c r="K1563" s="258"/>
      <c r="L1563" s="258"/>
      <c r="M1563" s="261"/>
      <c r="N1563" s="262"/>
      <c r="O1563" s="259"/>
      <c r="P1563" s="259"/>
      <c r="Q1563" s="258"/>
      <c r="R1563" s="261"/>
      <c r="S1563" s="258"/>
      <c r="T1563" s="263"/>
      <c r="U1563" s="264"/>
      <c r="V1563" s="265"/>
      <c r="W1563" s="264"/>
      <c r="X1563" s="266"/>
      <c r="Y1563" s="267"/>
      <c r="Z1563" s="267"/>
      <c r="AA1563" s="269"/>
      <c r="AB1563" s="270"/>
      <c r="AC1563" s="270"/>
      <c r="AD1563" s="270"/>
      <c r="AE1563" s="270"/>
    </row>
    <row r="1564">
      <c r="A1564" s="258"/>
      <c r="B1564" s="257"/>
      <c r="C1564" s="258"/>
      <c r="D1564" s="258"/>
      <c r="E1564" s="259"/>
      <c r="F1564" s="258"/>
      <c r="G1564" s="258"/>
      <c r="H1564" s="258"/>
      <c r="I1564" s="258"/>
      <c r="J1564" s="258"/>
      <c r="K1564" s="258"/>
      <c r="L1564" s="258"/>
      <c r="M1564" s="261"/>
      <c r="N1564" s="262"/>
      <c r="O1564" s="259"/>
      <c r="P1564" s="259"/>
      <c r="Q1564" s="258"/>
      <c r="R1564" s="261"/>
      <c r="S1564" s="258"/>
      <c r="T1564" s="263"/>
      <c r="U1564" s="264"/>
      <c r="V1564" s="265"/>
      <c r="W1564" s="264"/>
      <c r="X1564" s="266"/>
      <c r="Y1564" s="267"/>
      <c r="Z1564" s="267"/>
      <c r="AA1564" s="269"/>
      <c r="AB1564" s="270"/>
      <c r="AC1564" s="270"/>
      <c r="AD1564" s="270"/>
      <c r="AE1564" s="270"/>
    </row>
    <row r="1565">
      <c r="A1565" s="258"/>
      <c r="B1565" s="257"/>
      <c r="C1565" s="258"/>
      <c r="D1565" s="258"/>
      <c r="E1565" s="259"/>
      <c r="F1565" s="258"/>
      <c r="G1565" s="258"/>
      <c r="H1565" s="258"/>
      <c r="I1565" s="258"/>
      <c r="J1565" s="258"/>
      <c r="K1565" s="258"/>
      <c r="L1565" s="258"/>
      <c r="M1565" s="261"/>
      <c r="N1565" s="262"/>
      <c r="O1565" s="259"/>
      <c r="P1565" s="259"/>
      <c r="Q1565" s="258"/>
      <c r="R1565" s="261"/>
      <c r="S1565" s="258"/>
      <c r="T1565" s="263"/>
      <c r="U1565" s="264"/>
      <c r="V1565" s="265"/>
      <c r="W1565" s="264"/>
      <c r="X1565" s="266"/>
      <c r="Y1565" s="267"/>
      <c r="Z1565" s="267"/>
      <c r="AA1565" s="269"/>
      <c r="AB1565" s="270"/>
      <c r="AC1565" s="270"/>
      <c r="AD1565" s="270"/>
      <c r="AE1565" s="270"/>
    </row>
    <row r="1566">
      <c r="A1566" s="258"/>
      <c r="B1566" s="257"/>
      <c r="C1566" s="258"/>
      <c r="D1566" s="258"/>
      <c r="E1566" s="259"/>
      <c r="F1566" s="258"/>
      <c r="G1566" s="258"/>
      <c r="H1566" s="258"/>
      <c r="I1566" s="258"/>
      <c r="J1566" s="258"/>
      <c r="K1566" s="258"/>
      <c r="L1566" s="258"/>
      <c r="M1566" s="261"/>
      <c r="N1566" s="262"/>
      <c r="O1566" s="259"/>
      <c r="P1566" s="259"/>
      <c r="Q1566" s="258"/>
      <c r="R1566" s="261"/>
      <c r="S1566" s="258"/>
      <c r="T1566" s="263"/>
      <c r="U1566" s="264"/>
      <c r="V1566" s="265"/>
      <c r="W1566" s="264"/>
      <c r="X1566" s="266"/>
      <c r="Y1566" s="267"/>
      <c r="Z1566" s="267"/>
      <c r="AA1566" s="269"/>
      <c r="AB1566" s="270"/>
      <c r="AC1566" s="270"/>
      <c r="AD1566" s="270"/>
      <c r="AE1566" s="270"/>
    </row>
    <row r="1567">
      <c r="A1567" s="258"/>
      <c r="B1567" s="257"/>
      <c r="C1567" s="258"/>
      <c r="D1567" s="258"/>
      <c r="E1567" s="259"/>
      <c r="F1567" s="258"/>
      <c r="G1567" s="258"/>
      <c r="H1567" s="258"/>
      <c r="I1567" s="258"/>
      <c r="J1567" s="258"/>
      <c r="K1567" s="258"/>
      <c r="L1567" s="258"/>
      <c r="M1567" s="261"/>
      <c r="N1567" s="262"/>
      <c r="O1567" s="259"/>
      <c r="P1567" s="259"/>
      <c r="Q1567" s="258"/>
      <c r="R1567" s="261"/>
      <c r="S1567" s="258"/>
      <c r="T1567" s="263"/>
      <c r="U1567" s="264"/>
      <c r="V1567" s="265"/>
      <c r="W1567" s="264"/>
      <c r="X1567" s="266"/>
      <c r="Y1567" s="267"/>
      <c r="Z1567" s="267"/>
      <c r="AA1567" s="269"/>
      <c r="AB1567" s="270"/>
      <c r="AC1567" s="270"/>
      <c r="AD1567" s="270"/>
      <c r="AE1567" s="270"/>
    </row>
    <row r="1568">
      <c r="A1568" s="258"/>
      <c r="B1568" s="257"/>
      <c r="C1568" s="258"/>
      <c r="D1568" s="258"/>
      <c r="E1568" s="259"/>
      <c r="F1568" s="258"/>
      <c r="G1568" s="258"/>
      <c r="H1568" s="258"/>
      <c r="I1568" s="258"/>
      <c r="J1568" s="258"/>
      <c r="K1568" s="258"/>
      <c r="L1568" s="258"/>
      <c r="M1568" s="261"/>
      <c r="N1568" s="262"/>
      <c r="O1568" s="259"/>
      <c r="P1568" s="259"/>
      <c r="Q1568" s="258"/>
      <c r="R1568" s="261"/>
      <c r="S1568" s="258"/>
      <c r="T1568" s="263"/>
      <c r="U1568" s="264"/>
      <c r="V1568" s="265"/>
      <c r="W1568" s="264"/>
      <c r="X1568" s="266"/>
      <c r="Y1568" s="267"/>
      <c r="Z1568" s="267"/>
      <c r="AA1568" s="269"/>
      <c r="AB1568" s="270"/>
      <c r="AC1568" s="270"/>
      <c r="AD1568" s="270"/>
      <c r="AE1568" s="270"/>
    </row>
    <row r="1569">
      <c r="A1569" s="258"/>
      <c r="B1569" s="257"/>
      <c r="C1569" s="258"/>
      <c r="D1569" s="258"/>
      <c r="E1569" s="259"/>
      <c r="F1569" s="258"/>
      <c r="G1569" s="258"/>
      <c r="H1569" s="258"/>
      <c r="I1569" s="258"/>
      <c r="J1569" s="258"/>
      <c r="K1569" s="258"/>
      <c r="L1569" s="258"/>
      <c r="M1569" s="261"/>
      <c r="N1569" s="262"/>
      <c r="O1569" s="259"/>
      <c r="P1569" s="259"/>
      <c r="Q1569" s="258"/>
      <c r="R1569" s="261"/>
      <c r="S1569" s="258"/>
      <c r="T1569" s="263"/>
      <c r="U1569" s="264"/>
      <c r="V1569" s="265"/>
      <c r="W1569" s="264"/>
      <c r="X1569" s="266"/>
      <c r="Y1569" s="267"/>
      <c r="Z1569" s="267"/>
      <c r="AA1569" s="269"/>
      <c r="AB1569" s="270"/>
      <c r="AC1569" s="270"/>
      <c r="AD1569" s="270"/>
      <c r="AE1569" s="270"/>
    </row>
    <row r="1570">
      <c r="A1570" s="258"/>
      <c r="B1570" s="257"/>
      <c r="C1570" s="258"/>
      <c r="D1570" s="258"/>
      <c r="E1570" s="259"/>
      <c r="F1570" s="258"/>
      <c r="G1570" s="258"/>
      <c r="H1570" s="258"/>
      <c r="I1570" s="258"/>
      <c r="J1570" s="258"/>
      <c r="K1570" s="258"/>
      <c r="L1570" s="258"/>
      <c r="M1570" s="261"/>
      <c r="N1570" s="262"/>
      <c r="O1570" s="259"/>
      <c r="P1570" s="259"/>
      <c r="Q1570" s="258"/>
      <c r="R1570" s="261"/>
      <c r="S1570" s="258"/>
      <c r="T1570" s="263"/>
      <c r="U1570" s="264"/>
      <c r="V1570" s="265"/>
      <c r="W1570" s="264"/>
      <c r="X1570" s="266"/>
      <c r="Y1570" s="267"/>
      <c r="Z1570" s="267"/>
      <c r="AA1570" s="269"/>
      <c r="AB1570" s="270"/>
      <c r="AC1570" s="270"/>
      <c r="AD1570" s="270"/>
      <c r="AE1570" s="270"/>
    </row>
    <row r="1571">
      <c r="A1571" s="258"/>
      <c r="B1571" s="257"/>
      <c r="C1571" s="258"/>
      <c r="D1571" s="258"/>
      <c r="E1571" s="259"/>
      <c r="F1571" s="258"/>
      <c r="G1571" s="258"/>
      <c r="H1571" s="258"/>
      <c r="I1571" s="258"/>
      <c r="J1571" s="258"/>
      <c r="K1571" s="258"/>
      <c r="L1571" s="258"/>
      <c r="M1571" s="261"/>
      <c r="N1571" s="262"/>
      <c r="O1571" s="259"/>
      <c r="P1571" s="259"/>
      <c r="Q1571" s="258"/>
      <c r="R1571" s="261"/>
      <c r="S1571" s="258"/>
      <c r="T1571" s="263"/>
      <c r="U1571" s="264"/>
      <c r="V1571" s="265"/>
      <c r="W1571" s="264"/>
      <c r="X1571" s="266"/>
      <c r="Y1571" s="267"/>
      <c r="Z1571" s="267"/>
      <c r="AA1571" s="269"/>
      <c r="AB1571" s="270"/>
      <c r="AC1571" s="270"/>
      <c r="AD1571" s="270"/>
      <c r="AE1571" s="270"/>
    </row>
    <row r="1572">
      <c r="A1572" s="258"/>
      <c r="B1572" s="257"/>
      <c r="C1572" s="258"/>
      <c r="D1572" s="258"/>
      <c r="E1572" s="259"/>
      <c r="F1572" s="258"/>
      <c r="G1572" s="258"/>
      <c r="H1572" s="258"/>
      <c r="I1572" s="258"/>
      <c r="J1572" s="258"/>
      <c r="K1572" s="258"/>
      <c r="L1572" s="258"/>
      <c r="M1572" s="261"/>
      <c r="N1572" s="262"/>
      <c r="O1572" s="259"/>
      <c r="P1572" s="259"/>
      <c r="Q1572" s="258"/>
      <c r="R1572" s="261"/>
      <c r="S1572" s="258"/>
      <c r="T1572" s="263"/>
      <c r="U1572" s="264"/>
      <c r="V1572" s="265"/>
      <c r="W1572" s="264"/>
      <c r="X1572" s="266"/>
      <c r="Y1572" s="267"/>
      <c r="Z1572" s="267"/>
      <c r="AA1572" s="269"/>
      <c r="AB1572" s="270"/>
      <c r="AC1572" s="270"/>
      <c r="AD1572" s="270"/>
      <c r="AE1572" s="270"/>
    </row>
    <row r="1573">
      <c r="A1573" s="258"/>
      <c r="B1573" s="257"/>
      <c r="C1573" s="258"/>
      <c r="D1573" s="258"/>
      <c r="E1573" s="259"/>
      <c r="F1573" s="258"/>
      <c r="G1573" s="258"/>
      <c r="H1573" s="258"/>
      <c r="I1573" s="258"/>
      <c r="J1573" s="258"/>
      <c r="K1573" s="258"/>
      <c r="L1573" s="258"/>
      <c r="M1573" s="261"/>
      <c r="N1573" s="262"/>
      <c r="O1573" s="259"/>
      <c r="P1573" s="259"/>
      <c r="Q1573" s="258"/>
      <c r="R1573" s="261"/>
      <c r="S1573" s="258"/>
      <c r="T1573" s="263"/>
      <c r="U1573" s="264"/>
      <c r="V1573" s="265"/>
      <c r="W1573" s="264"/>
      <c r="X1573" s="266"/>
      <c r="Y1573" s="267"/>
      <c r="Z1573" s="267"/>
      <c r="AA1573" s="269"/>
      <c r="AB1573" s="270"/>
      <c r="AC1573" s="270"/>
      <c r="AD1573" s="270"/>
      <c r="AE1573" s="270"/>
    </row>
    <row r="1574">
      <c r="A1574" s="258"/>
      <c r="B1574" s="257"/>
      <c r="C1574" s="258"/>
      <c r="D1574" s="258"/>
      <c r="E1574" s="259"/>
      <c r="F1574" s="258"/>
      <c r="G1574" s="258"/>
      <c r="H1574" s="258"/>
      <c r="I1574" s="258"/>
      <c r="J1574" s="258"/>
      <c r="K1574" s="258"/>
      <c r="L1574" s="258"/>
      <c r="M1574" s="261"/>
      <c r="N1574" s="262"/>
      <c r="O1574" s="259"/>
      <c r="P1574" s="259"/>
      <c r="Q1574" s="258"/>
      <c r="R1574" s="261"/>
      <c r="S1574" s="258"/>
      <c r="T1574" s="263"/>
      <c r="U1574" s="264"/>
      <c r="V1574" s="265"/>
      <c r="W1574" s="264"/>
      <c r="X1574" s="266"/>
      <c r="Y1574" s="267"/>
      <c r="Z1574" s="267"/>
      <c r="AA1574" s="269"/>
      <c r="AB1574" s="270"/>
      <c r="AC1574" s="270"/>
      <c r="AD1574" s="270"/>
      <c r="AE1574" s="270"/>
    </row>
    <row r="1575">
      <c r="A1575" s="258"/>
      <c r="B1575" s="257"/>
      <c r="C1575" s="258"/>
      <c r="D1575" s="258"/>
      <c r="E1575" s="259"/>
      <c r="F1575" s="258"/>
      <c r="G1575" s="258"/>
      <c r="H1575" s="258"/>
      <c r="I1575" s="258"/>
      <c r="J1575" s="258"/>
      <c r="K1575" s="258"/>
      <c r="L1575" s="258"/>
      <c r="M1575" s="261"/>
      <c r="N1575" s="262"/>
      <c r="O1575" s="259"/>
      <c r="P1575" s="259"/>
      <c r="Q1575" s="258"/>
      <c r="R1575" s="261"/>
      <c r="S1575" s="258"/>
      <c r="T1575" s="263"/>
      <c r="U1575" s="264"/>
      <c r="V1575" s="265"/>
      <c r="W1575" s="264"/>
      <c r="X1575" s="266"/>
      <c r="Y1575" s="267"/>
      <c r="Z1575" s="267"/>
      <c r="AA1575" s="269"/>
      <c r="AB1575" s="270"/>
      <c r="AC1575" s="270"/>
      <c r="AD1575" s="270"/>
      <c r="AE1575" s="270"/>
    </row>
    <row r="1576">
      <c r="A1576" s="258"/>
      <c r="B1576" s="257"/>
      <c r="C1576" s="258"/>
      <c r="D1576" s="258"/>
      <c r="E1576" s="259"/>
      <c r="F1576" s="258"/>
      <c r="G1576" s="258"/>
      <c r="H1576" s="258"/>
      <c r="I1576" s="258"/>
      <c r="J1576" s="258"/>
      <c r="K1576" s="258"/>
      <c r="L1576" s="258"/>
      <c r="M1576" s="261"/>
      <c r="N1576" s="262"/>
      <c r="O1576" s="259"/>
      <c r="P1576" s="259"/>
      <c r="Q1576" s="258"/>
      <c r="R1576" s="261"/>
      <c r="S1576" s="258"/>
      <c r="T1576" s="263"/>
      <c r="U1576" s="264"/>
      <c r="V1576" s="265"/>
      <c r="W1576" s="264"/>
      <c r="X1576" s="266"/>
      <c r="Y1576" s="267"/>
      <c r="Z1576" s="267"/>
      <c r="AA1576" s="269"/>
      <c r="AB1576" s="270"/>
      <c r="AC1576" s="270"/>
      <c r="AD1576" s="270"/>
      <c r="AE1576" s="270"/>
    </row>
    <row r="1577">
      <c r="A1577" s="258"/>
      <c r="B1577" s="257"/>
      <c r="C1577" s="258"/>
      <c r="D1577" s="258"/>
      <c r="E1577" s="259"/>
      <c r="F1577" s="258"/>
      <c r="G1577" s="258"/>
      <c r="H1577" s="258"/>
      <c r="I1577" s="258"/>
      <c r="J1577" s="258"/>
      <c r="K1577" s="258"/>
      <c r="L1577" s="258"/>
      <c r="M1577" s="261"/>
      <c r="N1577" s="262"/>
      <c r="O1577" s="259"/>
      <c r="P1577" s="259"/>
      <c r="Q1577" s="258"/>
      <c r="R1577" s="261"/>
      <c r="S1577" s="258"/>
      <c r="T1577" s="263"/>
      <c r="U1577" s="264"/>
      <c r="V1577" s="265"/>
      <c r="W1577" s="264"/>
      <c r="X1577" s="266"/>
      <c r="Y1577" s="267"/>
      <c r="Z1577" s="267"/>
      <c r="AA1577" s="269"/>
      <c r="AB1577" s="270"/>
      <c r="AC1577" s="270"/>
      <c r="AD1577" s="270"/>
      <c r="AE1577" s="270"/>
    </row>
    <row r="1578">
      <c r="A1578" s="258"/>
      <c r="B1578" s="257"/>
      <c r="C1578" s="258"/>
      <c r="D1578" s="258"/>
      <c r="E1578" s="259"/>
      <c r="F1578" s="258"/>
      <c r="G1578" s="258"/>
      <c r="H1578" s="258"/>
      <c r="I1578" s="258"/>
      <c r="J1578" s="258"/>
      <c r="K1578" s="258"/>
      <c r="L1578" s="258"/>
      <c r="M1578" s="261"/>
      <c r="N1578" s="262"/>
      <c r="O1578" s="259"/>
      <c r="P1578" s="259"/>
      <c r="Q1578" s="258"/>
      <c r="R1578" s="261"/>
      <c r="S1578" s="258"/>
      <c r="T1578" s="263"/>
      <c r="U1578" s="264"/>
      <c r="V1578" s="265"/>
      <c r="W1578" s="264"/>
      <c r="X1578" s="266"/>
      <c r="Y1578" s="267"/>
      <c r="Z1578" s="267"/>
      <c r="AA1578" s="269"/>
      <c r="AB1578" s="270"/>
      <c r="AC1578" s="270"/>
      <c r="AD1578" s="270"/>
      <c r="AE1578" s="270"/>
    </row>
    <row r="1579">
      <c r="A1579" s="258"/>
      <c r="B1579" s="257"/>
      <c r="C1579" s="258"/>
      <c r="D1579" s="258"/>
      <c r="E1579" s="259"/>
      <c r="F1579" s="258"/>
      <c r="G1579" s="258"/>
      <c r="H1579" s="258"/>
      <c r="I1579" s="258"/>
      <c r="J1579" s="258"/>
      <c r="K1579" s="258"/>
      <c r="L1579" s="258"/>
      <c r="M1579" s="261"/>
      <c r="N1579" s="262"/>
      <c r="O1579" s="259"/>
      <c r="P1579" s="259"/>
      <c r="Q1579" s="258"/>
      <c r="R1579" s="261"/>
      <c r="S1579" s="258"/>
      <c r="T1579" s="263"/>
      <c r="U1579" s="264"/>
      <c r="V1579" s="265"/>
      <c r="W1579" s="264"/>
      <c r="X1579" s="266"/>
      <c r="Y1579" s="267"/>
      <c r="Z1579" s="267"/>
      <c r="AA1579" s="269"/>
      <c r="AB1579" s="270"/>
      <c r="AC1579" s="270"/>
      <c r="AD1579" s="270"/>
      <c r="AE1579" s="270"/>
    </row>
    <row r="1580">
      <c r="A1580" s="258"/>
      <c r="B1580" s="257"/>
      <c r="C1580" s="258"/>
      <c r="D1580" s="258"/>
      <c r="E1580" s="259"/>
      <c r="F1580" s="258"/>
      <c r="G1580" s="258"/>
      <c r="H1580" s="258"/>
      <c r="I1580" s="258"/>
      <c r="J1580" s="258"/>
      <c r="K1580" s="258"/>
      <c r="L1580" s="258"/>
      <c r="M1580" s="261"/>
      <c r="N1580" s="262"/>
      <c r="O1580" s="259"/>
      <c r="P1580" s="259"/>
      <c r="Q1580" s="258"/>
      <c r="R1580" s="261"/>
      <c r="S1580" s="258"/>
      <c r="T1580" s="263"/>
      <c r="U1580" s="264"/>
      <c r="V1580" s="265"/>
      <c r="W1580" s="264"/>
      <c r="X1580" s="266"/>
      <c r="Y1580" s="267"/>
      <c r="Z1580" s="267"/>
      <c r="AA1580" s="269"/>
      <c r="AB1580" s="270"/>
      <c r="AC1580" s="270"/>
      <c r="AD1580" s="270"/>
      <c r="AE1580" s="270"/>
    </row>
    <row r="1581">
      <c r="A1581" s="258"/>
      <c r="B1581" s="257"/>
      <c r="C1581" s="258"/>
      <c r="D1581" s="258"/>
      <c r="E1581" s="259"/>
      <c r="F1581" s="258"/>
      <c r="G1581" s="258"/>
      <c r="H1581" s="258"/>
      <c r="I1581" s="258"/>
      <c r="J1581" s="258"/>
      <c r="K1581" s="258"/>
      <c r="L1581" s="258"/>
      <c r="M1581" s="261"/>
      <c r="N1581" s="262"/>
      <c r="O1581" s="259"/>
      <c r="P1581" s="259"/>
      <c r="Q1581" s="258"/>
      <c r="R1581" s="261"/>
      <c r="S1581" s="258"/>
      <c r="T1581" s="263"/>
      <c r="U1581" s="264"/>
      <c r="V1581" s="265"/>
      <c r="W1581" s="264"/>
      <c r="X1581" s="266"/>
      <c r="Y1581" s="267"/>
      <c r="Z1581" s="267"/>
      <c r="AA1581" s="269"/>
      <c r="AB1581" s="270"/>
      <c r="AC1581" s="270"/>
      <c r="AD1581" s="270"/>
      <c r="AE1581" s="270"/>
    </row>
    <row r="1582">
      <c r="A1582" s="258"/>
      <c r="B1582" s="257"/>
      <c r="C1582" s="258"/>
      <c r="D1582" s="258"/>
      <c r="E1582" s="259"/>
      <c r="F1582" s="258"/>
      <c r="G1582" s="258"/>
      <c r="H1582" s="258"/>
      <c r="I1582" s="258"/>
      <c r="J1582" s="258"/>
      <c r="K1582" s="258"/>
      <c r="L1582" s="258"/>
      <c r="M1582" s="261"/>
      <c r="N1582" s="262"/>
      <c r="O1582" s="259"/>
      <c r="P1582" s="259"/>
      <c r="Q1582" s="258"/>
      <c r="R1582" s="261"/>
      <c r="S1582" s="258"/>
      <c r="T1582" s="263"/>
      <c r="U1582" s="264"/>
      <c r="V1582" s="265"/>
      <c r="W1582" s="264"/>
      <c r="X1582" s="266"/>
      <c r="Y1582" s="267"/>
      <c r="Z1582" s="267"/>
      <c r="AA1582" s="269"/>
      <c r="AB1582" s="270"/>
      <c r="AC1582" s="270"/>
      <c r="AD1582" s="270"/>
      <c r="AE1582" s="270"/>
    </row>
    <row r="1583">
      <c r="A1583" s="258"/>
      <c r="B1583" s="257"/>
      <c r="C1583" s="258"/>
      <c r="D1583" s="258"/>
      <c r="E1583" s="259"/>
      <c r="F1583" s="258"/>
      <c r="G1583" s="258"/>
      <c r="H1583" s="258"/>
      <c r="I1583" s="258"/>
      <c r="J1583" s="258"/>
      <c r="K1583" s="258"/>
      <c r="L1583" s="258"/>
      <c r="M1583" s="261"/>
      <c r="N1583" s="262"/>
      <c r="O1583" s="259"/>
      <c r="P1583" s="259"/>
      <c r="Q1583" s="258"/>
      <c r="R1583" s="261"/>
      <c r="S1583" s="258"/>
      <c r="T1583" s="263"/>
      <c r="U1583" s="264"/>
      <c r="V1583" s="265"/>
      <c r="W1583" s="264"/>
      <c r="X1583" s="266"/>
      <c r="Y1583" s="267"/>
      <c r="Z1583" s="267"/>
      <c r="AA1583" s="269"/>
      <c r="AB1583" s="270"/>
      <c r="AC1583" s="270"/>
      <c r="AD1583" s="270"/>
      <c r="AE1583" s="270"/>
    </row>
    <row r="1584">
      <c r="A1584" s="258"/>
      <c r="B1584" s="257"/>
      <c r="C1584" s="258"/>
      <c r="D1584" s="258"/>
      <c r="E1584" s="259"/>
      <c r="F1584" s="258"/>
      <c r="G1584" s="258"/>
      <c r="H1584" s="258"/>
      <c r="I1584" s="258"/>
      <c r="J1584" s="258"/>
      <c r="K1584" s="258"/>
      <c r="L1584" s="258"/>
      <c r="M1584" s="261"/>
      <c r="N1584" s="262"/>
      <c r="O1584" s="259"/>
      <c r="P1584" s="259"/>
      <c r="Q1584" s="258"/>
      <c r="R1584" s="261"/>
      <c r="S1584" s="258"/>
      <c r="T1584" s="263"/>
      <c r="U1584" s="264"/>
      <c r="V1584" s="265"/>
      <c r="W1584" s="264"/>
      <c r="X1584" s="266"/>
      <c r="Y1584" s="267"/>
      <c r="Z1584" s="267"/>
      <c r="AA1584" s="269"/>
      <c r="AB1584" s="270"/>
      <c r="AC1584" s="270"/>
      <c r="AD1584" s="270"/>
      <c r="AE1584" s="270"/>
    </row>
    <row r="1585">
      <c r="A1585" s="258"/>
      <c r="B1585" s="257"/>
      <c r="C1585" s="258"/>
      <c r="D1585" s="258"/>
      <c r="E1585" s="259"/>
      <c r="F1585" s="258"/>
      <c r="G1585" s="258"/>
      <c r="H1585" s="258"/>
      <c r="I1585" s="258"/>
      <c r="J1585" s="258"/>
      <c r="K1585" s="258"/>
      <c r="L1585" s="258"/>
      <c r="M1585" s="261"/>
      <c r="N1585" s="262"/>
      <c r="O1585" s="259"/>
      <c r="P1585" s="259"/>
      <c r="Q1585" s="258"/>
      <c r="R1585" s="261"/>
      <c r="S1585" s="258"/>
      <c r="T1585" s="263"/>
      <c r="U1585" s="264"/>
      <c r="V1585" s="265"/>
      <c r="W1585" s="264"/>
      <c r="X1585" s="266"/>
      <c r="Y1585" s="267"/>
      <c r="Z1585" s="267"/>
      <c r="AA1585" s="269"/>
      <c r="AB1585" s="270"/>
      <c r="AC1585" s="270"/>
      <c r="AD1585" s="270"/>
      <c r="AE1585" s="270"/>
    </row>
    <row r="1586">
      <c r="A1586" s="258"/>
      <c r="B1586" s="257"/>
      <c r="C1586" s="258"/>
      <c r="D1586" s="258"/>
      <c r="E1586" s="259"/>
      <c r="F1586" s="258"/>
      <c r="G1586" s="258"/>
      <c r="H1586" s="258"/>
      <c r="I1586" s="258"/>
      <c r="J1586" s="258"/>
      <c r="K1586" s="258"/>
      <c r="L1586" s="258"/>
      <c r="M1586" s="261"/>
      <c r="N1586" s="262"/>
      <c r="O1586" s="259"/>
      <c r="P1586" s="259"/>
      <c r="Q1586" s="258"/>
      <c r="R1586" s="261"/>
      <c r="S1586" s="258"/>
      <c r="T1586" s="263"/>
      <c r="U1586" s="264"/>
      <c r="V1586" s="265"/>
      <c r="W1586" s="264"/>
      <c r="X1586" s="266"/>
      <c r="Y1586" s="267"/>
      <c r="Z1586" s="267"/>
      <c r="AA1586" s="269"/>
      <c r="AB1586" s="270"/>
      <c r="AC1586" s="270"/>
      <c r="AD1586" s="270"/>
      <c r="AE1586" s="270"/>
    </row>
    <row r="1587">
      <c r="A1587" s="258"/>
      <c r="B1587" s="257"/>
      <c r="C1587" s="258"/>
      <c r="D1587" s="258"/>
      <c r="E1587" s="259"/>
      <c r="F1587" s="258"/>
      <c r="G1587" s="258"/>
      <c r="H1587" s="258"/>
      <c r="I1587" s="258"/>
      <c r="J1587" s="258"/>
      <c r="K1587" s="258"/>
      <c r="L1587" s="258"/>
      <c r="M1587" s="261"/>
      <c r="N1587" s="262"/>
      <c r="O1587" s="259"/>
      <c r="P1587" s="259"/>
      <c r="Q1587" s="258"/>
      <c r="R1587" s="261"/>
      <c r="S1587" s="258"/>
      <c r="T1587" s="263"/>
      <c r="U1587" s="264"/>
      <c r="V1587" s="265"/>
      <c r="W1587" s="264"/>
      <c r="X1587" s="266"/>
      <c r="Y1587" s="267"/>
      <c r="Z1587" s="267"/>
      <c r="AA1587" s="269"/>
      <c r="AB1587" s="270"/>
      <c r="AC1587" s="270"/>
      <c r="AD1587" s="270"/>
      <c r="AE1587" s="270"/>
    </row>
    <row r="1588">
      <c r="A1588" s="258"/>
      <c r="B1588" s="257"/>
      <c r="C1588" s="258"/>
      <c r="D1588" s="258"/>
      <c r="E1588" s="259"/>
      <c r="F1588" s="258"/>
      <c r="G1588" s="258"/>
      <c r="H1588" s="258"/>
      <c r="I1588" s="258"/>
      <c r="J1588" s="258"/>
      <c r="K1588" s="258"/>
      <c r="L1588" s="258"/>
      <c r="M1588" s="261"/>
      <c r="N1588" s="262"/>
      <c r="O1588" s="259"/>
      <c r="P1588" s="259"/>
      <c r="Q1588" s="258"/>
      <c r="R1588" s="261"/>
      <c r="S1588" s="258"/>
      <c r="T1588" s="263"/>
      <c r="U1588" s="264"/>
      <c r="V1588" s="265"/>
      <c r="W1588" s="264"/>
      <c r="X1588" s="266"/>
      <c r="Y1588" s="267"/>
      <c r="Z1588" s="267"/>
      <c r="AA1588" s="269"/>
      <c r="AB1588" s="270"/>
      <c r="AC1588" s="270"/>
      <c r="AD1588" s="270"/>
      <c r="AE1588" s="270"/>
    </row>
    <row r="1589">
      <c r="A1589" s="258"/>
      <c r="B1589" s="257"/>
      <c r="C1589" s="258"/>
      <c r="D1589" s="258"/>
      <c r="E1589" s="259"/>
      <c r="F1589" s="258"/>
      <c r="G1589" s="258"/>
      <c r="H1589" s="258"/>
      <c r="I1589" s="258"/>
      <c r="J1589" s="258"/>
      <c r="K1589" s="258"/>
      <c r="L1589" s="258"/>
      <c r="M1589" s="261"/>
      <c r="N1589" s="262"/>
      <c r="O1589" s="259"/>
      <c r="P1589" s="259"/>
      <c r="Q1589" s="258"/>
      <c r="R1589" s="261"/>
      <c r="S1589" s="258"/>
      <c r="T1589" s="263"/>
      <c r="U1589" s="264"/>
      <c r="V1589" s="265"/>
      <c r="W1589" s="264"/>
      <c r="X1589" s="266"/>
      <c r="Y1589" s="267"/>
      <c r="Z1589" s="267"/>
      <c r="AA1589" s="269"/>
      <c r="AB1589" s="270"/>
      <c r="AC1589" s="270"/>
      <c r="AD1589" s="270"/>
      <c r="AE1589" s="270"/>
    </row>
    <row r="1590">
      <c r="A1590" s="258"/>
      <c r="B1590" s="257"/>
      <c r="C1590" s="258"/>
      <c r="D1590" s="258"/>
      <c r="E1590" s="259"/>
      <c r="F1590" s="258"/>
      <c r="G1590" s="258"/>
      <c r="H1590" s="258"/>
      <c r="I1590" s="258"/>
      <c r="J1590" s="258"/>
      <c r="K1590" s="258"/>
      <c r="L1590" s="258"/>
      <c r="M1590" s="261"/>
      <c r="N1590" s="262"/>
      <c r="O1590" s="259"/>
      <c r="P1590" s="259"/>
      <c r="Q1590" s="258"/>
      <c r="R1590" s="261"/>
      <c r="S1590" s="258"/>
      <c r="T1590" s="263"/>
      <c r="U1590" s="264"/>
      <c r="V1590" s="265"/>
      <c r="W1590" s="264"/>
      <c r="X1590" s="266"/>
      <c r="Y1590" s="267"/>
      <c r="Z1590" s="267"/>
      <c r="AA1590" s="269"/>
      <c r="AB1590" s="270"/>
      <c r="AC1590" s="270"/>
      <c r="AD1590" s="270"/>
      <c r="AE1590" s="270"/>
    </row>
    <row r="1591">
      <c r="A1591" s="258"/>
      <c r="B1591" s="257"/>
      <c r="C1591" s="258"/>
      <c r="D1591" s="258"/>
      <c r="E1591" s="259"/>
      <c r="F1591" s="258"/>
      <c r="G1591" s="258"/>
      <c r="H1591" s="258"/>
      <c r="I1591" s="258"/>
      <c r="J1591" s="258"/>
      <c r="K1591" s="258"/>
      <c r="L1591" s="258"/>
      <c r="M1591" s="261"/>
      <c r="N1591" s="262"/>
      <c r="O1591" s="259"/>
      <c r="P1591" s="259"/>
      <c r="Q1591" s="258"/>
      <c r="R1591" s="261"/>
      <c r="S1591" s="258"/>
      <c r="T1591" s="263"/>
      <c r="U1591" s="264"/>
      <c r="V1591" s="265"/>
      <c r="W1591" s="264"/>
      <c r="X1591" s="266"/>
      <c r="Y1591" s="267"/>
      <c r="Z1591" s="267"/>
      <c r="AA1591" s="269"/>
      <c r="AB1591" s="270"/>
      <c r="AC1591" s="270"/>
      <c r="AD1591" s="270"/>
      <c r="AE1591" s="270"/>
    </row>
    <row r="1592">
      <c r="A1592" s="258"/>
      <c r="B1592" s="257"/>
      <c r="C1592" s="258"/>
      <c r="D1592" s="258"/>
      <c r="E1592" s="259"/>
      <c r="F1592" s="258"/>
      <c r="G1592" s="258"/>
      <c r="H1592" s="258"/>
      <c r="I1592" s="258"/>
      <c r="J1592" s="258"/>
      <c r="K1592" s="258"/>
      <c r="L1592" s="258"/>
      <c r="M1592" s="261"/>
      <c r="N1592" s="262"/>
      <c r="O1592" s="259"/>
      <c r="P1592" s="259"/>
      <c r="Q1592" s="258"/>
      <c r="R1592" s="261"/>
      <c r="S1592" s="258"/>
      <c r="T1592" s="263"/>
      <c r="U1592" s="264"/>
      <c r="V1592" s="265"/>
      <c r="W1592" s="264"/>
      <c r="X1592" s="266"/>
      <c r="Y1592" s="267"/>
      <c r="Z1592" s="267"/>
      <c r="AA1592" s="269"/>
      <c r="AB1592" s="270"/>
      <c r="AC1592" s="270"/>
      <c r="AD1592" s="270"/>
      <c r="AE1592" s="270"/>
    </row>
    <row r="1593">
      <c r="A1593" s="258"/>
      <c r="B1593" s="257"/>
      <c r="C1593" s="258"/>
      <c r="D1593" s="258"/>
      <c r="E1593" s="259"/>
      <c r="F1593" s="258"/>
      <c r="G1593" s="258"/>
      <c r="H1593" s="258"/>
      <c r="I1593" s="258"/>
      <c r="J1593" s="258"/>
      <c r="K1593" s="258"/>
      <c r="L1593" s="258"/>
      <c r="M1593" s="261"/>
      <c r="N1593" s="262"/>
      <c r="O1593" s="259"/>
      <c r="P1593" s="259"/>
      <c r="Q1593" s="258"/>
      <c r="R1593" s="261"/>
      <c r="S1593" s="258"/>
      <c r="T1593" s="263"/>
      <c r="U1593" s="264"/>
      <c r="V1593" s="265"/>
      <c r="W1593" s="264"/>
      <c r="X1593" s="266"/>
      <c r="Y1593" s="267"/>
      <c r="Z1593" s="267"/>
      <c r="AA1593" s="269"/>
      <c r="AB1593" s="270"/>
      <c r="AC1593" s="270"/>
      <c r="AD1593" s="270"/>
      <c r="AE1593" s="270"/>
    </row>
    <row r="1594">
      <c r="A1594" s="258"/>
      <c r="B1594" s="257"/>
      <c r="C1594" s="258"/>
      <c r="D1594" s="258"/>
      <c r="E1594" s="259"/>
      <c r="F1594" s="258"/>
      <c r="G1594" s="258"/>
      <c r="H1594" s="258"/>
      <c r="I1594" s="258"/>
      <c r="J1594" s="258"/>
      <c r="K1594" s="258"/>
      <c r="L1594" s="258"/>
      <c r="M1594" s="261"/>
      <c r="N1594" s="262"/>
      <c r="O1594" s="259"/>
      <c r="P1594" s="259"/>
      <c r="Q1594" s="258"/>
      <c r="R1594" s="261"/>
      <c r="S1594" s="258"/>
      <c r="T1594" s="263"/>
      <c r="U1594" s="264"/>
      <c r="V1594" s="265"/>
      <c r="W1594" s="264"/>
      <c r="X1594" s="266"/>
      <c r="Y1594" s="267"/>
      <c r="Z1594" s="267"/>
      <c r="AA1594" s="269"/>
      <c r="AB1594" s="270"/>
      <c r="AC1594" s="270"/>
      <c r="AD1594" s="270"/>
      <c r="AE1594" s="270"/>
    </row>
    <row r="1595">
      <c r="A1595" s="258"/>
      <c r="B1595" s="257"/>
      <c r="C1595" s="258"/>
      <c r="D1595" s="258"/>
      <c r="E1595" s="259"/>
      <c r="F1595" s="258"/>
      <c r="G1595" s="258"/>
      <c r="H1595" s="258"/>
      <c r="I1595" s="258"/>
      <c r="J1595" s="258"/>
      <c r="K1595" s="258"/>
      <c r="L1595" s="258"/>
      <c r="M1595" s="261"/>
      <c r="N1595" s="262"/>
      <c r="O1595" s="259"/>
      <c r="P1595" s="259"/>
      <c r="Q1595" s="258"/>
      <c r="R1595" s="261"/>
      <c r="S1595" s="258"/>
      <c r="T1595" s="263"/>
      <c r="U1595" s="264"/>
      <c r="V1595" s="265"/>
      <c r="W1595" s="264"/>
      <c r="X1595" s="266"/>
      <c r="Y1595" s="267"/>
      <c r="Z1595" s="267"/>
      <c r="AA1595" s="269"/>
      <c r="AB1595" s="270"/>
      <c r="AC1595" s="270"/>
      <c r="AD1595" s="270"/>
      <c r="AE1595" s="270"/>
    </row>
    <row r="1596">
      <c r="A1596" s="258"/>
      <c r="B1596" s="257"/>
      <c r="C1596" s="258"/>
      <c r="D1596" s="258"/>
      <c r="E1596" s="259"/>
      <c r="F1596" s="258"/>
      <c r="G1596" s="258"/>
      <c r="H1596" s="258"/>
      <c r="I1596" s="258"/>
      <c r="J1596" s="258"/>
      <c r="K1596" s="258"/>
      <c r="L1596" s="258"/>
      <c r="M1596" s="261"/>
      <c r="N1596" s="262"/>
      <c r="O1596" s="259"/>
      <c r="P1596" s="259"/>
      <c r="Q1596" s="258"/>
      <c r="R1596" s="261"/>
      <c r="S1596" s="258"/>
      <c r="T1596" s="263"/>
      <c r="U1596" s="264"/>
      <c r="V1596" s="265"/>
      <c r="W1596" s="264"/>
      <c r="X1596" s="266"/>
      <c r="Y1596" s="267"/>
      <c r="Z1596" s="267"/>
      <c r="AA1596" s="269"/>
      <c r="AB1596" s="270"/>
      <c r="AC1596" s="270"/>
      <c r="AD1596" s="270"/>
      <c r="AE1596" s="270"/>
    </row>
    <row r="1597">
      <c r="A1597" s="258"/>
      <c r="B1597" s="257"/>
      <c r="C1597" s="258"/>
      <c r="D1597" s="258"/>
      <c r="E1597" s="259"/>
      <c r="F1597" s="258"/>
      <c r="G1597" s="258"/>
      <c r="H1597" s="258"/>
      <c r="I1597" s="258"/>
      <c r="J1597" s="258"/>
      <c r="K1597" s="258"/>
      <c r="L1597" s="258"/>
      <c r="M1597" s="261"/>
      <c r="N1597" s="262"/>
      <c r="O1597" s="259"/>
      <c r="P1597" s="259"/>
      <c r="Q1597" s="258"/>
      <c r="R1597" s="261"/>
      <c r="S1597" s="258"/>
      <c r="T1597" s="263"/>
      <c r="U1597" s="264"/>
      <c r="V1597" s="265"/>
      <c r="W1597" s="264"/>
      <c r="X1597" s="266"/>
      <c r="Y1597" s="267"/>
      <c r="Z1597" s="267"/>
      <c r="AA1597" s="269"/>
      <c r="AB1597" s="270"/>
      <c r="AC1597" s="270"/>
      <c r="AD1597" s="270"/>
      <c r="AE1597" s="270"/>
    </row>
    <row r="1598">
      <c r="A1598" s="258"/>
      <c r="B1598" s="257"/>
      <c r="C1598" s="258"/>
      <c r="D1598" s="258"/>
      <c r="E1598" s="259"/>
      <c r="F1598" s="258"/>
      <c r="G1598" s="258"/>
      <c r="H1598" s="258"/>
      <c r="I1598" s="258"/>
      <c r="J1598" s="258"/>
      <c r="K1598" s="258"/>
      <c r="L1598" s="258"/>
      <c r="M1598" s="261"/>
      <c r="N1598" s="262"/>
      <c r="O1598" s="259"/>
      <c r="P1598" s="259"/>
      <c r="Q1598" s="258"/>
      <c r="R1598" s="261"/>
      <c r="S1598" s="258"/>
      <c r="T1598" s="263"/>
      <c r="U1598" s="264"/>
      <c r="V1598" s="265"/>
      <c r="W1598" s="264"/>
      <c r="X1598" s="266"/>
      <c r="Y1598" s="267"/>
      <c r="Z1598" s="267"/>
      <c r="AA1598" s="269"/>
      <c r="AB1598" s="270"/>
      <c r="AC1598" s="270"/>
      <c r="AD1598" s="270"/>
      <c r="AE1598" s="270"/>
    </row>
    <row r="1599">
      <c r="A1599" s="258"/>
      <c r="B1599" s="257"/>
      <c r="C1599" s="258"/>
      <c r="D1599" s="258"/>
      <c r="E1599" s="259"/>
      <c r="F1599" s="258"/>
      <c r="G1599" s="258"/>
      <c r="H1599" s="258"/>
      <c r="I1599" s="258"/>
      <c r="J1599" s="258"/>
      <c r="K1599" s="258"/>
      <c r="L1599" s="258"/>
      <c r="M1599" s="261"/>
      <c r="N1599" s="262"/>
      <c r="O1599" s="259"/>
      <c r="P1599" s="259"/>
      <c r="Q1599" s="258"/>
      <c r="R1599" s="261"/>
      <c r="S1599" s="258"/>
      <c r="T1599" s="263"/>
      <c r="U1599" s="264"/>
      <c r="V1599" s="265"/>
      <c r="W1599" s="264"/>
      <c r="X1599" s="266"/>
      <c r="Y1599" s="267"/>
      <c r="Z1599" s="267"/>
      <c r="AA1599" s="269"/>
      <c r="AB1599" s="270"/>
      <c r="AC1599" s="270"/>
      <c r="AD1599" s="270"/>
      <c r="AE1599" s="270"/>
    </row>
    <row r="1600">
      <c r="A1600" s="258"/>
      <c r="B1600" s="257"/>
      <c r="C1600" s="258"/>
      <c r="D1600" s="258"/>
      <c r="E1600" s="259"/>
      <c r="F1600" s="258"/>
      <c r="G1600" s="258"/>
      <c r="H1600" s="258"/>
      <c r="I1600" s="258"/>
      <c r="J1600" s="258"/>
      <c r="K1600" s="258"/>
      <c r="L1600" s="258"/>
      <c r="M1600" s="261"/>
      <c r="N1600" s="262"/>
      <c r="O1600" s="259"/>
      <c r="P1600" s="259"/>
      <c r="Q1600" s="258"/>
      <c r="R1600" s="261"/>
      <c r="S1600" s="258"/>
      <c r="T1600" s="263"/>
      <c r="U1600" s="264"/>
      <c r="V1600" s="265"/>
      <c r="W1600" s="264"/>
      <c r="X1600" s="266"/>
      <c r="Y1600" s="267"/>
      <c r="Z1600" s="267"/>
      <c r="AA1600" s="269"/>
      <c r="AB1600" s="270"/>
      <c r="AC1600" s="270"/>
      <c r="AD1600" s="270"/>
      <c r="AE1600" s="270"/>
    </row>
  </sheetData>
  <hyperlinks>
    <hyperlink r:id="rId2" ref="X611"/>
    <hyperlink r:id="rId3" ref="B1534"/>
    <hyperlink r:id="rId4" ref="B1535"/>
    <hyperlink r:id="rId5" ref="B1536"/>
  </hyperlinks>
  <drawing r:id="rId6"/>
  <legacyDrawing r:id="rId7"/>
  <tableParts count="1">
    <tablePart r:id="rId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D0B"/>
    <outlinePr summaryBelow="0" summaryRight="0"/>
  </sheetPr>
  <sheetViews>
    <sheetView showGridLines="0" workbookViewId="0"/>
  </sheetViews>
  <sheetFormatPr customHeight="1" defaultColWidth="14.43" defaultRowHeight="15.75"/>
  <cols>
    <col customWidth="1" min="5" max="5" width="22.29"/>
  </cols>
  <sheetData>
    <row r="1" ht="20.25" customHeight="1">
      <c r="A1" s="180"/>
      <c r="B1" s="180"/>
      <c r="C1" s="180"/>
      <c r="D1" s="87" t="s">
        <v>1796</v>
      </c>
      <c r="E1" s="421"/>
      <c r="F1" s="180"/>
      <c r="G1" s="180"/>
      <c r="H1" s="180"/>
      <c r="I1" s="180"/>
      <c r="J1" s="180"/>
      <c r="K1" s="180"/>
    </row>
    <row r="2">
      <c r="A2" s="180"/>
      <c r="B2" s="180"/>
      <c r="C2" s="180"/>
      <c r="D2" s="180"/>
      <c r="E2" s="180"/>
      <c r="F2" s="180"/>
      <c r="G2" s="180"/>
      <c r="H2" s="180"/>
      <c r="I2" s="180"/>
      <c r="J2" s="180"/>
      <c r="K2" s="180"/>
    </row>
    <row r="3">
      <c r="A3" s="180"/>
      <c r="B3" s="180"/>
      <c r="C3" s="180"/>
      <c r="D3" s="180"/>
      <c r="E3" s="180"/>
      <c r="F3" s="180"/>
      <c r="G3" s="180"/>
      <c r="H3" s="180"/>
      <c r="I3" s="180"/>
      <c r="J3" s="180"/>
      <c r="K3" s="180"/>
    </row>
    <row r="4">
      <c r="A4" s="180"/>
      <c r="B4" s="180"/>
      <c r="C4" s="180"/>
      <c r="D4" s="180"/>
      <c r="E4" s="180"/>
      <c r="F4" s="180"/>
      <c r="G4" s="180"/>
      <c r="H4" s="180"/>
      <c r="I4" s="180"/>
      <c r="J4" s="180"/>
      <c r="K4" s="180"/>
    </row>
    <row r="5">
      <c r="A5" s="180"/>
      <c r="B5" s="180"/>
      <c r="C5" s="180"/>
      <c r="D5" s="180"/>
      <c r="E5" s="421"/>
      <c r="F5" s="180"/>
      <c r="G5" s="180"/>
      <c r="H5" s="180"/>
      <c r="I5" s="180"/>
      <c r="J5" s="180"/>
      <c r="K5" s="180"/>
    </row>
    <row r="6">
      <c r="A6" s="180"/>
      <c r="B6" s="180"/>
      <c r="C6" s="180"/>
      <c r="D6" s="180"/>
      <c r="E6" s="180"/>
      <c r="F6" s="180"/>
      <c r="G6" s="180"/>
      <c r="H6" s="180"/>
      <c r="I6" s="180"/>
      <c r="J6" s="180"/>
      <c r="K6" s="180"/>
    </row>
    <row r="7">
      <c r="A7" s="180"/>
      <c r="B7" s="180"/>
      <c r="C7" s="180"/>
      <c r="D7" s="180"/>
      <c r="E7" s="180"/>
      <c r="F7" s="180"/>
      <c r="G7" s="180"/>
      <c r="H7" s="180"/>
      <c r="I7" s="180"/>
      <c r="J7" s="180"/>
      <c r="K7" s="180"/>
    </row>
    <row r="8">
      <c r="A8" s="180"/>
      <c r="B8" s="180"/>
      <c r="C8" s="180"/>
      <c r="D8" s="180"/>
      <c r="E8" s="180"/>
      <c r="F8" s="180"/>
      <c r="G8" s="180"/>
      <c r="H8" s="180"/>
      <c r="I8" s="180"/>
      <c r="J8" s="180"/>
      <c r="K8" s="180"/>
    </row>
    <row r="9">
      <c r="A9" s="180"/>
      <c r="B9" s="180"/>
      <c r="C9" s="180"/>
      <c r="D9" s="180"/>
      <c r="E9" s="180"/>
      <c r="F9" s="180"/>
      <c r="G9" s="180"/>
      <c r="H9" s="180"/>
      <c r="I9" s="180"/>
      <c r="J9" s="180"/>
      <c r="K9" s="180"/>
    </row>
    <row r="10">
      <c r="A10" s="180"/>
      <c r="B10" s="180"/>
      <c r="C10" s="180"/>
      <c r="D10" s="180"/>
      <c r="E10" s="180"/>
      <c r="F10" s="180"/>
      <c r="G10" s="180"/>
      <c r="H10" s="180"/>
      <c r="I10" s="180"/>
      <c r="J10" s="180"/>
      <c r="K10" s="180"/>
    </row>
    <row r="11">
      <c r="A11" s="180"/>
      <c r="B11" s="180"/>
      <c r="C11" s="180"/>
      <c r="D11" s="180"/>
      <c r="E11" s="180"/>
      <c r="F11" s="180"/>
      <c r="G11" s="180"/>
      <c r="H11" s="180"/>
      <c r="I11" s="180"/>
      <c r="J11" s="180"/>
      <c r="K11" s="180"/>
    </row>
    <row r="12">
      <c r="A12" s="180"/>
      <c r="B12" s="180"/>
      <c r="C12" s="180"/>
      <c r="D12" s="180"/>
      <c r="E12" s="180"/>
      <c r="F12" s="180"/>
      <c r="G12" s="180"/>
      <c r="H12" s="180"/>
      <c r="I12" s="180"/>
      <c r="J12" s="180"/>
      <c r="K12" s="180"/>
    </row>
    <row r="13">
      <c r="A13" s="180"/>
      <c r="B13" s="180"/>
      <c r="C13" s="180"/>
      <c r="D13" s="180"/>
      <c r="E13" s="180"/>
      <c r="F13" s="180"/>
      <c r="G13" s="180"/>
      <c r="H13" s="180"/>
      <c r="I13" s="180"/>
      <c r="J13" s="180"/>
      <c r="K13" s="180"/>
    </row>
    <row r="14">
      <c r="A14" s="180"/>
      <c r="B14" s="180"/>
      <c r="C14" s="180"/>
      <c r="D14" s="180"/>
      <c r="E14" s="180"/>
      <c r="F14" s="180"/>
      <c r="G14" s="180"/>
      <c r="H14" s="180"/>
      <c r="I14" s="180"/>
      <c r="J14" s="180"/>
      <c r="K14" s="180"/>
    </row>
    <row r="15">
      <c r="A15" s="180"/>
      <c r="B15" s="180"/>
      <c r="C15" s="180"/>
      <c r="D15" s="180"/>
      <c r="E15" s="180"/>
      <c r="F15" s="180"/>
      <c r="G15" s="180"/>
      <c r="H15" s="180"/>
      <c r="I15" s="180"/>
      <c r="J15" s="180"/>
      <c r="K15" s="180"/>
    </row>
    <row r="16">
      <c r="A16" s="180"/>
      <c r="B16" s="180"/>
      <c r="C16" s="180"/>
      <c r="D16" s="180"/>
      <c r="E16" s="180"/>
      <c r="F16" s="180"/>
      <c r="G16" s="180"/>
      <c r="H16" s="180"/>
      <c r="I16" s="180"/>
      <c r="J16" s="180"/>
      <c r="K16" s="180"/>
    </row>
    <row r="17">
      <c r="A17" s="180"/>
      <c r="B17" s="180"/>
      <c r="C17" s="180"/>
      <c r="D17" s="180"/>
      <c r="E17" s="180"/>
      <c r="F17" s="180"/>
      <c r="G17" s="180"/>
      <c r="H17" s="180"/>
      <c r="I17" s="180"/>
      <c r="J17" s="180"/>
      <c r="K17" s="180"/>
    </row>
    <row r="18">
      <c r="A18" s="180"/>
      <c r="B18" s="180"/>
      <c r="C18" s="180"/>
      <c r="D18" s="180"/>
      <c r="E18" s="180"/>
      <c r="F18" s="180"/>
      <c r="G18" s="180"/>
      <c r="H18" s="180"/>
      <c r="I18" s="180"/>
      <c r="J18" s="180"/>
      <c r="K18" s="180"/>
    </row>
    <row r="19">
      <c r="A19" s="180"/>
      <c r="B19" s="180"/>
      <c r="C19" s="180"/>
      <c r="D19" s="180"/>
      <c r="E19" s="180"/>
      <c r="F19" s="180"/>
      <c r="G19" s="180"/>
      <c r="H19" s="180"/>
      <c r="I19" s="180"/>
      <c r="J19" s="180"/>
      <c r="K19" s="180"/>
    </row>
    <row r="20">
      <c r="A20" s="180"/>
      <c r="B20" s="180"/>
      <c r="C20" s="180"/>
      <c r="D20" s="180"/>
      <c r="E20" s="180"/>
      <c r="F20" s="180"/>
      <c r="G20" s="180"/>
      <c r="H20" s="180"/>
      <c r="I20" s="180"/>
      <c r="J20" s="180"/>
      <c r="K20" s="180"/>
    </row>
    <row r="21">
      <c r="A21" s="180"/>
      <c r="B21" s="180"/>
      <c r="C21" s="180"/>
      <c r="D21" s="180"/>
      <c r="E21" s="180"/>
      <c r="F21" s="180"/>
      <c r="G21" s="180"/>
      <c r="H21" s="180"/>
      <c r="I21" s="180"/>
      <c r="J21" s="180"/>
      <c r="K21" s="180"/>
    </row>
    <row r="22">
      <c r="A22" s="180"/>
      <c r="B22" s="180"/>
      <c r="C22" s="180"/>
      <c r="D22" s="180"/>
      <c r="E22" s="180"/>
      <c r="F22" s="180"/>
      <c r="G22" s="180"/>
      <c r="H22" s="180"/>
      <c r="I22" s="180"/>
      <c r="J22" s="180"/>
      <c r="K22" s="180"/>
    </row>
    <row r="23">
      <c r="A23" s="180"/>
      <c r="B23" s="180"/>
      <c r="C23" s="180"/>
      <c r="D23" s="180"/>
      <c r="E23" s="180"/>
      <c r="F23" s="180"/>
      <c r="G23" s="180"/>
      <c r="H23" s="180"/>
      <c r="I23" s="180"/>
      <c r="J23" s="180"/>
      <c r="K23" s="180"/>
    </row>
    <row r="24">
      <c r="A24" s="180"/>
      <c r="B24" s="180"/>
      <c r="C24" s="180"/>
      <c r="D24" s="180"/>
      <c r="E24" s="180"/>
      <c r="F24" s="180"/>
      <c r="G24" s="180"/>
      <c r="H24" s="180"/>
      <c r="I24" s="180"/>
      <c r="J24" s="180"/>
      <c r="K24" s="180"/>
    </row>
    <row r="25">
      <c r="A25" s="180"/>
      <c r="B25" s="180"/>
      <c r="C25" s="180"/>
      <c r="D25" s="180"/>
      <c r="E25" s="180"/>
      <c r="F25" s="180"/>
      <c r="G25" s="180"/>
      <c r="H25" s="180"/>
      <c r="I25" s="180"/>
      <c r="J25" s="180"/>
      <c r="K25" s="180"/>
    </row>
    <row r="26">
      <c r="A26" s="180"/>
      <c r="B26" s="180"/>
      <c r="C26" s="180"/>
      <c r="D26" s="180"/>
      <c r="E26" s="180"/>
      <c r="F26" s="180"/>
      <c r="G26" s="180"/>
      <c r="H26" s="180"/>
      <c r="I26" s="180"/>
      <c r="J26" s="180"/>
      <c r="K26" s="180"/>
    </row>
    <row r="27">
      <c r="A27" s="180"/>
      <c r="B27" s="180"/>
      <c r="C27" s="180"/>
      <c r="D27" s="180"/>
      <c r="E27" s="180"/>
      <c r="F27" s="180"/>
      <c r="G27" s="180"/>
      <c r="H27" s="180"/>
      <c r="I27" s="180"/>
      <c r="J27" s="180"/>
      <c r="K27" s="180"/>
    </row>
    <row r="28">
      <c r="A28" s="180"/>
      <c r="B28" s="180"/>
      <c r="C28" s="180"/>
      <c r="D28" s="180"/>
      <c r="E28" s="180"/>
      <c r="F28" s="180"/>
      <c r="G28" s="180"/>
      <c r="H28" s="180"/>
      <c r="I28" s="180"/>
      <c r="J28" s="180"/>
      <c r="K28" s="180"/>
    </row>
    <row r="29">
      <c r="A29" s="180"/>
      <c r="B29" s="180"/>
      <c r="C29" s="180"/>
      <c r="D29" s="180"/>
      <c r="E29" s="180"/>
      <c r="F29" s="180"/>
      <c r="G29" s="180"/>
      <c r="H29" s="180"/>
      <c r="I29" s="180"/>
      <c r="J29" s="180"/>
      <c r="K29" s="180"/>
    </row>
    <row r="30">
      <c r="A30" s="180"/>
      <c r="B30" s="180"/>
      <c r="C30" s="180"/>
      <c r="D30" s="180"/>
      <c r="E30" s="180"/>
      <c r="F30" s="180"/>
      <c r="G30" s="180"/>
      <c r="H30" s="180"/>
      <c r="I30" s="180"/>
      <c r="J30" s="180"/>
      <c r="K30" s="180"/>
    </row>
    <row r="31">
      <c r="A31" s="180"/>
      <c r="B31" s="180"/>
      <c r="C31" s="180"/>
      <c r="D31" s="180"/>
      <c r="E31" s="180"/>
      <c r="F31" s="180"/>
      <c r="G31" s="180"/>
      <c r="H31" s="180"/>
      <c r="I31" s="180"/>
      <c r="J31" s="180"/>
      <c r="K31" s="180"/>
    </row>
    <row r="32">
      <c r="A32" s="180"/>
      <c r="B32" s="180"/>
      <c r="C32" s="180"/>
      <c r="D32" s="180"/>
      <c r="E32" s="180"/>
      <c r="F32" s="180"/>
      <c r="G32" s="180"/>
      <c r="H32" s="180"/>
      <c r="I32" s="180"/>
      <c r="J32" s="180"/>
      <c r="K32" s="180"/>
    </row>
    <row r="33">
      <c r="A33" s="180"/>
      <c r="B33" s="180"/>
      <c r="C33" s="180"/>
      <c r="D33" s="180"/>
      <c r="E33" s="180"/>
      <c r="F33" s="180"/>
      <c r="G33" s="180"/>
      <c r="H33" s="180"/>
      <c r="I33" s="180"/>
      <c r="J33" s="180"/>
      <c r="K33" s="180"/>
    </row>
    <row r="34">
      <c r="A34" s="180"/>
      <c r="B34" s="180"/>
      <c r="C34" s="180"/>
      <c r="D34" s="180"/>
      <c r="E34" s="180"/>
      <c r="F34" s="180"/>
      <c r="G34" s="180"/>
      <c r="H34" s="180"/>
      <c r="I34" s="180"/>
      <c r="J34" s="180"/>
      <c r="K34" s="180"/>
    </row>
    <row r="35">
      <c r="A35" s="180"/>
      <c r="B35" s="180"/>
      <c r="C35" s="180"/>
      <c r="D35" s="180"/>
      <c r="E35" s="180"/>
      <c r="F35" s="180"/>
      <c r="G35" s="180"/>
      <c r="H35" s="180"/>
      <c r="I35" s="180"/>
      <c r="J35" s="180"/>
      <c r="K35" s="180"/>
    </row>
    <row r="36">
      <c r="A36" s="180"/>
      <c r="B36" s="180"/>
      <c r="C36" s="180"/>
      <c r="D36" s="180"/>
      <c r="E36" s="180"/>
      <c r="F36" s="180"/>
      <c r="G36" s="180"/>
      <c r="H36" s="180"/>
      <c r="I36" s="180"/>
      <c r="J36" s="180"/>
      <c r="K36" s="180"/>
    </row>
    <row r="37">
      <c r="A37" s="180"/>
      <c r="B37" s="180"/>
      <c r="C37" s="180"/>
      <c r="D37" s="180"/>
      <c r="E37" s="180"/>
      <c r="F37" s="180"/>
      <c r="G37" s="180"/>
      <c r="H37" s="180"/>
      <c r="I37" s="180"/>
      <c r="J37" s="180"/>
      <c r="K37" s="180"/>
    </row>
    <row r="38">
      <c r="A38" s="180"/>
      <c r="B38" s="180"/>
      <c r="C38" s="180"/>
      <c r="D38" s="180"/>
      <c r="E38" s="180"/>
      <c r="F38" s="180"/>
      <c r="G38" s="180"/>
      <c r="H38" s="180"/>
      <c r="I38" s="180"/>
      <c r="J38" s="180"/>
      <c r="K38" s="180"/>
    </row>
    <row r="39">
      <c r="A39" s="180"/>
      <c r="B39" s="180"/>
      <c r="C39" s="180"/>
      <c r="D39" s="180"/>
      <c r="E39" s="180"/>
      <c r="F39" s="180"/>
      <c r="G39" s="180"/>
      <c r="H39" s="180"/>
      <c r="I39" s="180"/>
      <c r="J39" s="180"/>
      <c r="K39" s="180"/>
    </row>
    <row r="40">
      <c r="A40" s="180"/>
      <c r="B40" s="180"/>
      <c r="C40" s="180"/>
      <c r="D40" s="180"/>
      <c r="E40" s="180"/>
      <c r="F40" s="180"/>
      <c r="G40" s="180"/>
      <c r="H40" s="180"/>
      <c r="I40" s="180"/>
      <c r="J40" s="180"/>
      <c r="K40" s="180"/>
    </row>
    <row r="41">
      <c r="A41" s="180"/>
      <c r="B41" s="180"/>
      <c r="C41" s="180"/>
      <c r="D41" s="180"/>
      <c r="E41" s="180"/>
      <c r="F41" s="180"/>
      <c r="G41" s="180"/>
      <c r="H41" s="180"/>
      <c r="I41" s="180"/>
      <c r="J41" s="180"/>
      <c r="K41" s="180"/>
    </row>
    <row r="42">
      <c r="A42" s="180"/>
      <c r="B42" s="180"/>
      <c r="C42" s="180"/>
      <c r="D42" s="180"/>
      <c r="E42" s="180"/>
      <c r="F42" s="180"/>
      <c r="G42" s="180"/>
      <c r="H42" s="180"/>
      <c r="I42" s="180"/>
      <c r="J42" s="180"/>
      <c r="K42" s="180"/>
    </row>
    <row r="43">
      <c r="A43" s="180"/>
      <c r="B43" s="180"/>
      <c r="C43" s="180"/>
      <c r="D43" s="180"/>
      <c r="E43" s="180"/>
      <c r="F43" s="180"/>
      <c r="G43" s="180"/>
      <c r="H43" s="180"/>
      <c r="I43" s="180"/>
      <c r="J43" s="180"/>
      <c r="K43" s="180"/>
    </row>
    <row r="44">
      <c r="A44" s="180"/>
      <c r="B44" s="180"/>
      <c r="C44" s="180"/>
      <c r="D44" s="180"/>
      <c r="E44" s="180"/>
      <c r="F44" s="180"/>
      <c r="G44" s="180"/>
      <c r="H44" s="180"/>
      <c r="I44" s="180"/>
      <c r="J44" s="180"/>
      <c r="K44" s="180"/>
    </row>
    <row r="45">
      <c r="A45" s="180"/>
      <c r="B45" s="180"/>
      <c r="C45" s="180"/>
      <c r="D45" s="180"/>
      <c r="E45" s="180"/>
      <c r="F45" s="180"/>
      <c r="G45" s="180"/>
      <c r="H45" s="180"/>
      <c r="I45" s="180"/>
      <c r="J45" s="180"/>
      <c r="K45" s="180"/>
    </row>
    <row r="46">
      <c r="A46" s="180"/>
      <c r="B46" s="180"/>
      <c r="C46" s="180"/>
      <c r="D46" s="180"/>
      <c r="E46" s="180"/>
      <c r="F46" s="180"/>
      <c r="G46" s="180"/>
      <c r="H46" s="180"/>
      <c r="I46" s="180"/>
      <c r="J46" s="180"/>
      <c r="K46" s="180"/>
    </row>
    <row r="47">
      <c r="A47" s="180"/>
      <c r="B47" s="180"/>
      <c r="C47" s="180"/>
      <c r="D47" s="180"/>
      <c r="E47" s="180"/>
      <c r="F47" s="180"/>
      <c r="G47" s="180"/>
      <c r="H47" s="180"/>
      <c r="I47" s="180"/>
      <c r="J47" s="180"/>
      <c r="K47" s="180"/>
    </row>
    <row r="48">
      <c r="A48" s="180"/>
      <c r="B48" s="180"/>
      <c r="C48" s="180"/>
      <c r="D48" s="180"/>
      <c r="E48" s="180"/>
      <c r="F48" s="180"/>
      <c r="G48" s="180"/>
      <c r="H48" s="180"/>
      <c r="I48" s="180"/>
      <c r="J48" s="180"/>
      <c r="K48" s="180"/>
    </row>
    <row r="49">
      <c r="A49" s="180"/>
      <c r="B49" s="180"/>
      <c r="C49" s="180"/>
      <c r="D49" s="180"/>
      <c r="E49" s="180"/>
      <c r="F49" s="180"/>
      <c r="G49" s="180"/>
      <c r="H49" s="180"/>
      <c r="I49" s="180"/>
      <c r="J49" s="180"/>
      <c r="K49" s="180"/>
    </row>
    <row r="50">
      <c r="A50" s="180"/>
      <c r="B50" s="180"/>
      <c r="C50" s="180"/>
      <c r="D50" s="180"/>
      <c r="E50" s="180"/>
      <c r="F50" s="180"/>
      <c r="G50" s="180"/>
      <c r="H50" s="180"/>
      <c r="I50" s="180"/>
      <c r="J50" s="180"/>
      <c r="K50" s="180"/>
    </row>
    <row r="51">
      <c r="A51" s="180"/>
      <c r="B51" s="180"/>
      <c r="C51" s="180"/>
      <c r="D51" s="180"/>
      <c r="E51" s="180"/>
      <c r="F51" s="180"/>
      <c r="G51" s="180"/>
      <c r="H51" s="180"/>
      <c r="I51" s="180"/>
      <c r="J51" s="180"/>
      <c r="K51" s="180"/>
    </row>
    <row r="52">
      <c r="A52" s="180"/>
      <c r="B52" s="180"/>
      <c r="C52" s="180"/>
      <c r="D52" s="180"/>
      <c r="E52" s="180"/>
      <c r="F52" s="180"/>
      <c r="G52" s="180"/>
      <c r="H52" s="180"/>
      <c r="I52" s="180"/>
      <c r="J52" s="180"/>
      <c r="K52" s="180"/>
    </row>
    <row r="53">
      <c r="A53" s="180"/>
      <c r="B53" s="180"/>
      <c r="C53" s="180"/>
      <c r="D53" s="180"/>
      <c r="E53" s="180"/>
      <c r="F53" s="180"/>
      <c r="G53" s="180"/>
      <c r="H53" s="180"/>
      <c r="I53" s="180"/>
      <c r="J53" s="180"/>
      <c r="K53" s="180"/>
    </row>
    <row r="54">
      <c r="A54" s="180"/>
      <c r="B54" s="180"/>
      <c r="C54" s="180"/>
      <c r="D54" s="180"/>
      <c r="E54" s="180"/>
      <c r="F54" s="180"/>
      <c r="G54" s="180"/>
      <c r="H54" s="180"/>
      <c r="I54" s="180"/>
      <c r="J54" s="180"/>
      <c r="K54" s="180"/>
    </row>
    <row r="55">
      <c r="A55" s="180"/>
      <c r="B55" s="180"/>
      <c r="C55" s="180"/>
      <c r="D55" s="180"/>
      <c r="E55" s="180"/>
      <c r="F55" s="180"/>
      <c r="G55" s="180"/>
      <c r="H55" s="180"/>
      <c r="I55" s="180"/>
      <c r="J55" s="180"/>
      <c r="K55" s="180"/>
    </row>
    <row r="56">
      <c r="A56" s="180"/>
      <c r="B56" s="180"/>
      <c r="C56" s="180"/>
      <c r="D56" s="180"/>
      <c r="E56" s="180"/>
      <c r="F56" s="180"/>
      <c r="G56" s="180"/>
      <c r="H56" s="180"/>
      <c r="I56" s="180"/>
      <c r="J56" s="180"/>
      <c r="K56" s="180"/>
    </row>
    <row r="57">
      <c r="A57" s="180"/>
      <c r="B57" s="180"/>
      <c r="C57" s="180"/>
      <c r="D57" s="180"/>
      <c r="E57" s="180"/>
      <c r="F57" s="180"/>
      <c r="G57" s="180"/>
      <c r="H57" s="180"/>
      <c r="I57" s="180"/>
      <c r="J57" s="180"/>
      <c r="K57" s="180"/>
    </row>
    <row r="58">
      <c r="A58" s="180"/>
      <c r="B58" s="180"/>
      <c r="C58" s="180"/>
      <c r="D58" s="180"/>
      <c r="E58" s="180"/>
      <c r="F58" s="180"/>
      <c r="G58" s="180"/>
      <c r="H58" s="180"/>
      <c r="I58" s="180"/>
      <c r="J58" s="180"/>
      <c r="K58" s="180"/>
    </row>
    <row r="59">
      <c r="A59" s="180"/>
      <c r="B59" s="180"/>
      <c r="C59" s="180"/>
      <c r="D59" s="180"/>
      <c r="E59" s="180"/>
      <c r="F59" s="180"/>
      <c r="G59" s="180"/>
      <c r="H59" s="180"/>
      <c r="I59" s="180"/>
      <c r="J59" s="180"/>
      <c r="K59" s="180"/>
    </row>
    <row r="60">
      <c r="A60" s="180"/>
      <c r="B60" s="180"/>
      <c r="C60" s="180"/>
      <c r="D60" s="180"/>
      <c r="E60" s="180"/>
      <c r="F60" s="180"/>
      <c r="G60" s="180"/>
      <c r="H60" s="180"/>
      <c r="I60" s="180"/>
      <c r="J60" s="180"/>
      <c r="K60" s="180"/>
    </row>
    <row r="61">
      <c r="A61" s="180"/>
      <c r="B61" s="180"/>
      <c r="C61" s="180"/>
      <c r="D61" s="180"/>
      <c r="E61" s="180"/>
      <c r="F61" s="180"/>
      <c r="G61" s="180"/>
      <c r="H61" s="180"/>
      <c r="I61" s="180"/>
      <c r="J61" s="180"/>
      <c r="K61" s="180"/>
    </row>
    <row r="62">
      <c r="A62" s="180"/>
      <c r="B62" s="180"/>
      <c r="C62" s="180"/>
      <c r="D62" s="180"/>
      <c r="E62" s="180"/>
      <c r="F62" s="180"/>
      <c r="G62" s="180"/>
      <c r="H62" s="180"/>
      <c r="I62" s="180"/>
      <c r="J62" s="180"/>
      <c r="K62" s="180"/>
    </row>
    <row r="63">
      <c r="A63" s="180"/>
      <c r="B63" s="180"/>
      <c r="C63" s="180"/>
      <c r="D63" s="180"/>
      <c r="E63" s="180"/>
      <c r="F63" s="180"/>
      <c r="G63" s="180"/>
      <c r="H63" s="180"/>
      <c r="I63" s="180"/>
      <c r="J63" s="180"/>
      <c r="K63" s="180"/>
    </row>
    <row r="64">
      <c r="A64" s="180"/>
      <c r="B64" s="180"/>
      <c r="C64" s="180"/>
      <c r="D64" s="180"/>
      <c r="E64" s="180"/>
      <c r="F64" s="180"/>
      <c r="G64" s="180"/>
      <c r="H64" s="180"/>
      <c r="I64" s="180"/>
      <c r="J64" s="180"/>
      <c r="K64" s="180"/>
    </row>
    <row r="65">
      <c r="A65" s="180"/>
      <c r="B65" s="180"/>
      <c r="C65" s="180"/>
      <c r="D65" s="180"/>
      <c r="E65" s="180"/>
      <c r="F65" s="180"/>
      <c r="G65" s="180"/>
      <c r="H65" s="180"/>
      <c r="I65" s="180"/>
      <c r="J65" s="180"/>
      <c r="K65" s="180"/>
    </row>
    <row r="66">
      <c r="A66" s="180"/>
      <c r="B66" s="180"/>
      <c r="C66" s="180"/>
      <c r="D66" s="180"/>
      <c r="E66" s="180"/>
      <c r="F66" s="180"/>
      <c r="G66" s="180"/>
      <c r="H66" s="180"/>
      <c r="I66" s="180"/>
      <c r="J66" s="180"/>
      <c r="K66" s="180"/>
    </row>
    <row r="67">
      <c r="A67" s="180"/>
      <c r="B67" s="180"/>
      <c r="C67" s="180"/>
      <c r="D67" s="180"/>
      <c r="E67" s="180"/>
      <c r="F67" s="180"/>
      <c r="G67" s="180"/>
      <c r="H67" s="180"/>
      <c r="I67" s="180"/>
      <c r="J67" s="180"/>
      <c r="K67" s="180"/>
    </row>
    <row r="68">
      <c r="A68" s="180"/>
      <c r="B68" s="180"/>
      <c r="C68" s="180"/>
      <c r="D68" s="180"/>
      <c r="E68" s="180"/>
      <c r="F68" s="180"/>
      <c r="G68" s="180"/>
      <c r="H68" s="180"/>
      <c r="I68" s="180"/>
      <c r="J68" s="180"/>
      <c r="K68" s="180"/>
    </row>
    <row r="69">
      <c r="A69" s="180"/>
      <c r="B69" s="180"/>
      <c r="C69" s="180"/>
      <c r="D69" s="180"/>
      <c r="E69" s="180"/>
      <c r="F69" s="180"/>
      <c r="G69" s="180"/>
      <c r="H69" s="180"/>
      <c r="I69" s="180"/>
      <c r="J69" s="180"/>
      <c r="K69" s="180"/>
    </row>
    <row r="70">
      <c r="A70" s="180"/>
      <c r="B70" s="180"/>
      <c r="C70" s="180"/>
      <c r="D70" s="180"/>
      <c r="E70" s="180"/>
      <c r="F70" s="180"/>
      <c r="G70" s="180"/>
      <c r="H70" s="180"/>
      <c r="I70" s="180"/>
      <c r="J70" s="180"/>
      <c r="K70" s="180"/>
    </row>
    <row r="71">
      <c r="A71" s="180"/>
      <c r="B71" s="180"/>
      <c r="C71" s="180"/>
      <c r="D71" s="180"/>
      <c r="E71" s="180"/>
      <c r="F71" s="180"/>
      <c r="G71" s="180"/>
      <c r="H71" s="180"/>
      <c r="I71" s="180"/>
      <c r="J71" s="180"/>
      <c r="K71" s="180"/>
    </row>
    <row r="72">
      <c r="A72" s="180"/>
      <c r="B72" s="180"/>
      <c r="C72" s="180"/>
      <c r="D72" s="180"/>
      <c r="E72" s="180"/>
      <c r="F72" s="180"/>
      <c r="G72" s="180"/>
      <c r="H72" s="180"/>
      <c r="I72" s="180"/>
      <c r="J72" s="180"/>
      <c r="K72" s="180"/>
    </row>
    <row r="73">
      <c r="A73" s="180"/>
      <c r="B73" s="180"/>
      <c r="C73" s="180"/>
      <c r="D73" s="180"/>
      <c r="E73" s="180"/>
      <c r="F73" s="180"/>
      <c r="G73" s="180"/>
      <c r="H73" s="180"/>
      <c r="I73" s="180"/>
      <c r="J73" s="180"/>
      <c r="K73" s="180"/>
    </row>
    <row r="74">
      <c r="A74" s="180"/>
      <c r="B74" s="180"/>
      <c r="C74" s="180"/>
      <c r="D74" s="180"/>
      <c r="E74" s="180"/>
      <c r="F74" s="180"/>
      <c r="G74" s="180"/>
      <c r="H74" s="180"/>
      <c r="I74" s="180"/>
      <c r="J74" s="180"/>
      <c r="K74" s="180"/>
    </row>
    <row r="75">
      <c r="A75" s="180"/>
      <c r="B75" s="180"/>
      <c r="C75" s="180"/>
      <c r="D75" s="180"/>
      <c r="E75" s="180"/>
      <c r="F75" s="180"/>
      <c r="G75" s="180"/>
      <c r="H75" s="180"/>
      <c r="I75" s="180"/>
      <c r="J75" s="180"/>
      <c r="K75" s="180"/>
    </row>
    <row r="76">
      <c r="A76" s="180"/>
      <c r="B76" s="180"/>
      <c r="C76" s="180"/>
      <c r="D76" s="180"/>
      <c r="E76" s="180"/>
      <c r="F76" s="180"/>
      <c r="G76" s="180"/>
      <c r="H76" s="180"/>
      <c r="I76" s="180"/>
      <c r="J76" s="180"/>
      <c r="K76" s="180"/>
    </row>
    <row r="77">
      <c r="A77" s="180"/>
      <c r="B77" s="180"/>
      <c r="C77" s="180"/>
      <c r="D77" s="180"/>
      <c r="E77" s="180"/>
      <c r="F77" s="180"/>
      <c r="G77" s="180"/>
      <c r="H77" s="180"/>
      <c r="I77" s="180"/>
      <c r="J77" s="180"/>
      <c r="K77" s="180"/>
    </row>
    <row r="78">
      <c r="A78" s="180"/>
      <c r="B78" s="180"/>
      <c r="C78" s="180"/>
      <c r="D78" s="180"/>
      <c r="E78" s="180"/>
      <c r="F78" s="180"/>
      <c r="G78" s="180"/>
      <c r="H78" s="180"/>
      <c r="I78" s="180"/>
      <c r="J78" s="180"/>
      <c r="K78" s="180"/>
    </row>
    <row r="79">
      <c r="A79" s="180"/>
      <c r="B79" s="180"/>
      <c r="C79" s="180"/>
      <c r="D79" s="180"/>
      <c r="E79" s="180"/>
      <c r="F79" s="180"/>
      <c r="G79" s="180"/>
      <c r="H79" s="180"/>
      <c r="I79" s="180"/>
      <c r="J79" s="180"/>
      <c r="K79" s="180"/>
    </row>
    <row r="80">
      <c r="A80" s="180"/>
      <c r="B80" s="180"/>
      <c r="C80" s="180"/>
      <c r="D80" s="180"/>
      <c r="E80" s="180"/>
      <c r="F80" s="180"/>
      <c r="G80" s="180"/>
      <c r="H80" s="180"/>
      <c r="I80" s="180"/>
      <c r="J80" s="180"/>
      <c r="K80" s="180"/>
    </row>
    <row r="81">
      <c r="A81" s="180"/>
      <c r="B81" s="180"/>
      <c r="C81" s="180"/>
      <c r="D81" s="180"/>
      <c r="E81" s="180"/>
      <c r="F81" s="180"/>
      <c r="G81" s="180"/>
      <c r="H81" s="180"/>
      <c r="I81" s="180"/>
      <c r="J81" s="180"/>
      <c r="K81" s="180"/>
    </row>
    <row r="82">
      <c r="A82" s="180"/>
      <c r="B82" s="180"/>
      <c r="C82" s="180"/>
      <c r="D82" s="180"/>
      <c r="E82" s="180"/>
      <c r="F82" s="180"/>
      <c r="G82" s="180"/>
      <c r="H82" s="180"/>
      <c r="I82" s="180"/>
      <c r="J82" s="180"/>
      <c r="K82" s="180"/>
    </row>
    <row r="83">
      <c r="A83" s="180"/>
      <c r="B83" s="180"/>
      <c r="C83" s="180"/>
      <c r="D83" s="180"/>
      <c r="E83" s="180"/>
      <c r="F83" s="180"/>
      <c r="G83" s="180"/>
      <c r="H83" s="180"/>
      <c r="I83" s="180"/>
      <c r="J83" s="180"/>
      <c r="K83" s="180"/>
    </row>
    <row r="84">
      <c r="A84" s="180"/>
      <c r="B84" s="180"/>
      <c r="C84" s="180"/>
      <c r="D84" s="180"/>
      <c r="E84" s="180"/>
      <c r="F84" s="180"/>
      <c r="G84" s="180"/>
      <c r="H84" s="180"/>
      <c r="I84" s="180"/>
      <c r="J84" s="180"/>
      <c r="K84" s="180"/>
    </row>
    <row r="85">
      <c r="A85" s="180"/>
      <c r="B85" s="180"/>
      <c r="C85" s="180"/>
      <c r="D85" s="180"/>
      <c r="E85" s="180"/>
      <c r="F85" s="180"/>
      <c r="G85" s="180"/>
      <c r="H85" s="180"/>
      <c r="I85" s="180"/>
      <c r="J85" s="180"/>
      <c r="K85" s="180"/>
    </row>
    <row r="86">
      <c r="A86" s="180"/>
      <c r="B86" s="180"/>
      <c r="C86" s="180"/>
      <c r="D86" s="180"/>
      <c r="E86" s="180"/>
      <c r="F86" s="180"/>
      <c r="G86" s="180"/>
      <c r="H86" s="180"/>
      <c r="I86" s="180"/>
      <c r="J86" s="180"/>
      <c r="K86" s="180"/>
    </row>
    <row r="87">
      <c r="A87" s="180"/>
      <c r="B87" s="180"/>
      <c r="C87" s="180"/>
      <c r="D87" s="180"/>
      <c r="E87" s="180"/>
      <c r="F87" s="180"/>
      <c r="G87" s="180"/>
      <c r="H87" s="180"/>
      <c r="I87" s="180"/>
      <c r="J87" s="180"/>
      <c r="K87" s="180"/>
    </row>
    <row r="88">
      <c r="A88" s="180"/>
      <c r="B88" s="180"/>
      <c r="C88" s="180"/>
      <c r="D88" s="180"/>
      <c r="E88" s="180"/>
      <c r="F88" s="180"/>
      <c r="G88" s="180"/>
      <c r="H88" s="180"/>
      <c r="I88" s="180"/>
      <c r="J88" s="180"/>
      <c r="K88" s="180"/>
    </row>
    <row r="89">
      <c r="A89" s="180"/>
      <c r="B89" s="180"/>
      <c r="C89" s="180"/>
      <c r="D89" s="180"/>
      <c r="E89" s="180"/>
      <c r="F89" s="180"/>
      <c r="G89" s="180"/>
      <c r="H89" s="180"/>
      <c r="I89" s="180"/>
      <c r="J89" s="180"/>
      <c r="K89" s="180"/>
    </row>
    <row r="90">
      <c r="A90" s="180"/>
      <c r="B90" s="180"/>
      <c r="C90" s="180"/>
      <c r="D90" s="180"/>
      <c r="E90" s="180"/>
      <c r="F90" s="180"/>
      <c r="G90" s="180"/>
      <c r="H90" s="180"/>
      <c r="I90" s="180"/>
      <c r="J90" s="180"/>
      <c r="K90" s="180"/>
    </row>
    <row r="91">
      <c r="A91" s="180"/>
      <c r="B91" s="180"/>
      <c r="C91" s="180"/>
      <c r="D91" s="180"/>
      <c r="E91" s="180"/>
      <c r="F91" s="180"/>
      <c r="G91" s="180"/>
      <c r="H91" s="180"/>
      <c r="I91" s="180"/>
      <c r="J91" s="180"/>
      <c r="K91" s="180"/>
    </row>
    <row r="92">
      <c r="A92" s="180"/>
      <c r="B92" s="180"/>
      <c r="C92" s="180"/>
      <c r="D92" s="180"/>
      <c r="E92" s="180"/>
      <c r="F92" s="180"/>
      <c r="G92" s="180"/>
      <c r="H92" s="180"/>
      <c r="I92" s="180"/>
      <c r="J92" s="180"/>
      <c r="K92" s="180"/>
    </row>
    <row r="93">
      <c r="A93" s="180"/>
      <c r="B93" s="180"/>
      <c r="C93" s="180"/>
      <c r="D93" s="180"/>
      <c r="E93" s="180"/>
      <c r="F93" s="180"/>
      <c r="G93" s="180"/>
      <c r="H93" s="180"/>
      <c r="I93" s="180"/>
      <c r="J93" s="180"/>
      <c r="K93" s="180"/>
    </row>
    <row r="94">
      <c r="A94" s="180"/>
      <c r="B94" s="180"/>
      <c r="C94" s="180"/>
      <c r="D94" s="180"/>
      <c r="E94" s="180"/>
      <c r="F94" s="180"/>
      <c r="G94" s="180"/>
      <c r="H94" s="180"/>
      <c r="I94" s="180"/>
      <c r="J94" s="180"/>
      <c r="K94" s="180"/>
    </row>
    <row r="95">
      <c r="A95" s="180"/>
      <c r="B95" s="180"/>
      <c r="C95" s="180"/>
      <c r="D95" s="180"/>
      <c r="E95" s="180"/>
      <c r="F95" s="180"/>
      <c r="G95" s="180"/>
      <c r="H95" s="180"/>
      <c r="I95" s="180"/>
      <c r="J95" s="180"/>
      <c r="K95" s="180"/>
    </row>
    <row r="96">
      <c r="A96" s="180"/>
      <c r="B96" s="180"/>
      <c r="C96" s="180"/>
      <c r="D96" s="180"/>
      <c r="E96" s="180"/>
      <c r="F96" s="180"/>
      <c r="G96" s="180"/>
      <c r="H96" s="180"/>
      <c r="I96" s="180"/>
      <c r="J96" s="180"/>
      <c r="K96" s="180"/>
    </row>
    <row r="97">
      <c r="A97" s="180"/>
      <c r="B97" s="180"/>
      <c r="C97" s="180"/>
      <c r="D97" s="180"/>
      <c r="E97" s="180"/>
      <c r="F97" s="180"/>
      <c r="G97" s="180"/>
      <c r="H97" s="180"/>
      <c r="I97" s="180"/>
      <c r="J97" s="180"/>
      <c r="K97" s="180"/>
    </row>
    <row r="98">
      <c r="A98" s="180"/>
      <c r="B98" s="180"/>
      <c r="C98" s="180"/>
      <c r="D98" s="180"/>
      <c r="E98" s="180"/>
      <c r="F98" s="180"/>
      <c r="G98" s="180"/>
      <c r="H98" s="180"/>
      <c r="I98" s="180"/>
      <c r="J98" s="180"/>
      <c r="K98" s="180"/>
    </row>
    <row r="99">
      <c r="A99" s="180"/>
      <c r="B99" s="180"/>
      <c r="C99" s="180"/>
      <c r="D99" s="180"/>
      <c r="E99" s="180"/>
      <c r="F99" s="180"/>
      <c r="G99" s="180"/>
      <c r="H99" s="180"/>
      <c r="I99" s="180"/>
      <c r="J99" s="180"/>
      <c r="K99" s="180"/>
    </row>
    <row r="100">
      <c r="A100" s="180"/>
      <c r="B100" s="180"/>
      <c r="C100" s="180"/>
      <c r="D100" s="180"/>
      <c r="E100" s="180"/>
      <c r="F100" s="180"/>
      <c r="G100" s="180"/>
      <c r="H100" s="180"/>
      <c r="I100" s="180"/>
      <c r="J100" s="180"/>
      <c r="K100" s="180"/>
    </row>
  </sheetData>
  <dataValidations>
    <dataValidation type="list" allowBlank="1" showErrorMessage="1" sqref="E1 E5">
      <formula1>'All entries'!$X:$X</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6" width="21.57"/>
  </cols>
  <sheetData>
    <row r="1">
      <c r="A1" s="50" t="s">
        <v>1117</v>
      </c>
      <c r="B1" s="50" t="s">
        <v>59</v>
      </c>
      <c r="C1" s="50" t="s">
        <v>1118</v>
      </c>
      <c r="D1" s="303" t="s">
        <v>1119</v>
      </c>
      <c r="E1" s="50" t="s">
        <v>1120</v>
      </c>
      <c r="F1" s="50" t="s">
        <v>1121</v>
      </c>
      <c r="G1" s="50" t="s">
        <v>1122</v>
      </c>
      <c r="H1" s="50" t="s">
        <v>1123</v>
      </c>
      <c r="I1" s="50" t="s">
        <v>1124</v>
      </c>
      <c r="J1" s="50" t="s">
        <v>1125</v>
      </c>
      <c r="K1" s="50" t="s">
        <v>1126</v>
      </c>
      <c r="L1" s="50" t="s">
        <v>1127</v>
      </c>
      <c r="M1" s="303" t="s">
        <v>1128</v>
      </c>
      <c r="N1" s="303" t="s">
        <v>1129</v>
      </c>
      <c r="O1" s="303" t="s">
        <v>1130</v>
      </c>
      <c r="P1" s="50" t="s">
        <v>1131</v>
      </c>
      <c r="Q1" s="50" t="s">
        <v>1132</v>
      </c>
      <c r="R1" s="50" t="s">
        <v>1133</v>
      </c>
      <c r="S1" s="50" t="s">
        <v>1134</v>
      </c>
      <c r="T1" s="303" t="s">
        <v>1135</v>
      </c>
      <c r="U1" s="50" t="s">
        <v>1136</v>
      </c>
      <c r="V1" s="50" t="s">
        <v>1137</v>
      </c>
      <c r="W1" s="303" t="s">
        <v>1138</v>
      </c>
      <c r="X1" s="50" t="s">
        <v>1139</v>
      </c>
      <c r="Y1" s="50" t="s">
        <v>1140</v>
      </c>
      <c r="Z1" s="50" t="s">
        <v>1141</v>
      </c>
      <c r="AA1" s="303" t="s">
        <v>1142</v>
      </c>
      <c r="AB1" s="50" t="s">
        <v>1143</v>
      </c>
      <c r="AC1" s="50" t="s">
        <v>1144</v>
      </c>
      <c r="AD1" s="303" t="s">
        <v>1145</v>
      </c>
      <c r="AE1" s="50" t="s">
        <v>1146</v>
      </c>
      <c r="AF1" s="50" t="s">
        <v>1147</v>
      </c>
      <c r="AG1" s="303" t="s">
        <v>1148</v>
      </c>
      <c r="AH1" s="50" t="s">
        <v>1149</v>
      </c>
      <c r="AI1" s="50" t="s">
        <v>1150</v>
      </c>
      <c r="AJ1" s="303" t="s">
        <v>1151</v>
      </c>
      <c r="AK1" s="50" t="s">
        <v>1152</v>
      </c>
      <c r="AL1" s="50" t="s">
        <v>1140</v>
      </c>
      <c r="AM1" s="50" t="s">
        <v>1153</v>
      </c>
      <c r="AN1" s="303" t="s">
        <v>1154</v>
      </c>
      <c r="AO1" s="50" t="s">
        <v>1155</v>
      </c>
      <c r="AP1" s="50" t="s">
        <v>1156</v>
      </c>
      <c r="AQ1" s="303" t="s">
        <v>1157</v>
      </c>
      <c r="AR1" s="50" t="s">
        <v>1158</v>
      </c>
      <c r="AS1" s="50" t="s">
        <v>1159</v>
      </c>
      <c r="AT1" s="303" t="s">
        <v>1160</v>
      </c>
      <c r="AU1" s="50" t="s">
        <v>1161</v>
      </c>
      <c r="AV1" s="50" t="s">
        <v>1162</v>
      </c>
      <c r="AW1" s="303" t="s">
        <v>1163</v>
      </c>
      <c r="AX1" s="50" t="s">
        <v>1164</v>
      </c>
      <c r="AY1" s="303" t="s">
        <v>1140</v>
      </c>
      <c r="AZ1" s="50" t="s">
        <v>1165</v>
      </c>
      <c r="BA1" s="303" t="s">
        <v>1166</v>
      </c>
      <c r="BB1" s="50" t="s">
        <v>1167</v>
      </c>
      <c r="BC1" s="303" t="s">
        <v>1168</v>
      </c>
      <c r="BD1" s="303" t="s">
        <v>1169</v>
      </c>
      <c r="BE1" s="303" t="s">
        <v>1170</v>
      </c>
      <c r="BF1" s="303" t="s">
        <v>1171</v>
      </c>
      <c r="BG1" s="303" t="s">
        <v>1172</v>
      </c>
      <c r="BH1" s="303" t="s">
        <v>1173</v>
      </c>
      <c r="BI1" s="303" t="s">
        <v>1174</v>
      </c>
      <c r="BJ1" s="303" t="s">
        <v>1175</v>
      </c>
      <c r="BK1" s="303" t="s">
        <v>1176</v>
      </c>
      <c r="BL1" s="50"/>
      <c r="BM1" s="50"/>
      <c r="BN1" s="50"/>
    </row>
    <row r="2">
      <c r="A2" s="304">
        <v>43575.90177787037</v>
      </c>
      <c r="B2" s="303" t="s">
        <v>869</v>
      </c>
      <c r="C2" s="303" t="s">
        <v>1177</v>
      </c>
      <c r="D2" s="303" t="s">
        <v>1178</v>
      </c>
      <c r="E2" s="305">
        <v>42780.0</v>
      </c>
      <c r="F2" s="303" t="s">
        <v>49</v>
      </c>
      <c r="G2" s="303" t="s">
        <v>1179</v>
      </c>
      <c r="H2" s="303" t="s">
        <v>1180</v>
      </c>
      <c r="I2" s="303" t="s">
        <v>1181</v>
      </c>
      <c r="J2" s="306">
        <v>0.8</v>
      </c>
      <c r="K2" s="303">
        <v>490.0</v>
      </c>
      <c r="L2" s="50"/>
      <c r="M2" s="50"/>
      <c r="N2" s="50"/>
      <c r="O2" s="50"/>
      <c r="P2" s="305">
        <v>43567.0</v>
      </c>
      <c r="Q2" s="303">
        <v>48560.0</v>
      </c>
      <c r="R2" s="303">
        <v>453.0</v>
      </c>
      <c r="S2" s="50"/>
      <c r="T2" s="50"/>
      <c r="U2" s="50"/>
      <c r="V2" s="50"/>
      <c r="W2" s="50"/>
      <c r="X2" s="50"/>
      <c r="Y2" s="303" t="s">
        <v>1182</v>
      </c>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row>
    <row r="3">
      <c r="A3" s="304">
        <v>43576.92842575231</v>
      </c>
      <c r="B3" s="303" t="s">
        <v>1183</v>
      </c>
      <c r="C3" s="303" t="s">
        <v>1184</v>
      </c>
      <c r="D3" s="303" t="s">
        <v>1185</v>
      </c>
      <c r="E3" s="305">
        <v>43173.0</v>
      </c>
      <c r="F3" s="303" t="s">
        <v>62</v>
      </c>
      <c r="G3" s="303" t="s">
        <v>1181</v>
      </c>
      <c r="H3" s="303" t="s">
        <v>1186</v>
      </c>
      <c r="I3" s="303" t="s">
        <v>1187</v>
      </c>
      <c r="J3" s="306">
        <v>0.7</v>
      </c>
      <c r="K3" s="303">
        <v>295.0</v>
      </c>
      <c r="L3" s="50"/>
      <c r="M3" s="303">
        <v>346.0</v>
      </c>
      <c r="N3" s="50"/>
      <c r="O3" s="50"/>
      <c r="P3" s="305">
        <v>43245.0</v>
      </c>
      <c r="Q3" s="303">
        <v>1500.0</v>
      </c>
      <c r="R3" s="50"/>
      <c r="S3" s="50"/>
      <c r="T3" s="50"/>
      <c r="U3" s="50"/>
      <c r="V3" s="50"/>
      <c r="W3" s="50"/>
      <c r="X3" s="50"/>
      <c r="Y3" s="303" t="s">
        <v>1182</v>
      </c>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row>
    <row r="4">
      <c r="A4" s="304">
        <v>43577.40289384259</v>
      </c>
      <c r="B4" s="303" t="s">
        <v>1188</v>
      </c>
      <c r="C4" s="303" t="s">
        <v>1177</v>
      </c>
      <c r="D4" s="303" t="s">
        <v>1178</v>
      </c>
      <c r="E4" s="305">
        <v>43296.0</v>
      </c>
      <c r="F4" s="303" t="s">
        <v>62</v>
      </c>
      <c r="G4" s="303" t="s">
        <v>1180</v>
      </c>
      <c r="H4" s="303" t="s">
        <v>1180</v>
      </c>
      <c r="I4" s="303" t="s">
        <v>1187</v>
      </c>
      <c r="J4" s="306">
        <v>0.9</v>
      </c>
      <c r="K4" s="50"/>
      <c r="L4" s="50"/>
      <c r="M4" s="50"/>
      <c r="N4" s="50"/>
      <c r="O4" s="50"/>
      <c r="P4" s="50"/>
      <c r="Q4" s="50"/>
      <c r="R4" s="50"/>
      <c r="S4" s="50"/>
      <c r="T4" s="50"/>
      <c r="U4" s="50"/>
      <c r="V4" s="50"/>
      <c r="W4" s="50"/>
      <c r="X4" s="50"/>
      <c r="Y4" s="303" t="s">
        <v>1182</v>
      </c>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row>
    <row r="5">
      <c r="A5" s="304">
        <v>43578.70087909722</v>
      </c>
      <c r="B5" s="303" t="s">
        <v>1189</v>
      </c>
      <c r="C5" s="303" t="s">
        <v>1184</v>
      </c>
      <c r="D5" s="303" t="s">
        <v>1185</v>
      </c>
      <c r="E5" s="305">
        <v>43780.0</v>
      </c>
      <c r="F5" s="303" t="s">
        <v>36</v>
      </c>
      <c r="G5" s="303" t="s">
        <v>1186</v>
      </c>
      <c r="H5" s="303" t="s">
        <v>1186</v>
      </c>
      <c r="I5" s="303" t="s">
        <v>1187</v>
      </c>
      <c r="J5" s="306">
        <v>0.7</v>
      </c>
      <c r="K5" s="50"/>
      <c r="L5" s="50"/>
      <c r="M5" s="50"/>
      <c r="N5" s="50"/>
      <c r="O5" s="50"/>
      <c r="P5" s="305">
        <v>43525.0</v>
      </c>
      <c r="Q5" s="303">
        <v>42500.0</v>
      </c>
      <c r="R5" s="303">
        <v>262.0</v>
      </c>
      <c r="S5" s="50"/>
      <c r="T5" s="50"/>
      <c r="U5" s="50"/>
      <c r="V5" s="50"/>
      <c r="W5" s="50"/>
      <c r="X5" s="50"/>
      <c r="Y5" s="303" t="s">
        <v>1182</v>
      </c>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row>
    <row r="6">
      <c r="A6" s="304">
        <v>43580.220734849536</v>
      </c>
      <c r="B6" s="303" t="s">
        <v>734</v>
      </c>
      <c r="C6" s="303" t="s">
        <v>1184</v>
      </c>
      <c r="D6" s="303" t="s">
        <v>1185</v>
      </c>
      <c r="E6" s="305">
        <v>41432.0</v>
      </c>
      <c r="F6" s="303" t="s">
        <v>32</v>
      </c>
      <c r="G6" s="303" t="s">
        <v>1190</v>
      </c>
      <c r="H6" s="303" t="s">
        <v>1181</v>
      </c>
      <c r="I6" s="303" t="s">
        <v>1186</v>
      </c>
      <c r="J6" s="306">
        <v>0.9</v>
      </c>
      <c r="K6" s="303">
        <v>260.0</v>
      </c>
      <c r="L6" s="50"/>
      <c r="M6" s="303">
        <v>308.0</v>
      </c>
      <c r="N6" s="50"/>
      <c r="O6" s="50"/>
      <c r="P6" s="305">
        <v>43579.0</v>
      </c>
      <c r="Q6" s="303">
        <v>112172.0</v>
      </c>
      <c r="R6" s="303">
        <v>246.0</v>
      </c>
      <c r="S6" s="50"/>
      <c r="T6" s="50"/>
      <c r="U6" s="50"/>
      <c r="V6" s="50"/>
      <c r="W6" s="50"/>
      <c r="X6" s="50"/>
      <c r="Y6" s="303" t="s">
        <v>1182</v>
      </c>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row>
    <row r="7">
      <c r="A7" s="307">
        <v>43581.056587847226</v>
      </c>
      <c r="B7" s="121" t="s">
        <v>1191</v>
      </c>
      <c r="C7" s="121" t="s">
        <v>1184</v>
      </c>
      <c r="D7" s="121" t="s">
        <v>1185</v>
      </c>
      <c r="E7" s="308">
        <v>43525.0</v>
      </c>
      <c r="F7" s="121" t="s">
        <v>1192</v>
      </c>
      <c r="G7" s="121" t="s">
        <v>1181</v>
      </c>
      <c r="H7" s="121" t="s">
        <v>1181</v>
      </c>
      <c r="I7" s="121" t="s">
        <v>1187</v>
      </c>
      <c r="J7" s="309">
        <v>0.8</v>
      </c>
      <c r="K7" s="121">
        <v>240.0</v>
      </c>
      <c r="L7" s="121">
        <v>218.0</v>
      </c>
      <c r="M7" s="121">
        <v>218.0</v>
      </c>
      <c r="P7" s="308">
        <v>43580.0</v>
      </c>
      <c r="Q7" s="121">
        <v>1700.0</v>
      </c>
      <c r="R7" s="121">
        <v>237.0</v>
      </c>
      <c r="S7" s="308">
        <v>43575.0</v>
      </c>
      <c r="Y7" s="121" t="s">
        <v>1182</v>
      </c>
    </row>
    <row r="8">
      <c r="A8" s="307">
        <v>43582.19170633102</v>
      </c>
      <c r="B8" s="121" t="s">
        <v>1193</v>
      </c>
      <c r="C8" s="121" t="s">
        <v>1184</v>
      </c>
      <c r="D8" s="121" t="s">
        <v>1185</v>
      </c>
      <c r="E8" s="308">
        <v>41922.0</v>
      </c>
      <c r="F8" s="121" t="s">
        <v>30</v>
      </c>
      <c r="G8" s="121" t="s">
        <v>1180</v>
      </c>
      <c r="H8" s="121" t="s">
        <v>1181</v>
      </c>
      <c r="J8" s="309">
        <v>0.7</v>
      </c>
      <c r="P8" s="308">
        <v>43566.0</v>
      </c>
      <c r="Q8" s="121">
        <v>73000.0</v>
      </c>
      <c r="R8" s="121">
        <v>245.0</v>
      </c>
      <c r="Y8" s="121" t="s">
        <v>1182</v>
      </c>
    </row>
    <row r="9">
      <c r="A9" s="307">
        <v>43855.786721400465</v>
      </c>
      <c r="B9" s="121" t="s">
        <v>1194</v>
      </c>
      <c r="C9" s="121" t="s">
        <v>1184</v>
      </c>
      <c r="D9" s="121" t="s">
        <v>1185</v>
      </c>
      <c r="E9" s="308">
        <v>42811.0</v>
      </c>
      <c r="F9" s="121" t="s">
        <v>43</v>
      </c>
      <c r="G9" s="121" t="s">
        <v>1180</v>
      </c>
      <c r="H9" s="121" t="s">
        <v>1180</v>
      </c>
      <c r="J9" s="309">
        <v>0.9</v>
      </c>
      <c r="K9" s="121">
        <v>297.0</v>
      </c>
      <c r="P9" s="308">
        <v>43842.0</v>
      </c>
      <c r="Q9" s="121">
        <v>70220.0</v>
      </c>
      <c r="R9" s="121">
        <v>266.0</v>
      </c>
      <c r="Y9" s="121" t="s">
        <v>1182</v>
      </c>
    </row>
    <row r="10">
      <c r="A10" s="307">
        <v>43584.42923789352</v>
      </c>
      <c r="B10" s="121" t="s">
        <v>1195</v>
      </c>
      <c r="C10" s="121" t="s">
        <v>1177</v>
      </c>
      <c r="D10" s="121" t="s">
        <v>1178</v>
      </c>
      <c r="E10" s="308">
        <v>42967.0</v>
      </c>
      <c r="F10" s="121" t="s">
        <v>45</v>
      </c>
      <c r="G10" s="121" t="s">
        <v>1179</v>
      </c>
      <c r="H10" s="121" t="s">
        <v>1180</v>
      </c>
      <c r="I10" s="121" t="s">
        <v>1180</v>
      </c>
      <c r="J10" s="309">
        <v>0.9</v>
      </c>
      <c r="M10" s="121">
        <v>230.0</v>
      </c>
      <c r="P10" s="308">
        <v>43580.0</v>
      </c>
      <c r="Q10" s="121">
        <v>67000.0</v>
      </c>
      <c r="R10" s="121">
        <v>482.0</v>
      </c>
      <c r="Y10" s="121" t="s">
        <v>1182</v>
      </c>
    </row>
    <row r="11">
      <c r="A11" s="307">
        <v>43613.73443938658</v>
      </c>
      <c r="B11" s="121" t="s">
        <v>1196</v>
      </c>
      <c r="C11" s="121" t="s">
        <v>1197</v>
      </c>
      <c r="D11" s="121" t="s">
        <v>1178</v>
      </c>
      <c r="E11" s="308">
        <v>43314.0</v>
      </c>
      <c r="F11" s="121" t="s">
        <v>55</v>
      </c>
      <c r="G11" s="121" t="s">
        <v>1190</v>
      </c>
      <c r="H11" s="121" t="s">
        <v>1181</v>
      </c>
      <c r="I11" s="121" t="s">
        <v>1187</v>
      </c>
      <c r="J11" s="309">
        <v>0.9</v>
      </c>
      <c r="K11" s="121">
        <v>373.0</v>
      </c>
      <c r="P11" s="308">
        <v>43527.0</v>
      </c>
      <c r="Q11" s="121">
        <v>8318.0</v>
      </c>
      <c r="R11" s="121">
        <v>368.0</v>
      </c>
      <c r="S11" s="308">
        <v>43567.0</v>
      </c>
      <c r="T11" s="121">
        <v>12747.0</v>
      </c>
      <c r="U11" s="121">
        <v>369.5</v>
      </c>
      <c r="Y11" s="121" t="s">
        <v>1182</v>
      </c>
    </row>
    <row r="12">
      <c r="A12" s="307">
        <v>43588.47595778936</v>
      </c>
      <c r="B12" s="121" t="s">
        <v>781</v>
      </c>
      <c r="C12" s="121" t="s">
        <v>1177</v>
      </c>
      <c r="D12" s="121" t="s">
        <v>1178</v>
      </c>
      <c r="E12" s="308">
        <v>42545.0</v>
      </c>
      <c r="F12" s="121" t="s">
        <v>25</v>
      </c>
      <c r="G12" s="121" t="s">
        <v>1181</v>
      </c>
      <c r="H12" s="121" t="s">
        <v>1181</v>
      </c>
      <c r="I12" s="121" t="s">
        <v>1187</v>
      </c>
      <c r="J12" s="309">
        <v>0.8</v>
      </c>
      <c r="K12" s="121">
        <v>384.0</v>
      </c>
      <c r="M12" s="121">
        <v>184.0</v>
      </c>
      <c r="P12" s="308">
        <v>43772.0</v>
      </c>
      <c r="Q12" s="121">
        <v>93053.0</v>
      </c>
      <c r="R12" s="121">
        <v>348.0</v>
      </c>
      <c r="Y12" s="121" t="s">
        <v>1182</v>
      </c>
    </row>
    <row r="13">
      <c r="A13" s="307">
        <v>43588.54136903935</v>
      </c>
      <c r="B13" s="121" t="s">
        <v>1198</v>
      </c>
      <c r="C13" s="121" t="s">
        <v>1177</v>
      </c>
      <c r="D13" s="121" t="s">
        <v>1178</v>
      </c>
      <c r="E13" s="308">
        <v>41974.0</v>
      </c>
      <c r="F13" s="121" t="s">
        <v>30</v>
      </c>
      <c r="G13" s="121" t="s">
        <v>1181</v>
      </c>
      <c r="H13" s="121" t="s">
        <v>1181</v>
      </c>
      <c r="I13" s="121" t="s">
        <v>1186</v>
      </c>
      <c r="J13" s="309">
        <v>0.9</v>
      </c>
      <c r="P13" s="308">
        <v>43588.0</v>
      </c>
      <c r="Q13" s="121">
        <v>132130.0</v>
      </c>
      <c r="R13" s="121">
        <v>373.0</v>
      </c>
      <c r="Y13" s="121" t="s">
        <v>1182</v>
      </c>
    </row>
    <row r="14">
      <c r="A14" s="307">
        <v>43590.43106108796</v>
      </c>
      <c r="B14" s="121" t="s">
        <v>962</v>
      </c>
      <c r="C14" s="121" t="s">
        <v>1177</v>
      </c>
      <c r="D14" s="121" t="s">
        <v>1178</v>
      </c>
      <c r="E14" s="308">
        <v>43466.0</v>
      </c>
      <c r="F14" s="121" t="s">
        <v>1199</v>
      </c>
      <c r="G14" s="121" t="s">
        <v>1181</v>
      </c>
      <c r="H14" s="121" t="s">
        <v>1186</v>
      </c>
      <c r="I14" s="121" t="s">
        <v>1187</v>
      </c>
      <c r="J14" s="309">
        <v>0.9</v>
      </c>
      <c r="K14" s="121">
        <v>499.0</v>
      </c>
      <c r="M14" s="121">
        <v>211.0</v>
      </c>
      <c r="Y14" s="121" t="s">
        <v>1182</v>
      </c>
    </row>
    <row r="15">
      <c r="A15" s="307">
        <v>43593.06185048611</v>
      </c>
      <c r="B15" s="121" t="s">
        <v>1200</v>
      </c>
      <c r="C15" s="121" t="s">
        <v>1184</v>
      </c>
      <c r="D15" s="121" t="s">
        <v>1185</v>
      </c>
      <c r="E15" s="308">
        <v>41469.0</v>
      </c>
      <c r="F15" s="121" t="s">
        <v>12</v>
      </c>
      <c r="G15" s="121" t="s">
        <v>1180</v>
      </c>
      <c r="H15" s="121" t="s">
        <v>1180</v>
      </c>
      <c r="I15" s="121" t="s">
        <v>1186</v>
      </c>
      <c r="J15" s="309">
        <v>0.9</v>
      </c>
      <c r="K15" s="121">
        <v>208.0</v>
      </c>
      <c r="L15" s="121">
        <v>270.0</v>
      </c>
      <c r="M15" s="121">
        <v>312.0</v>
      </c>
      <c r="P15" s="308">
        <v>43589.0</v>
      </c>
      <c r="Q15" s="121">
        <v>145154.0</v>
      </c>
      <c r="R15" s="121">
        <v>190.0</v>
      </c>
      <c r="Y15" s="121" t="s">
        <v>1182</v>
      </c>
    </row>
    <row r="16">
      <c r="A16" s="307">
        <v>43593.218106388886</v>
      </c>
      <c r="B16" s="121" t="s">
        <v>1201</v>
      </c>
      <c r="C16" s="121" t="s">
        <v>1184</v>
      </c>
      <c r="D16" s="121" t="s">
        <v>1185</v>
      </c>
      <c r="E16" s="308">
        <v>42439.0</v>
      </c>
      <c r="F16" s="121" t="s">
        <v>43</v>
      </c>
      <c r="G16" s="121" t="s">
        <v>1190</v>
      </c>
      <c r="H16" s="121" t="s">
        <v>1180</v>
      </c>
      <c r="I16" s="121" t="s">
        <v>1181</v>
      </c>
      <c r="J16" s="309">
        <v>0.7</v>
      </c>
      <c r="K16" s="121">
        <v>294.0</v>
      </c>
      <c r="L16" s="121">
        <v>300.0</v>
      </c>
      <c r="M16" s="121">
        <v>342.0</v>
      </c>
      <c r="Y16" s="121" t="s">
        <v>1182</v>
      </c>
    </row>
    <row r="17">
      <c r="A17" s="307">
        <v>43593.54785289352</v>
      </c>
      <c r="B17" s="121" t="s">
        <v>1202</v>
      </c>
      <c r="C17" s="121" t="s">
        <v>1177</v>
      </c>
      <c r="D17" s="121" t="s">
        <v>1178</v>
      </c>
      <c r="E17" s="308">
        <v>43256.0</v>
      </c>
      <c r="F17" s="121" t="s">
        <v>55</v>
      </c>
      <c r="G17" s="121" t="s">
        <v>1190</v>
      </c>
      <c r="H17" s="121" t="s">
        <v>1203</v>
      </c>
      <c r="I17" s="121" t="s">
        <v>1181</v>
      </c>
      <c r="J17" s="309">
        <v>0.8</v>
      </c>
      <c r="K17" s="121">
        <v>325.0</v>
      </c>
      <c r="L17" s="121">
        <v>220.0</v>
      </c>
      <c r="M17" s="121">
        <v>220.0</v>
      </c>
      <c r="Y17" s="121" t="s">
        <v>1182</v>
      </c>
    </row>
    <row r="18">
      <c r="A18" s="307">
        <v>43594.29929953704</v>
      </c>
      <c r="B18" s="121" t="s">
        <v>1204</v>
      </c>
      <c r="C18" s="121" t="s">
        <v>1177</v>
      </c>
      <c r="D18" s="121" t="s">
        <v>1178</v>
      </c>
      <c r="E18" s="308">
        <v>42002.0</v>
      </c>
      <c r="F18" s="121" t="s">
        <v>30</v>
      </c>
      <c r="G18" s="121" t="s">
        <v>1205</v>
      </c>
      <c r="H18" s="121" t="s">
        <v>1181</v>
      </c>
      <c r="I18" s="121" t="s">
        <v>1187</v>
      </c>
      <c r="J18" s="309">
        <v>0.9</v>
      </c>
      <c r="M18" s="121">
        <v>180.0</v>
      </c>
      <c r="Y18" s="121" t="s">
        <v>1182</v>
      </c>
    </row>
    <row r="19">
      <c r="A19" s="307">
        <v>43594.82731493056</v>
      </c>
      <c r="B19" s="121" t="s">
        <v>1206</v>
      </c>
      <c r="C19" s="121" t="s">
        <v>1177</v>
      </c>
      <c r="D19" s="121" t="s">
        <v>1178</v>
      </c>
      <c r="E19" s="308">
        <v>42767.0</v>
      </c>
      <c r="F19" s="121" t="s">
        <v>25</v>
      </c>
      <c r="G19" s="121" t="s">
        <v>1179</v>
      </c>
      <c r="H19" s="121" t="s">
        <v>1181</v>
      </c>
      <c r="I19" s="121" t="s">
        <v>1181</v>
      </c>
      <c r="J19" s="309">
        <v>0.5</v>
      </c>
      <c r="O19" s="121" t="s">
        <v>1207</v>
      </c>
      <c r="P19" s="308">
        <v>43594.0</v>
      </c>
      <c r="Q19" s="121">
        <v>44000.0</v>
      </c>
      <c r="R19" s="121">
        <v>369.0</v>
      </c>
      <c r="Y19" s="121" t="s">
        <v>1182</v>
      </c>
    </row>
    <row r="20">
      <c r="A20" s="307">
        <v>43597.33084166667</v>
      </c>
      <c r="B20" s="121" t="s">
        <v>1208</v>
      </c>
      <c r="C20" s="121" t="s">
        <v>1177</v>
      </c>
      <c r="D20" s="121" t="s">
        <v>1178</v>
      </c>
      <c r="E20" s="308">
        <v>41913.0</v>
      </c>
      <c r="F20" s="121" t="s">
        <v>30</v>
      </c>
      <c r="G20" s="121" t="s">
        <v>1180</v>
      </c>
      <c r="H20" s="121" t="s">
        <v>1181</v>
      </c>
      <c r="I20" s="121" t="s">
        <v>1181</v>
      </c>
      <c r="J20" s="309">
        <v>0.7</v>
      </c>
      <c r="P20" s="308">
        <v>43302.0</v>
      </c>
      <c r="Q20" s="121">
        <v>98000.0</v>
      </c>
      <c r="R20" s="121">
        <v>384.0</v>
      </c>
      <c r="Y20" s="121" t="s">
        <v>1182</v>
      </c>
    </row>
    <row r="21">
      <c r="A21" s="307">
        <v>43596.868159861115</v>
      </c>
      <c r="B21" s="121" t="s">
        <v>1209</v>
      </c>
      <c r="C21" s="121" t="s">
        <v>1184</v>
      </c>
      <c r="D21" s="121" t="s">
        <v>1185</v>
      </c>
      <c r="E21" s="308">
        <v>42231.0</v>
      </c>
      <c r="F21" s="121" t="s">
        <v>43</v>
      </c>
      <c r="G21" s="121" t="s">
        <v>1180</v>
      </c>
      <c r="H21" s="121" t="s">
        <v>1181</v>
      </c>
      <c r="I21" s="121" t="s">
        <v>1187</v>
      </c>
      <c r="J21" s="309">
        <v>0.7</v>
      </c>
      <c r="K21" s="121">
        <v>280.0</v>
      </c>
      <c r="L21" s="121">
        <v>275.0</v>
      </c>
      <c r="M21" s="121">
        <v>300.0</v>
      </c>
      <c r="P21" s="308">
        <v>43595.0</v>
      </c>
      <c r="Q21" s="121">
        <v>66257.0</v>
      </c>
      <c r="R21" s="121">
        <v>264.0</v>
      </c>
      <c r="S21" s="308">
        <v>43525.0</v>
      </c>
      <c r="T21" s="121">
        <v>65150.0</v>
      </c>
      <c r="U21" s="121">
        <v>263.0</v>
      </c>
      <c r="Y21" s="121" t="s">
        <v>1182</v>
      </c>
    </row>
    <row r="22">
      <c r="A22" s="307">
        <v>43794.516015416666</v>
      </c>
      <c r="B22" s="121" t="s">
        <v>967</v>
      </c>
      <c r="C22" s="121" t="s">
        <v>1177</v>
      </c>
      <c r="D22" s="121" t="s">
        <v>1178</v>
      </c>
      <c r="E22" s="308">
        <v>42551.0</v>
      </c>
      <c r="F22" s="121" t="s">
        <v>43</v>
      </c>
      <c r="G22" s="121" t="s">
        <v>1203</v>
      </c>
      <c r="H22" s="121" t="s">
        <v>1181</v>
      </c>
      <c r="I22" s="121" t="s">
        <v>1181</v>
      </c>
      <c r="J22" s="309">
        <v>0.8</v>
      </c>
      <c r="M22" s="121">
        <v>211.0</v>
      </c>
      <c r="P22" s="308">
        <v>43596.0</v>
      </c>
      <c r="Q22" s="121">
        <v>120500.0</v>
      </c>
      <c r="R22" s="121">
        <v>413.0</v>
      </c>
      <c r="S22" s="308">
        <v>43045.0</v>
      </c>
      <c r="T22" s="121">
        <v>55961.0</v>
      </c>
      <c r="U22" s="121">
        <v>424.0</v>
      </c>
      <c r="V22" s="308">
        <v>43672.0</v>
      </c>
      <c r="W22" s="121">
        <v>127000.0</v>
      </c>
      <c r="X22" s="121">
        <v>417.0</v>
      </c>
      <c r="Y22" s="121" t="s">
        <v>1210</v>
      </c>
      <c r="Z22" s="308">
        <v>43790.0</v>
      </c>
      <c r="AA22" s="121">
        <v>142900.0</v>
      </c>
      <c r="AB22" s="121">
        <v>413.0</v>
      </c>
      <c r="AL22" s="121" t="s">
        <v>1182</v>
      </c>
    </row>
    <row r="23">
      <c r="A23" s="307">
        <v>43599.69597596065</v>
      </c>
      <c r="B23" s="121" t="s">
        <v>1211</v>
      </c>
      <c r="C23" s="121" t="s">
        <v>1177</v>
      </c>
      <c r="D23" s="121" t="s">
        <v>1178</v>
      </c>
      <c r="E23" s="308">
        <v>43115.0</v>
      </c>
      <c r="F23" s="121" t="s">
        <v>49</v>
      </c>
      <c r="G23" s="121" t="s">
        <v>1203</v>
      </c>
      <c r="H23" s="121" t="s">
        <v>1181</v>
      </c>
      <c r="I23" s="121" t="s">
        <v>1180</v>
      </c>
      <c r="J23" s="309">
        <v>0.9</v>
      </c>
      <c r="K23" s="121">
        <v>488.0</v>
      </c>
      <c r="L23" s="121">
        <v>180.0</v>
      </c>
      <c r="M23" s="121">
        <v>270.0</v>
      </c>
      <c r="P23" s="308">
        <v>43190.0</v>
      </c>
      <c r="Q23" s="121">
        <v>320.0</v>
      </c>
      <c r="R23" s="121">
        <v>488.0</v>
      </c>
      <c r="S23" s="308">
        <v>43557.0</v>
      </c>
      <c r="T23" s="121">
        <v>25308.0</v>
      </c>
      <c r="U23" s="121">
        <v>467.0</v>
      </c>
      <c r="Y23" s="121" t="s">
        <v>1182</v>
      </c>
    </row>
    <row r="24">
      <c r="A24" s="307">
        <v>43601.22502716436</v>
      </c>
      <c r="B24" s="121" t="s">
        <v>1212</v>
      </c>
      <c r="C24" s="121" t="s">
        <v>1177</v>
      </c>
      <c r="D24" s="121" t="s">
        <v>1178</v>
      </c>
      <c r="E24" s="308">
        <v>43018.0</v>
      </c>
      <c r="F24" s="121" t="s">
        <v>55</v>
      </c>
      <c r="G24" s="121" t="s">
        <v>1190</v>
      </c>
      <c r="H24" s="121" t="s">
        <v>1181</v>
      </c>
      <c r="I24" s="121" t="s">
        <v>1186</v>
      </c>
      <c r="J24" s="309">
        <v>0.9</v>
      </c>
      <c r="K24" s="121">
        <v>334.0</v>
      </c>
      <c r="M24" s="121">
        <v>221.0</v>
      </c>
      <c r="P24" s="308">
        <v>43586.0</v>
      </c>
      <c r="Q24" s="121">
        <v>31718.0</v>
      </c>
      <c r="R24" s="121">
        <v>316.0</v>
      </c>
      <c r="S24" s="308">
        <v>43520.0</v>
      </c>
      <c r="T24" s="121">
        <v>24748.0</v>
      </c>
      <c r="U24" s="121">
        <v>317.0</v>
      </c>
      <c r="V24" s="308">
        <v>43446.0</v>
      </c>
      <c r="W24" s="121">
        <v>21913.0</v>
      </c>
      <c r="X24" s="121">
        <v>325.0</v>
      </c>
      <c r="Y24" s="121" t="s">
        <v>1210</v>
      </c>
      <c r="Z24" s="308">
        <v>43285.0</v>
      </c>
      <c r="AA24" s="121">
        <v>10574.0</v>
      </c>
      <c r="AB24" s="121">
        <v>329.0</v>
      </c>
      <c r="AL24" s="121" t="s">
        <v>1182</v>
      </c>
    </row>
    <row r="25">
      <c r="A25" s="307">
        <v>43602.549702812496</v>
      </c>
      <c r="B25" s="121" t="s">
        <v>1213</v>
      </c>
      <c r="C25" s="121" t="s">
        <v>1177</v>
      </c>
      <c r="D25" s="121" t="s">
        <v>1178</v>
      </c>
      <c r="E25" s="308">
        <v>41971.0</v>
      </c>
      <c r="F25" s="121" t="s">
        <v>30</v>
      </c>
      <c r="G25" s="121" t="s">
        <v>1203</v>
      </c>
      <c r="H25" s="121" t="s">
        <v>1181</v>
      </c>
      <c r="I25" s="121" t="s">
        <v>1179</v>
      </c>
      <c r="J25" s="309">
        <v>0.5</v>
      </c>
      <c r="K25" s="121">
        <v>400.0</v>
      </c>
      <c r="M25" s="121">
        <v>214.0</v>
      </c>
      <c r="P25" s="308">
        <v>43597.0</v>
      </c>
      <c r="Q25" s="121">
        <v>246902.0</v>
      </c>
      <c r="R25" s="121">
        <v>363.0</v>
      </c>
      <c r="S25" s="308">
        <v>43347.0</v>
      </c>
      <c r="T25" s="121">
        <v>209618.0</v>
      </c>
      <c r="U25" s="121">
        <v>370.0</v>
      </c>
      <c r="Y25" s="121" t="s">
        <v>1182</v>
      </c>
    </row>
    <row r="26">
      <c r="A26" s="307">
        <v>43607.771307268515</v>
      </c>
      <c r="B26" s="121" t="s">
        <v>1214</v>
      </c>
      <c r="C26" s="121" t="s">
        <v>1177</v>
      </c>
      <c r="D26" s="121" t="s">
        <v>1178</v>
      </c>
      <c r="E26" s="308">
        <v>43480.0</v>
      </c>
      <c r="F26" s="121" t="s">
        <v>1199</v>
      </c>
      <c r="G26" s="121" t="s">
        <v>1181</v>
      </c>
      <c r="H26" s="121" t="s">
        <v>1181</v>
      </c>
      <c r="I26" s="121" t="s">
        <v>1186</v>
      </c>
      <c r="J26" s="309">
        <v>0.8</v>
      </c>
      <c r="K26" s="121">
        <v>499.0</v>
      </c>
      <c r="L26" s="121">
        <v>153.0</v>
      </c>
      <c r="M26" s="121">
        <v>180.0</v>
      </c>
      <c r="P26" s="308">
        <v>43680.0</v>
      </c>
      <c r="Q26" s="121">
        <v>1241.0</v>
      </c>
      <c r="R26" s="121">
        <v>479.0</v>
      </c>
      <c r="S26" s="308">
        <v>43567.0</v>
      </c>
      <c r="T26" s="121">
        <v>4189.0</v>
      </c>
      <c r="U26" s="121">
        <v>452.0</v>
      </c>
      <c r="V26" s="308">
        <v>43695.0</v>
      </c>
      <c r="W26" s="121">
        <v>4817.0</v>
      </c>
      <c r="X26" s="121">
        <v>460.0</v>
      </c>
      <c r="Y26" s="121" t="s">
        <v>1210</v>
      </c>
      <c r="Z26" s="308">
        <v>43600.0</v>
      </c>
      <c r="AA26" s="121">
        <v>6984.0</v>
      </c>
      <c r="AB26" s="121">
        <v>470.0</v>
      </c>
      <c r="AL26" s="121" t="s">
        <v>1182</v>
      </c>
    </row>
    <row r="27">
      <c r="A27" s="307">
        <v>43610.364096516205</v>
      </c>
      <c r="B27" s="121" t="s">
        <v>1215</v>
      </c>
      <c r="C27" s="121" t="s">
        <v>1177</v>
      </c>
      <c r="D27" s="121" t="s">
        <v>1178</v>
      </c>
      <c r="E27" s="308">
        <v>42859.0</v>
      </c>
      <c r="F27" s="121" t="s">
        <v>43</v>
      </c>
      <c r="G27" s="121" t="s">
        <v>1180</v>
      </c>
      <c r="H27" s="121" t="s">
        <v>1186</v>
      </c>
      <c r="I27" s="121" t="s">
        <v>1181</v>
      </c>
      <c r="J27" s="309">
        <v>0.8</v>
      </c>
      <c r="K27" s="121">
        <v>500.0</v>
      </c>
      <c r="M27" s="121">
        <v>210.0</v>
      </c>
      <c r="P27" s="308">
        <v>43610.0</v>
      </c>
      <c r="Q27" s="121">
        <v>432.0</v>
      </c>
      <c r="R27" s="121">
        <v>432.0</v>
      </c>
      <c r="S27" s="308">
        <v>43610.0</v>
      </c>
      <c r="T27" s="121">
        <v>21000.0</v>
      </c>
      <c r="U27" s="121">
        <v>432.0</v>
      </c>
      <c r="Y27" s="121" t="s">
        <v>1182</v>
      </c>
    </row>
    <row r="28">
      <c r="A28" s="307">
        <v>43613.38610452546</v>
      </c>
      <c r="B28" s="121" t="s">
        <v>1216</v>
      </c>
      <c r="C28" s="121" t="s">
        <v>1177</v>
      </c>
      <c r="D28" s="121" t="s">
        <v>1178</v>
      </c>
      <c r="E28" s="308">
        <v>43613.0</v>
      </c>
      <c r="F28" s="121" t="s">
        <v>1217</v>
      </c>
      <c r="G28" s="121" t="s">
        <v>1179</v>
      </c>
      <c r="H28" s="121" t="s">
        <v>1186</v>
      </c>
      <c r="J28" s="309">
        <v>0.8</v>
      </c>
      <c r="K28" s="121">
        <v>498.0</v>
      </c>
      <c r="M28" s="121">
        <v>161.0</v>
      </c>
      <c r="Y28" s="121" t="s">
        <v>1182</v>
      </c>
    </row>
    <row r="29">
      <c r="A29" s="307">
        <v>43618.38364318287</v>
      </c>
      <c r="B29" s="121" t="s">
        <v>1218</v>
      </c>
      <c r="C29" s="121" t="s">
        <v>1184</v>
      </c>
      <c r="D29" s="121" t="s">
        <v>1185</v>
      </c>
      <c r="E29" s="308">
        <v>43344.0</v>
      </c>
      <c r="F29" s="121" t="s">
        <v>1199</v>
      </c>
      <c r="G29" s="121" t="s">
        <v>1186</v>
      </c>
      <c r="H29" s="121" t="s">
        <v>1186</v>
      </c>
      <c r="I29" s="121" t="s">
        <v>1181</v>
      </c>
      <c r="J29" s="309">
        <v>0.9</v>
      </c>
      <c r="K29" s="121">
        <v>310.0</v>
      </c>
      <c r="P29" s="308">
        <v>43618.0</v>
      </c>
      <c r="Q29" s="121">
        <v>11600.0</v>
      </c>
      <c r="R29" s="121">
        <v>300.0</v>
      </c>
      <c r="Y29" s="121" t="s">
        <v>1182</v>
      </c>
    </row>
    <row r="30">
      <c r="A30" s="307">
        <v>43731.387038298606</v>
      </c>
      <c r="B30" s="121" t="s">
        <v>980</v>
      </c>
      <c r="C30" s="121" t="s">
        <v>1177</v>
      </c>
      <c r="D30" s="121" t="s">
        <v>1178</v>
      </c>
      <c r="E30" s="308">
        <v>42192.0</v>
      </c>
      <c r="F30" s="121" t="s">
        <v>22</v>
      </c>
      <c r="G30" s="121" t="s">
        <v>1179</v>
      </c>
      <c r="H30" s="121" t="s">
        <v>1180</v>
      </c>
      <c r="I30" s="121" t="s">
        <v>1186</v>
      </c>
      <c r="J30" s="309">
        <v>0.7</v>
      </c>
      <c r="M30" s="121">
        <v>190.0</v>
      </c>
      <c r="P30" s="308">
        <v>43625.0</v>
      </c>
      <c r="Q30" s="121">
        <v>164300.0</v>
      </c>
      <c r="R30" s="121">
        <v>342.0</v>
      </c>
      <c r="S30" s="308">
        <v>43729.0</v>
      </c>
      <c r="T30" s="121">
        <v>176331.0</v>
      </c>
      <c r="U30" s="121">
        <v>341.0</v>
      </c>
      <c r="Y30" s="121" t="s">
        <v>1182</v>
      </c>
    </row>
    <row r="31">
      <c r="A31" s="307">
        <v>43628.854149328705</v>
      </c>
      <c r="B31" s="121" t="s">
        <v>1219</v>
      </c>
      <c r="C31" s="121" t="s">
        <v>1184</v>
      </c>
      <c r="D31" s="121" t="s">
        <v>1185</v>
      </c>
      <c r="E31" s="308">
        <v>43393.0</v>
      </c>
      <c r="F31" s="121" t="s">
        <v>1217</v>
      </c>
      <c r="G31" s="121" t="s">
        <v>1181</v>
      </c>
      <c r="H31" s="121" t="s">
        <v>1180</v>
      </c>
      <c r="J31" s="309">
        <v>0.8</v>
      </c>
      <c r="K31" s="121">
        <v>310.0</v>
      </c>
      <c r="M31" s="121">
        <v>290.0</v>
      </c>
      <c r="Y31" s="121" t="s">
        <v>1182</v>
      </c>
    </row>
    <row r="32">
      <c r="A32" s="307">
        <v>43630.05040479166</v>
      </c>
      <c r="B32" s="121" t="s">
        <v>1220</v>
      </c>
      <c r="C32" s="121" t="s">
        <v>1184</v>
      </c>
      <c r="D32" s="121" t="s">
        <v>1185</v>
      </c>
      <c r="E32" s="308">
        <v>43266.0</v>
      </c>
      <c r="F32" s="121" t="s">
        <v>1221</v>
      </c>
      <c r="G32" s="121" t="s">
        <v>1181</v>
      </c>
      <c r="H32" s="121" t="s">
        <v>1186</v>
      </c>
      <c r="I32" s="121" t="s">
        <v>1187</v>
      </c>
      <c r="J32" s="309">
        <v>0.8</v>
      </c>
      <c r="K32" s="121">
        <v>310.0</v>
      </c>
      <c r="M32" s="121">
        <v>254.0</v>
      </c>
      <c r="Y32" s="121" t="s">
        <v>1182</v>
      </c>
    </row>
    <row r="33">
      <c r="A33" s="307">
        <v>43630.779764004634</v>
      </c>
      <c r="B33" s="121" t="s">
        <v>1222</v>
      </c>
      <c r="C33" s="121" t="s">
        <v>1184</v>
      </c>
      <c r="D33" s="121" t="s">
        <v>1185</v>
      </c>
      <c r="E33" s="308">
        <v>43191.0</v>
      </c>
      <c r="F33" s="121" t="s">
        <v>1221</v>
      </c>
      <c r="G33" s="121" t="s">
        <v>1186</v>
      </c>
      <c r="H33" s="121" t="s">
        <v>1187</v>
      </c>
      <c r="I33" s="121" t="s">
        <v>1181</v>
      </c>
      <c r="J33" s="309">
        <v>0.9</v>
      </c>
      <c r="K33" s="121">
        <v>310.0</v>
      </c>
      <c r="M33" s="121">
        <v>243.0</v>
      </c>
      <c r="P33" s="308">
        <v>43620.0</v>
      </c>
      <c r="Q33" s="121">
        <v>16500.0</v>
      </c>
      <c r="R33" s="121">
        <v>319.0</v>
      </c>
      <c r="Y33" s="121" t="s">
        <v>1182</v>
      </c>
    </row>
    <row r="34">
      <c r="A34" s="307">
        <v>43630.79209192129</v>
      </c>
      <c r="B34" s="121" t="s">
        <v>1223</v>
      </c>
      <c r="C34" s="121" t="s">
        <v>1184</v>
      </c>
      <c r="D34" s="121" t="s">
        <v>1185</v>
      </c>
      <c r="E34" s="308">
        <v>43340.0</v>
      </c>
      <c r="F34" s="121" t="s">
        <v>55</v>
      </c>
      <c r="G34" s="121" t="s">
        <v>1179</v>
      </c>
      <c r="H34" s="121" t="s">
        <v>1181</v>
      </c>
      <c r="I34" s="121" t="s">
        <v>1187</v>
      </c>
      <c r="J34" s="309">
        <v>0.6</v>
      </c>
      <c r="K34" s="121">
        <v>237.0</v>
      </c>
      <c r="L34" s="121">
        <v>317.0</v>
      </c>
      <c r="Y34" s="121" t="s">
        <v>1182</v>
      </c>
    </row>
    <row r="35">
      <c r="A35" s="307">
        <v>43630.90647527778</v>
      </c>
      <c r="B35" s="121" t="s">
        <v>1224</v>
      </c>
      <c r="C35" s="121" t="s">
        <v>1184</v>
      </c>
      <c r="D35" s="121" t="s">
        <v>1185</v>
      </c>
      <c r="E35" s="308">
        <v>43444.0</v>
      </c>
      <c r="F35" s="121" t="s">
        <v>1225</v>
      </c>
      <c r="G35" s="121" t="s">
        <v>1179</v>
      </c>
      <c r="H35" s="121" t="s">
        <v>1181</v>
      </c>
      <c r="I35" s="121" t="s">
        <v>1187</v>
      </c>
      <c r="J35" s="309">
        <v>0.9</v>
      </c>
      <c r="M35" s="121">
        <v>250.0</v>
      </c>
      <c r="Y35" s="121" t="s">
        <v>1182</v>
      </c>
    </row>
    <row r="36">
      <c r="A36" s="307">
        <v>43631.02436740741</v>
      </c>
      <c r="B36" s="121" t="s">
        <v>1226</v>
      </c>
      <c r="C36" s="121" t="s">
        <v>1184</v>
      </c>
      <c r="D36" s="121" t="s">
        <v>1185</v>
      </c>
      <c r="E36" s="308">
        <v>42534.0</v>
      </c>
      <c r="F36" s="121" t="s">
        <v>28</v>
      </c>
      <c r="G36" s="121" t="s">
        <v>1203</v>
      </c>
      <c r="H36" s="121" t="s">
        <v>1179</v>
      </c>
      <c r="I36" s="121" t="s">
        <v>1181</v>
      </c>
      <c r="J36" s="309">
        <v>0.8</v>
      </c>
      <c r="M36" s="121">
        <v>331.0</v>
      </c>
      <c r="P36" s="308">
        <v>43630.0</v>
      </c>
      <c r="Q36" s="121">
        <v>61954.0</v>
      </c>
      <c r="R36" s="121">
        <v>239.0</v>
      </c>
      <c r="Y36" s="121" t="s">
        <v>1182</v>
      </c>
    </row>
    <row r="37">
      <c r="A37" s="307">
        <v>43631.70603472222</v>
      </c>
      <c r="B37" s="121" t="s">
        <v>1227</v>
      </c>
      <c r="C37" s="121" t="s">
        <v>1184</v>
      </c>
      <c r="D37" s="121" t="s">
        <v>1185</v>
      </c>
      <c r="E37" s="308">
        <v>43252.0</v>
      </c>
      <c r="F37" s="121" t="s">
        <v>1221</v>
      </c>
      <c r="G37" s="121" t="s">
        <v>1181</v>
      </c>
      <c r="H37" s="121" t="s">
        <v>1187</v>
      </c>
      <c r="J37" s="309">
        <v>0.7</v>
      </c>
      <c r="K37" s="121">
        <v>310.0</v>
      </c>
      <c r="M37" s="121">
        <v>254.0</v>
      </c>
      <c r="Y37" s="121" t="s">
        <v>1182</v>
      </c>
    </row>
    <row r="38">
      <c r="A38" s="307">
        <v>43633.92581818287</v>
      </c>
      <c r="B38" s="121" t="s">
        <v>1228</v>
      </c>
      <c r="C38" s="121" t="s">
        <v>1184</v>
      </c>
      <c r="D38" s="121" t="s">
        <v>1185</v>
      </c>
      <c r="E38" s="308">
        <v>42064.0</v>
      </c>
      <c r="F38" s="121" t="s">
        <v>36</v>
      </c>
      <c r="G38" s="121" t="s">
        <v>1181</v>
      </c>
      <c r="H38" s="121" t="s">
        <v>1181</v>
      </c>
      <c r="I38" s="121" t="s">
        <v>1186</v>
      </c>
      <c r="J38" s="309">
        <v>0.8</v>
      </c>
      <c r="K38" s="121">
        <v>270.0</v>
      </c>
      <c r="Y38" s="121" t="s">
        <v>1182</v>
      </c>
    </row>
    <row r="39">
      <c r="A39" s="307">
        <v>43641.8906031713</v>
      </c>
      <c r="B39" s="121" t="s">
        <v>1229</v>
      </c>
      <c r="C39" s="121" t="s">
        <v>1184</v>
      </c>
      <c r="D39" s="121" t="s">
        <v>1185</v>
      </c>
      <c r="E39" s="308">
        <v>41897.0</v>
      </c>
      <c r="F39" s="121" t="s">
        <v>30</v>
      </c>
      <c r="G39" s="121" t="s">
        <v>1205</v>
      </c>
      <c r="H39" s="121" t="s">
        <v>1181</v>
      </c>
      <c r="I39" s="121" t="s">
        <v>1181</v>
      </c>
      <c r="J39" s="309">
        <v>0.9</v>
      </c>
      <c r="K39" s="121">
        <v>165.0</v>
      </c>
      <c r="L39" s="121">
        <v>320.0</v>
      </c>
      <c r="M39" s="121">
        <v>317.0</v>
      </c>
      <c r="P39" s="308">
        <v>43630.0</v>
      </c>
      <c r="Q39" s="121">
        <v>132872.0</v>
      </c>
      <c r="R39" s="121">
        <v>217.88</v>
      </c>
      <c r="S39" s="308">
        <v>43598.0</v>
      </c>
      <c r="T39" s="121">
        <v>129190.0</v>
      </c>
      <c r="U39" s="121">
        <v>247.46</v>
      </c>
      <c r="V39" s="308">
        <v>43484.0</v>
      </c>
      <c r="W39" s="121">
        <v>111970.0</v>
      </c>
      <c r="X39" s="121">
        <v>248.0</v>
      </c>
      <c r="Y39" s="121" t="s">
        <v>1182</v>
      </c>
    </row>
    <row r="40">
      <c r="A40" s="307">
        <v>43637.48372538194</v>
      </c>
      <c r="B40" s="121" t="s">
        <v>1230</v>
      </c>
      <c r="C40" s="121" t="s">
        <v>1177</v>
      </c>
      <c r="D40" s="121" t="s">
        <v>1178</v>
      </c>
      <c r="E40" s="308">
        <v>42097.0</v>
      </c>
      <c r="F40" s="121" t="s">
        <v>22</v>
      </c>
      <c r="G40" s="121" t="s">
        <v>1203</v>
      </c>
      <c r="H40" s="121" t="s">
        <v>1181</v>
      </c>
      <c r="I40" s="121" t="s">
        <v>1181</v>
      </c>
      <c r="J40" s="309">
        <v>0.9</v>
      </c>
      <c r="K40" s="121">
        <v>365.0</v>
      </c>
      <c r="L40" s="121">
        <v>142.0</v>
      </c>
      <c r="M40" s="121">
        <v>188.0</v>
      </c>
      <c r="P40" s="308">
        <v>43631.0</v>
      </c>
      <c r="Q40" s="121">
        <v>239.5</v>
      </c>
      <c r="R40" s="121">
        <v>334.0</v>
      </c>
      <c r="S40" s="308">
        <v>43475.0</v>
      </c>
      <c r="T40" s="121">
        <v>337.0</v>
      </c>
      <c r="Y40" s="121" t="s">
        <v>1182</v>
      </c>
    </row>
    <row r="41">
      <c r="A41" s="307">
        <v>43637.78244092593</v>
      </c>
      <c r="B41" s="121" t="s">
        <v>1231</v>
      </c>
      <c r="C41" s="121" t="s">
        <v>1184</v>
      </c>
      <c r="D41" s="121" t="s">
        <v>1185</v>
      </c>
      <c r="E41" s="308">
        <v>41244.0</v>
      </c>
      <c r="F41" s="121" t="s">
        <v>32</v>
      </c>
      <c r="G41" s="121" t="s">
        <v>1181</v>
      </c>
      <c r="H41" s="121" t="s">
        <v>1181</v>
      </c>
      <c r="I41" s="121" t="s">
        <v>1181</v>
      </c>
      <c r="J41" s="309">
        <v>0.9</v>
      </c>
      <c r="P41" s="308">
        <v>43637.0</v>
      </c>
      <c r="Q41" s="121">
        <v>61103.0</v>
      </c>
      <c r="R41" s="121">
        <v>254.0</v>
      </c>
      <c r="S41" s="308">
        <v>43637.0</v>
      </c>
      <c r="Y41" s="121" t="s">
        <v>1182</v>
      </c>
    </row>
    <row r="42">
      <c r="A42" s="307">
        <v>43683.16003204861</v>
      </c>
      <c r="B42" s="121" t="s">
        <v>899</v>
      </c>
      <c r="C42" s="121" t="s">
        <v>1184</v>
      </c>
      <c r="D42" s="121" t="s">
        <v>1185</v>
      </c>
      <c r="E42" s="308">
        <v>41365.0</v>
      </c>
      <c r="F42" s="121" t="s">
        <v>32</v>
      </c>
      <c r="G42" s="121" t="s">
        <v>1181</v>
      </c>
      <c r="H42" s="121" t="s">
        <v>1186</v>
      </c>
      <c r="I42" s="121" t="s">
        <v>1187</v>
      </c>
      <c r="J42" s="309">
        <v>0.9</v>
      </c>
      <c r="K42" s="121">
        <v>265.0</v>
      </c>
      <c r="M42" s="121">
        <v>325.0</v>
      </c>
      <c r="P42" s="308">
        <v>43637.0</v>
      </c>
      <c r="Q42" s="121">
        <v>97903.0</v>
      </c>
      <c r="R42" s="121">
        <v>245.0</v>
      </c>
      <c r="S42" s="308">
        <v>43682.0</v>
      </c>
      <c r="T42" s="121">
        <v>98534.0</v>
      </c>
      <c r="U42" s="121">
        <v>221.0</v>
      </c>
      <c r="Y42" s="121" t="s">
        <v>1182</v>
      </c>
    </row>
    <row r="43">
      <c r="A43" s="307">
        <v>43639.98559506945</v>
      </c>
      <c r="B43" s="121" t="s">
        <v>1232</v>
      </c>
      <c r="C43" s="121" t="s">
        <v>1177</v>
      </c>
      <c r="D43" s="121" t="s">
        <v>1178</v>
      </c>
      <c r="E43" s="308">
        <v>41791.0</v>
      </c>
      <c r="F43" s="121" t="s">
        <v>30</v>
      </c>
      <c r="G43" s="121" t="s">
        <v>1179</v>
      </c>
      <c r="H43" s="121" t="s">
        <v>1180</v>
      </c>
      <c r="I43" s="121" t="s">
        <v>1181</v>
      </c>
      <c r="J43" s="309">
        <v>0.8</v>
      </c>
      <c r="P43" s="308">
        <v>43639.0</v>
      </c>
      <c r="Q43" s="121">
        <v>160163.0</v>
      </c>
      <c r="R43" s="121">
        <v>361.0</v>
      </c>
      <c r="Y43" s="121" t="s">
        <v>1182</v>
      </c>
    </row>
    <row r="44">
      <c r="A44" s="307">
        <v>43640.020460949076</v>
      </c>
      <c r="B44" s="121" t="s">
        <v>1233</v>
      </c>
      <c r="C44" s="121" t="s">
        <v>1184</v>
      </c>
      <c r="D44" s="121" t="s">
        <v>1185</v>
      </c>
      <c r="E44" s="308">
        <v>43631.0</v>
      </c>
      <c r="F44" s="121" t="s">
        <v>1234</v>
      </c>
      <c r="G44" s="121" t="s">
        <v>1186</v>
      </c>
      <c r="H44" s="121" t="s">
        <v>1180</v>
      </c>
      <c r="I44" s="121" t="s">
        <v>1180</v>
      </c>
      <c r="J44" s="309">
        <v>0.9</v>
      </c>
      <c r="K44" s="121">
        <v>215.0</v>
      </c>
      <c r="L44" s="121">
        <v>210.0</v>
      </c>
      <c r="M44" s="121">
        <v>250.0</v>
      </c>
      <c r="P44" s="308">
        <v>43634.0</v>
      </c>
      <c r="Q44" s="121">
        <v>215.0</v>
      </c>
      <c r="R44" s="121">
        <v>215.0</v>
      </c>
      <c r="Y44" s="121" t="s">
        <v>1182</v>
      </c>
    </row>
    <row r="45">
      <c r="A45" s="307">
        <v>43640.27483447916</v>
      </c>
      <c r="B45" s="121" t="s">
        <v>1235</v>
      </c>
      <c r="C45" s="121" t="s">
        <v>1177</v>
      </c>
      <c r="D45" s="121" t="s">
        <v>1178</v>
      </c>
      <c r="E45" s="308">
        <v>41988.0</v>
      </c>
      <c r="F45" s="121" t="s">
        <v>30</v>
      </c>
      <c r="G45" s="121" t="s">
        <v>1203</v>
      </c>
      <c r="H45" s="121" t="s">
        <v>1181</v>
      </c>
      <c r="I45" s="121" t="s">
        <v>1187</v>
      </c>
      <c r="J45" s="309">
        <v>0.9</v>
      </c>
      <c r="L45" s="121">
        <v>200.0</v>
      </c>
      <c r="M45" s="121">
        <v>250.0</v>
      </c>
      <c r="P45" s="308">
        <v>43637.0</v>
      </c>
      <c r="Q45" s="121">
        <v>100000.0</v>
      </c>
      <c r="R45" s="121">
        <v>374.0</v>
      </c>
      <c r="Y45" s="121" t="s">
        <v>1182</v>
      </c>
    </row>
    <row r="46">
      <c r="A46" s="307">
        <v>43642.61696788194</v>
      </c>
      <c r="B46" s="121" t="s">
        <v>1236</v>
      </c>
      <c r="C46" s="121" t="s">
        <v>1184</v>
      </c>
      <c r="D46" s="121" t="s">
        <v>1185</v>
      </c>
      <c r="E46" s="308">
        <v>43358.0</v>
      </c>
      <c r="F46" s="121" t="s">
        <v>1217</v>
      </c>
      <c r="G46" s="121" t="s">
        <v>1186</v>
      </c>
      <c r="H46" s="121" t="s">
        <v>1181</v>
      </c>
      <c r="I46" s="121" t="s">
        <v>1187</v>
      </c>
      <c r="J46" s="309">
        <v>0.9</v>
      </c>
      <c r="K46" s="121">
        <v>310.0</v>
      </c>
      <c r="M46" s="121">
        <v>245.0</v>
      </c>
      <c r="Y46" s="121" t="s">
        <v>1182</v>
      </c>
    </row>
    <row r="47">
      <c r="A47" s="307">
        <v>43647.74832082176</v>
      </c>
      <c r="B47" s="121" t="s">
        <v>1237</v>
      </c>
      <c r="C47" s="121" t="s">
        <v>1184</v>
      </c>
      <c r="D47" s="121" t="s">
        <v>1185</v>
      </c>
      <c r="E47" s="308">
        <v>43582.0</v>
      </c>
      <c r="F47" s="121" t="s">
        <v>1192</v>
      </c>
      <c r="G47" s="121" t="s">
        <v>1205</v>
      </c>
      <c r="H47" s="121" t="s">
        <v>1181</v>
      </c>
      <c r="I47" s="121" t="s">
        <v>1187</v>
      </c>
      <c r="J47" s="309">
        <v>0.9</v>
      </c>
      <c r="L47" s="121">
        <v>195.0</v>
      </c>
      <c r="M47" s="121">
        <v>242.0</v>
      </c>
      <c r="Y47" s="121" t="s">
        <v>1182</v>
      </c>
    </row>
    <row r="48">
      <c r="A48" s="307">
        <v>43648.67053099537</v>
      </c>
      <c r="B48" s="121" t="s">
        <v>1238</v>
      </c>
      <c r="C48" s="121" t="s">
        <v>1184</v>
      </c>
      <c r="D48" s="121" t="s">
        <v>1185</v>
      </c>
      <c r="E48" s="308">
        <v>43229.0</v>
      </c>
      <c r="F48" s="121" t="s">
        <v>1221</v>
      </c>
      <c r="G48" s="121" t="s">
        <v>1181</v>
      </c>
      <c r="H48" s="121" t="s">
        <v>1181</v>
      </c>
      <c r="I48" s="121" t="s">
        <v>1187</v>
      </c>
      <c r="J48" s="309">
        <v>0.8</v>
      </c>
      <c r="K48" s="121">
        <v>310.0</v>
      </c>
      <c r="L48" s="121">
        <v>240.0</v>
      </c>
      <c r="M48" s="121">
        <v>239.0</v>
      </c>
      <c r="Y48" s="121" t="s">
        <v>1182</v>
      </c>
    </row>
    <row r="49">
      <c r="A49" s="307">
        <v>43649.81723069445</v>
      </c>
      <c r="B49" s="121" t="s">
        <v>1239</v>
      </c>
      <c r="C49" s="121" t="s">
        <v>1184</v>
      </c>
      <c r="D49" s="121" t="s">
        <v>1185</v>
      </c>
      <c r="E49" s="308">
        <v>41883.0</v>
      </c>
      <c r="F49" s="121" t="s">
        <v>12</v>
      </c>
      <c r="G49" s="121" t="s">
        <v>1181</v>
      </c>
      <c r="H49" s="121" t="s">
        <v>1180</v>
      </c>
      <c r="I49" s="121" t="s">
        <v>1187</v>
      </c>
      <c r="J49" s="309">
        <v>0.9</v>
      </c>
      <c r="K49" s="121">
        <v>208.0</v>
      </c>
      <c r="M49" s="121">
        <v>293.0</v>
      </c>
      <c r="P49" s="308">
        <v>43645.0</v>
      </c>
      <c r="Q49" s="121">
        <v>85500.0</v>
      </c>
      <c r="R49" s="121">
        <v>194.0</v>
      </c>
      <c r="Y49" s="121" t="s">
        <v>1182</v>
      </c>
    </row>
    <row r="50">
      <c r="A50" s="307">
        <v>43651.3233804051</v>
      </c>
      <c r="B50" s="121" t="s">
        <v>1240</v>
      </c>
      <c r="C50" s="121" t="s">
        <v>1177</v>
      </c>
      <c r="D50" s="121" t="s">
        <v>1178</v>
      </c>
      <c r="E50" s="308">
        <v>41988.0</v>
      </c>
      <c r="F50" s="121" t="s">
        <v>34</v>
      </c>
      <c r="G50" s="121" t="s">
        <v>1179</v>
      </c>
      <c r="H50" s="121" t="s">
        <v>1179</v>
      </c>
      <c r="I50" s="121" t="s">
        <v>1179</v>
      </c>
      <c r="J50" s="309">
        <v>0.9</v>
      </c>
      <c r="M50" s="121">
        <v>240.0</v>
      </c>
      <c r="P50" s="308">
        <v>43592.0</v>
      </c>
      <c r="Q50" s="121">
        <v>159500.0</v>
      </c>
      <c r="R50" s="121">
        <v>365.0</v>
      </c>
      <c r="Y50" s="121" t="s">
        <v>1182</v>
      </c>
    </row>
    <row r="51">
      <c r="A51" s="307">
        <v>43655.759340069446</v>
      </c>
      <c r="B51" s="121" t="s">
        <v>1073</v>
      </c>
      <c r="C51" s="121" t="s">
        <v>1177</v>
      </c>
      <c r="D51" s="121" t="s">
        <v>1178</v>
      </c>
      <c r="E51" s="308">
        <v>43686.0</v>
      </c>
      <c r="F51" s="121" t="s">
        <v>22</v>
      </c>
      <c r="G51" s="121" t="s">
        <v>1179</v>
      </c>
      <c r="H51" s="121" t="s">
        <v>1181</v>
      </c>
      <c r="I51" s="121" t="s">
        <v>1181</v>
      </c>
      <c r="K51" s="121">
        <v>369.0</v>
      </c>
      <c r="M51" s="121">
        <v>202.0</v>
      </c>
      <c r="P51" s="308">
        <v>42404.0</v>
      </c>
      <c r="Q51" s="121">
        <v>3000.0</v>
      </c>
      <c r="R51" s="121">
        <v>362.0</v>
      </c>
      <c r="S51" s="308">
        <v>42548.0</v>
      </c>
      <c r="T51" s="121">
        <v>12000.0</v>
      </c>
      <c r="U51" s="121">
        <v>358.0</v>
      </c>
      <c r="V51" s="308">
        <v>43655.0</v>
      </c>
      <c r="W51" s="121">
        <v>105800.0</v>
      </c>
      <c r="X51" s="121">
        <v>343.0</v>
      </c>
      <c r="Y51" s="121" t="s">
        <v>1182</v>
      </c>
    </row>
    <row r="52">
      <c r="A52" s="307">
        <v>43657.52001849537</v>
      </c>
      <c r="B52" s="121" t="s">
        <v>1241</v>
      </c>
      <c r="C52" s="121" t="s">
        <v>1177</v>
      </c>
      <c r="D52" s="121" t="s">
        <v>1178</v>
      </c>
      <c r="E52" s="308">
        <v>41640.0</v>
      </c>
      <c r="F52" s="121" t="s">
        <v>36</v>
      </c>
      <c r="G52" s="121" t="s">
        <v>1203</v>
      </c>
      <c r="H52" s="121" t="s">
        <v>1205</v>
      </c>
      <c r="I52" s="121" t="s">
        <v>1180</v>
      </c>
      <c r="J52" s="309">
        <v>1.0</v>
      </c>
      <c r="K52" s="121">
        <v>420.0</v>
      </c>
      <c r="Y52" s="121" t="s">
        <v>1182</v>
      </c>
    </row>
    <row r="53">
      <c r="A53" s="307">
        <v>43661.19706259259</v>
      </c>
      <c r="B53" s="121" t="s">
        <v>1242</v>
      </c>
      <c r="C53" s="121" t="s">
        <v>1197</v>
      </c>
      <c r="D53" s="121" t="s">
        <v>1178</v>
      </c>
      <c r="E53" s="308">
        <v>43435.0</v>
      </c>
      <c r="F53" s="121" t="s">
        <v>1217</v>
      </c>
      <c r="G53" s="121" t="s">
        <v>1179</v>
      </c>
      <c r="H53" s="121" t="s">
        <v>1190</v>
      </c>
      <c r="I53" s="121" t="s">
        <v>1181</v>
      </c>
      <c r="J53" s="309">
        <v>0.9</v>
      </c>
      <c r="K53" s="121">
        <v>499.0</v>
      </c>
      <c r="L53" s="121">
        <v>150.0</v>
      </c>
      <c r="M53" s="121">
        <v>149.0</v>
      </c>
      <c r="Y53" s="121" t="s">
        <v>1182</v>
      </c>
    </row>
    <row r="54">
      <c r="A54" s="307">
        <v>43662.40273851852</v>
      </c>
      <c r="B54" s="121" t="s">
        <v>1243</v>
      </c>
      <c r="C54" s="121" t="s">
        <v>1177</v>
      </c>
      <c r="D54" s="121" t="s">
        <v>1178</v>
      </c>
      <c r="E54" s="308">
        <v>43636.0</v>
      </c>
      <c r="F54" s="121" t="s">
        <v>1217</v>
      </c>
      <c r="G54" s="121" t="s">
        <v>1180</v>
      </c>
      <c r="H54" s="121" t="s">
        <v>1180</v>
      </c>
      <c r="I54" s="121" t="s">
        <v>1180</v>
      </c>
      <c r="J54" s="309">
        <v>0.8</v>
      </c>
      <c r="Y54" s="121" t="s">
        <v>1182</v>
      </c>
    </row>
    <row r="55">
      <c r="A55" s="307">
        <v>43775.654953888894</v>
      </c>
      <c r="B55" s="121" t="s">
        <v>1244</v>
      </c>
      <c r="C55" s="121" t="s">
        <v>1177</v>
      </c>
      <c r="D55" s="121" t="s">
        <v>1178</v>
      </c>
      <c r="E55" s="308">
        <v>43352.0</v>
      </c>
      <c r="F55" s="121" t="s">
        <v>28</v>
      </c>
      <c r="G55" s="121" t="s">
        <v>1181</v>
      </c>
      <c r="H55" s="121" t="s">
        <v>1181</v>
      </c>
      <c r="J55" s="309">
        <v>0.8</v>
      </c>
      <c r="M55" s="121">
        <v>200.0</v>
      </c>
      <c r="P55" s="308">
        <v>43647.0</v>
      </c>
      <c r="Q55" s="121">
        <v>25000.0</v>
      </c>
      <c r="R55" s="121">
        <v>370.0</v>
      </c>
      <c r="S55" s="308">
        <v>43688.0</v>
      </c>
      <c r="T55" s="121">
        <v>371.0</v>
      </c>
      <c r="V55" s="308">
        <v>43770.0</v>
      </c>
      <c r="W55" s="121">
        <v>369.0</v>
      </c>
      <c r="Y55" s="121" t="s">
        <v>1182</v>
      </c>
      <c r="AL55" s="121" t="s">
        <v>1182</v>
      </c>
    </row>
    <row r="56">
      <c r="A56" s="307">
        <v>43669.7375975</v>
      </c>
      <c r="B56" s="121" t="s">
        <v>1245</v>
      </c>
      <c r="C56" s="121" t="s">
        <v>1177</v>
      </c>
      <c r="D56" s="121" t="s">
        <v>1178</v>
      </c>
      <c r="E56" s="308">
        <v>42507.0</v>
      </c>
      <c r="F56" s="121" t="s">
        <v>43</v>
      </c>
      <c r="G56" s="121" t="s">
        <v>1205</v>
      </c>
      <c r="H56" s="121" t="s">
        <v>1180</v>
      </c>
      <c r="I56" s="121" t="s">
        <v>1186</v>
      </c>
      <c r="J56" s="309">
        <v>0.9</v>
      </c>
      <c r="Y56" s="121" t="s">
        <v>1182</v>
      </c>
    </row>
    <row r="57">
      <c r="A57" s="307">
        <v>43669.93807462963</v>
      </c>
      <c r="B57" s="121" t="s">
        <v>1246</v>
      </c>
      <c r="C57" s="121" t="s">
        <v>1177</v>
      </c>
      <c r="D57" s="121" t="s">
        <v>1178</v>
      </c>
      <c r="E57" s="308">
        <v>41760.0</v>
      </c>
      <c r="F57" s="121" t="s">
        <v>32</v>
      </c>
      <c r="G57" s="121" t="s">
        <v>1181</v>
      </c>
      <c r="H57" s="121" t="s">
        <v>1181</v>
      </c>
      <c r="I57" s="121" t="s">
        <v>1205</v>
      </c>
      <c r="J57" s="309">
        <v>0.7</v>
      </c>
      <c r="M57" s="121">
        <v>217.0</v>
      </c>
      <c r="P57" s="308">
        <v>43667.0</v>
      </c>
      <c r="Q57" s="121">
        <v>116000.0</v>
      </c>
      <c r="R57" s="121">
        <v>372.0</v>
      </c>
      <c r="Y57" s="121" t="s">
        <v>1182</v>
      </c>
    </row>
    <row r="58">
      <c r="A58" s="307">
        <v>43758.662567997686</v>
      </c>
      <c r="B58" s="121" t="s">
        <v>796</v>
      </c>
      <c r="C58" s="121" t="s">
        <v>1197</v>
      </c>
      <c r="D58" s="121" t="s">
        <v>1178</v>
      </c>
      <c r="E58" s="308">
        <v>43631.0</v>
      </c>
      <c r="F58" s="121" t="s">
        <v>49</v>
      </c>
      <c r="G58" s="121" t="s">
        <v>1181</v>
      </c>
      <c r="H58" s="121" t="s">
        <v>1181</v>
      </c>
      <c r="I58" s="121" t="s">
        <v>1187</v>
      </c>
      <c r="J58" s="309">
        <v>0.9</v>
      </c>
      <c r="K58" s="121">
        <v>555.0</v>
      </c>
      <c r="M58" s="121">
        <v>168.0</v>
      </c>
      <c r="P58" s="308">
        <v>43657.0</v>
      </c>
      <c r="Q58" s="121">
        <v>800.0</v>
      </c>
      <c r="R58" s="121">
        <v>555.0</v>
      </c>
      <c r="S58" s="308">
        <v>43754.0</v>
      </c>
      <c r="T58" s="121">
        <v>5896.0</v>
      </c>
      <c r="U58" s="121">
        <v>554.0</v>
      </c>
      <c r="Y58" s="121" t="s">
        <v>1182</v>
      </c>
    </row>
    <row r="59">
      <c r="A59" s="307">
        <v>43670.57799942129</v>
      </c>
      <c r="B59" s="121" t="s">
        <v>1247</v>
      </c>
      <c r="C59" s="121" t="s">
        <v>1177</v>
      </c>
      <c r="D59" s="121" t="s">
        <v>1178</v>
      </c>
      <c r="E59" s="308">
        <v>43023.0</v>
      </c>
      <c r="F59" s="121" t="s">
        <v>28</v>
      </c>
      <c r="G59" s="121" t="s">
        <v>1179</v>
      </c>
      <c r="H59" s="121" t="s">
        <v>1186</v>
      </c>
      <c r="I59" s="121" t="s">
        <v>1186</v>
      </c>
      <c r="J59" s="309">
        <v>0.6</v>
      </c>
      <c r="K59" s="121">
        <v>384.0</v>
      </c>
      <c r="M59" s="121">
        <v>200.0</v>
      </c>
      <c r="P59" s="308">
        <v>43652.0</v>
      </c>
      <c r="Q59" s="121">
        <v>49000.0</v>
      </c>
      <c r="R59" s="121">
        <v>372.0</v>
      </c>
      <c r="Y59" s="121" t="s">
        <v>1182</v>
      </c>
    </row>
    <row r="60">
      <c r="A60" s="307">
        <v>43674.56194892361</v>
      </c>
      <c r="B60" s="121" t="s">
        <v>1248</v>
      </c>
      <c r="C60" s="121" t="s">
        <v>1184</v>
      </c>
      <c r="D60" s="121" t="s">
        <v>1185</v>
      </c>
      <c r="E60" s="308">
        <v>43313.0</v>
      </c>
      <c r="F60" s="121" t="s">
        <v>1199</v>
      </c>
      <c r="G60" s="121" t="s">
        <v>1181</v>
      </c>
      <c r="H60" s="121" t="s">
        <v>1181</v>
      </c>
      <c r="J60" s="309">
        <v>0.8</v>
      </c>
      <c r="P60" s="308">
        <v>43668.0</v>
      </c>
      <c r="Q60" s="121">
        <v>11451.0</v>
      </c>
      <c r="R60" s="121">
        <v>297.0</v>
      </c>
      <c r="Y60" s="121" t="s">
        <v>1182</v>
      </c>
    </row>
    <row r="61">
      <c r="A61" s="307">
        <v>43675.525855381944</v>
      </c>
      <c r="B61" s="121" t="s">
        <v>1249</v>
      </c>
      <c r="C61" s="121" t="s">
        <v>1177</v>
      </c>
      <c r="D61" s="121" t="s">
        <v>1178</v>
      </c>
      <c r="E61" s="308">
        <v>43115.0</v>
      </c>
      <c r="F61" s="121" t="s">
        <v>28</v>
      </c>
      <c r="G61" s="121" t="s">
        <v>1181</v>
      </c>
      <c r="H61" s="121" t="s">
        <v>1181</v>
      </c>
      <c r="I61" s="121" t="s">
        <v>1181</v>
      </c>
      <c r="J61" s="309">
        <v>0.9</v>
      </c>
      <c r="K61" s="121">
        <v>390.0</v>
      </c>
      <c r="M61" s="121">
        <v>193.0</v>
      </c>
      <c r="P61" s="308">
        <v>43675.0</v>
      </c>
      <c r="Q61" s="121">
        <v>45000.0</v>
      </c>
      <c r="R61" s="121">
        <v>373.0</v>
      </c>
      <c r="Y61" s="121" t="s">
        <v>1182</v>
      </c>
    </row>
    <row r="62">
      <c r="A62" s="307">
        <v>43675.6462928125</v>
      </c>
      <c r="B62" s="121" t="s">
        <v>1250</v>
      </c>
      <c r="C62" s="121" t="s">
        <v>1177</v>
      </c>
      <c r="D62" s="121" t="s">
        <v>1178</v>
      </c>
      <c r="E62" s="308">
        <v>43174.0</v>
      </c>
      <c r="F62" s="121" t="s">
        <v>62</v>
      </c>
      <c r="G62" s="121" t="s">
        <v>1190</v>
      </c>
      <c r="I62" s="121" t="s">
        <v>1187</v>
      </c>
      <c r="K62" s="121">
        <v>453.0</v>
      </c>
      <c r="M62" s="121">
        <v>246.0</v>
      </c>
      <c r="P62" s="308">
        <v>43314.0</v>
      </c>
      <c r="Q62" s="121">
        <v>2132.0</v>
      </c>
      <c r="R62" s="121">
        <v>448.0</v>
      </c>
      <c r="S62" s="308">
        <v>43651.0</v>
      </c>
      <c r="T62" s="121">
        <v>23275.0</v>
      </c>
      <c r="U62" s="121">
        <v>436.0</v>
      </c>
      <c r="Y62" s="121" t="s">
        <v>1182</v>
      </c>
    </row>
    <row r="63">
      <c r="A63" s="307">
        <v>43677.38621560185</v>
      </c>
      <c r="B63" s="121" t="s">
        <v>731</v>
      </c>
      <c r="C63" s="121" t="s">
        <v>1177</v>
      </c>
      <c r="D63" s="121" t="s">
        <v>1178</v>
      </c>
      <c r="E63" s="308">
        <v>43470.0</v>
      </c>
      <c r="F63" s="121" t="s">
        <v>45</v>
      </c>
      <c r="G63" s="121" t="s">
        <v>1180</v>
      </c>
      <c r="H63" s="121" t="s">
        <v>1180</v>
      </c>
      <c r="I63" s="121" t="s">
        <v>1186</v>
      </c>
      <c r="J63" s="309">
        <v>0.9</v>
      </c>
      <c r="K63" s="121">
        <v>510.0</v>
      </c>
      <c r="M63" s="121">
        <v>220.0</v>
      </c>
      <c r="Y63" s="121" t="s">
        <v>1182</v>
      </c>
    </row>
    <row r="64">
      <c r="A64" s="307">
        <v>43680.65424296296</v>
      </c>
      <c r="B64" s="121" t="s">
        <v>1251</v>
      </c>
      <c r="C64" s="121" t="s">
        <v>1184</v>
      </c>
      <c r="D64" s="121" t="s">
        <v>1185</v>
      </c>
      <c r="E64" s="308">
        <v>42217.0</v>
      </c>
      <c r="F64" s="121" t="s">
        <v>22</v>
      </c>
      <c r="G64" s="121" t="s">
        <v>1190</v>
      </c>
      <c r="H64" s="121" t="s">
        <v>1180</v>
      </c>
      <c r="J64" s="309">
        <v>0.8</v>
      </c>
      <c r="K64" s="121">
        <v>230.0</v>
      </c>
      <c r="P64" s="308">
        <v>43511.0</v>
      </c>
      <c r="Q64" s="121">
        <v>33500.0</v>
      </c>
      <c r="R64" s="121">
        <v>221.0</v>
      </c>
      <c r="S64" s="308">
        <v>43678.0</v>
      </c>
      <c r="T64" s="121">
        <v>39500.0</v>
      </c>
      <c r="U64" s="121">
        <v>203.0</v>
      </c>
      <c r="Y64" s="121" t="s">
        <v>1182</v>
      </c>
    </row>
    <row r="65">
      <c r="A65" s="307">
        <v>43684.69235146991</v>
      </c>
      <c r="B65" s="121" t="s">
        <v>759</v>
      </c>
      <c r="C65" s="121" t="s">
        <v>1184</v>
      </c>
      <c r="D65" s="121" t="s">
        <v>1185</v>
      </c>
      <c r="E65" s="308">
        <v>43784.0</v>
      </c>
      <c r="F65" s="121" t="s">
        <v>30</v>
      </c>
      <c r="G65" s="121" t="s">
        <v>1179</v>
      </c>
      <c r="H65" s="121" t="s">
        <v>1180</v>
      </c>
      <c r="I65" s="121" t="s">
        <v>1180</v>
      </c>
      <c r="J65" s="309">
        <v>0.8</v>
      </c>
      <c r="K65" s="121">
        <v>265.0</v>
      </c>
      <c r="M65" s="121">
        <v>314.0</v>
      </c>
      <c r="P65" s="308">
        <v>43502.0</v>
      </c>
      <c r="Q65" s="121">
        <v>75612.0</v>
      </c>
      <c r="R65" s="121">
        <v>252.0</v>
      </c>
      <c r="Y65" s="121" t="s">
        <v>1182</v>
      </c>
    </row>
    <row r="66">
      <c r="A66" s="307">
        <v>43685.972922650464</v>
      </c>
      <c r="B66" s="121" t="s">
        <v>318</v>
      </c>
      <c r="C66" s="121" t="s">
        <v>1197</v>
      </c>
      <c r="D66" s="121" t="s">
        <v>1178</v>
      </c>
      <c r="E66" s="308">
        <v>41348.0</v>
      </c>
      <c r="F66" s="121" t="s">
        <v>30</v>
      </c>
      <c r="G66" s="121" t="s">
        <v>1190</v>
      </c>
      <c r="H66" s="121" t="s">
        <v>1180</v>
      </c>
      <c r="I66" s="121" t="s">
        <v>1180</v>
      </c>
      <c r="J66" s="309">
        <v>0.9</v>
      </c>
      <c r="K66" s="121">
        <v>425.0</v>
      </c>
      <c r="L66" s="121">
        <v>180.0</v>
      </c>
      <c r="M66" s="121">
        <v>210.0</v>
      </c>
      <c r="P66" s="308">
        <v>43678.0</v>
      </c>
      <c r="Q66" s="121">
        <v>239408.0</v>
      </c>
      <c r="R66" s="121">
        <v>385.0</v>
      </c>
      <c r="Y66" s="121" t="s">
        <v>1182</v>
      </c>
    </row>
    <row r="67">
      <c r="A67" s="307">
        <v>43841.72040236111</v>
      </c>
      <c r="B67" s="121" t="s">
        <v>1252</v>
      </c>
      <c r="C67" s="121" t="s">
        <v>1177</v>
      </c>
      <c r="D67" s="121" t="s">
        <v>1178</v>
      </c>
      <c r="E67" s="308">
        <v>43511.0</v>
      </c>
      <c r="F67" s="121" t="s">
        <v>1217</v>
      </c>
      <c r="G67" s="121" t="s">
        <v>1181</v>
      </c>
      <c r="H67" s="121" t="s">
        <v>1186</v>
      </c>
      <c r="I67" s="121" t="s">
        <v>1187</v>
      </c>
      <c r="J67" s="309">
        <v>0.8</v>
      </c>
      <c r="K67" s="121">
        <v>500.0</v>
      </c>
      <c r="L67" s="121">
        <v>149.0</v>
      </c>
      <c r="M67" s="121">
        <v>148.0</v>
      </c>
      <c r="P67" s="308">
        <v>43685.0</v>
      </c>
      <c r="Q67" s="121">
        <v>21820.0</v>
      </c>
      <c r="R67" s="121">
        <v>500.0</v>
      </c>
      <c r="Y67" s="121" t="s">
        <v>1182</v>
      </c>
    </row>
    <row r="68">
      <c r="A68" s="307">
        <v>43691.091944942134</v>
      </c>
      <c r="B68" s="121" t="s">
        <v>1253</v>
      </c>
      <c r="C68" s="121" t="s">
        <v>1184</v>
      </c>
      <c r="D68" s="121" t="s">
        <v>1185</v>
      </c>
      <c r="E68" s="308">
        <v>43434.0</v>
      </c>
      <c r="F68" s="121" t="s">
        <v>1199</v>
      </c>
      <c r="G68" s="121" t="s">
        <v>1179</v>
      </c>
      <c r="H68" s="121" t="s">
        <v>1180</v>
      </c>
      <c r="I68" s="121" t="s">
        <v>1181</v>
      </c>
      <c r="J68" s="309">
        <v>0.9</v>
      </c>
      <c r="K68" s="121">
        <v>310.0</v>
      </c>
      <c r="L68" s="121">
        <v>250.0</v>
      </c>
      <c r="M68" s="121">
        <v>297.0</v>
      </c>
      <c r="P68" s="308">
        <v>43525.0</v>
      </c>
      <c r="Q68" s="121">
        <v>6000.0</v>
      </c>
      <c r="R68" s="121">
        <v>310.0</v>
      </c>
      <c r="S68" s="308">
        <v>43561.0</v>
      </c>
      <c r="T68" s="121">
        <v>8500.0</v>
      </c>
      <c r="U68" s="121">
        <v>306.0</v>
      </c>
      <c r="V68" s="308">
        <v>43677.0</v>
      </c>
      <c r="W68" s="121">
        <v>12000.0</v>
      </c>
      <c r="X68" s="121">
        <v>297.0</v>
      </c>
      <c r="Y68" s="121" t="s">
        <v>1182</v>
      </c>
    </row>
    <row r="69">
      <c r="A69" s="307">
        <v>43691.48969872685</v>
      </c>
      <c r="B69" s="121" t="s">
        <v>1254</v>
      </c>
      <c r="C69" s="121" t="s">
        <v>1177</v>
      </c>
      <c r="D69" s="121" t="s">
        <v>1178</v>
      </c>
      <c r="E69" s="308">
        <v>41883.0</v>
      </c>
      <c r="F69" s="121" t="s">
        <v>30</v>
      </c>
      <c r="G69" s="121" t="s">
        <v>1205</v>
      </c>
      <c r="H69" s="121" t="s">
        <v>1203</v>
      </c>
      <c r="I69" s="121" t="s">
        <v>1190</v>
      </c>
      <c r="J69" s="309">
        <v>1.0</v>
      </c>
      <c r="P69" s="308">
        <v>43690.0</v>
      </c>
      <c r="R69" s="121">
        <v>374.0</v>
      </c>
      <c r="Y69" s="121" t="s">
        <v>1182</v>
      </c>
    </row>
    <row r="70">
      <c r="A70" s="307">
        <v>43691.57400594908</v>
      </c>
      <c r="B70" s="121" t="s">
        <v>1255</v>
      </c>
      <c r="C70" s="121" t="s">
        <v>1177</v>
      </c>
      <c r="D70" s="121" t="s">
        <v>1178</v>
      </c>
      <c r="E70" s="308">
        <v>43344.0</v>
      </c>
      <c r="F70" s="121" t="s">
        <v>45</v>
      </c>
      <c r="G70" s="121" t="s">
        <v>1179</v>
      </c>
      <c r="H70" s="121" t="s">
        <v>1181</v>
      </c>
      <c r="I70" s="121" t="s">
        <v>1181</v>
      </c>
      <c r="J70" s="309">
        <v>0.7</v>
      </c>
      <c r="K70" s="121">
        <v>504.0</v>
      </c>
      <c r="M70" s="121">
        <v>181.0</v>
      </c>
      <c r="P70" s="308">
        <v>43805.0</v>
      </c>
      <c r="Q70" s="121">
        <v>15.0</v>
      </c>
      <c r="R70" s="121">
        <v>504.0</v>
      </c>
      <c r="S70" s="308">
        <v>43807.0</v>
      </c>
      <c r="T70" s="121">
        <v>6196.0</v>
      </c>
      <c r="U70" s="121">
        <v>500.0</v>
      </c>
      <c r="Y70" s="121" t="s">
        <v>1182</v>
      </c>
    </row>
    <row r="71">
      <c r="A71" s="307">
        <v>43692.862418749995</v>
      </c>
      <c r="B71" s="121" t="s">
        <v>1256</v>
      </c>
      <c r="C71" s="121" t="s">
        <v>1184</v>
      </c>
      <c r="D71" s="121" t="s">
        <v>1185</v>
      </c>
      <c r="E71" s="308">
        <v>42505.0</v>
      </c>
      <c r="F71" s="121" t="s">
        <v>47</v>
      </c>
      <c r="G71" s="121" t="s">
        <v>1179</v>
      </c>
      <c r="H71" s="121" t="s">
        <v>1181</v>
      </c>
      <c r="I71" s="121" t="s">
        <v>1181</v>
      </c>
      <c r="K71" s="121">
        <v>270.0</v>
      </c>
      <c r="P71" s="308">
        <v>43692.0</v>
      </c>
      <c r="Q71" s="121">
        <v>66667.0</v>
      </c>
      <c r="R71" s="121">
        <v>245.0</v>
      </c>
      <c r="Y71" s="121" t="s">
        <v>1182</v>
      </c>
    </row>
    <row r="72">
      <c r="A72" s="307">
        <v>43696.05163746528</v>
      </c>
      <c r="B72" s="121" t="s">
        <v>1257</v>
      </c>
      <c r="C72" s="121" t="s">
        <v>1197</v>
      </c>
      <c r="D72" s="121" t="s">
        <v>1178</v>
      </c>
      <c r="E72" s="308">
        <v>43313.0</v>
      </c>
      <c r="F72" s="121" t="s">
        <v>1217</v>
      </c>
      <c r="G72" s="121" t="s">
        <v>1181</v>
      </c>
      <c r="H72" s="121" t="s">
        <v>1186</v>
      </c>
      <c r="J72" s="309">
        <v>0.9</v>
      </c>
      <c r="L72" s="121">
        <v>155.0</v>
      </c>
      <c r="M72" s="121">
        <v>190.0</v>
      </c>
      <c r="Y72" s="121" t="s">
        <v>1182</v>
      </c>
    </row>
    <row r="73">
      <c r="A73" s="307">
        <v>43699.33035615741</v>
      </c>
      <c r="B73" s="121" t="s">
        <v>1032</v>
      </c>
      <c r="C73" s="121" t="s">
        <v>1177</v>
      </c>
      <c r="D73" s="121" t="s">
        <v>1178</v>
      </c>
      <c r="E73" s="308">
        <v>42887.0</v>
      </c>
      <c r="F73" s="121" t="s">
        <v>49</v>
      </c>
      <c r="G73" s="121" t="s">
        <v>1180</v>
      </c>
      <c r="H73" s="121" t="s">
        <v>1186</v>
      </c>
      <c r="I73" s="121" t="s">
        <v>1186</v>
      </c>
      <c r="J73" s="309">
        <v>0.8</v>
      </c>
      <c r="P73" s="308">
        <v>43209.0</v>
      </c>
      <c r="Q73" s="121">
        <v>22863.0</v>
      </c>
      <c r="R73" s="121">
        <v>471.0</v>
      </c>
      <c r="S73" s="308">
        <v>43313.0</v>
      </c>
      <c r="T73" s="121">
        <v>32048.0</v>
      </c>
      <c r="U73" s="121">
        <v>466.0</v>
      </c>
      <c r="V73" s="308">
        <v>43374.0</v>
      </c>
      <c r="W73" s="121">
        <v>37079.0</v>
      </c>
      <c r="X73" s="121">
        <v>466.0</v>
      </c>
      <c r="Y73" s="121" t="s">
        <v>1210</v>
      </c>
      <c r="Z73" s="308">
        <v>43556.0</v>
      </c>
      <c r="AA73" s="121">
        <v>50984.0</v>
      </c>
      <c r="AB73" s="121">
        <v>455.0</v>
      </c>
      <c r="AC73" s="308">
        <v>43699.0</v>
      </c>
      <c r="AD73" s="121">
        <v>64224.0</v>
      </c>
      <c r="AE73" s="121">
        <v>452.0</v>
      </c>
      <c r="AL73" s="121" t="s">
        <v>1182</v>
      </c>
    </row>
    <row r="74">
      <c r="A74" s="307">
        <v>43698.66777543981</v>
      </c>
      <c r="B74" s="121" t="s">
        <v>1258</v>
      </c>
      <c r="C74" s="121" t="s">
        <v>1177</v>
      </c>
      <c r="D74" s="121" t="s">
        <v>1178</v>
      </c>
      <c r="E74" s="308">
        <v>42401.0</v>
      </c>
      <c r="F74" s="121" t="s">
        <v>47</v>
      </c>
      <c r="G74" s="121" t="s">
        <v>1179</v>
      </c>
      <c r="H74" s="121" t="s">
        <v>1181</v>
      </c>
      <c r="I74" s="121" t="s">
        <v>1179</v>
      </c>
      <c r="J74" s="309">
        <v>0.9</v>
      </c>
      <c r="K74" s="121">
        <v>412.0</v>
      </c>
      <c r="M74" s="121">
        <v>232.0</v>
      </c>
      <c r="P74" s="308">
        <v>43692.0</v>
      </c>
      <c r="Q74" s="121">
        <v>154312.0</v>
      </c>
      <c r="R74" s="121">
        <v>372.0</v>
      </c>
      <c r="Y74" s="121" t="s">
        <v>1182</v>
      </c>
    </row>
    <row r="75">
      <c r="A75" s="307">
        <v>43699.48569443287</v>
      </c>
      <c r="B75" s="121" t="s">
        <v>1259</v>
      </c>
      <c r="C75" s="121" t="s">
        <v>1184</v>
      </c>
      <c r="D75" s="121" t="s">
        <v>1185</v>
      </c>
      <c r="E75" s="308">
        <v>43327.0</v>
      </c>
      <c r="F75" s="121" t="s">
        <v>1217</v>
      </c>
      <c r="G75" s="121" t="s">
        <v>1180</v>
      </c>
      <c r="H75" s="121" t="s">
        <v>1181</v>
      </c>
      <c r="J75" s="309">
        <v>0.8</v>
      </c>
      <c r="K75" s="121">
        <v>309.0</v>
      </c>
      <c r="M75" s="121">
        <v>277.0</v>
      </c>
      <c r="P75" s="308">
        <v>43390.0</v>
      </c>
      <c r="Q75" s="121">
        <v>2000.0</v>
      </c>
      <c r="R75" s="121">
        <v>305.0</v>
      </c>
      <c r="S75" s="308">
        <v>43692.0</v>
      </c>
      <c r="T75" s="121">
        <v>11825.0</v>
      </c>
      <c r="U75" s="121">
        <v>292.0</v>
      </c>
      <c r="Y75" s="121" t="s">
        <v>1182</v>
      </c>
    </row>
    <row r="76">
      <c r="A76" s="307">
        <v>43701.31748670139</v>
      </c>
      <c r="B76" s="121" t="s">
        <v>1260</v>
      </c>
      <c r="C76" s="121" t="s">
        <v>1177</v>
      </c>
      <c r="D76" s="121" t="s">
        <v>1178</v>
      </c>
      <c r="E76" s="308">
        <v>43678.0</v>
      </c>
      <c r="F76" s="121" t="s">
        <v>34</v>
      </c>
      <c r="P76" s="308">
        <v>43701.0</v>
      </c>
      <c r="Q76" s="121">
        <v>137000.0</v>
      </c>
      <c r="R76" s="121">
        <v>360.0</v>
      </c>
      <c r="Y76" s="121" t="s">
        <v>1182</v>
      </c>
    </row>
    <row r="77">
      <c r="A77" s="307">
        <v>43705.7572883449</v>
      </c>
      <c r="B77" s="121" t="s">
        <v>1083</v>
      </c>
      <c r="C77" s="121" t="s">
        <v>1197</v>
      </c>
      <c r="D77" s="121" t="s">
        <v>1178</v>
      </c>
      <c r="E77" s="308">
        <v>41307.0</v>
      </c>
      <c r="F77" s="121" t="s">
        <v>30</v>
      </c>
      <c r="G77" s="121" t="s">
        <v>1190</v>
      </c>
      <c r="H77" s="121" t="s">
        <v>1179</v>
      </c>
      <c r="I77" s="121" t="s">
        <v>1181</v>
      </c>
      <c r="J77" s="309">
        <v>0.9</v>
      </c>
      <c r="K77" s="121">
        <v>425.0</v>
      </c>
      <c r="P77" s="308">
        <v>43687.0</v>
      </c>
      <c r="Q77" s="121">
        <v>140000.0</v>
      </c>
      <c r="R77" s="121">
        <v>410.0</v>
      </c>
      <c r="Y77" s="121" t="s">
        <v>1182</v>
      </c>
    </row>
    <row r="78">
      <c r="A78" s="307">
        <v>43708.35439446759</v>
      </c>
      <c r="B78" s="121" t="s">
        <v>930</v>
      </c>
      <c r="C78" s="121" t="s">
        <v>1177</v>
      </c>
      <c r="D78" s="121" t="s">
        <v>1178</v>
      </c>
      <c r="E78" s="308">
        <v>42475.0</v>
      </c>
      <c r="F78" s="121" t="s">
        <v>47</v>
      </c>
      <c r="G78" s="121" t="s">
        <v>1181</v>
      </c>
      <c r="H78" s="121" t="s">
        <v>1181</v>
      </c>
      <c r="I78" s="121" t="s">
        <v>1186</v>
      </c>
      <c r="J78" s="309">
        <v>0.7</v>
      </c>
      <c r="K78" s="121">
        <v>412.0</v>
      </c>
      <c r="M78" s="121">
        <v>232.0</v>
      </c>
      <c r="P78" s="308">
        <v>43707.0</v>
      </c>
      <c r="Q78" s="121">
        <v>59800.0</v>
      </c>
      <c r="R78" s="121">
        <v>388.0</v>
      </c>
      <c r="Y78" s="121" t="s">
        <v>1182</v>
      </c>
    </row>
    <row r="79">
      <c r="A79" s="307">
        <v>43708.55832349537</v>
      </c>
      <c r="B79" s="121" t="s">
        <v>1261</v>
      </c>
      <c r="C79" s="121" t="s">
        <v>1177</v>
      </c>
      <c r="D79" s="121" t="s">
        <v>1178</v>
      </c>
      <c r="E79" s="308">
        <v>43344.0</v>
      </c>
      <c r="F79" s="121" t="s">
        <v>55</v>
      </c>
      <c r="H79" s="121" t="s">
        <v>1186</v>
      </c>
      <c r="I79" s="121" t="s">
        <v>1186</v>
      </c>
      <c r="J79" s="309">
        <v>0.7</v>
      </c>
      <c r="K79" s="121">
        <v>414.0</v>
      </c>
      <c r="M79" s="121">
        <v>250.0</v>
      </c>
      <c r="P79" s="308">
        <v>43169.0</v>
      </c>
      <c r="Q79" s="121">
        <v>700.0</v>
      </c>
      <c r="R79" s="121">
        <v>414.0</v>
      </c>
      <c r="S79" s="308">
        <v>43707.0</v>
      </c>
      <c r="T79" s="121">
        <v>25200.0</v>
      </c>
      <c r="Y79" s="121" t="s">
        <v>1182</v>
      </c>
    </row>
    <row r="80">
      <c r="A80" s="307">
        <v>43712.95972569444</v>
      </c>
      <c r="B80" s="121" t="s">
        <v>1262</v>
      </c>
      <c r="C80" s="121" t="s">
        <v>1184</v>
      </c>
      <c r="D80" s="121" t="s">
        <v>1185</v>
      </c>
      <c r="E80" s="308">
        <v>43344.0</v>
      </c>
      <c r="F80" s="121" t="s">
        <v>1217</v>
      </c>
      <c r="G80" s="121" t="s">
        <v>1179</v>
      </c>
      <c r="H80" s="121" t="s">
        <v>1181</v>
      </c>
      <c r="J80" s="309">
        <v>0.8</v>
      </c>
      <c r="K80" s="121">
        <v>310.0</v>
      </c>
      <c r="P80" s="308">
        <v>43706.0</v>
      </c>
      <c r="Q80" s="121">
        <v>17371.0</v>
      </c>
      <c r="R80" s="121">
        <v>300.41</v>
      </c>
      <c r="Y80" s="121" t="s">
        <v>1182</v>
      </c>
    </row>
    <row r="81">
      <c r="A81" s="307">
        <v>43714.46456342592</v>
      </c>
      <c r="B81" s="121" t="s">
        <v>1263</v>
      </c>
      <c r="C81" s="121" t="s">
        <v>1177</v>
      </c>
      <c r="D81" s="121" t="s">
        <v>1178</v>
      </c>
      <c r="E81" s="308">
        <v>42418.0</v>
      </c>
      <c r="F81" s="121" t="s">
        <v>43</v>
      </c>
      <c r="G81" s="121" t="s">
        <v>1180</v>
      </c>
      <c r="H81" s="121" t="s">
        <v>1179</v>
      </c>
      <c r="I81" s="121" t="s">
        <v>1181</v>
      </c>
      <c r="J81" s="309">
        <v>0.9</v>
      </c>
      <c r="L81" s="121">
        <v>240.0</v>
      </c>
      <c r="M81" s="121">
        <v>280.0</v>
      </c>
      <c r="P81" s="308">
        <v>43714.0</v>
      </c>
      <c r="Q81" s="121">
        <v>80000.0</v>
      </c>
      <c r="R81" s="121">
        <v>422.0</v>
      </c>
      <c r="Y81" s="121" t="s">
        <v>1182</v>
      </c>
    </row>
    <row r="82">
      <c r="A82" s="307">
        <v>43721.49463163194</v>
      </c>
      <c r="B82" s="121" t="s">
        <v>1264</v>
      </c>
      <c r="C82" s="121" t="s">
        <v>1197</v>
      </c>
      <c r="D82" s="121" t="s">
        <v>1178</v>
      </c>
      <c r="E82" s="308">
        <v>41932.0</v>
      </c>
      <c r="F82" s="121" t="s">
        <v>30</v>
      </c>
      <c r="G82" s="121" t="s">
        <v>1179</v>
      </c>
      <c r="H82" s="121" t="s">
        <v>1181</v>
      </c>
      <c r="I82" s="121" t="s">
        <v>1180</v>
      </c>
      <c r="J82" s="309">
        <v>0.9</v>
      </c>
      <c r="K82" s="121">
        <v>404.0</v>
      </c>
      <c r="L82" s="121">
        <v>220.0</v>
      </c>
      <c r="P82" s="308">
        <v>43721.0</v>
      </c>
      <c r="Q82" s="121">
        <v>208800.0</v>
      </c>
      <c r="R82" s="121">
        <v>365.0</v>
      </c>
      <c r="Y82" s="121" t="s">
        <v>1182</v>
      </c>
    </row>
    <row r="83">
      <c r="A83" s="307">
        <v>43727.794143125</v>
      </c>
      <c r="B83" s="121" t="s">
        <v>1265</v>
      </c>
      <c r="C83" s="121" t="s">
        <v>1177</v>
      </c>
      <c r="D83" s="121" t="s">
        <v>1178</v>
      </c>
      <c r="E83" s="308">
        <v>42102.0</v>
      </c>
      <c r="F83" s="121" t="s">
        <v>36</v>
      </c>
      <c r="G83" s="121" t="s">
        <v>1181</v>
      </c>
      <c r="H83" s="121" t="s">
        <v>1186</v>
      </c>
      <c r="I83" s="121" t="s">
        <v>1186</v>
      </c>
      <c r="J83" s="309">
        <v>0.8</v>
      </c>
      <c r="K83" s="121">
        <v>420.0</v>
      </c>
      <c r="P83" s="308">
        <v>43666.0</v>
      </c>
      <c r="Q83" s="121">
        <v>58000.0</v>
      </c>
      <c r="R83" s="121">
        <v>410.0</v>
      </c>
      <c r="Y83" s="121" t="s">
        <v>1182</v>
      </c>
    </row>
    <row r="84">
      <c r="A84" s="307">
        <v>43730.38025269676</v>
      </c>
      <c r="B84" s="121" t="s">
        <v>1266</v>
      </c>
      <c r="C84" s="121" t="s">
        <v>1184</v>
      </c>
      <c r="D84" s="121" t="s">
        <v>1185</v>
      </c>
      <c r="E84" s="308">
        <v>41253.0</v>
      </c>
      <c r="F84" s="121" t="s">
        <v>30</v>
      </c>
      <c r="G84" s="121" t="s">
        <v>1181</v>
      </c>
      <c r="H84" s="121" t="s">
        <v>1181</v>
      </c>
      <c r="I84" s="121" t="s">
        <v>1187</v>
      </c>
      <c r="J84" s="309">
        <v>0.6</v>
      </c>
      <c r="L84" s="121">
        <v>329.0</v>
      </c>
      <c r="M84" s="121">
        <v>430.0</v>
      </c>
      <c r="P84" s="308">
        <v>43666.0</v>
      </c>
      <c r="Q84" s="121">
        <v>57159.0</v>
      </c>
      <c r="R84" s="121">
        <v>250.0</v>
      </c>
      <c r="Y84" s="121" t="s">
        <v>1182</v>
      </c>
    </row>
    <row r="85">
      <c r="A85" s="307">
        <v>43731.69764737268</v>
      </c>
      <c r="B85" s="121" t="s">
        <v>1267</v>
      </c>
      <c r="C85" s="121" t="s">
        <v>1184</v>
      </c>
      <c r="D85" s="121" t="s">
        <v>1185</v>
      </c>
      <c r="E85" s="308">
        <v>43070.0</v>
      </c>
      <c r="F85" s="121" t="s">
        <v>1221</v>
      </c>
      <c r="G85" s="121" t="s">
        <v>1181</v>
      </c>
      <c r="H85" s="121" t="s">
        <v>1181</v>
      </c>
      <c r="I85" s="121" t="s">
        <v>1187</v>
      </c>
      <c r="J85" s="309">
        <v>0.7</v>
      </c>
      <c r="K85" s="121">
        <v>325.0</v>
      </c>
      <c r="M85" s="121">
        <v>321.0</v>
      </c>
      <c r="P85" s="308">
        <v>43729.0</v>
      </c>
      <c r="Q85" s="121">
        <v>21213.0</v>
      </c>
      <c r="R85" s="121">
        <v>219.0</v>
      </c>
      <c r="Y85" s="121" t="s">
        <v>1182</v>
      </c>
    </row>
    <row r="86">
      <c r="A86" s="307">
        <v>43731.870348854165</v>
      </c>
      <c r="B86" s="121" t="s">
        <v>1268</v>
      </c>
      <c r="C86" s="121" t="s">
        <v>1184</v>
      </c>
      <c r="D86" s="121" t="s">
        <v>1185</v>
      </c>
      <c r="E86" s="308">
        <v>43291.0</v>
      </c>
      <c r="F86" s="121" t="s">
        <v>1221</v>
      </c>
      <c r="G86" s="121" t="s">
        <v>1180</v>
      </c>
      <c r="H86" s="121" t="s">
        <v>1186</v>
      </c>
      <c r="I86" s="121" t="s">
        <v>1187</v>
      </c>
      <c r="J86" s="309">
        <v>0.8</v>
      </c>
      <c r="K86" s="121">
        <v>310.0</v>
      </c>
      <c r="L86" s="121">
        <v>220.0</v>
      </c>
      <c r="M86" s="121">
        <v>202.0</v>
      </c>
      <c r="Y86" s="121" t="s">
        <v>1182</v>
      </c>
    </row>
    <row r="87">
      <c r="A87" s="307">
        <v>43732.446196261575</v>
      </c>
      <c r="B87" s="121" t="s">
        <v>1269</v>
      </c>
      <c r="C87" s="121" t="s">
        <v>1177</v>
      </c>
      <c r="D87" s="121" t="s">
        <v>1178</v>
      </c>
      <c r="E87" s="308">
        <v>42200.0</v>
      </c>
      <c r="F87" s="121" t="s">
        <v>36</v>
      </c>
      <c r="G87" s="121" t="s">
        <v>1181</v>
      </c>
      <c r="H87" s="121" t="s">
        <v>1181</v>
      </c>
      <c r="I87" s="121" t="s">
        <v>1186</v>
      </c>
      <c r="J87" s="309">
        <v>0.5</v>
      </c>
      <c r="L87" s="121">
        <v>210.0</v>
      </c>
      <c r="Y87" s="121" t="s">
        <v>1182</v>
      </c>
    </row>
    <row r="88">
      <c r="A88" s="307">
        <v>43732.62810503472</v>
      </c>
      <c r="B88" s="121" t="s">
        <v>1270</v>
      </c>
      <c r="C88" s="121" t="s">
        <v>1184</v>
      </c>
      <c r="D88" s="121" t="s">
        <v>1185</v>
      </c>
      <c r="E88" s="308">
        <v>43397.0</v>
      </c>
      <c r="F88" s="121" t="s">
        <v>1217</v>
      </c>
      <c r="G88" s="121" t="s">
        <v>1179</v>
      </c>
      <c r="H88" s="121" t="s">
        <v>1181</v>
      </c>
      <c r="I88" s="121" t="s">
        <v>1181</v>
      </c>
      <c r="J88" s="309">
        <v>0.9</v>
      </c>
      <c r="K88" s="121">
        <v>310.0</v>
      </c>
      <c r="P88" s="308">
        <v>43732.0</v>
      </c>
      <c r="Q88" s="121">
        <v>40000.0</v>
      </c>
      <c r="R88" s="121">
        <v>294.0</v>
      </c>
      <c r="Y88" s="121" t="s">
        <v>1182</v>
      </c>
    </row>
    <row r="89">
      <c r="A89" s="307">
        <v>43815.68189659722</v>
      </c>
      <c r="B89" s="121" t="s">
        <v>1271</v>
      </c>
      <c r="C89" s="121" t="s">
        <v>1177</v>
      </c>
      <c r="D89" s="121" t="s">
        <v>1178</v>
      </c>
      <c r="E89" s="308">
        <v>43132.0</v>
      </c>
      <c r="F89" s="121" t="s">
        <v>28</v>
      </c>
      <c r="G89" s="121" t="s">
        <v>1190</v>
      </c>
      <c r="H89" s="121" t="s">
        <v>1180</v>
      </c>
      <c r="I89" s="121" t="s">
        <v>1181</v>
      </c>
      <c r="J89" s="309">
        <v>0.8</v>
      </c>
      <c r="K89" s="121">
        <v>386.0</v>
      </c>
      <c r="M89" s="121">
        <v>194.0</v>
      </c>
      <c r="P89" s="308">
        <v>43269.0</v>
      </c>
      <c r="Q89" s="121">
        <v>3767.0</v>
      </c>
      <c r="R89" s="121">
        <v>386.0</v>
      </c>
      <c r="S89" s="308">
        <v>43390.0</v>
      </c>
      <c r="T89" s="121">
        <v>11479.0</v>
      </c>
      <c r="U89" s="121">
        <v>378.0</v>
      </c>
      <c r="V89" s="308">
        <v>43451.0</v>
      </c>
      <c r="W89" s="121">
        <v>18446.0</v>
      </c>
      <c r="X89" s="121">
        <v>374.0</v>
      </c>
      <c r="Y89" s="121" t="s">
        <v>1210</v>
      </c>
      <c r="Z89" s="308">
        <v>43558.0</v>
      </c>
      <c r="AA89" s="121">
        <v>26765.0</v>
      </c>
      <c r="AB89" s="121">
        <v>370.0</v>
      </c>
      <c r="AC89" s="308">
        <v>43735.0</v>
      </c>
      <c r="AD89" s="121">
        <v>45770.0</v>
      </c>
      <c r="AE89" s="121">
        <v>370.0</v>
      </c>
      <c r="AF89" s="308">
        <v>43735.0</v>
      </c>
      <c r="AG89" s="121">
        <v>45770.0</v>
      </c>
      <c r="AH89" s="121">
        <v>370.0</v>
      </c>
      <c r="AI89" s="308">
        <v>43805.0</v>
      </c>
      <c r="AJ89" s="121">
        <v>51689.0</v>
      </c>
      <c r="AK89" s="121">
        <v>366.0</v>
      </c>
      <c r="AL89" s="121" t="s">
        <v>1182</v>
      </c>
    </row>
    <row r="90">
      <c r="A90" s="307">
        <v>43736.81551526621</v>
      </c>
      <c r="B90" s="121" t="s">
        <v>1272</v>
      </c>
      <c r="C90" s="121" t="s">
        <v>1177</v>
      </c>
      <c r="D90" s="121" t="s">
        <v>1178</v>
      </c>
      <c r="E90" s="308">
        <v>42338.0</v>
      </c>
      <c r="F90" s="121" t="s">
        <v>36</v>
      </c>
      <c r="G90" s="121" t="s">
        <v>1203</v>
      </c>
      <c r="H90" s="121" t="s">
        <v>1181</v>
      </c>
      <c r="I90" s="121" t="s">
        <v>1179</v>
      </c>
      <c r="J90" s="309">
        <v>0.9</v>
      </c>
      <c r="L90" s="121">
        <v>170.0</v>
      </c>
      <c r="M90" s="121">
        <v>200.0</v>
      </c>
      <c r="P90" s="308">
        <v>43735.0</v>
      </c>
      <c r="Q90" s="121">
        <v>226000.0</v>
      </c>
      <c r="R90" s="121">
        <v>401.0</v>
      </c>
      <c r="Y90" s="121" t="s">
        <v>1182</v>
      </c>
    </row>
    <row r="91">
      <c r="A91" s="307">
        <v>43739.66476373843</v>
      </c>
      <c r="B91" s="121" t="s">
        <v>1273</v>
      </c>
      <c r="C91" s="121" t="s">
        <v>1177</v>
      </c>
      <c r="D91" s="121" t="s">
        <v>1178</v>
      </c>
      <c r="E91" s="308">
        <v>43616.0</v>
      </c>
      <c r="F91" s="121" t="s">
        <v>1192</v>
      </c>
      <c r="G91" s="121" t="s">
        <v>1179</v>
      </c>
      <c r="H91" s="121" t="s">
        <v>1181</v>
      </c>
      <c r="J91" s="309">
        <v>0.8</v>
      </c>
      <c r="M91" s="121">
        <v>149.0</v>
      </c>
      <c r="P91" s="308">
        <v>43651.0</v>
      </c>
      <c r="Q91" s="121">
        <v>954.0</v>
      </c>
      <c r="R91" s="121">
        <v>382.0</v>
      </c>
      <c r="S91" s="308">
        <v>43737.0</v>
      </c>
      <c r="T91" s="121">
        <v>5000.0</v>
      </c>
      <c r="U91" s="121">
        <v>370.0</v>
      </c>
      <c r="Y91" s="121" t="s">
        <v>1182</v>
      </c>
    </row>
    <row r="92">
      <c r="A92" s="307">
        <v>43742.3600978125</v>
      </c>
      <c r="B92" s="121" t="s">
        <v>1274</v>
      </c>
      <c r="C92" s="121" t="s">
        <v>1177</v>
      </c>
      <c r="D92" s="121" t="s">
        <v>1178</v>
      </c>
      <c r="E92" s="308">
        <v>42705.0</v>
      </c>
      <c r="F92" s="121" t="s">
        <v>43</v>
      </c>
      <c r="G92" s="121" t="s">
        <v>1180</v>
      </c>
      <c r="H92" s="121" t="s">
        <v>1181</v>
      </c>
      <c r="I92" s="121" t="s">
        <v>1181</v>
      </c>
      <c r="J92" s="309">
        <v>0.9</v>
      </c>
      <c r="P92" s="308">
        <v>43741.0</v>
      </c>
      <c r="Q92" s="121">
        <v>64513.0</v>
      </c>
      <c r="R92" s="121">
        <v>441.0</v>
      </c>
      <c r="Y92" s="121" t="s">
        <v>1182</v>
      </c>
    </row>
    <row r="93">
      <c r="A93" s="307">
        <v>43823.57483287037</v>
      </c>
      <c r="B93" s="121" t="s">
        <v>1275</v>
      </c>
      <c r="C93" s="121" t="s">
        <v>1177</v>
      </c>
      <c r="D93" s="121" t="s">
        <v>1178</v>
      </c>
      <c r="E93" s="308">
        <v>43678.0</v>
      </c>
      <c r="F93" s="121" t="s">
        <v>1199</v>
      </c>
      <c r="G93" s="121" t="s">
        <v>1181</v>
      </c>
      <c r="H93" s="121" t="s">
        <v>1181</v>
      </c>
      <c r="I93" s="121" t="s">
        <v>1181</v>
      </c>
      <c r="J93" s="309">
        <v>0.8</v>
      </c>
      <c r="K93" s="121">
        <v>499.0</v>
      </c>
      <c r="P93" s="308">
        <v>43822.0</v>
      </c>
      <c r="Q93" s="121">
        <v>13000.0</v>
      </c>
      <c r="R93" s="121">
        <v>488.0</v>
      </c>
      <c r="S93" s="308">
        <v>43823.0</v>
      </c>
      <c r="T93" s="121"/>
      <c r="U93" s="121"/>
      <c r="Y93" s="121" t="s">
        <v>1182</v>
      </c>
    </row>
    <row r="94">
      <c r="A94" s="307">
        <v>43745.42208696759</v>
      </c>
      <c r="B94" s="121" t="s">
        <v>1276</v>
      </c>
      <c r="C94" s="121" t="s">
        <v>1177</v>
      </c>
      <c r="D94" s="121" t="s">
        <v>1178</v>
      </c>
      <c r="E94" s="308">
        <v>42643.0</v>
      </c>
      <c r="F94" s="121" t="s">
        <v>57</v>
      </c>
      <c r="G94" s="121" t="s">
        <v>1180</v>
      </c>
      <c r="H94" s="121" t="s">
        <v>1186</v>
      </c>
      <c r="I94" s="121" t="s">
        <v>1181</v>
      </c>
      <c r="J94" s="309">
        <v>0.9</v>
      </c>
      <c r="K94" s="121">
        <v>399.0</v>
      </c>
      <c r="L94" s="121">
        <v>250.0</v>
      </c>
      <c r="M94" s="121">
        <v>250.0</v>
      </c>
      <c r="P94" s="308">
        <v>43739.0</v>
      </c>
      <c r="Q94" s="121">
        <v>180000.0</v>
      </c>
      <c r="R94" s="121">
        <v>353.0</v>
      </c>
      <c r="Y94" s="121" t="s">
        <v>1182</v>
      </c>
    </row>
    <row r="95">
      <c r="A95" s="307">
        <v>43747.8018213426</v>
      </c>
      <c r="B95" s="121" t="s">
        <v>1277</v>
      </c>
      <c r="C95" s="121" t="s">
        <v>1177</v>
      </c>
      <c r="D95" s="121" t="s">
        <v>1178</v>
      </c>
      <c r="E95" s="308">
        <v>43489.0</v>
      </c>
      <c r="F95" s="121" t="s">
        <v>1217</v>
      </c>
      <c r="G95" s="121" t="s">
        <v>1190</v>
      </c>
      <c r="H95" s="121" t="s">
        <v>1179</v>
      </c>
      <c r="I95" s="121" t="s">
        <v>1181</v>
      </c>
      <c r="J95" s="309">
        <v>0.9</v>
      </c>
      <c r="K95" s="121">
        <v>498.0</v>
      </c>
      <c r="L95" s="121">
        <v>484.0</v>
      </c>
      <c r="M95" s="121">
        <v>198.0</v>
      </c>
      <c r="Y95" s="121" t="s">
        <v>1182</v>
      </c>
    </row>
    <row r="96">
      <c r="A96" s="307">
        <v>43750.003382372684</v>
      </c>
      <c r="B96" s="121" t="s">
        <v>1278</v>
      </c>
      <c r="C96" s="121" t="s">
        <v>1184</v>
      </c>
      <c r="D96" s="121" t="s">
        <v>1185</v>
      </c>
      <c r="E96" s="308">
        <v>43647.0</v>
      </c>
      <c r="F96" s="121" t="s">
        <v>1199</v>
      </c>
      <c r="G96" s="121" t="s">
        <v>1179</v>
      </c>
      <c r="H96" s="121" t="s">
        <v>1180</v>
      </c>
      <c r="I96" s="121" t="s">
        <v>1187</v>
      </c>
      <c r="J96" s="309">
        <v>0.6</v>
      </c>
      <c r="K96" s="121">
        <v>310.0</v>
      </c>
      <c r="P96" s="308">
        <v>43749.0</v>
      </c>
      <c r="Q96" s="121">
        <v>4269.0</v>
      </c>
      <c r="R96" s="121">
        <v>303.67</v>
      </c>
      <c r="S96" s="308">
        <v>43735.0</v>
      </c>
      <c r="T96" s="121">
        <v>3402.0</v>
      </c>
      <c r="U96" s="121">
        <v>308.16</v>
      </c>
      <c r="V96" s="308">
        <v>43672.0</v>
      </c>
      <c r="W96" s="121">
        <v>676.0</v>
      </c>
      <c r="X96" s="121">
        <v>310.0</v>
      </c>
      <c r="Y96" s="121" t="s">
        <v>1182</v>
      </c>
    </row>
    <row r="97">
      <c r="A97" s="307">
        <v>43751.47695844907</v>
      </c>
      <c r="B97" s="121" t="s">
        <v>1279</v>
      </c>
      <c r="C97" s="121" t="s">
        <v>1177</v>
      </c>
      <c r="D97" s="121" t="s">
        <v>1178</v>
      </c>
      <c r="E97" s="308">
        <v>43023.0</v>
      </c>
      <c r="F97" s="121" t="s">
        <v>49</v>
      </c>
      <c r="G97" s="121" t="s">
        <v>1203</v>
      </c>
      <c r="H97" s="121" t="s">
        <v>1181</v>
      </c>
      <c r="I97" s="121" t="s">
        <v>1186</v>
      </c>
      <c r="J97" s="309">
        <v>0.6</v>
      </c>
      <c r="P97" s="308">
        <v>43751.0</v>
      </c>
      <c r="Q97" s="121">
        <v>50382.0</v>
      </c>
      <c r="R97" s="121">
        <v>457.0</v>
      </c>
      <c r="Y97" s="121" t="s">
        <v>1182</v>
      </c>
    </row>
    <row r="98">
      <c r="A98" s="307">
        <v>43751.50983993056</v>
      </c>
      <c r="B98" s="121" t="s">
        <v>1280</v>
      </c>
      <c r="C98" s="121" t="s">
        <v>1177</v>
      </c>
      <c r="D98" s="121" t="s">
        <v>1178</v>
      </c>
      <c r="E98" s="308">
        <v>43592.0</v>
      </c>
      <c r="F98" s="121" t="s">
        <v>1192</v>
      </c>
      <c r="G98" s="121" t="s">
        <v>1179</v>
      </c>
      <c r="H98" s="121" t="s">
        <v>1190</v>
      </c>
      <c r="I98" s="121" t="s">
        <v>1187</v>
      </c>
      <c r="J98" s="309">
        <v>0.9</v>
      </c>
      <c r="K98" s="121">
        <v>377.0</v>
      </c>
      <c r="M98" s="121">
        <v>155.0</v>
      </c>
      <c r="Y98" s="121" t="s">
        <v>1182</v>
      </c>
    </row>
    <row r="99">
      <c r="A99" s="307">
        <v>43751.83757120371</v>
      </c>
      <c r="B99" s="121" t="s">
        <v>232</v>
      </c>
      <c r="C99" s="121" t="s">
        <v>1184</v>
      </c>
      <c r="D99" s="121" t="s">
        <v>1185</v>
      </c>
      <c r="E99" s="308">
        <v>43550.0</v>
      </c>
      <c r="F99" s="121" t="s">
        <v>30</v>
      </c>
      <c r="G99" s="121" t="s">
        <v>1205</v>
      </c>
      <c r="H99" s="121" t="s">
        <v>1190</v>
      </c>
      <c r="I99" s="121" t="s">
        <v>1179</v>
      </c>
      <c r="J99" s="309">
        <v>0.8</v>
      </c>
      <c r="L99" s="121">
        <v>275.0</v>
      </c>
      <c r="M99" s="121">
        <v>321.0</v>
      </c>
      <c r="P99" s="308">
        <v>43743.0</v>
      </c>
      <c r="Q99" s="121">
        <v>236559.0</v>
      </c>
      <c r="R99" s="121">
        <v>235.0</v>
      </c>
      <c r="S99" s="308">
        <v>43642.0</v>
      </c>
      <c r="T99" s="121">
        <v>213.568</v>
      </c>
      <c r="U99" s="121">
        <v>236.0</v>
      </c>
      <c r="V99" s="308">
        <v>43492.0</v>
      </c>
      <c r="W99" s="121">
        <v>194298.0</v>
      </c>
      <c r="X99" s="121">
        <v>241.0</v>
      </c>
      <c r="Y99" s="121" t="s">
        <v>1210</v>
      </c>
      <c r="Z99" s="308">
        <v>43365.0</v>
      </c>
      <c r="AA99" s="121">
        <v>175605.0</v>
      </c>
      <c r="AB99" s="121">
        <v>239.0</v>
      </c>
      <c r="AC99" s="308">
        <v>43658.0</v>
      </c>
      <c r="AD99" s="121">
        <v>218057.0</v>
      </c>
      <c r="AE99" s="121">
        <v>236.0</v>
      </c>
      <c r="AL99" s="121" t="s">
        <v>1182</v>
      </c>
    </row>
    <row r="100">
      <c r="A100" s="307">
        <v>43751.949867303236</v>
      </c>
      <c r="B100" s="121" t="s">
        <v>1281</v>
      </c>
      <c r="C100" s="121" t="s">
        <v>1184</v>
      </c>
      <c r="D100" s="121" t="s">
        <v>1185</v>
      </c>
      <c r="E100" s="308">
        <v>42829.0</v>
      </c>
      <c r="F100" s="121" t="s">
        <v>28</v>
      </c>
      <c r="G100" s="121" t="s">
        <v>1181</v>
      </c>
      <c r="H100" s="121" t="s">
        <v>1181</v>
      </c>
      <c r="I100" s="121" t="s">
        <v>1181</v>
      </c>
      <c r="K100" s="121">
        <v>259.0</v>
      </c>
      <c r="M100" s="121">
        <v>314.0</v>
      </c>
      <c r="P100" s="308">
        <v>43750.0</v>
      </c>
      <c r="Q100" s="121">
        <v>55934.0</v>
      </c>
      <c r="R100" s="121">
        <v>234.0</v>
      </c>
      <c r="Y100" s="121" t="s">
        <v>1182</v>
      </c>
    </row>
    <row r="101">
      <c r="A101" s="307">
        <v>43752.515194444444</v>
      </c>
      <c r="B101" s="121" t="s">
        <v>1282</v>
      </c>
      <c r="C101" s="121" t="s">
        <v>1177</v>
      </c>
      <c r="D101" s="121" t="s">
        <v>1178</v>
      </c>
      <c r="E101" s="308">
        <v>42444.0</v>
      </c>
      <c r="F101" s="121" t="s">
        <v>43</v>
      </c>
      <c r="G101" s="121" t="s">
        <v>1180</v>
      </c>
      <c r="H101" s="121" t="s">
        <v>1186</v>
      </c>
      <c r="I101" s="121" t="s">
        <v>1187</v>
      </c>
      <c r="J101" s="309">
        <v>0.9</v>
      </c>
      <c r="Y101" s="121" t="s">
        <v>1182</v>
      </c>
    </row>
    <row r="102">
      <c r="A102" s="307">
        <v>43808.59729549769</v>
      </c>
      <c r="B102" s="121" t="s">
        <v>1283</v>
      </c>
      <c r="C102" s="121" t="s">
        <v>1177</v>
      </c>
      <c r="D102" s="121" t="s">
        <v>1178</v>
      </c>
      <c r="E102" s="308">
        <v>42139.0</v>
      </c>
      <c r="F102" s="121" t="s">
        <v>30</v>
      </c>
      <c r="G102" s="121" t="s">
        <v>1181</v>
      </c>
      <c r="H102" s="121" t="s">
        <v>1181</v>
      </c>
      <c r="I102" s="121" t="s">
        <v>1186</v>
      </c>
      <c r="J102" s="309">
        <v>0.9</v>
      </c>
      <c r="M102" s="121">
        <v>215.0</v>
      </c>
      <c r="P102" s="308">
        <v>43708.0</v>
      </c>
      <c r="Q102" s="121">
        <v>178000.0</v>
      </c>
      <c r="R102" s="121">
        <v>359.0</v>
      </c>
      <c r="S102" s="308">
        <v>43808.0</v>
      </c>
      <c r="T102" s="121">
        <v>189322.0</v>
      </c>
      <c r="U102" s="121">
        <v>369.0</v>
      </c>
      <c r="Y102" s="121" t="s">
        <v>1182</v>
      </c>
    </row>
    <row r="103">
      <c r="A103" s="307">
        <v>43753.496415960646</v>
      </c>
      <c r="B103" s="121" t="s">
        <v>721</v>
      </c>
      <c r="C103" s="121" t="s">
        <v>1177</v>
      </c>
      <c r="D103" s="121" t="s">
        <v>1178</v>
      </c>
      <c r="E103" s="308">
        <v>43709.0</v>
      </c>
      <c r="F103" s="121" t="s">
        <v>43</v>
      </c>
      <c r="G103" s="121" t="s">
        <v>1180</v>
      </c>
      <c r="H103" s="121" t="s">
        <v>1181</v>
      </c>
      <c r="I103" s="121" t="s">
        <v>1181</v>
      </c>
      <c r="J103" s="309">
        <v>0.9</v>
      </c>
      <c r="K103" s="121">
        <v>441.0</v>
      </c>
      <c r="S103" s="308">
        <v>43744.0</v>
      </c>
      <c r="T103" s="121">
        <v>62000.0</v>
      </c>
      <c r="U103" s="121">
        <v>428.0</v>
      </c>
      <c r="Y103" s="121" t="s">
        <v>1182</v>
      </c>
    </row>
    <row r="104">
      <c r="A104" s="307">
        <v>43754.91740351851</v>
      </c>
      <c r="B104" s="121" t="s">
        <v>1284</v>
      </c>
      <c r="C104" s="121" t="s">
        <v>1177</v>
      </c>
      <c r="D104" s="121" t="s">
        <v>1178</v>
      </c>
      <c r="E104" s="308">
        <v>41910.0</v>
      </c>
      <c r="F104" s="121" t="s">
        <v>30</v>
      </c>
      <c r="G104" s="121" t="s">
        <v>1190</v>
      </c>
      <c r="H104" s="121" t="s">
        <v>1181</v>
      </c>
      <c r="I104" s="121" t="s">
        <v>1181</v>
      </c>
      <c r="J104" s="309">
        <v>0.7</v>
      </c>
      <c r="K104" s="121">
        <v>345.0</v>
      </c>
      <c r="P104" s="308">
        <v>43716.0</v>
      </c>
      <c r="Q104" s="121">
        <v>345.0</v>
      </c>
      <c r="R104" s="121">
        <v>345.0</v>
      </c>
      <c r="Y104" s="121" t="s">
        <v>1182</v>
      </c>
    </row>
    <row r="105">
      <c r="A105" s="307">
        <v>43756.44665215278</v>
      </c>
      <c r="B105" s="121" t="s">
        <v>1285</v>
      </c>
      <c r="C105" s="121" t="s">
        <v>1177</v>
      </c>
      <c r="D105" s="121" t="s">
        <v>1178</v>
      </c>
      <c r="E105" s="308">
        <v>41944.0</v>
      </c>
      <c r="F105" s="121" t="s">
        <v>30</v>
      </c>
      <c r="G105" s="121" t="s">
        <v>1181</v>
      </c>
      <c r="H105" s="121" t="s">
        <v>1181</v>
      </c>
      <c r="I105" s="121" t="s">
        <v>1187</v>
      </c>
      <c r="J105" s="309">
        <v>0.9</v>
      </c>
      <c r="M105" s="121">
        <v>208.0</v>
      </c>
      <c r="P105" s="308">
        <v>43755.0</v>
      </c>
      <c r="Q105" s="121">
        <v>132603.0</v>
      </c>
      <c r="R105" s="121">
        <v>373.0</v>
      </c>
      <c r="Y105" s="121" t="s">
        <v>1182</v>
      </c>
    </row>
    <row r="106">
      <c r="A106" s="307">
        <v>43888.186072743054</v>
      </c>
      <c r="B106" s="121" t="s">
        <v>1286</v>
      </c>
      <c r="C106" s="121" t="s">
        <v>1184</v>
      </c>
      <c r="D106" s="121" t="s">
        <v>1185</v>
      </c>
      <c r="E106" s="308">
        <v>43811.0</v>
      </c>
      <c r="F106" s="121" t="s">
        <v>1192</v>
      </c>
      <c r="G106" s="121" t="s">
        <v>1181</v>
      </c>
      <c r="H106" s="121" t="s">
        <v>1186</v>
      </c>
      <c r="I106" s="121" t="s">
        <v>1186</v>
      </c>
      <c r="J106" s="309">
        <v>0.9</v>
      </c>
      <c r="K106" s="121">
        <v>250.0</v>
      </c>
      <c r="L106" s="121">
        <v>215.0</v>
      </c>
      <c r="M106" s="121">
        <v>267.0</v>
      </c>
      <c r="Y106" s="121" t="s">
        <v>1182</v>
      </c>
    </row>
    <row r="107">
      <c r="A107" s="307">
        <v>43758.632645798614</v>
      </c>
      <c r="B107" s="121" t="s">
        <v>1287</v>
      </c>
      <c r="C107" s="121" t="s">
        <v>1177</v>
      </c>
      <c r="D107" s="121" t="s">
        <v>1178</v>
      </c>
      <c r="E107" s="308">
        <v>42156.0</v>
      </c>
      <c r="F107" s="121" t="s">
        <v>30</v>
      </c>
      <c r="G107" s="121" t="s">
        <v>1203</v>
      </c>
      <c r="H107" s="121" t="s">
        <v>1180</v>
      </c>
      <c r="J107" s="309">
        <v>0.8</v>
      </c>
      <c r="P107" s="308">
        <v>43757.0</v>
      </c>
      <c r="Q107" s="121">
        <v>199400.0</v>
      </c>
      <c r="R107" s="121">
        <v>370.0</v>
      </c>
      <c r="Y107" s="121" t="s">
        <v>1182</v>
      </c>
    </row>
    <row r="108">
      <c r="A108" s="307">
        <v>43763.922097187504</v>
      </c>
      <c r="B108" s="121" t="s">
        <v>1288</v>
      </c>
      <c r="C108" s="121" t="s">
        <v>1184</v>
      </c>
      <c r="D108" s="121" t="s">
        <v>1185</v>
      </c>
      <c r="E108" s="308">
        <v>41699.0</v>
      </c>
      <c r="F108" s="121" t="s">
        <v>30</v>
      </c>
      <c r="G108" s="121" t="s">
        <v>1180</v>
      </c>
      <c r="H108" s="121" t="s">
        <v>1186</v>
      </c>
      <c r="J108" s="309">
        <v>0.6</v>
      </c>
      <c r="K108" s="121">
        <v>265.0</v>
      </c>
      <c r="M108" s="121">
        <v>309.0</v>
      </c>
      <c r="P108" s="308">
        <v>43747.0</v>
      </c>
      <c r="Q108" s="121">
        <v>82015.0</v>
      </c>
      <c r="R108" s="121">
        <v>243.0</v>
      </c>
      <c r="Y108" s="121" t="s">
        <v>1182</v>
      </c>
    </row>
    <row r="109">
      <c r="A109" s="307">
        <v>43767.190743900464</v>
      </c>
      <c r="B109" s="121" t="s">
        <v>1289</v>
      </c>
      <c r="C109" s="121" t="s">
        <v>1184</v>
      </c>
      <c r="D109" s="121" t="s">
        <v>1185</v>
      </c>
      <c r="E109" s="308">
        <v>43084.0</v>
      </c>
      <c r="F109" s="121" t="s">
        <v>1221</v>
      </c>
      <c r="G109" s="121" t="s">
        <v>1181</v>
      </c>
      <c r="H109" s="121" t="s">
        <v>1181</v>
      </c>
      <c r="I109" s="121" t="s">
        <v>1187</v>
      </c>
      <c r="J109" s="309">
        <v>0.9</v>
      </c>
      <c r="K109" s="121">
        <v>312.0</v>
      </c>
      <c r="M109" s="121">
        <v>260.0</v>
      </c>
      <c r="P109" s="308">
        <v>43752.0</v>
      </c>
      <c r="Q109" s="121">
        <v>37000.0</v>
      </c>
      <c r="R109" s="121">
        <v>308.0</v>
      </c>
      <c r="Y109" s="121" t="s">
        <v>1182</v>
      </c>
    </row>
    <row r="110">
      <c r="A110" s="307">
        <v>43768.90238168981</v>
      </c>
      <c r="B110" s="121" t="s">
        <v>1290</v>
      </c>
      <c r="C110" s="121" t="s">
        <v>1177</v>
      </c>
      <c r="D110" s="121" t="s">
        <v>1178</v>
      </c>
      <c r="E110" s="308">
        <v>42080.0</v>
      </c>
      <c r="F110" s="121" t="s">
        <v>38</v>
      </c>
      <c r="G110" s="121" t="s">
        <v>1179</v>
      </c>
      <c r="H110" s="121" t="s">
        <v>1179</v>
      </c>
      <c r="I110" s="121" t="s">
        <v>1181</v>
      </c>
      <c r="J110" s="309">
        <v>0.8</v>
      </c>
      <c r="L110" s="121">
        <v>200.0</v>
      </c>
      <c r="M110" s="121">
        <v>220.0</v>
      </c>
      <c r="P110" s="308">
        <v>43315.0</v>
      </c>
      <c r="Q110" s="121">
        <v>75678.0</v>
      </c>
      <c r="R110" s="121">
        <v>382.0</v>
      </c>
      <c r="S110" s="308">
        <v>43498.0</v>
      </c>
      <c r="T110" s="121">
        <v>84981.0</v>
      </c>
      <c r="U110" s="121">
        <v>373.0</v>
      </c>
      <c r="V110" s="308">
        <v>43759.0</v>
      </c>
      <c r="W110" s="121">
        <v>103691.0</v>
      </c>
      <c r="X110" s="121">
        <v>376.0</v>
      </c>
      <c r="Y110" s="121" t="s">
        <v>1182</v>
      </c>
    </row>
    <row r="111">
      <c r="A111" s="307">
        <v>43769.40635549769</v>
      </c>
      <c r="B111" s="121" t="s">
        <v>1291</v>
      </c>
      <c r="C111" s="121" t="s">
        <v>1292</v>
      </c>
      <c r="D111" s="121" t="s">
        <v>1185</v>
      </c>
      <c r="E111" s="308">
        <v>43682.0</v>
      </c>
      <c r="F111" s="121" t="s">
        <v>1192</v>
      </c>
      <c r="G111" s="121" t="s">
        <v>1179</v>
      </c>
      <c r="H111" s="121" t="s">
        <v>1179</v>
      </c>
      <c r="J111" s="309">
        <v>0.7</v>
      </c>
      <c r="K111" s="121">
        <v>248.0</v>
      </c>
      <c r="M111" s="121">
        <v>242.0</v>
      </c>
      <c r="P111" s="308">
        <v>43769.0</v>
      </c>
      <c r="Q111" s="121">
        <v>2365.0</v>
      </c>
      <c r="R111" s="121">
        <v>236.0</v>
      </c>
      <c r="Y111" s="121" t="s">
        <v>1182</v>
      </c>
    </row>
    <row r="112">
      <c r="A112" s="307">
        <v>43769.59296674769</v>
      </c>
      <c r="B112" s="121" t="s">
        <v>1293</v>
      </c>
      <c r="C112" s="121" t="s">
        <v>1177</v>
      </c>
      <c r="D112" s="121" t="s">
        <v>1178</v>
      </c>
      <c r="E112" s="308">
        <v>43435.0</v>
      </c>
      <c r="F112" s="121" t="s">
        <v>1217</v>
      </c>
      <c r="G112" s="121" t="s">
        <v>1181</v>
      </c>
      <c r="H112" s="121" t="s">
        <v>1186</v>
      </c>
      <c r="I112" s="121" t="s">
        <v>1187</v>
      </c>
      <c r="J112" s="309">
        <v>0.8</v>
      </c>
      <c r="K112" s="121">
        <v>499.0</v>
      </c>
      <c r="L112" s="121">
        <v>165.0</v>
      </c>
      <c r="Y112" s="121" t="s">
        <v>1182</v>
      </c>
    </row>
    <row r="113">
      <c r="A113" s="307">
        <v>43769.77731291667</v>
      </c>
      <c r="B113" s="121" t="s">
        <v>1294</v>
      </c>
      <c r="C113" s="121" t="s">
        <v>1184</v>
      </c>
      <c r="D113" s="121" t="s">
        <v>1185</v>
      </c>
      <c r="E113" s="308">
        <v>41609.0</v>
      </c>
      <c r="F113" s="121" t="s">
        <v>12</v>
      </c>
      <c r="G113" s="121" t="s">
        <v>1181</v>
      </c>
      <c r="H113" s="121" t="s">
        <v>1181</v>
      </c>
      <c r="I113" s="121" t="s">
        <v>1186</v>
      </c>
      <c r="K113" s="121">
        <v>208.0</v>
      </c>
      <c r="L113" s="121">
        <v>280.0</v>
      </c>
      <c r="M113" s="121">
        <v>375.0</v>
      </c>
      <c r="P113" s="308">
        <v>43358.0</v>
      </c>
      <c r="Q113" s="121">
        <v>76721.0</v>
      </c>
      <c r="R113" s="121">
        <v>167.0</v>
      </c>
      <c r="Y113" s="121" t="s">
        <v>1182</v>
      </c>
    </row>
    <row r="114">
      <c r="A114" s="307">
        <v>43773.84035436343</v>
      </c>
      <c r="B114" s="121" t="s">
        <v>1295</v>
      </c>
      <c r="C114" s="121" t="s">
        <v>1184</v>
      </c>
      <c r="D114" s="121" t="s">
        <v>1185</v>
      </c>
      <c r="E114" s="308">
        <v>43525.0</v>
      </c>
      <c r="F114" s="121" t="s">
        <v>1234</v>
      </c>
      <c r="G114" s="121" t="s">
        <v>1179</v>
      </c>
      <c r="H114" s="121" t="s">
        <v>1179</v>
      </c>
      <c r="I114" s="121" t="s">
        <v>1181</v>
      </c>
      <c r="J114" s="309">
        <v>0.9</v>
      </c>
      <c r="K114" s="121">
        <v>220.0</v>
      </c>
      <c r="P114" s="308">
        <v>43773.0</v>
      </c>
      <c r="Q114" s="121">
        <v>7326.0</v>
      </c>
      <c r="R114" s="121">
        <v>208.0</v>
      </c>
      <c r="S114" s="308">
        <v>43773.0</v>
      </c>
      <c r="Y114" s="121" t="s">
        <v>1182</v>
      </c>
    </row>
    <row r="115">
      <c r="A115" s="307">
        <v>43775.93134216435</v>
      </c>
      <c r="B115" s="121" t="s">
        <v>1296</v>
      </c>
      <c r="C115" s="121" t="s">
        <v>1177</v>
      </c>
      <c r="D115" s="121" t="s">
        <v>1178</v>
      </c>
      <c r="E115" s="308">
        <v>43546.0</v>
      </c>
      <c r="F115" s="121" t="s">
        <v>1199</v>
      </c>
      <c r="G115" s="121" t="s">
        <v>1181</v>
      </c>
      <c r="H115" s="121" t="s">
        <v>1186</v>
      </c>
      <c r="I115" s="121" t="s">
        <v>1186</v>
      </c>
      <c r="J115" s="309">
        <v>0.8</v>
      </c>
      <c r="K115" s="121">
        <v>499.0</v>
      </c>
      <c r="L115" s="121">
        <v>473.0</v>
      </c>
      <c r="M115" s="121">
        <v>19058.0</v>
      </c>
      <c r="O115" s="121" t="s">
        <v>1207</v>
      </c>
      <c r="P115" s="308">
        <v>43748.0</v>
      </c>
      <c r="Q115" s="121">
        <v>150.0</v>
      </c>
      <c r="R115" s="121">
        <v>473.0</v>
      </c>
      <c r="Y115" s="121" t="s">
        <v>1182</v>
      </c>
    </row>
    <row r="116">
      <c r="A116" s="307">
        <v>43776.38758717592</v>
      </c>
      <c r="B116" s="121" t="s">
        <v>845</v>
      </c>
      <c r="C116" s="121" t="s">
        <v>1177</v>
      </c>
      <c r="D116" s="121" t="s">
        <v>1178</v>
      </c>
      <c r="E116" s="308">
        <v>41791.0</v>
      </c>
      <c r="F116" s="121" t="s">
        <v>30</v>
      </c>
      <c r="G116" s="121" t="s">
        <v>1190</v>
      </c>
      <c r="H116" s="121" t="s">
        <v>1181</v>
      </c>
      <c r="I116" s="121" t="s">
        <v>1187</v>
      </c>
      <c r="J116" s="309">
        <v>0.8</v>
      </c>
      <c r="K116" s="121">
        <v>388.0</v>
      </c>
      <c r="P116" s="308">
        <v>43739.0</v>
      </c>
      <c r="Q116" s="121">
        <v>149995.0</v>
      </c>
      <c r="R116" s="121">
        <v>372.0</v>
      </c>
      <c r="Y116" s="121" t="s">
        <v>1182</v>
      </c>
    </row>
    <row r="117">
      <c r="A117" s="307">
        <v>43776.970104328706</v>
      </c>
      <c r="B117" s="121" t="s">
        <v>427</v>
      </c>
      <c r="C117" s="121" t="s">
        <v>1177</v>
      </c>
      <c r="D117" s="121" t="s">
        <v>1178</v>
      </c>
      <c r="E117" s="308">
        <v>43647.0</v>
      </c>
      <c r="F117" s="121" t="s">
        <v>32</v>
      </c>
      <c r="G117" s="121" t="s">
        <v>1180</v>
      </c>
      <c r="H117" s="121" t="s">
        <v>1190</v>
      </c>
      <c r="I117" s="121" t="s">
        <v>1180</v>
      </c>
      <c r="J117" s="309">
        <v>0.9</v>
      </c>
      <c r="K117" s="121">
        <v>400.0</v>
      </c>
      <c r="L117" s="121">
        <v>189.0</v>
      </c>
      <c r="M117" s="121">
        <v>202.0</v>
      </c>
      <c r="N117" s="121">
        <v>320000.0</v>
      </c>
      <c r="O117" s="121" t="s">
        <v>1207</v>
      </c>
      <c r="P117" s="308">
        <v>43770.0</v>
      </c>
      <c r="Q117" s="121">
        <v>375000.0</v>
      </c>
      <c r="R117" s="121">
        <v>354.0</v>
      </c>
      <c r="Y117" s="121" t="s">
        <v>1182</v>
      </c>
    </row>
    <row r="118">
      <c r="A118" s="307">
        <v>43778.445166527774</v>
      </c>
      <c r="B118" s="121" t="s">
        <v>1297</v>
      </c>
      <c r="C118" s="121" t="s">
        <v>1177</v>
      </c>
      <c r="D118" s="121" t="s">
        <v>1178</v>
      </c>
      <c r="E118" s="308">
        <v>42475.0</v>
      </c>
      <c r="F118" s="121" t="s">
        <v>43</v>
      </c>
      <c r="G118" s="121" t="s">
        <v>1190</v>
      </c>
      <c r="H118" s="121" t="s">
        <v>1190</v>
      </c>
      <c r="I118" s="121" t="s">
        <v>1186</v>
      </c>
      <c r="J118" s="309">
        <v>0.9</v>
      </c>
      <c r="Y118" s="121" t="s">
        <v>1182</v>
      </c>
    </row>
    <row r="119">
      <c r="A119" s="307">
        <v>43781.08885966435</v>
      </c>
      <c r="B119" s="121" t="s">
        <v>1298</v>
      </c>
      <c r="C119" s="121" t="s">
        <v>1184</v>
      </c>
      <c r="D119" s="121" t="s">
        <v>1185</v>
      </c>
      <c r="E119" s="308">
        <v>43817.0</v>
      </c>
      <c r="F119" s="121" t="s">
        <v>55</v>
      </c>
      <c r="G119" s="121" t="s">
        <v>1180</v>
      </c>
      <c r="H119" s="121" t="s">
        <v>1180</v>
      </c>
      <c r="I119" s="121" t="s">
        <v>1179</v>
      </c>
      <c r="J119" s="309">
        <v>0.9</v>
      </c>
      <c r="L119" s="121">
        <v>320.0</v>
      </c>
      <c r="M119" s="121">
        <v>400.0</v>
      </c>
      <c r="P119" s="308">
        <v>43781.0</v>
      </c>
      <c r="Q119" s="121">
        <v>15500.0</v>
      </c>
      <c r="R119" s="121">
        <v>223.0</v>
      </c>
      <c r="Y119" s="121" t="s">
        <v>1182</v>
      </c>
    </row>
    <row r="120">
      <c r="A120" s="307">
        <v>43784.59059228009</v>
      </c>
      <c r="B120" s="121" t="s">
        <v>523</v>
      </c>
      <c r="C120" s="121" t="s">
        <v>1177</v>
      </c>
      <c r="D120" s="121" t="s">
        <v>1178</v>
      </c>
      <c r="E120" s="308">
        <v>42923.0</v>
      </c>
      <c r="F120" s="121" t="s">
        <v>28</v>
      </c>
      <c r="G120" s="121" t="s">
        <v>1181</v>
      </c>
      <c r="H120" s="121" t="s">
        <v>1186</v>
      </c>
      <c r="I120" s="121" t="s">
        <v>1186</v>
      </c>
      <c r="J120" s="309">
        <v>0.8</v>
      </c>
      <c r="K120" s="121">
        <v>382.0</v>
      </c>
      <c r="M120" s="121">
        <v>193.0</v>
      </c>
      <c r="P120" s="308">
        <v>43776.0</v>
      </c>
      <c r="Q120" s="121">
        <v>87768.0</v>
      </c>
      <c r="R120" s="121">
        <v>358.0</v>
      </c>
      <c r="Y120" s="121" t="s">
        <v>1182</v>
      </c>
    </row>
    <row r="121">
      <c r="A121" s="307">
        <v>43786.358193506945</v>
      </c>
      <c r="B121" s="121" t="s">
        <v>1299</v>
      </c>
      <c r="C121" s="121" t="s">
        <v>1177</v>
      </c>
      <c r="D121" s="121" t="s">
        <v>1178</v>
      </c>
      <c r="E121" s="308">
        <v>43556.0</v>
      </c>
      <c r="F121" s="121" t="s">
        <v>1217</v>
      </c>
      <c r="G121" s="121" t="s">
        <v>1179</v>
      </c>
      <c r="H121" s="121" t="s">
        <v>1180</v>
      </c>
      <c r="I121" s="121" t="s">
        <v>1187</v>
      </c>
      <c r="J121" s="309">
        <v>0.8</v>
      </c>
      <c r="K121" s="121">
        <v>497.0</v>
      </c>
      <c r="M121" s="121">
        <v>161.0</v>
      </c>
      <c r="P121" s="308">
        <v>43678.0</v>
      </c>
      <c r="Q121" s="121">
        <v>2500.0</v>
      </c>
      <c r="R121" s="121">
        <v>497.0</v>
      </c>
      <c r="S121" s="308">
        <v>43770.0</v>
      </c>
      <c r="T121" s="121">
        <v>8800.0</v>
      </c>
      <c r="U121" s="121">
        <v>478.0</v>
      </c>
      <c r="Y121" s="121" t="s">
        <v>1182</v>
      </c>
    </row>
    <row r="122">
      <c r="A122" s="307">
        <v>43882.86416405093</v>
      </c>
      <c r="B122" s="121" t="s">
        <v>1300</v>
      </c>
      <c r="C122" s="121" t="s">
        <v>1177</v>
      </c>
      <c r="D122" s="121" t="s">
        <v>1178</v>
      </c>
      <c r="E122" s="308">
        <v>42161.0</v>
      </c>
      <c r="F122" s="121" t="s">
        <v>38</v>
      </c>
      <c r="G122" s="121" t="s">
        <v>1203</v>
      </c>
      <c r="H122" s="121" t="s">
        <v>1186</v>
      </c>
      <c r="I122" s="121" t="s">
        <v>1186</v>
      </c>
      <c r="J122" s="309">
        <v>0.8</v>
      </c>
      <c r="K122" s="121">
        <v>403.0</v>
      </c>
      <c r="L122" s="121">
        <v>220.0</v>
      </c>
      <c r="M122" s="121">
        <v>220.0</v>
      </c>
      <c r="P122" s="308">
        <v>43744.0</v>
      </c>
      <c r="Q122" s="121">
        <v>96000.0</v>
      </c>
      <c r="R122" s="121">
        <v>385.0</v>
      </c>
      <c r="S122" s="308">
        <v>43876.0</v>
      </c>
      <c r="T122" s="121">
        <v>105000.0</v>
      </c>
      <c r="U122" s="121">
        <v>380.0</v>
      </c>
      <c r="Y122" s="121" t="s">
        <v>1182</v>
      </c>
    </row>
    <row r="123">
      <c r="A123" s="307">
        <v>43787.4624640625</v>
      </c>
      <c r="B123" s="121" t="s">
        <v>1301</v>
      </c>
      <c r="C123" s="121" t="s">
        <v>1177</v>
      </c>
      <c r="D123" s="121" t="s">
        <v>1178</v>
      </c>
      <c r="E123" s="308">
        <v>43617.0</v>
      </c>
      <c r="F123" s="121" t="s">
        <v>1192</v>
      </c>
      <c r="G123" s="121" t="s">
        <v>1179</v>
      </c>
      <c r="H123" s="121" t="s">
        <v>1180</v>
      </c>
      <c r="I123" s="121" t="s">
        <v>1179</v>
      </c>
      <c r="J123" s="309">
        <v>0.8</v>
      </c>
      <c r="K123" s="121">
        <v>381.0</v>
      </c>
      <c r="M123" s="121">
        <v>163.0</v>
      </c>
      <c r="S123" s="308">
        <v>43670.0</v>
      </c>
      <c r="T123" s="121">
        <v>3717.0</v>
      </c>
      <c r="U123" s="121">
        <v>379.0</v>
      </c>
      <c r="V123" s="308">
        <v>43693.0</v>
      </c>
      <c r="W123" s="121">
        <v>7366.0</v>
      </c>
      <c r="X123" s="121">
        <v>369.0</v>
      </c>
      <c r="Y123" s="121" t="s">
        <v>1210</v>
      </c>
      <c r="Z123" s="308">
        <v>43704.0</v>
      </c>
      <c r="AA123" s="121">
        <v>9923.0</v>
      </c>
      <c r="AB123" s="121">
        <v>371.0</v>
      </c>
      <c r="AC123" s="308">
        <v>43764.0</v>
      </c>
      <c r="AD123" s="121">
        <v>18957.0</v>
      </c>
      <c r="AE123" s="121">
        <v>369.0</v>
      </c>
      <c r="AL123" s="121" t="s">
        <v>1182</v>
      </c>
    </row>
    <row r="124">
      <c r="A124" s="307">
        <v>43788.49354894676</v>
      </c>
      <c r="B124" s="121" t="s">
        <v>921</v>
      </c>
      <c r="C124" s="121" t="s">
        <v>1177</v>
      </c>
      <c r="D124" s="121" t="s">
        <v>1178</v>
      </c>
      <c r="E124" s="308">
        <v>42038.0</v>
      </c>
      <c r="F124" s="121" t="s">
        <v>30</v>
      </c>
      <c r="G124" s="121" t="s">
        <v>1179</v>
      </c>
      <c r="H124" s="121" t="s">
        <v>1179</v>
      </c>
      <c r="I124" s="121" t="s">
        <v>1203</v>
      </c>
      <c r="J124" s="309">
        <v>0.9</v>
      </c>
      <c r="K124" s="121">
        <v>413.0</v>
      </c>
      <c r="L124" s="121">
        <v>200.0</v>
      </c>
      <c r="M124" s="121">
        <v>216.0</v>
      </c>
      <c r="N124" s="121">
        <v>205000.0</v>
      </c>
      <c r="O124" s="121" t="s">
        <v>1302</v>
      </c>
      <c r="P124" s="308">
        <v>43784.0</v>
      </c>
      <c r="Q124" s="121">
        <v>280000.0</v>
      </c>
      <c r="R124" s="121">
        <v>366.0</v>
      </c>
      <c r="V124" s="308">
        <v>43777.0</v>
      </c>
      <c r="W124" s="121">
        <v>282000.0</v>
      </c>
      <c r="X124" s="121">
        <v>366.0</v>
      </c>
      <c r="Y124" s="121" t="s">
        <v>1182</v>
      </c>
    </row>
    <row r="125">
      <c r="A125" s="307">
        <v>43794.90099188658</v>
      </c>
      <c r="B125" s="121" t="s">
        <v>1303</v>
      </c>
      <c r="C125" s="121" t="s">
        <v>1184</v>
      </c>
      <c r="D125" s="121" t="s">
        <v>1185</v>
      </c>
      <c r="E125" s="308">
        <v>43383.0</v>
      </c>
      <c r="F125" s="121" t="s">
        <v>1221</v>
      </c>
      <c r="G125" s="121" t="s">
        <v>1181</v>
      </c>
      <c r="H125" s="121" t="s">
        <v>1181</v>
      </c>
      <c r="I125" s="121" t="s">
        <v>1186</v>
      </c>
      <c r="J125" s="309">
        <v>0.8</v>
      </c>
      <c r="K125" s="121">
        <v>325.0</v>
      </c>
      <c r="L125" s="121">
        <v>236.0</v>
      </c>
      <c r="M125" s="121">
        <v>226.0</v>
      </c>
      <c r="Y125" s="121" t="s">
        <v>1182</v>
      </c>
    </row>
    <row r="126">
      <c r="A126" s="307">
        <v>43795.40423344907</v>
      </c>
      <c r="B126" s="121" t="s">
        <v>1304</v>
      </c>
      <c r="C126" s="121" t="s">
        <v>1177</v>
      </c>
      <c r="D126" s="121" t="s">
        <v>1178</v>
      </c>
      <c r="E126" s="308">
        <v>42726.0</v>
      </c>
      <c r="F126" s="121" t="s">
        <v>28</v>
      </c>
      <c r="G126" s="121" t="s">
        <v>1180</v>
      </c>
      <c r="H126" s="121" t="s">
        <v>1180</v>
      </c>
      <c r="I126" s="121" t="s">
        <v>1186</v>
      </c>
      <c r="J126" s="309">
        <v>0.9</v>
      </c>
      <c r="M126" s="121">
        <v>198.0</v>
      </c>
      <c r="P126" s="308">
        <v>43740.0</v>
      </c>
      <c r="Q126" s="121">
        <v>73876.0</v>
      </c>
      <c r="R126" s="121">
        <v>357.0</v>
      </c>
      <c r="Y126" s="121" t="s">
        <v>1182</v>
      </c>
    </row>
    <row r="127">
      <c r="A127" s="307">
        <v>43795.48786245371</v>
      </c>
      <c r="B127" s="121" t="s">
        <v>1305</v>
      </c>
      <c r="C127" s="121" t="s">
        <v>1177</v>
      </c>
      <c r="D127" s="121" t="s">
        <v>1178</v>
      </c>
      <c r="E127" s="308">
        <v>42036.0</v>
      </c>
      <c r="F127" s="121" t="s">
        <v>38</v>
      </c>
      <c r="G127" s="121" t="s">
        <v>1181</v>
      </c>
      <c r="H127" s="121" t="s">
        <v>1181</v>
      </c>
      <c r="I127" s="121" t="s">
        <v>1181</v>
      </c>
      <c r="J127" s="309">
        <v>0.9</v>
      </c>
      <c r="K127" s="121">
        <v>404.0</v>
      </c>
      <c r="M127" s="121">
        <v>239.0</v>
      </c>
      <c r="P127" s="308">
        <v>43795.0</v>
      </c>
      <c r="Q127" s="121">
        <v>147051.0</v>
      </c>
      <c r="R127" s="121">
        <v>372.0</v>
      </c>
      <c r="S127" s="308">
        <v>43393.0</v>
      </c>
      <c r="T127" s="121">
        <v>123287.0</v>
      </c>
      <c r="U127" s="121">
        <v>374.0</v>
      </c>
      <c r="V127" s="308">
        <v>43437.0</v>
      </c>
      <c r="W127" s="121">
        <v>126882.0</v>
      </c>
      <c r="X127" s="121">
        <v>374.0</v>
      </c>
      <c r="Y127" s="121" t="s">
        <v>1210</v>
      </c>
      <c r="Z127" s="308">
        <v>43485.0</v>
      </c>
      <c r="AA127" s="121">
        <v>130817.0</v>
      </c>
      <c r="AB127" s="121">
        <v>373.0</v>
      </c>
      <c r="AC127" s="308">
        <v>43662.0</v>
      </c>
      <c r="AD127" s="121">
        <v>142606.0</v>
      </c>
      <c r="AE127" s="121">
        <v>373.0</v>
      </c>
      <c r="AL127" s="121" t="s">
        <v>1182</v>
      </c>
    </row>
    <row r="128">
      <c r="A128" s="307">
        <v>43795.678401909725</v>
      </c>
      <c r="B128" s="121" t="s">
        <v>1306</v>
      </c>
      <c r="C128" s="121" t="s">
        <v>1184</v>
      </c>
      <c r="D128" s="121" t="s">
        <v>1185</v>
      </c>
      <c r="E128" s="308">
        <v>43257.0</v>
      </c>
      <c r="F128" s="121" t="s">
        <v>1221</v>
      </c>
      <c r="G128" s="121" t="s">
        <v>1187</v>
      </c>
      <c r="H128" s="121" t="s">
        <v>1181</v>
      </c>
      <c r="I128" s="121" t="s">
        <v>1181</v>
      </c>
      <c r="J128" s="309">
        <v>0.9</v>
      </c>
      <c r="K128" s="121">
        <v>310.0</v>
      </c>
      <c r="P128" s="308">
        <v>43794.0</v>
      </c>
      <c r="Q128" s="121">
        <v>27500.0</v>
      </c>
      <c r="R128" s="121">
        <v>305.0</v>
      </c>
      <c r="Y128" s="121" t="s">
        <v>1182</v>
      </c>
    </row>
    <row r="129">
      <c r="A129" s="307">
        <v>43797.531197847224</v>
      </c>
      <c r="B129" s="121" t="s">
        <v>1307</v>
      </c>
      <c r="C129" s="121" t="s">
        <v>1177</v>
      </c>
      <c r="D129" s="121" t="s">
        <v>1178</v>
      </c>
      <c r="E129" s="308">
        <v>43525.0</v>
      </c>
      <c r="F129" s="121" t="s">
        <v>62</v>
      </c>
      <c r="G129" s="121" t="s">
        <v>1181</v>
      </c>
      <c r="H129" s="121" t="s">
        <v>1181</v>
      </c>
      <c r="I129" s="121" t="s">
        <v>1187</v>
      </c>
      <c r="J129" s="309">
        <v>0.5</v>
      </c>
      <c r="K129" s="121">
        <v>450.0</v>
      </c>
      <c r="L129" s="121">
        <v>190.0</v>
      </c>
      <c r="M129" s="121">
        <v>202.0</v>
      </c>
      <c r="P129" s="308">
        <v>43648.0</v>
      </c>
      <c r="Q129" s="121">
        <v>4744.0</v>
      </c>
      <c r="R129" s="121">
        <v>450.0</v>
      </c>
      <c r="S129" s="308">
        <v>43797.0</v>
      </c>
      <c r="T129" s="121">
        <v>16577.0</v>
      </c>
      <c r="U129" s="121">
        <v>426.0</v>
      </c>
      <c r="Y129" s="121" t="s">
        <v>1182</v>
      </c>
    </row>
    <row r="130">
      <c r="A130" s="307">
        <v>43810.01510690972</v>
      </c>
      <c r="B130" s="121" t="s">
        <v>1308</v>
      </c>
      <c r="C130" s="121" t="s">
        <v>1184</v>
      </c>
      <c r="D130" s="121" t="s">
        <v>1185</v>
      </c>
      <c r="E130" s="308">
        <v>43471.0</v>
      </c>
      <c r="F130" s="121" t="s">
        <v>55</v>
      </c>
      <c r="G130" s="121" t="s">
        <v>1181</v>
      </c>
      <c r="H130" s="121" t="s">
        <v>1186</v>
      </c>
      <c r="I130" s="121" t="s">
        <v>1187</v>
      </c>
      <c r="J130" s="309">
        <v>0.9</v>
      </c>
      <c r="K130" s="121">
        <v>237.0</v>
      </c>
      <c r="L130" s="121">
        <v>301.0</v>
      </c>
      <c r="M130" s="121">
        <v>318.0</v>
      </c>
      <c r="P130" s="308">
        <v>43784.0</v>
      </c>
      <c r="Q130" s="121">
        <v>6891.0</v>
      </c>
      <c r="R130" s="121">
        <v>222.0</v>
      </c>
      <c r="S130" s="308">
        <v>43589.0</v>
      </c>
      <c r="T130" s="121">
        <v>2300.0</v>
      </c>
      <c r="U130" s="121">
        <v>227.0</v>
      </c>
      <c r="Y130" s="121" t="s">
        <v>1182</v>
      </c>
    </row>
    <row r="131">
      <c r="A131" s="307">
        <v>43810.55904989583</v>
      </c>
      <c r="B131" s="121" t="s">
        <v>1309</v>
      </c>
      <c r="C131" s="121" t="s">
        <v>1184</v>
      </c>
      <c r="D131" s="121" t="s">
        <v>1185</v>
      </c>
      <c r="E131" s="308">
        <v>43278.0</v>
      </c>
      <c r="F131" s="121" t="s">
        <v>1221</v>
      </c>
      <c r="G131" s="121" t="s">
        <v>1181</v>
      </c>
      <c r="H131" s="121" t="s">
        <v>1186</v>
      </c>
      <c r="I131" s="121" t="s">
        <v>1186</v>
      </c>
      <c r="J131" s="309">
        <v>0.8</v>
      </c>
      <c r="K131" s="121">
        <v>310.0</v>
      </c>
      <c r="M131" s="121">
        <v>230.0</v>
      </c>
      <c r="S131" s="308">
        <v>43810.0</v>
      </c>
      <c r="T131" s="121">
        <v>32000.0</v>
      </c>
      <c r="U131" s="121">
        <v>300.0</v>
      </c>
      <c r="Y131" s="121" t="s">
        <v>1182</v>
      </c>
    </row>
    <row r="132">
      <c r="A132" s="307">
        <v>43816.052022268515</v>
      </c>
      <c r="B132" s="121" t="s">
        <v>1310</v>
      </c>
      <c r="C132" s="121" t="s">
        <v>1184</v>
      </c>
      <c r="D132" s="121" t="s">
        <v>1185</v>
      </c>
      <c r="E132" s="308">
        <v>43296.0</v>
      </c>
      <c r="F132" s="121" t="s">
        <v>1221</v>
      </c>
      <c r="G132" s="121" t="s">
        <v>1180</v>
      </c>
      <c r="H132" s="121" t="s">
        <v>1181</v>
      </c>
      <c r="I132" s="121" t="s">
        <v>1187</v>
      </c>
      <c r="J132" s="309">
        <v>0.8</v>
      </c>
      <c r="K132" s="121">
        <v>310.0</v>
      </c>
      <c r="M132" s="121">
        <v>240.0</v>
      </c>
      <c r="P132" s="308">
        <v>43815.0</v>
      </c>
      <c r="Q132" s="121">
        <v>17243.0</v>
      </c>
      <c r="R132" s="121">
        <v>296.0</v>
      </c>
      <c r="Y132" s="121" t="s">
        <v>1182</v>
      </c>
    </row>
    <row r="133">
      <c r="A133" s="307">
        <v>43817.49871987269</v>
      </c>
      <c r="B133" s="121" t="s">
        <v>1311</v>
      </c>
      <c r="C133" s="121" t="s">
        <v>1177</v>
      </c>
      <c r="D133" s="121" t="s">
        <v>1178</v>
      </c>
      <c r="E133" s="308">
        <v>43817.0</v>
      </c>
      <c r="F133" s="121" t="s">
        <v>1199</v>
      </c>
      <c r="G133" s="121" t="s">
        <v>1179</v>
      </c>
      <c r="H133" s="121" t="s">
        <v>1187</v>
      </c>
      <c r="I133" s="121" t="s">
        <v>1187</v>
      </c>
      <c r="J133" s="309">
        <v>0.8</v>
      </c>
      <c r="K133" s="121">
        <v>497.0</v>
      </c>
      <c r="L133" s="121">
        <v>149.0</v>
      </c>
      <c r="M133" s="121">
        <v>169.0</v>
      </c>
      <c r="P133" s="308">
        <v>43815.0</v>
      </c>
      <c r="Q133" s="121">
        <v>9800.0</v>
      </c>
      <c r="R133" s="121">
        <v>488.0</v>
      </c>
      <c r="Y133" s="121" t="s">
        <v>1182</v>
      </c>
    </row>
    <row r="134">
      <c r="A134" s="307">
        <v>43862.79234834491</v>
      </c>
      <c r="B134" s="121" t="s">
        <v>1312</v>
      </c>
      <c r="C134" s="121" t="s">
        <v>1177</v>
      </c>
      <c r="D134" s="121" t="s">
        <v>1178</v>
      </c>
      <c r="E134" s="308">
        <v>42994.0</v>
      </c>
      <c r="F134" s="121" t="s">
        <v>28</v>
      </c>
      <c r="G134" s="121" t="s">
        <v>1180</v>
      </c>
      <c r="H134" s="121" t="s">
        <v>1181</v>
      </c>
      <c r="I134" s="121" t="s">
        <v>1181</v>
      </c>
      <c r="J134" s="309">
        <v>0.7</v>
      </c>
      <c r="K134" s="121">
        <v>393.0</v>
      </c>
      <c r="M134" s="121">
        <v>224.0</v>
      </c>
      <c r="P134" s="308">
        <v>43819.0</v>
      </c>
      <c r="Q134" s="121">
        <v>82500.0</v>
      </c>
      <c r="R134" s="121">
        <v>380.0</v>
      </c>
      <c r="S134" s="308">
        <v>43693.0</v>
      </c>
      <c r="T134" s="121">
        <v>70300.0</v>
      </c>
      <c r="U134" s="121">
        <v>383.0</v>
      </c>
      <c r="V134" s="308">
        <v>43614.0</v>
      </c>
      <c r="W134" s="121">
        <v>60000.0</v>
      </c>
      <c r="X134" s="121">
        <v>382.0</v>
      </c>
      <c r="Y134" s="121" t="s">
        <v>1210</v>
      </c>
      <c r="Z134" s="308">
        <v>43515.0</v>
      </c>
      <c r="AA134" s="121">
        <v>50000.0</v>
      </c>
      <c r="AB134" s="121">
        <v>386.0</v>
      </c>
      <c r="AC134" s="308">
        <v>43419.0</v>
      </c>
      <c r="AD134" s="121">
        <v>40000.0</v>
      </c>
      <c r="AE134" s="121">
        <v>385.0</v>
      </c>
      <c r="AF134" s="308">
        <v>43862.0</v>
      </c>
      <c r="AG134" s="121">
        <v>85000.0</v>
      </c>
      <c r="AH134" s="121">
        <v>380.0</v>
      </c>
      <c r="AL134" s="121" t="s">
        <v>1182</v>
      </c>
    </row>
    <row r="135">
      <c r="A135" s="307">
        <v>43824.73048113426</v>
      </c>
      <c r="B135" s="121" t="s">
        <v>1313</v>
      </c>
      <c r="C135" s="121" t="s">
        <v>1177</v>
      </c>
      <c r="D135" s="121" t="s">
        <v>1178</v>
      </c>
      <c r="E135" s="308">
        <v>42860.0</v>
      </c>
      <c r="F135" s="121" t="s">
        <v>43</v>
      </c>
      <c r="G135" s="121" t="s">
        <v>1203</v>
      </c>
      <c r="H135" s="121" t="s">
        <v>1180</v>
      </c>
      <c r="I135" s="121" t="s">
        <v>1181</v>
      </c>
      <c r="J135" s="309">
        <v>0.9</v>
      </c>
      <c r="K135" s="121">
        <v>540.0</v>
      </c>
      <c r="M135" s="121">
        <v>225.0</v>
      </c>
      <c r="P135" s="308">
        <v>43811.0</v>
      </c>
      <c r="Q135" s="121">
        <v>79000.0</v>
      </c>
      <c r="R135" s="121">
        <v>525.0</v>
      </c>
      <c r="Y135" s="121" t="s">
        <v>1182</v>
      </c>
    </row>
    <row r="136">
      <c r="A136" s="307">
        <v>43827.899649224535</v>
      </c>
      <c r="B136" s="121" t="s">
        <v>1314</v>
      </c>
      <c r="C136" s="121" t="s">
        <v>1177</v>
      </c>
      <c r="D136" s="121" t="s">
        <v>1178</v>
      </c>
      <c r="E136" s="308">
        <v>41944.0</v>
      </c>
      <c r="F136" s="121" t="s">
        <v>30</v>
      </c>
      <c r="G136" s="121" t="s">
        <v>1181</v>
      </c>
      <c r="H136" s="121" t="s">
        <v>1181</v>
      </c>
      <c r="I136" s="121" t="s">
        <v>1181</v>
      </c>
      <c r="J136" s="309">
        <v>0.9</v>
      </c>
      <c r="L136" s="121">
        <v>220.0</v>
      </c>
      <c r="M136" s="121">
        <v>209.0</v>
      </c>
      <c r="P136" s="308">
        <v>43827.0</v>
      </c>
      <c r="Q136" s="121">
        <v>191664.0</v>
      </c>
      <c r="R136" s="121">
        <v>370.0</v>
      </c>
      <c r="Y136" s="121" t="s">
        <v>1182</v>
      </c>
    </row>
    <row r="137">
      <c r="A137" s="307">
        <v>43829.494240659726</v>
      </c>
      <c r="B137" s="121" t="s">
        <v>1315</v>
      </c>
      <c r="C137" s="121" t="s">
        <v>1184</v>
      </c>
      <c r="D137" s="121" t="s">
        <v>1185</v>
      </c>
      <c r="E137" s="308">
        <v>43361.0</v>
      </c>
      <c r="F137" s="121" t="s">
        <v>1217</v>
      </c>
      <c r="G137" s="121" t="s">
        <v>1181</v>
      </c>
      <c r="H137" s="121" t="s">
        <v>1186</v>
      </c>
      <c r="J137" s="309">
        <v>0.9</v>
      </c>
      <c r="K137" s="121">
        <v>310.0</v>
      </c>
      <c r="Y137" s="121" t="s">
        <v>1182</v>
      </c>
    </row>
    <row r="138">
      <c r="A138" s="307">
        <v>43831.87636313657</v>
      </c>
      <c r="B138" s="121" t="s">
        <v>1316</v>
      </c>
      <c r="C138" s="121" t="s">
        <v>1184</v>
      </c>
      <c r="D138" s="121" t="s">
        <v>1185</v>
      </c>
      <c r="E138" s="308">
        <v>43132.0</v>
      </c>
      <c r="F138" s="121" t="s">
        <v>1221</v>
      </c>
      <c r="G138" s="121" t="s">
        <v>1181</v>
      </c>
      <c r="H138" s="121" t="s">
        <v>1186</v>
      </c>
      <c r="I138" s="121" t="s">
        <v>1187</v>
      </c>
      <c r="J138" s="309">
        <v>0.8</v>
      </c>
      <c r="K138" s="121">
        <v>320.0</v>
      </c>
      <c r="L138" s="121">
        <v>230.0</v>
      </c>
      <c r="M138" s="121">
        <v>250.0</v>
      </c>
      <c r="Y138" s="121" t="s">
        <v>1182</v>
      </c>
    </row>
    <row r="139">
      <c r="A139" s="307">
        <v>43834.082896712964</v>
      </c>
      <c r="B139" s="121" t="s">
        <v>1317</v>
      </c>
      <c r="C139" s="121" t="s">
        <v>1184</v>
      </c>
      <c r="D139" s="121" t="s">
        <v>1185</v>
      </c>
      <c r="E139" s="308">
        <v>43374.0</v>
      </c>
      <c r="F139" s="121" t="s">
        <v>1217</v>
      </c>
      <c r="G139" s="121" t="s">
        <v>1186</v>
      </c>
      <c r="H139" s="121" t="s">
        <v>1181</v>
      </c>
      <c r="I139" s="121" t="s">
        <v>1186</v>
      </c>
      <c r="J139" s="309">
        <v>0.7</v>
      </c>
      <c r="K139" s="121">
        <v>310.0</v>
      </c>
      <c r="M139" s="121">
        <v>265.0</v>
      </c>
      <c r="Y139" s="121" t="s">
        <v>1182</v>
      </c>
    </row>
    <row r="140">
      <c r="A140" s="307">
        <v>43835.62689886574</v>
      </c>
      <c r="B140" s="121" t="s">
        <v>1318</v>
      </c>
      <c r="C140" s="121" t="s">
        <v>1184</v>
      </c>
      <c r="D140" s="121" t="s">
        <v>1185</v>
      </c>
      <c r="E140" s="308">
        <v>43313.0</v>
      </c>
      <c r="F140" s="121" t="s">
        <v>1217</v>
      </c>
      <c r="G140" s="121" t="s">
        <v>1181</v>
      </c>
      <c r="H140" s="121" t="s">
        <v>1181</v>
      </c>
      <c r="I140" s="121" t="s">
        <v>1181</v>
      </c>
      <c r="J140" s="309">
        <v>0.8</v>
      </c>
      <c r="K140" s="121">
        <v>310.0</v>
      </c>
      <c r="S140" s="308">
        <v>43835.0</v>
      </c>
      <c r="T140" s="121">
        <v>16811.0</v>
      </c>
      <c r="U140" s="121">
        <v>285.0</v>
      </c>
      <c r="Y140" s="121" t="s">
        <v>1182</v>
      </c>
    </row>
    <row r="141">
      <c r="A141" s="307">
        <v>43836.39078052083</v>
      </c>
      <c r="B141" s="121" t="s">
        <v>1319</v>
      </c>
      <c r="C141" s="121" t="s">
        <v>1177</v>
      </c>
      <c r="D141" s="121" t="s">
        <v>1178</v>
      </c>
      <c r="E141" s="308">
        <v>43415.0</v>
      </c>
      <c r="F141" s="121" t="s">
        <v>28</v>
      </c>
      <c r="G141" s="121" t="s">
        <v>1190</v>
      </c>
      <c r="H141" s="121" t="s">
        <v>1181</v>
      </c>
      <c r="I141" s="121" t="s">
        <v>1186</v>
      </c>
      <c r="J141" s="309">
        <v>0.7</v>
      </c>
      <c r="Y141" s="121" t="s">
        <v>1182</v>
      </c>
    </row>
    <row r="142">
      <c r="A142" s="307">
        <v>43838.87385153935</v>
      </c>
      <c r="B142" s="121" t="s">
        <v>1320</v>
      </c>
      <c r="C142" s="121" t="s">
        <v>1177</v>
      </c>
      <c r="D142" s="121" t="s">
        <v>1178</v>
      </c>
      <c r="E142" s="308">
        <v>43449.0</v>
      </c>
      <c r="F142" s="121" t="s">
        <v>1199</v>
      </c>
      <c r="G142" s="121" t="s">
        <v>1190</v>
      </c>
      <c r="H142" s="121" t="s">
        <v>1186</v>
      </c>
      <c r="I142" s="121" t="s">
        <v>1181</v>
      </c>
      <c r="J142" s="309">
        <v>0.7</v>
      </c>
      <c r="K142" s="121">
        <v>496.0</v>
      </c>
      <c r="M142" s="121">
        <v>195.0</v>
      </c>
      <c r="P142" s="308">
        <v>43741.0</v>
      </c>
      <c r="Q142" s="121">
        <v>302.0</v>
      </c>
      <c r="R142" s="121">
        <v>496.0</v>
      </c>
      <c r="S142" s="308">
        <v>43820.0</v>
      </c>
      <c r="T142" s="121">
        <v>26965.0</v>
      </c>
      <c r="U142" s="121">
        <v>487.0</v>
      </c>
      <c r="Y142" s="121" t="s">
        <v>1182</v>
      </c>
    </row>
    <row r="143">
      <c r="A143" s="307">
        <v>43839.574142557874</v>
      </c>
      <c r="B143" s="121" t="s">
        <v>1321</v>
      </c>
      <c r="C143" s="121" t="s">
        <v>1184</v>
      </c>
      <c r="D143" s="121" t="s">
        <v>1185</v>
      </c>
      <c r="E143" s="308">
        <v>41334.0</v>
      </c>
      <c r="F143" s="121" t="s">
        <v>32</v>
      </c>
      <c r="G143" s="121" t="s">
        <v>1187</v>
      </c>
      <c r="H143" s="121" t="s">
        <v>1181</v>
      </c>
      <c r="I143" s="121" t="s">
        <v>1187</v>
      </c>
      <c r="J143" s="309">
        <v>0.8</v>
      </c>
      <c r="K143" s="121">
        <v>265.0</v>
      </c>
      <c r="P143" s="308">
        <v>43839.0</v>
      </c>
      <c r="Q143" s="121">
        <v>130000.0</v>
      </c>
      <c r="R143" s="121">
        <v>208.0</v>
      </c>
      <c r="Y143" s="121" t="s">
        <v>1182</v>
      </c>
    </row>
    <row r="144">
      <c r="A144" s="307">
        <v>43841.46127678241</v>
      </c>
      <c r="B144" s="121" t="s">
        <v>1322</v>
      </c>
      <c r="C144" s="121" t="s">
        <v>1177</v>
      </c>
      <c r="D144" s="121" t="s">
        <v>1178</v>
      </c>
      <c r="E144" s="308">
        <v>42494.0</v>
      </c>
      <c r="F144" s="121" t="s">
        <v>43</v>
      </c>
      <c r="G144" s="121" t="s">
        <v>1181</v>
      </c>
      <c r="H144" s="121" t="s">
        <v>1181</v>
      </c>
      <c r="I144" s="121" t="s">
        <v>1186</v>
      </c>
      <c r="J144" s="309">
        <v>0.8</v>
      </c>
      <c r="O144" s="121" t="s">
        <v>1323</v>
      </c>
      <c r="P144" s="308">
        <v>43841.0</v>
      </c>
      <c r="Q144" s="121">
        <v>423.0</v>
      </c>
      <c r="R144" s="121">
        <v>423.0</v>
      </c>
      <c r="Y144" s="121" t="s">
        <v>1210</v>
      </c>
      <c r="AL144" s="121" t="s">
        <v>1182</v>
      </c>
    </row>
    <row r="145">
      <c r="A145" s="307">
        <v>43844.20411234954</v>
      </c>
      <c r="B145" s="121" t="s">
        <v>1324</v>
      </c>
      <c r="C145" s="121" t="s">
        <v>1184</v>
      </c>
      <c r="D145" s="121" t="s">
        <v>1185</v>
      </c>
      <c r="E145" s="308">
        <v>42430.0</v>
      </c>
      <c r="F145" s="121" t="s">
        <v>67</v>
      </c>
      <c r="G145" s="121" t="s">
        <v>1179</v>
      </c>
      <c r="H145" s="121" t="s">
        <v>1179</v>
      </c>
      <c r="J145" s="309">
        <v>0.5</v>
      </c>
      <c r="K145" s="121">
        <v>254.0</v>
      </c>
      <c r="Y145" s="121" t="s">
        <v>1182</v>
      </c>
    </row>
    <row r="146">
      <c r="A146" s="307">
        <v>43844.24652532407</v>
      </c>
      <c r="B146" s="121" t="s">
        <v>1325</v>
      </c>
      <c r="C146" s="121" t="s">
        <v>1184</v>
      </c>
      <c r="D146" s="121" t="s">
        <v>1185</v>
      </c>
      <c r="E146" s="308">
        <v>43620.0</v>
      </c>
      <c r="F146" s="121" t="s">
        <v>1192</v>
      </c>
      <c r="G146" s="121" t="s">
        <v>1180</v>
      </c>
      <c r="H146" s="121" t="s">
        <v>1179</v>
      </c>
      <c r="I146" s="121" t="s">
        <v>1187</v>
      </c>
      <c r="J146" s="309">
        <v>0.7</v>
      </c>
      <c r="K146" s="121">
        <v>240.0</v>
      </c>
      <c r="M146" s="121">
        <v>234.0</v>
      </c>
      <c r="P146" s="308">
        <v>43648.0</v>
      </c>
      <c r="Q146" s="121">
        <v>200.0</v>
      </c>
      <c r="R146" s="121">
        <v>240.0</v>
      </c>
      <c r="S146" s="308">
        <v>43841.0</v>
      </c>
      <c r="T146" s="121">
        <v>11000.0</v>
      </c>
      <c r="U146" s="121">
        <v>227.0</v>
      </c>
      <c r="Y146" s="121" t="s">
        <v>1182</v>
      </c>
    </row>
    <row r="147">
      <c r="A147" s="307">
        <v>43844.38532695602</v>
      </c>
      <c r="B147" s="121" t="s">
        <v>1326</v>
      </c>
      <c r="C147" s="121" t="s">
        <v>1184</v>
      </c>
      <c r="D147" s="121" t="s">
        <v>1185</v>
      </c>
      <c r="E147" s="308">
        <v>43276.0</v>
      </c>
      <c r="F147" s="121" t="s">
        <v>1221</v>
      </c>
      <c r="G147" s="121" t="s">
        <v>1181</v>
      </c>
      <c r="H147" s="121" t="s">
        <v>1181</v>
      </c>
      <c r="I147" s="121" t="s">
        <v>1187</v>
      </c>
      <c r="J147" s="309">
        <v>0.9</v>
      </c>
      <c r="M147" s="121">
        <v>295.0</v>
      </c>
      <c r="Y147" s="121" t="s">
        <v>1182</v>
      </c>
    </row>
    <row r="148">
      <c r="A148" s="307">
        <v>43844.73852846065</v>
      </c>
      <c r="B148" s="121" t="s">
        <v>1327</v>
      </c>
      <c r="C148" s="121" t="s">
        <v>1184</v>
      </c>
      <c r="D148" s="121" t="s">
        <v>1185</v>
      </c>
      <c r="E148" s="308">
        <v>43313.0</v>
      </c>
      <c r="F148" s="121" t="s">
        <v>1221</v>
      </c>
      <c r="G148" s="121" t="s">
        <v>1181</v>
      </c>
      <c r="H148" s="121" t="s">
        <v>1181</v>
      </c>
      <c r="I148" s="121" t="s">
        <v>1187</v>
      </c>
      <c r="J148" s="309">
        <v>0.8</v>
      </c>
      <c r="K148" s="121">
        <v>324.0</v>
      </c>
      <c r="M148" s="121">
        <v>278.0</v>
      </c>
      <c r="Y148" s="121" t="s">
        <v>1182</v>
      </c>
    </row>
    <row r="149">
      <c r="A149" s="307">
        <v>43849.55817498843</v>
      </c>
      <c r="B149" s="121" t="s">
        <v>1328</v>
      </c>
      <c r="C149" s="121" t="s">
        <v>1184</v>
      </c>
      <c r="D149" s="121" t="s">
        <v>1185</v>
      </c>
      <c r="E149" s="308">
        <v>41835.0</v>
      </c>
      <c r="F149" s="121" t="s">
        <v>30</v>
      </c>
      <c r="G149" s="121" t="s">
        <v>1190</v>
      </c>
      <c r="H149" s="121" t="s">
        <v>1179</v>
      </c>
      <c r="I149" s="121" t="s">
        <v>1179</v>
      </c>
      <c r="J149" s="309">
        <v>0.8</v>
      </c>
      <c r="K149" s="121">
        <v>265.0</v>
      </c>
      <c r="L149" s="121">
        <v>295.0</v>
      </c>
      <c r="P149" s="308">
        <v>43822.0</v>
      </c>
      <c r="Q149" s="121">
        <v>213450.0</v>
      </c>
      <c r="R149" s="121">
        <v>222.0</v>
      </c>
      <c r="Y149" s="121" t="s">
        <v>1182</v>
      </c>
    </row>
    <row r="150">
      <c r="A150" s="307">
        <v>43849.9127027662</v>
      </c>
      <c r="B150" s="121" t="s">
        <v>1329</v>
      </c>
      <c r="C150" s="121" t="s">
        <v>1184</v>
      </c>
      <c r="D150" s="121" t="s">
        <v>1185</v>
      </c>
      <c r="E150" s="308">
        <v>43574.0</v>
      </c>
      <c r="F150" s="121" t="s">
        <v>1199</v>
      </c>
      <c r="G150" s="121" t="s">
        <v>1179</v>
      </c>
      <c r="H150" s="121" t="s">
        <v>1181</v>
      </c>
      <c r="I150" s="121" t="s">
        <v>1181</v>
      </c>
      <c r="J150" s="309">
        <v>0.9</v>
      </c>
      <c r="K150" s="121">
        <v>311.0</v>
      </c>
      <c r="M150" s="121">
        <v>331.0</v>
      </c>
      <c r="P150" s="308">
        <v>43729.0</v>
      </c>
      <c r="Q150" s="121">
        <v>8325.0</v>
      </c>
      <c r="R150" s="121">
        <v>302.04</v>
      </c>
      <c r="S150" s="308">
        <v>43768.0</v>
      </c>
      <c r="T150" s="121">
        <v>10372.0</v>
      </c>
      <c r="U150" s="121">
        <v>295.92</v>
      </c>
      <c r="V150" s="308">
        <v>43483.0</v>
      </c>
      <c r="W150" s="121">
        <v>15162.0</v>
      </c>
      <c r="X150" s="121">
        <v>289.24</v>
      </c>
      <c r="Y150" s="121" t="s">
        <v>1182</v>
      </c>
    </row>
    <row r="151">
      <c r="A151" s="307">
        <v>43851.26539153935</v>
      </c>
      <c r="B151" s="121" t="s">
        <v>1330</v>
      </c>
      <c r="C151" s="121" t="s">
        <v>1184</v>
      </c>
      <c r="D151" s="121" t="s">
        <v>1185</v>
      </c>
      <c r="E151" s="308">
        <v>41197.0</v>
      </c>
      <c r="F151" s="121" t="s">
        <v>32</v>
      </c>
      <c r="G151" s="121" t="s">
        <v>1180</v>
      </c>
      <c r="H151" s="121" t="s">
        <v>1180</v>
      </c>
      <c r="I151" s="121" t="s">
        <v>1187</v>
      </c>
      <c r="J151" s="309">
        <v>0.8</v>
      </c>
      <c r="N151" s="121">
        <v>30000.0</v>
      </c>
      <c r="O151" s="121" t="s">
        <v>1323</v>
      </c>
      <c r="P151" s="308">
        <v>43848.0</v>
      </c>
      <c r="Q151" s="121">
        <v>73850.0</v>
      </c>
      <c r="R151" s="121">
        <v>237.0</v>
      </c>
      <c r="Y151" s="121" t="s">
        <v>1182</v>
      </c>
    </row>
    <row r="152">
      <c r="A152" s="307">
        <v>43851.717698402776</v>
      </c>
      <c r="B152" s="121" t="s">
        <v>1331</v>
      </c>
      <c r="C152" s="121" t="s">
        <v>1177</v>
      </c>
      <c r="D152" s="121" t="s">
        <v>1178</v>
      </c>
      <c r="E152" s="308">
        <v>42430.0</v>
      </c>
      <c r="F152" s="121" t="s">
        <v>36</v>
      </c>
      <c r="G152" s="121" t="s">
        <v>1190</v>
      </c>
      <c r="H152" s="121" t="s">
        <v>1181</v>
      </c>
      <c r="I152" s="121" t="s">
        <v>1186</v>
      </c>
      <c r="J152" s="309">
        <v>0.5</v>
      </c>
      <c r="M152" s="121">
        <v>200.0</v>
      </c>
      <c r="P152" s="308">
        <v>43849.0</v>
      </c>
      <c r="Q152" s="121">
        <v>74120.0</v>
      </c>
      <c r="R152" s="121">
        <v>374.0</v>
      </c>
      <c r="Y152" s="121" t="s">
        <v>1182</v>
      </c>
    </row>
    <row r="153">
      <c r="A153" s="307">
        <v>43853.14586653935</v>
      </c>
      <c r="B153" s="121" t="s">
        <v>1332</v>
      </c>
      <c r="C153" s="121" t="s">
        <v>1184</v>
      </c>
      <c r="D153" s="121" t="s">
        <v>1185</v>
      </c>
      <c r="E153" s="308">
        <v>43405.0</v>
      </c>
      <c r="F153" s="121" t="s">
        <v>1225</v>
      </c>
      <c r="G153" s="121" t="s">
        <v>1181</v>
      </c>
      <c r="H153" s="121" t="s">
        <v>1181</v>
      </c>
      <c r="I153" s="121" t="s">
        <v>1186</v>
      </c>
      <c r="J153" s="309">
        <v>0.9</v>
      </c>
      <c r="K153" s="121">
        <v>260.0</v>
      </c>
      <c r="L153" s="121">
        <v>255.0</v>
      </c>
      <c r="M153" s="121">
        <v>255.0</v>
      </c>
      <c r="Y153" s="121" t="s">
        <v>1182</v>
      </c>
    </row>
    <row r="154">
      <c r="A154" s="307">
        <v>43875.90159262731</v>
      </c>
      <c r="B154" s="121" t="s">
        <v>1333</v>
      </c>
      <c r="C154" s="121" t="s">
        <v>1184</v>
      </c>
      <c r="D154" s="121" t="s">
        <v>1185</v>
      </c>
      <c r="E154" s="308">
        <v>43405.0</v>
      </c>
      <c r="F154" s="121" t="s">
        <v>1199</v>
      </c>
      <c r="G154" s="121" t="s">
        <v>1181</v>
      </c>
      <c r="H154" s="121" t="s">
        <v>1181</v>
      </c>
      <c r="I154" s="121" t="s">
        <v>1181</v>
      </c>
      <c r="J154" s="309">
        <v>0.8</v>
      </c>
      <c r="K154" s="121">
        <v>308.0</v>
      </c>
      <c r="L154" s="121">
        <v>250.0</v>
      </c>
      <c r="M154" s="121">
        <v>310.0</v>
      </c>
      <c r="P154" s="308">
        <v>43850.0</v>
      </c>
      <c r="Q154" s="121">
        <v>19000.0</v>
      </c>
      <c r="R154" s="121">
        <v>295.0</v>
      </c>
      <c r="Y154" s="121" t="s">
        <v>1182</v>
      </c>
    </row>
    <row r="155">
      <c r="A155" s="307">
        <v>43854.523051516204</v>
      </c>
      <c r="B155" s="121" t="s">
        <v>472</v>
      </c>
      <c r="C155" s="121" t="s">
        <v>1177</v>
      </c>
      <c r="D155" s="121" t="s">
        <v>1178</v>
      </c>
      <c r="E155" s="308">
        <v>42641.0</v>
      </c>
      <c r="F155" s="121" t="s">
        <v>57</v>
      </c>
      <c r="G155" s="121" t="s">
        <v>1180</v>
      </c>
      <c r="H155" s="121" t="s">
        <v>1180</v>
      </c>
      <c r="I155" s="121" t="s">
        <v>1180</v>
      </c>
      <c r="J155" s="309">
        <v>0.9</v>
      </c>
      <c r="K155" s="121">
        <v>400.0</v>
      </c>
      <c r="P155" s="308">
        <v>43819.0</v>
      </c>
      <c r="Q155" s="121">
        <v>157280.0</v>
      </c>
      <c r="R155" s="121">
        <v>348.0</v>
      </c>
      <c r="Y155" s="121" t="s">
        <v>1182</v>
      </c>
    </row>
    <row r="156">
      <c r="A156" s="307">
        <v>43858.00884952546</v>
      </c>
      <c r="B156" s="121" t="s">
        <v>1334</v>
      </c>
      <c r="C156" s="121" t="s">
        <v>1177</v>
      </c>
      <c r="D156" s="121" t="s">
        <v>1178</v>
      </c>
      <c r="E156" s="308">
        <v>44050.0</v>
      </c>
      <c r="F156" s="121" t="s">
        <v>1192</v>
      </c>
      <c r="G156" s="121" t="s">
        <v>1181</v>
      </c>
      <c r="H156" s="121" t="s">
        <v>1181</v>
      </c>
      <c r="I156" s="121" t="s">
        <v>1181</v>
      </c>
      <c r="J156" s="309">
        <v>0.9</v>
      </c>
      <c r="K156" s="121">
        <v>386.0</v>
      </c>
      <c r="U156" s="121">
        <v>344.0</v>
      </c>
      <c r="V156" s="308">
        <v>43848.0</v>
      </c>
      <c r="W156" s="121">
        <v>14700.0</v>
      </c>
      <c r="X156" s="121">
        <v>337.0</v>
      </c>
      <c r="Y156" s="121" t="s">
        <v>1182</v>
      </c>
    </row>
    <row r="157">
      <c r="A157" s="307">
        <v>43859.67607083333</v>
      </c>
      <c r="B157" s="121" t="s">
        <v>1335</v>
      </c>
      <c r="C157" s="121" t="s">
        <v>1184</v>
      </c>
      <c r="D157" s="121" t="s">
        <v>1185</v>
      </c>
      <c r="E157" s="308">
        <v>41532.0</v>
      </c>
      <c r="F157" s="121" t="s">
        <v>32</v>
      </c>
      <c r="G157" s="121" t="s">
        <v>1203</v>
      </c>
      <c r="H157" s="121" t="s">
        <v>1180</v>
      </c>
      <c r="I157" s="121" t="s">
        <v>1187</v>
      </c>
      <c r="J157" s="309">
        <v>0.9</v>
      </c>
      <c r="P157" s="308">
        <v>43858.0</v>
      </c>
      <c r="Q157" s="121">
        <v>111942.0</v>
      </c>
      <c r="R157" s="121">
        <v>233.0</v>
      </c>
      <c r="Y157" s="121" t="s">
        <v>1182</v>
      </c>
    </row>
    <row r="158">
      <c r="A158" s="307">
        <v>43869.84542774306</v>
      </c>
      <c r="B158" s="121" t="s">
        <v>1336</v>
      </c>
      <c r="C158" s="121" t="s">
        <v>1177</v>
      </c>
      <c r="D158" s="121" t="s">
        <v>1178</v>
      </c>
      <c r="E158" s="308">
        <v>43763.0</v>
      </c>
      <c r="F158" s="121" t="s">
        <v>1199</v>
      </c>
      <c r="G158" s="121" t="s">
        <v>1179</v>
      </c>
      <c r="H158" s="121" t="s">
        <v>1181</v>
      </c>
      <c r="I158" s="121" t="s">
        <v>1187</v>
      </c>
      <c r="K158" s="121">
        <v>499.0</v>
      </c>
      <c r="Y158" s="121" t="s">
        <v>1182</v>
      </c>
    </row>
    <row r="159">
      <c r="A159" s="307">
        <v>43877.74538010417</v>
      </c>
      <c r="B159" s="121" t="s">
        <v>1337</v>
      </c>
      <c r="C159" s="121" t="s">
        <v>1184</v>
      </c>
      <c r="D159" s="121" t="s">
        <v>1185</v>
      </c>
      <c r="E159" s="308">
        <v>43313.0</v>
      </c>
      <c r="F159" s="121" t="s">
        <v>1217</v>
      </c>
      <c r="G159" s="121" t="s">
        <v>1181</v>
      </c>
      <c r="H159" s="121" t="s">
        <v>1186</v>
      </c>
      <c r="I159" s="121" t="s">
        <v>1187</v>
      </c>
      <c r="J159" s="309">
        <v>0.8</v>
      </c>
      <c r="K159" s="121"/>
      <c r="P159" s="308" t="s">
        <v>1338</v>
      </c>
      <c r="Q159" s="121"/>
      <c r="R159" s="121"/>
      <c r="S159" s="308" t="s">
        <v>1338</v>
      </c>
      <c r="T159" s="121"/>
      <c r="U159" s="121"/>
      <c r="V159" s="308" t="s">
        <v>1338</v>
      </c>
      <c r="W159" s="121"/>
      <c r="X159" s="121"/>
      <c r="Y159" s="121" t="s">
        <v>1210</v>
      </c>
      <c r="Z159" s="308"/>
      <c r="AA159" s="121"/>
      <c r="AB159" s="121"/>
      <c r="AC159" s="308"/>
      <c r="AD159" s="121"/>
      <c r="AE159" s="121"/>
      <c r="AF159" s="308"/>
      <c r="AG159" s="121"/>
      <c r="AH159" s="121"/>
      <c r="AI159" s="308"/>
      <c r="AJ159" s="121"/>
      <c r="AK159" s="121"/>
      <c r="AL159" s="121" t="s">
        <v>1210</v>
      </c>
      <c r="AM159" s="308"/>
      <c r="AN159" s="121"/>
      <c r="AO159" s="121"/>
      <c r="AP159" s="308"/>
      <c r="AQ159" s="121"/>
      <c r="AR159" s="121"/>
      <c r="AY159" s="121" t="s">
        <v>1210</v>
      </c>
    </row>
    <row r="160">
      <c r="A160" s="307">
        <v>43873.18536074074</v>
      </c>
      <c r="B160" s="121" t="s">
        <v>1339</v>
      </c>
      <c r="C160" s="121" t="s">
        <v>1184</v>
      </c>
      <c r="D160" s="121" t="s">
        <v>1185</v>
      </c>
      <c r="E160" s="308">
        <v>43709.0</v>
      </c>
      <c r="F160" s="121" t="s">
        <v>1217</v>
      </c>
      <c r="G160" s="121" t="s">
        <v>1181</v>
      </c>
      <c r="H160" s="121" t="s">
        <v>1187</v>
      </c>
      <c r="I160" s="121" t="s">
        <v>1187</v>
      </c>
      <c r="J160" s="309">
        <v>0.8</v>
      </c>
      <c r="K160" s="121">
        <v>310.0</v>
      </c>
      <c r="M160" s="121">
        <v>260.0</v>
      </c>
      <c r="P160" s="308">
        <v>43484.0</v>
      </c>
      <c r="Q160" s="121">
        <v>4462.0</v>
      </c>
      <c r="R160" s="121">
        <v>298.0</v>
      </c>
      <c r="Y160" s="121" t="s">
        <v>1182</v>
      </c>
    </row>
    <row r="161">
      <c r="A161" s="307">
        <v>43873.78684043982</v>
      </c>
      <c r="B161" s="121" t="s">
        <v>1340</v>
      </c>
      <c r="C161" s="121" t="s">
        <v>1197</v>
      </c>
      <c r="D161" s="121" t="s">
        <v>1178</v>
      </c>
      <c r="E161" s="308">
        <v>43631.0</v>
      </c>
      <c r="F161" s="121" t="s">
        <v>1192</v>
      </c>
      <c r="G161" s="121" t="s">
        <v>1203</v>
      </c>
      <c r="H161" s="121" t="s">
        <v>1181</v>
      </c>
      <c r="I161" s="121" t="s">
        <v>1187</v>
      </c>
      <c r="J161" s="309">
        <v>0.9</v>
      </c>
      <c r="K161" s="121">
        <v>380.0</v>
      </c>
      <c r="L161" s="121">
        <v>136.0</v>
      </c>
      <c r="M161" s="121">
        <v>170.0</v>
      </c>
      <c r="P161" s="308">
        <v>43800.0</v>
      </c>
      <c r="Q161" s="121">
        <v>15500.0</v>
      </c>
      <c r="R161" s="121">
        <v>362.0</v>
      </c>
      <c r="S161" s="308">
        <v>43873.0</v>
      </c>
      <c r="T161" s="121">
        <v>21000.0</v>
      </c>
      <c r="U161" s="121">
        <v>355.0</v>
      </c>
      <c r="Y161" s="121" t="s">
        <v>1182</v>
      </c>
    </row>
    <row r="162">
      <c r="A162" s="307">
        <v>43873.78571333333</v>
      </c>
      <c r="B162" s="121" t="s">
        <v>1341</v>
      </c>
      <c r="C162" s="121" t="s">
        <v>1177</v>
      </c>
      <c r="D162" s="121" t="s">
        <v>1178</v>
      </c>
      <c r="E162" s="308">
        <v>43862.0</v>
      </c>
      <c r="F162" s="121" t="s">
        <v>40</v>
      </c>
      <c r="G162" s="121" t="s">
        <v>1205</v>
      </c>
      <c r="H162" s="121" t="s">
        <v>1190</v>
      </c>
      <c r="I162" s="121" t="s">
        <v>1179</v>
      </c>
      <c r="J162" s="309">
        <v>0.9</v>
      </c>
      <c r="K162" s="121">
        <v>420.0</v>
      </c>
      <c r="L162" s="121">
        <v>420.0</v>
      </c>
      <c r="O162" s="121" t="s">
        <v>1342</v>
      </c>
      <c r="P162" s="308">
        <v>43873.0</v>
      </c>
      <c r="Q162" s="121">
        <v>5000.0</v>
      </c>
      <c r="R162" s="121">
        <v>410.0</v>
      </c>
      <c r="S162" s="308">
        <v>43873.0</v>
      </c>
      <c r="T162" s="121">
        <v>4999.0</v>
      </c>
      <c r="U162" s="121">
        <v>410.0</v>
      </c>
      <c r="V162" s="308">
        <v>43831.0</v>
      </c>
      <c r="W162" s="121">
        <v>400.0</v>
      </c>
      <c r="X162" s="121">
        <v>300.0</v>
      </c>
      <c r="Y162" s="121" t="s">
        <v>1182</v>
      </c>
    </row>
    <row r="163">
      <c r="A163" s="307">
        <v>43882.05887784722</v>
      </c>
      <c r="B163" s="121" t="s">
        <v>1343</v>
      </c>
      <c r="C163" s="121" t="s">
        <v>1184</v>
      </c>
      <c r="D163" s="121" t="s">
        <v>1185</v>
      </c>
      <c r="E163" s="308">
        <v>43107.0</v>
      </c>
      <c r="F163" s="121" t="s">
        <v>1221</v>
      </c>
      <c r="G163" s="121" t="s">
        <v>1186</v>
      </c>
      <c r="H163" s="121" t="s">
        <v>1186</v>
      </c>
      <c r="I163" s="121" t="s">
        <v>1187</v>
      </c>
      <c r="J163" s="309">
        <v>0.9</v>
      </c>
      <c r="K163" s="121">
        <v>310.0</v>
      </c>
      <c r="M163" s="121">
        <v>212.0</v>
      </c>
      <c r="P163" s="308">
        <v>43881.0</v>
      </c>
      <c r="Q163" s="121">
        <v>20900.0</v>
      </c>
      <c r="R163" s="121">
        <v>311.0</v>
      </c>
      <c r="Y163" s="121" t="s">
        <v>1182</v>
      </c>
    </row>
    <row r="164">
      <c r="A164" s="307">
        <v>43882.52578952546</v>
      </c>
      <c r="B164" s="121" t="s">
        <v>1344</v>
      </c>
      <c r="C164" s="121" t="s">
        <v>1177</v>
      </c>
      <c r="D164" s="121" t="s">
        <v>1178</v>
      </c>
      <c r="E164" s="308">
        <v>42355.0</v>
      </c>
      <c r="F164" s="121" t="s">
        <v>22</v>
      </c>
      <c r="G164" s="121" t="s">
        <v>1181</v>
      </c>
      <c r="H164" s="121" t="s">
        <v>1181</v>
      </c>
      <c r="J164" s="309">
        <v>0.9</v>
      </c>
      <c r="M164" s="121">
        <v>213.0</v>
      </c>
      <c r="P164" s="308">
        <v>43608.0</v>
      </c>
      <c r="Q164" s="121">
        <v>40000.0</v>
      </c>
      <c r="R164" s="121">
        <v>353.0</v>
      </c>
      <c r="Y164" s="121" t="s">
        <v>1182</v>
      </c>
    </row>
    <row r="165">
      <c r="A165" s="307">
        <v>43884.51511150463</v>
      </c>
      <c r="B165" s="121" t="s">
        <v>1345</v>
      </c>
      <c r="C165" s="121" t="s">
        <v>1197</v>
      </c>
      <c r="D165" s="121" t="s">
        <v>1178</v>
      </c>
      <c r="E165" s="308">
        <v>43817.0</v>
      </c>
      <c r="F165" s="121" t="s">
        <v>1217</v>
      </c>
      <c r="G165" s="121" t="s">
        <v>1181</v>
      </c>
      <c r="H165" s="121" t="s">
        <v>1181</v>
      </c>
      <c r="I165" s="121" t="s">
        <v>1187</v>
      </c>
      <c r="J165" s="309">
        <v>0.8</v>
      </c>
      <c r="K165" s="121">
        <v>502.0</v>
      </c>
      <c r="L165" s="121">
        <v>215.0</v>
      </c>
      <c r="P165" s="308">
        <v>43884.0</v>
      </c>
      <c r="Q165" s="121">
        <v>5693.0</v>
      </c>
      <c r="R165" s="121">
        <v>502.0</v>
      </c>
      <c r="Y165" s="121" t="s">
        <v>1182</v>
      </c>
    </row>
    <row r="166">
      <c r="A166" s="307">
        <v>43883.48743479166</v>
      </c>
      <c r="B166" s="121" t="s">
        <v>1346</v>
      </c>
      <c r="C166" s="121" t="s">
        <v>1177</v>
      </c>
      <c r="D166" s="121" t="s">
        <v>1178</v>
      </c>
      <c r="E166" s="308">
        <v>43296.0</v>
      </c>
      <c r="F166" s="121" t="s">
        <v>62</v>
      </c>
      <c r="G166" s="121" t="s">
        <v>1180</v>
      </c>
      <c r="H166" s="121" t="s">
        <v>1186</v>
      </c>
      <c r="I166" s="121" t="s">
        <v>1186</v>
      </c>
      <c r="J166" s="309">
        <v>0.8</v>
      </c>
      <c r="K166" s="121">
        <v>450.0</v>
      </c>
      <c r="M166" s="121">
        <v>225.0</v>
      </c>
      <c r="P166" s="308">
        <v>43804.0</v>
      </c>
      <c r="Q166" s="121">
        <v>20353.0</v>
      </c>
      <c r="R166" s="121">
        <v>435.0</v>
      </c>
      <c r="Y166" s="121" t="s">
        <v>1182</v>
      </c>
    </row>
    <row r="167">
      <c r="A167" s="307">
        <v>43884.31782671296</v>
      </c>
      <c r="B167" s="121" t="s">
        <v>1347</v>
      </c>
      <c r="C167" s="121" t="s">
        <v>1184</v>
      </c>
      <c r="D167" s="121" t="s">
        <v>1185</v>
      </c>
      <c r="E167" s="308">
        <v>43191.0</v>
      </c>
      <c r="F167" s="121" t="s">
        <v>1221</v>
      </c>
      <c r="G167" s="121" t="s">
        <v>1181</v>
      </c>
      <c r="H167" s="121" t="s">
        <v>1181</v>
      </c>
      <c r="I167" s="121" t="s">
        <v>1186</v>
      </c>
      <c r="J167" s="309">
        <v>0.8</v>
      </c>
      <c r="K167" s="121">
        <v>310.0</v>
      </c>
      <c r="M167" s="121">
        <v>233.0</v>
      </c>
      <c r="P167" s="308">
        <v>43882.0</v>
      </c>
      <c r="Q167" s="121">
        <v>21550.0</v>
      </c>
      <c r="R167" s="121">
        <v>312.0</v>
      </c>
      <c r="Y167" s="121" t="s">
        <v>1182</v>
      </c>
    </row>
    <row r="168">
      <c r="A168" s="307">
        <v>43887.6591896875</v>
      </c>
      <c r="B168" s="121" t="s">
        <v>1348</v>
      </c>
      <c r="C168" s="121" t="s">
        <v>1184</v>
      </c>
      <c r="D168" s="121" t="s">
        <v>1185</v>
      </c>
      <c r="E168" s="308">
        <v>43191.0</v>
      </c>
      <c r="F168" s="121" t="s">
        <v>1221</v>
      </c>
      <c r="G168" s="121" t="s">
        <v>1179</v>
      </c>
      <c r="H168" s="121" t="s">
        <v>1180</v>
      </c>
      <c r="I168" s="121" t="s">
        <v>1181</v>
      </c>
      <c r="J168" s="309">
        <v>0.9</v>
      </c>
      <c r="M168" s="121">
        <v>286.0</v>
      </c>
      <c r="P168" s="308">
        <v>43884.0</v>
      </c>
      <c r="Q168" s="121">
        <v>29667.0</v>
      </c>
      <c r="R168" s="121">
        <v>299.0</v>
      </c>
      <c r="S168" s="308">
        <v>43806.0</v>
      </c>
      <c r="T168" s="121">
        <v>26000.0</v>
      </c>
      <c r="U168" s="121">
        <v>308.0</v>
      </c>
      <c r="Y168" s="121" t="s">
        <v>1182</v>
      </c>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29"/>
    <col customWidth="1" min="19" max="19" width="5.57"/>
    <col customWidth="1" min="27" max="27" width="42.43"/>
  </cols>
  <sheetData>
    <row r="1">
      <c r="A1" s="307" t="s">
        <v>1117</v>
      </c>
      <c r="B1" s="50" t="s">
        <v>59</v>
      </c>
      <c r="C1" s="50" t="s">
        <v>1118</v>
      </c>
      <c r="D1" s="50" t="s">
        <v>1349</v>
      </c>
      <c r="E1" s="310" t="s">
        <v>1120</v>
      </c>
      <c r="F1" s="50" t="s">
        <v>1121</v>
      </c>
      <c r="G1" s="50" t="s">
        <v>1122</v>
      </c>
      <c r="H1" s="50" t="s">
        <v>1123</v>
      </c>
      <c r="I1" s="50" t="s">
        <v>1124</v>
      </c>
      <c r="J1" s="311" t="s">
        <v>1125</v>
      </c>
      <c r="K1" s="50" t="s">
        <v>1350</v>
      </c>
      <c r="L1" s="50" t="s">
        <v>1351</v>
      </c>
      <c r="M1" s="312" t="s">
        <v>1352</v>
      </c>
      <c r="N1" s="303" t="s">
        <v>1353</v>
      </c>
      <c r="O1" s="303" t="s">
        <v>1354</v>
      </c>
      <c r="P1" s="310" t="s">
        <v>1355</v>
      </c>
      <c r="Q1" s="50" t="s">
        <v>1356</v>
      </c>
      <c r="R1" s="303" t="s">
        <v>1357</v>
      </c>
      <c r="S1" s="313"/>
      <c r="T1" s="314" t="s">
        <v>1358</v>
      </c>
      <c r="U1" s="312" t="s">
        <v>1359</v>
      </c>
      <c r="V1" s="312" t="s">
        <v>1360</v>
      </c>
      <c r="W1" s="312" t="s">
        <v>1361</v>
      </c>
      <c r="X1" s="312" t="s">
        <v>1362</v>
      </c>
      <c r="Y1" s="312" t="s">
        <v>1363</v>
      </c>
      <c r="Z1" s="312" t="s">
        <v>1364</v>
      </c>
      <c r="AA1" s="312" t="s">
        <v>1365</v>
      </c>
      <c r="AB1" s="50"/>
      <c r="AC1" s="50"/>
      <c r="AD1" s="50"/>
      <c r="AE1" s="50"/>
    </row>
    <row r="2">
      <c r="A2" s="307">
        <v>42165.135416666664</v>
      </c>
      <c r="B2" s="312" t="s">
        <v>898</v>
      </c>
      <c r="C2" s="303" t="s">
        <v>1177</v>
      </c>
      <c r="D2" s="303" t="s">
        <v>1178</v>
      </c>
      <c r="E2" s="315">
        <v>42108.0</v>
      </c>
      <c r="F2" s="312" t="s">
        <v>30</v>
      </c>
      <c r="G2" s="303" t="s">
        <v>1187</v>
      </c>
      <c r="H2" s="303" t="s">
        <v>1179</v>
      </c>
      <c r="I2" s="303" t="s">
        <v>1187</v>
      </c>
      <c r="J2" s="306"/>
      <c r="K2" s="50"/>
      <c r="L2" s="312"/>
      <c r="M2" s="312">
        <v>225.0</v>
      </c>
      <c r="N2" s="312"/>
      <c r="O2" s="312"/>
      <c r="P2" s="315">
        <v>42165.0</v>
      </c>
      <c r="Q2" s="312">
        <v>3400.0</v>
      </c>
      <c r="R2" s="312">
        <v>401.0</v>
      </c>
      <c r="S2" s="316"/>
      <c r="T2" s="317">
        <v>406.08</v>
      </c>
      <c r="U2" s="312" t="s">
        <v>1366</v>
      </c>
      <c r="V2" s="312" t="s">
        <v>1367</v>
      </c>
      <c r="W2" s="50"/>
      <c r="X2" s="50"/>
      <c r="Y2" s="50"/>
      <c r="Z2" s="312"/>
      <c r="AA2" s="50"/>
      <c r="AB2" s="50"/>
      <c r="AC2" s="50"/>
      <c r="AD2" s="50"/>
      <c r="AE2" s="50"/>
    </row>
    <row r="3">
      <c r="A3" s="307">
        <v>42728.89375</v>
      </c>
      <c r="B3" s="312" t="s">
        <v>1115</v>
      </c>
      <c r="C3" s="312" t="s">
        <v>1292</v>
      </c>
      <c r="D3" s="303" t="s">
        <v>1185</v>
      </c>
      <c r="E3" s="315">
        <v>42541.0</v>
      </c>
      <c r="F3" s="312" t="s">
        <v>30</v>
      </c>
      <c r="G3" s="303" t="s">
        <v>1180</v>
      </c>
      <c r="H3" s="303" t="s">
        <v>1181</v>
      </c>
      <c r="I3" s="303" t="s">
        <v>1187</v>
      </c>
      <c r="J3" s="306">
        <v>0.9</v>
      </c>
      <c r="K3" s="50"/>
      <c r="L3" s="312"/>
      <c r="M3" s="312">
        <v>318.0</v>
      </c>
      <c r="N3" s="312"/>
      <c r="O3" s="312"/>
      <c r="P3" s="315">
        <v>42728.0</v>
      </c>
      <c r="Q3" s="312">
        <v>16800.0</v>
      </c>
      <c r="R3" s="312">
        <v>242.0</v>
      </c>
      <c r="S3" s="316"/>
      <c r="T3" s="317">
        <v>245.06</v>
      </c>
      <c r="U3" s="312" t="s">
        <v>1366</v>
      </c>
      <c r="V3" s="312" t="s">
        <v>1367</v>
      </c>
      <c r="W3" s="50"/>
      <c r="X3" s="50"/>
      <c r="Y3" s="50"/>
      <c r="Z3" s="312"/>
      <c r="AA3" s="50"/>
      <c r="AB3" s="50"/>
      <c r="AC3" s="50"/>
      <c r="AD3" s="50"/>
      <c r="AE3" s="50"/>
    </row>
    <row r="4">
      <c r="A4" s="307">
        <v>43118.675</v>
      </c>
      <c r="B4" s="312" t="s">
        <v>1368</v>
      </c>
      <c r="C4" s="303" t="s">
        <v>1177</v>
      </c>
      <c r="D4" s="303" t="s">
        <v>1178</v>
      </c>
      <c r="E4" s="315">
        <v>42604.0</v>
      </c>
      <c r="F4" s="312" t="s">
        <v>43</v>
      </c>
      <c r="G4" s="303" t="s">
        <v>1180</v>
      </c>
      <c r="H4" s="303" t="s">
        <v>1181</v>
      </c>
      <c r="I4" s="303" t="s">
        <v>1181</v>
      </c>
      <c r="J4" s="306">
        <v>0.5</v>
      </c>
      <c r="K4" s="50"/>
      <c r="L4" s="312"/>
      <c r="M4" s="312">
        <v>210.0</v>
      </c>
      <c r="N4" s="312"/>
      <c r="O4" s="312"/>
      <c r="P4" s="315">
        <v>43118.0</v>
      </c>
      <c r="Q4" s="312">
        <v>25500.0</v>
      </c>
      <c r="R4" s="312">
        <v>431.0</v>
      </c>
      <c r="S4" s="316"/>
      <c r="T4" s="317">
        <v>436.46</v>
      </c>
      <c r="U4" s="312" t="s">
        <v>1366</v>
      </c>
      <c r="V4" s="312" t="s">
        <v>1367</v>
      </c>
      <c r="W4" s="50"/>
      <c r="X4" s="50"/>
      <c r="Y4" s="50"/>
      <c r="Z4" s="312"/>
      <c r="AA4" s="50"/>
      <c r="AB4" s="50"/>
      <c r="AC4" s="50"/>
      <c r="AD4" s="50"/>
      <c r="AE4" s="50"/>
    </row>
    <row r="5">
      <c r="A5" s="307">
        <v>42970.92361111111</v>
      </c>
      <c r="B5" s="312" t="s">
        <v>970</v>
      </c>
      <c r="C5" s="312" t="s">
        <v>1197</v>
      </c>
      <c r="D5" s="303" t="s">
        <v>1178</v>
      </c>
      <c r="E5" s="315">
        <v>41475.0</v>
      </c>
      <c r="F5" s="312" t="s">
        <v>32</v>
      </c>
      <c r="G5" s="303" t="s">
        <v>1179</v>
      </c>
      <c r="H5" s="303" t="s">
        <v>1186</v>
      </c>
      <c r="I5" s="303" t="s">
        <v>1187</v>
      </c>
      <c r="J5" s="306">
        <v>0.6</v>
      </c>
      <c r="K5" s="312">
        <v>425.0</v>
      </c>
      <c r="L5" s="312"/>
      <c r="M5" s="312">
        <v>176.0</v>
      </c>
      <c r="N5" s="312"/>
      <c r="O5" s="312"/>
      <c r="P5" s="315">
        <v>42970.0</v>
      </c>
      <c r="Q5" s="312">
        <v>60113.0</v>
      </c>
      <c r="R5" s="312">
        <v>418.0</v>
      </c>
      <c r="S5" s="316"/>
      <c r="T5" s="317">
        <v>418.0</v>
      </c>
      <c r="U5" s="312" t="s">
        <v>1369</v>
      </c>
      <c r="V5" s="312" t="s">
        <v>1367</v>
      </c>
      <c r="W5" s="50"/>
      <c r="X5" s="50"/>
      <c r="Y5" s="50"/>
      <c r="Z5" s="312"/>
      <c r="AA5" s="50"/>
      <c r="AB5" s="50"/>
      <c r="AC5" s="50"/>
      <c r="AD5" s="50"/>
      <c r="AE5" s="50"/>
    </row>
    <row r="6">
      <c r="A6" s="307">
        <v>42651.45486111111</v>
      </c>
      <c r="B6" s="312" t="s">
        <v>781</v>
      </c>
      <c r="C6" s="303" t="s">
        <v>1177</v>
      </c>
      <c r="D6" s="303" t="s">
        <v>1178</v>
      </c>
      <c r="E6" s="315">
        <v>42545.0</v>
      </c>
      <c r="F6" s="312" t="s">
        <v>25</v>
      </c>
      <c r="G6" s="312"/>
      <c r="H6" s="312"/>
      <c r="I6" s="312"/>
      <c r="J6" s="306">
        <v>0.9</v>
      </c>
      <c r="K6" s="312">
        <v>384.0</v>
      </c>
      <c r="L6" s="312"/>
      <c r="M6" s="312">
        <v>188.0</v>
      </c>
      <c r="N6" s="312"/>
      <c r="O6" s="312"/>
      <c r="P6" s="315">
        <v>42651.0</v>
      </c>
      <c r="Q6" s="312">
        <v>1322.0</v>
      </c>
      <c r="R6" s="312">
        <v>381.0</v>
      </c>
      <c r="S6" s="316"/>
      <c r="T6" s="317">
        <v>385.82</v>
      </c>
      <c r="U6" s="312" t="s">
        <v>1366</v>
      </c>
      <c r="V6" s="312" t="s">
        <v>1367</v>
      </c>
      <c r="W6" s="50"/>
      <c r="X6" s="50"/>
      <c r="Y6" s="50"/>
      <c r="Z6" s="312"/>
      <c r="AA6" s="50"/>
      <c r="AB6" s="50"/>
      <c r="AC6" s="50"/>
      <c r="AD6" s="50"/>
      <c r="AE6" s="50"/>
    </row>
    <row r="7">
      <c r="A7" s="307">
        <v>42658.455555555556</v>
      </c>
      <c r="B7" s="312" t="s">
        <v>781</v>
      </c>
      <c r="C7" s="303" t="s">
        <v>1177</v>
      </c>
      <c r="D7" s="303" t="s">
        <v>1178</v>
      </c>
      <c r="E7" s="315">
        <v>42545.0</v>
      </c>
      <c r="F7" s="312" t="s">
        <v>25</v>
      </c>
      <c r="G7" s="312"/>
      <c r="H7" s="312"/>
      <c r="I7" s="312"/>
      <c r="J7" s="306">
        <v>0.9</v>
      </c>
      <c r="K7" s="50"/>
      <c r="L7" s="312"/>
      <c r="M7" s="312">
        <v>187.0</v>
      </c>
      <c r="N7" s="312"/>
      <c r="O7" s="312"/>
      <c r="P7" s="315">
        <v>42658.0</v>
      </c>
      <c r="Q7" s="312">
        <v>3164.0</v>
      </c>
      <c r="R7" s="312">
        <v>381.0</v>
      </c>
      <c r="S7" s="316"/>
      <c r="T7" s="317">
        <v>385.82</v>
      </c>
      <c r="U7" s="312" t="s">
        <v>1366</v>
      </c>
      <c r="V7" s="312" t="s">
        <v>1367</v>
      </c>
      <c r="W7" s="50"/>
      <c r="X7" s="50"/>
      <c r="Y7" s="50"/>
      <c r="Z7" s="312"/>
      <c r="AA7" s="50"/>
      <c r="AB7" s="50"/>
      <c r="AC7" s="50"/>
      <c r="AD7" s="50"/>
      <c r="AE7" s="50"/>
    </row>
    <row r="8">
      <c r="A8" s="307">
        <v>42677.45625</v>
      </c>
      <c r="B8" s="312" t="s">
        <v>781</v>
      </c>
      <c r="C8" s="303" t="s">
        <v>1177</v>
      </c>
      <c r="D8" s="303" t="s">
        <v>1178</v>
      </c>
      <c r="E8" s="315">
        <v>42545.0</v>
      </c>
      <c r="F8" s="312" t="s">
        <v>25</v>
      </c>
      <c r="G8" s="312"/>
      <c r="H8" s="312"/>
      <c r="I8" s="312"/>
      <c r="J8" s="306">
        <v>0.9</v>
      </c>
      <c r="K8" s="50"/>
      <c r="L8" s="312"/>
      <c r="M8" s="312">
        <v>188.0</v>
      </c>
      <c r="N8" s="312"/>
      <c r="O8" s="312"/>
      <c r="P8" s="315">
        <v>42677.0</v>
      </c>
      <c r="Q8" s="312">
        <v>4752.0</v>
      </c>
      <c r="R8" s="312">
        <v>383.0</v>
      </c>
      <c r="S8" s="316"/>
      <c r="T8" s="317">
        <v>387.85</v>
      </c>
      <c r="U8" s="312" t="s">
        <v>1366</v>
      </c>
      <c r="V8" s="312" t="s">
        <v>1367</v>
      </c>
      <c r="W8" s="50"/>
      <c r="X8" s="50"/>
      <c r="Y8" s="50"/>
      <c r="Z8" s="312"/>
      <c r="AA8" s="50"/>
      <c r="AB8" s="50"/>
      <c r="AC8" s="50"/>
      <c r="AD8" s="50"/>
      <c r="AE8" s="50"/>
    </row>
    <row r="9">
      <c r="A9" s="307">
        <v>42697.46111111111</v>
      </c>
      <c r="B9" s="312" t="s">
        <v>781</v>
      </c>
      <c r="C9" s="303" t="s">
        <v>1177</v>
      </c>
      <c r="D9" s="303" t="s">
        <v>1178</v>
      </c>
      <c r="E9" s="315">
        <v>42545.0</v>
      </c>
      <c r="F9" s="312" t="s">
        <v>25</v>
      </c>
      <c r="G9" s="303" t="s">
        <v>1179</v>
      </c>
      <c r="H9" s="303" t="s">
        <v>1179</v>
      </c>
      <c r="I9" s="303" t="s">
        <v>1186</v>
      </c>
      <c r="J9" s="306">
        <v>0.9</v>
      </c>
      <c r="K9" s="312">
        <v>384.0</v>
      </c>
      <c r="L9" s="312"/>
      <c r="M9" s="312">
        <v>189.0</v>
      </c>
      <c r="N9" s="312"/>
      <c r="O9" s="312"/>
      <c r="P9" s="315">
        <v>42697.0</v>
      </c>
      <c r="Q9" s="312">
        <v>6500.0</v>
      </c>
      <c r="R9" s="312">
        <v>382.0</v>
      </c>
      <c r="S9" s="316"/>
      <c r="T9" s="317">
        <v>382.0</v>
      </c>
      <c r="U9" s="312" t="s">
        <v>1369</v>
      </c>
      <c r="V9" s="312" t="s">
        <v>1367</v>
      </c>
      <c r="W9" s="50"/>
      <c r="X9" s="50"/>
      <c r="Y9" s="50"/>
      <c r="Z9" s="312"/>
      <c r="AA9" s="50"/>
      <c r="AB9" s="50"/>
      <c r="AC9" s="50"/>
      <c r="AD9" s="50"/>
      <c r="AE9" s="50"/>
    </row>
    <row r="10">
      <c r="A10" s="307">
        <v>42713.47152777778</v>
      </c>
      <c r="B10" s="312" t="s">
        <v>781</v>
      </c>
      <c r="C10" s="303" t="s">
        <v>1177</v>
      </c>
      <c r="D10" s="303" t="s">
        <v>1178</v>
      </c>
      <c r="E10" s="315">
        <v>42545.0</v>
      </c>
      <c r="F10" s="312" t="s">
        <v>25</v>
      </c>
      <c r="G10" s="312"/>
      <c r="H10" s="312"/>
      <c r="I10" s="312"/>
      <c r="J10" s="306"/>
      <c r="K10" s="50"/>
      <c r="L10" s="312"/>
      <c r="M10" s="312">
        <v>192.0</v>
      </c>
      <c r="N10" s="312"/>
      <c r="O10" s="312"/>
      <c r="P10" s="315">
        <v>42713.0</v>
      </c>
      <c r="Q10" s="312">
        <v>8000.0</v>
      </c>
      <c r="R10" s="312">
        <v>379.0</v>
      </c>
      <c r="S10" s="316"/>
      <c r="T10" s="317">
        <v>379.0</v>
      </c>
      <c r="U10" s="312" t="s">
        <v>1369</v>
      </c>
      <c r="V10" s="312" t="s">
        <v>1367</v>
      </c>
      <c r="W10" s="50"/>
      <c r="X10" s="50"/>
      <c r="Y10" s="50"/>
      <c r="Z10" s="312"/>
      <c r="AA10" s="50"/>
      <c r="AB10" s="50"/>
      <c r="AC10" s="50"/>
      <c r="AD10" s="50"/>
      <c r="AE10" s="50"/>
    </row>
    <row r="11">
      <c r="A11" s="307">
        <v>42720.475</v>
      </c>
      <c r="B11" s="312" t="s">
        <v>781</v>
      </c>
      <c r="C11" s="303" t="s">
        <v>1177</v>
      </c>
      <c r="D11" s="303" t="s">
        <v>1178</v>
      </c>
      <c r="E11" s="315">
        <v>42545.0</v>
      </c>
      <c r="F11" s="312" t="s">
        <v>25</v>
      </c>
      <c r="G11" s="312"/>
      <c r="H11" s="312"/>
      <c r="I11" s="303" t="s">
        <v>1181</v>
      </c>
      <c r="J11" s="306"/>
      <c r="K11" s="50"/>
      <c r="L11" s="312"/>
      <c r="M11" s="312">
        <v>194.0</v>
      </c>
      <c r="N11" s="312"/>
      <c r="O11" s="312"/>
      <c r="P11" s="315">
        <v>42720.0</v>
      </c>
      <c r="Q11" s="312">
        <v>8400.0</v>
      </c>
      <c r="R11" s="312">
        <v>380.0</v>
      </c>
      <c r="S11" s="316"/>
      <c r="T11" s="317">
        <v>380.0</v>
      </c>
      <c r="U11" s="312" t="s">
        <v>1369</v>
      </c>
      <c r="V11" s="312" t="s">
        <v>1367</v>
      </c>
      <c r="W11" s="50"/>
      <c r="X11" s="50"/>
      <c r="Y11" s="50"/>
      <c r="Z11" s="312"/>
      <c r="AA11" s="50"/>
      <c r="AB11" s="50"/>
      <c r="AC11" s="50"/>
      <c r="AD11" s="50"/>
      <c r="AE11" s="50"/>
    </row>
    <row r="12">
      <c r="A12" s="307">
        <v>42735.48888888889</v>
      </c>
      <c r="B12" s="312" t="s">
        <v>781</v>
      </c>
      <c r="C12" s="303" t="s">
        <v>1177</v>
      </c>
      <c r="D12" s="303" t="s">
        <v>1178</v>
      </c>
      <c r="E12" s="315">
        <v>42545.0</v>
      </c>
      <c r="F12" s="312" t="s">
        <v>25</v>
      </c>
      <c r="G12" s="303" t="s">
        <v>1190</v>
      </c>
      <c r="H12" s="303" t="s">
        <v>1180</v>
      </c>
      <c r="I12" s="303" t="s">
        <v>1179</v>
      </c>
      <c r="J12" s="306">
        <v>0.9</v>
      </c>
      <c r="K12" s="312">
        <v>384.0</v>
      </c>
      <c r="L12" s="312"/>
      <c r="M12" s="312">
        <v>199.0</v>
      </c>
      <c r="N12" s="312"/>
      <c r="O12" s="312"/>
      <c r="P12" s="315">
        <v>42735.0</v>
      </c>
      <c r="Q12" s="312">
        <v>10239.0</v>
      </c>
      <c r="R12" s="312">
        <v>377.0</v>
      </c>
      <c r="S12" s="316"/>
      <c r="T12" s="317">
        <v>381.77</v>
      </c>
      <c r="U12" s="312" t="s">
        <v>1366</v>
      </c>
      <c r="V12" s="312" t="s">
        <v>1367</v>
      </c>
      <c r="W12" s="50"/>
      <c r="X12" s="50"/>
      <c r="Y12" s="50"/>
      <c r="Z12" s="312"/>
      <c r="AA12" s="50"/>
      <c r="AB12" s="50"/>
      <c r="AC12" s="50"/>
      <c r="AD12" s="50"/>
      <c r="AE12" s="50"/>
    </row>
    <row r="13">
      <c r="A13" s="307">
        <v>42780.5</v>
      </c>
      <c r="B13" s="312" t="s">
        <v>781</v>
      </c>
      <c r="C13" s="303" t="s">
        <v>1177</v>
      </c>
      <c r="D13" s="303" t="s">
        <v>1178</v>
      </c>
      <c r="E13" s="315">
        <v>42545.0</v>
      </c>
      <c r="F13" s="312" t="s">
        <v>25</v>
      </c>
      <c r="G13" s="312"/>
      <c r="H13" s="312"/>
      <c r="I13" s="312"/>
      <c r="J13" s="306"/>
      <c r="K13" s="50"/>
      <c r="L13" s="312"/>
      <c r="M13" s="312">
        <v>201.0</v>
      </c>
      <c r="N13" s="312"/>
      <c r="O13" s="312"/>
      <c r="P13" s="315">
        <v>42780.0</v>
      </c>
      <c r="Q13" s="312">
        <v>14950.0</v>
      </c>
      <c r="R13" s="312">
        <v>372.0</v>
      </c>
      <c r="S13" s="316"/>
      <c r="T13" s="317">
        <v>372.0</v>
      </c>
      <c r="U13" s="312" t="s">
        <v>1369</v>
      </c>
      <c r="V13" s="312" t="s">
        <v>1367</v>
      </c>
      <c r="W13" s="50"/>
      <c r="X13" s="50"/>
      <c r="Y13" s="50"/>
      <c r="Z13" s="312"/>
      <c r="AA13" s="50"/>
      <c r="AB13" s="50"/>
      <c r="AC13" s="50"/>
      <c r="AD13" s="50"/>
      <c r="AE13" s="50"/>
    </row>
    <row r="14">
      <c r="A14" s="307">
        <v>42828.518055555556</v>
      </c>
      <c r="B14" s="312" t="s">
        <v>781</v>
      </c>
      <c r="C14" s="303" t="s">
        <v>1177</v>
      </c>
      <c r="D14" s="303" t="s">
        <v>1178</v>
      </c>
      <c r="E14" s="315">
        <v>42545.0</v>
      </c>
      <c r="F14" s="312" t="s">
        <v>25</v>
      </c>
      <c r="G14" s="303" t="s">
        <v>1203</v>
      </c>
      <c r="H14" s="303" t="s">
        <v>1180</v>
      </c>
      <c r="I14" s="303" t="s">
        <v>1180</v>
      </c>
      <c r="J14" s="306">
        <v>0.7</v>
      </c>
      <c r="K14" s="312">
        <v>384.0</v>
      </c>
      <c r="L14" s="312"/>
      <c r="M14" s="312">
        <v>200.0</v>
      </c>
      <c r="N14" s="312"/>
      <c r="O14" s="312"/>
      <c r="P14" s="315">
        <v>42828.0</v>
      </c>
      <c r="Q14" s="312">
        <v>21634.0</v>
      </c>
      <c r="R14" s="312">
        <v>375.0</v>
      </c>
      <c r="S14" s="316"/>
      <c r="T14" s="317">
        <v>375.0</v>
      </c>
      <c r="U14" s="312" t="s">
        <v>1369</v>
      </c>
      <c r="V14" s="312" t="s">
        <v>1367</v>
      </c>
      <c r="W14" s="50"/>
      <c r="X14" s="50"/>
      <c r="Y14" s="50"/>
      <c r="Z14" s="312"/>
      <c r="AA14" s="50"/>
      <c r="AB14" s="50"/>
      <c r="AC14" s="50"/>
      <c r="AD14" s="50"/>
      <c r="AE14" s="50"/>
    </row>
    <row r="15">
      <c r="A15" s="307">
        <v>42914.52916666667</v>
      </c>
      <c r="B15" s="312" t="s">
        <v>781</v>
      </c>
      <c r="C15" s="303" t="s">
        <v>1177</v>
      </c>
      <c r="D15" s="303" t="s">
        <v>1178</v>
      </c>
      <c r="E15" s="315">
        <v>42545.0</v>
      </c>
      <c r="F15" s="312" t="s">
        <v>25</v>
      </c>
      <c r="G15" s="303" t="s">
        <v>1190</v>
      </c>
      <c r="H15" s="303" t="s">
        <v>1179</v>
      </c>
      <c r="I15" s="303" t="s">
        <v>1180</v>
      </c>
      <c r="J15" s="306">
        <v>0.9</v>
      </c>
      <c r="K15" s="312">
        <v>384.0</v>
      </c>
      <c r="L15" s="312"/>
      <c r="M15" s="312">
        <v>196.0</v>
      </c>
      <c r="N15" s="312"/>
      <c r="O15" s="312"/>
      <c r="P15" s="315">
        <v>42914.0</v>
      </c>
      <c r="Q15" s="312">
        <v>24000.0</v>
      </c>
      <c r="R15" s="312">
        <v>367.0</v>
      </c>
      <c r="S15" s="316"/>
      <c r="T15" s="317">
        <v>367.0</v>
      </c>
      <c r="U15" s="312" t="s">
        <v>1369</v>
      </c>
      <c r="V15" s="312" t="s">
        <v>1367</v>
      </c>
      <c r="W15" s="50"/>
      <c r="X15" s="50"/>
      <c r="Y15" s="50"/>
      <c r="Z15" s="312"/>
      <c r="AA15" s="50"/>
      <c r="AB15" s="50"/>
      <c r="AC15" s="50"/>
      <c r="AD15" s="50"/>
      <c r="AE15" s="50"/>
    </row>
    <row r="16">
      <c r="A16" s="307">
        <v>42874.53958333333</v>
      </c>
      <c r="B16" s="312" t="s">
        <v>781</v>
      </c>
      <c r="C16" s="303" t="s">
        <v>1177</v>
      </c>
      <c r="D16" s="303" t="s">
        <v>1178</v>
      </c>
      <c r="E16" s="315">
        <v>42545.0</v>
      </c>
      <c r="F16" s="312" t="s">
        <v>25</v>
      </c>
      <c r="G16" s="303" t="s">
        <v>1190</v>
      </c>
      <c r="H16" s="303" t="s">
        <v>1180</v>
      </c>
      <c r="I16" s="303" t="s">
        <v>1181</v>
      </c>
      <c r="J16" s="306">
        <v>0.9</v>
      </c>
      <c r="K16" s="312">
        <v>384.0</v>
      </c>
      <c r="L16" s="312"/>
      <c r="M16" s="312">
        <v>194.0</v>
      </c>
      <c r="N16" s="312"/>
      <c r="O16" s="312"/>
      <c r="P16" s="315">
        <v>42874.0</v>
      </c>
      <c r="Q16" s="312">
        <v>27000.0</v>
      </c>
      <c r="R16" s="312">
        <v>370.0</v>
      </c>
      <c r="S16" s="316"/>
      <c r="T16" s="317">
        <v>370.0</v>
      </c>
      <c r="U16" s="312" t="s">
        <v>1369</v>
      </c>
      <c r="V16" s="312" t="s">
        <v>1367</v>
      </c>
      <c r="W16" s="50"/>
      <c r="X16" s="50"/>
      <c r="Y16" s="50"/>
      <c r="Z16" s="312"/>
      <c r="AA16" s="50"/>
      <c r="AB16" s="50"/>
      <c r="AC16" s="50"/>
      <c r="AD16" s="50"/>
      <c r="AE16" s="50"/>
    </row>
    <row r="17">
      <c r="A17" s="307">
        <v>42944.56458333333</v>
      </c>
      <c r="B17" s="312" t="s">
        <v>781</v>
      </c>
      <c r="C17" s="303" t="s">
        <v>1177</v>
      </c>
      <c r="D17" s="303" t="s">
        <v>1178</v>
      </c>
      <c r="E17" s="315">
        <v>42545.0</v>
      </c>
      <c r="F17" s="312" t="s">
        <v>25</v>
      </c>
      <c r="G17" s="303" t="s">
        <v>1180</v>
      </c>
      <c r="H17" s="303" t="s">
        <v>1181</v>
      </c>
      <c r="I17" s="303" t="s">
        <v>1181</v>
      </c>
      <c r="J17" s="306">
        <v>0.9</v>
      </c>
      <c r="K17" s="312">
        <v>384.0</v>
      </c>
      <c r="L17" s="312"/>
      <c r="M17" s="312">
        <v>189.0</v>
      </c>
      <c r="N17" s="312"/>
      <c r="O17" s="312"/>
      <c r="P17" s="315">
        <v>42944.0</v>
      </c>
      <c r="Q17" s="312">
        <v>32600.0</v>
      </c>
      <c r="R17" s="312">
        <v>372.0</v>
      </c>
      <c r="S17" s="316"/>
      <c r="T17" s="317">
        <v>372.0</v>
      </c>
      <c r="U17" s="312" t="s">
        <v>1369</v>
      </c>
      <c r="V17" s="312" t="s">
        <v>1367</v>
      </c>
      <c r="W17" s="312"/>
      <c r="X17" s="50"/>
      <c r="Y17" s="50"/>
      <c r="Z17" s="312"/>
      <c r="AA17" s="50"/>
      <c r="AB17" s="50"/>
      <c r="AC17" s="50"/>
      <c r="AD17" s="50"/>
      <c r="AE17" s="50"/>
    </row>
    <row r="18">
      <c r="A18" s="307">
        <v>42987.604166666664</v>
      </c>
      <c r="B18" s="312" t="s">
        <v>781</v>
      </c>
      <c r="C18" s="303" t="s">
        <v>1177</v>
      </c>
      <c r="D18" s="303" t="s">
        <v>1178</v>
      </c>
      <c r="E18" s="315">
        <v>42545.0</v>
      </c>
      <c r="F18" s="312" t="s">
        <v>25</v>
      </c>
      <c r="G18" s="312"/>
      <c r="H18" s="312"/>
      <c r="I18" s="312"/>
      <c r="J18" s="306"/>
      <c r="K18" s="50"/>
      <c r="L18" s="312"/>
      <c r="M18" s="312">
        <v>186.0</v>
      </c>
      <c r="N18" s="312"/>
      <c r="O18" s="312"/>
      <c r="P18" s="315">
        <v>42987.0</v>
      </c>
      <c r="Q18" s="312">
        <v>37850.0</v>
      </c>
      <c r="R18" s="312">
        <v>371.0</v>
      </c>
      <c r="S18" s="316"/>
      <c r="T18" s="317">
        <v>371.0</v>
      </c>
      <c r="U18" s="312" t="s">
        <v>1369</v>
      </c>
      <c r="V18" s="312" t="s">
        <v>1367</v>
      </c>
      <c r="W18" s="50"/>
      <c r="X18" s="50"/>
      <c r="Y18" s="50"/>
      <c r="Z18" s="312"/>
      <c r="AA18" s="50"/>
      <c r="AB18" s="50"/>
      <c r="AC18" s="50"/>
      <c r="AD18" s="50"/>
      <c r="AE18" s="50"/>
    </row>
    <row r="19">
      <c r="A19" s="307">
        <v>43002.61041666667</v>
      </c>
      <c r="B19" s="312" t="s">
        <v>781</v>
      </c>
      <c r="C19" s="303" t="s">
        <v>1177</v>
      </c>
      <c r="D19" s="303" t="s">
        <v>1178</v>
      </c>
      <c r="E19" s="315">
        <v>42545.0</v>
      </c>
      <c r="F19" s="312" t="s">
        <v>25</v>
      </c>
      <c r="G19" s="312"/>
      <c r="H19" s="312"/>
      <c r="I19" s="312"/>
      <c r="J19" s="306"/>
      <c r="K19" s="50"/>
      <c r="L19" s="312"/>
      <c r="M19" s="312">
        <v>185.0</v>
      </c>
      <c r="N19" s="312"/>
      <c r="O19" s="312"/>
      <c r="P19" s="315">
        <v>43002.0</v>
      </c>
      <c r="Q19" s="312">
        <v>40000.0</v>
      </c>
      <c r="R19" s="312">
        <v>370.0</v>
      </c>
      <c r="S19" s="316"/>
      <c r="T19" s="317">
        <v>370.0</v>
      </c>
      <c r="U19" s="312" t="s">
        <v>1369</v>
      </c>
      <c r="V19" s="312" t="s">
        <v>1367</v>
      </c>
      <c r="W19" s="50"/>
      <c r="X19" s="50"/>
      <c r="Y19" s="50"/>
      <c r="Z19" s="312"/>
      <c r="AA19" s="50"/>
      <c r="AB19" s="50"/>
      <c r="AC19" s="50"/>
      <c r="AD19" s="50"/>
      <c r="AE19" s="50"/>
    </row>
    <row r="20">
      <c r="A20" s="307">
        <v>43102.660416666666</v>
      </c>
      <c r="B20" s="312" t="s">
        <v>781</v>
      </c>
      <c r="C20" s="303" t="s">
        <v>1177</v>
      </c>
      <c r="D20" s="303" t="s">
        <v>1178</v>
      </c>
      <c r="E20" s="315">
        <v>42545.0</v>
      </c>
      <c r="F20" s="312" t="s">
        <v>25</v>
      </c>
      <c r="G20" s="303" t="s">
        <v>1179</v>
      </c>
      <c r="H20" s="303" t="s">
        <v>1180</v>
      </c>
      <c r="I20" s="303" t="s">
        <v>1186</v>
      </c>
      <c r="J20" s="306">
        <v>0.7</v>
      </c>
      <c r="K20" s="50"/>
      <c r="L20" s="312"/>
      <c r="M20" s="312">
        <v>187.0</v>
      </c>
      <c r="N20" s="312"/>
      <c r="O20" s="312"/>
      <c r="P20" s="315">
        <v>43102.0</v>
      </c>
      <c r="Q20" s="312">
        <v>51500.0</v>
      </c>
      <c r="R20" s="312">
        <v>366.0</v>
      </c>
      <c r="S20" s="316"/>
      <c r="T20" s="317">
        <v>370.63</v>
      </c>
      <c r="U20" s="312" t="s">
        <v>1366</v>
      </c>
      <c r="V20" s="312" t="s">
        <v>1367</v>
      </c>
      <c r="W20" s="50"/>
      <c r="X20" s="50"/>
      <c r="Y20" s="50"/>
      <c r="Z20" s="312"/>
      <c r="AA20" s="50"/>
      <c r="AB20" s="50"/>
      <c r="AC20" s="50"/>
      <c r="AD20" s="50"/>
      <c r="AE20" s="50"/>
    </row>
    <row r="21">
      <c r="A21" s="307">
        <v>43152.697222222225</v>
      </c>
      <c r="B21" s="312" t="s">
        <v>781</v>
      </c>
      <c r="C21" s="303" t="s">
        <v>1177</v>
      </c>
      <c r="D21" s="303" t="s">
        <v>1178</v>
      </c>
      <c r="E21" s="315">
        <v>42545.0</v>
      </c>
      <c r="F21" s="312" t="s">
        <v>25</v>
      </c>
      <c r="G21" s="312"/>
      <c r="H21" s="312"/>
      <c r="I21" s="312"/>
      <c r="J21" s="306"/>
      <c r="K21" s="50"/>
      <c r="L21" s="312"/>
      <c r="M21" s="312">
        <v>188.0</v>
      </c>
      <c r="N21" s="312"/>
      <c r="O21" s="312"/>
      <c r="P21" s="315">
        <v>43152.0</v>
      </c>
      <c r="Q21" s="312">
        <v>55200.0</v>
      </c>
      <c r="R21" s="312">
        <v>364.0</v>
      </c>
      <c r="S21" s="316"/>
      <c r="T21" s="317">
        <v>364.0</v>
      </c>
      <c r="U21" s="312" t="s">
        <v>1369</v>
      </c>
      <c r="V21" s="312" t="s">
        <v>1367</v>
      </c>
      <c r="W21" s="50"/>
      <c r="X21" s="50"/>
      <c r="Y21" s="50"/>
      <c r="Z21" s="312"/>
      <c r="AA21" s="50"/>
      <c r="AB21" s="50"/>
      <c r="AC21" s="50"/>
      <c r="AD21" s="50"/>
      <c r="AE21" s="50"/>
    </row>
    <row r="22">
      <c r="A22" s="307">
        <v>42683.4875</v>
      </c>
      <c r="B22" s="312" t="s">
        <v>1081</v>
      </c>
      <c r="C22" s="303" t="s">
        <v>1177</v>
      </c>
      <c r="D22" s="303" t="s">
        <v>1178</v>
      </c>
      <c r="E22" s="315">
        <v>42019.0</v>
      </c>
      <c r="F22" s="312" t="s">
        <v>38</v>
      </c>
      <c r="G22" s="303" t="s">
        <v>1190</v>
      </c>
      <c r="H22" s="303" t="s">
        <v>1181</v>
      </c>
      <c r="I22" s="303" t="s">
        <v>1181</v>
      </c>
      <c r="J22" s="306">
        <v>0.9</v>
      </c>
      <c r="K22" s="312">
        <v>411.0</v>
      </c>
      <c r="L22" s="312"/>
      <c r="M22" s="312">
        <v>220.0</v>
      </c>
      <c r="N22" s="312"/>
      <c r="O22" s="312"/>
      <c r="P22" s="315">
        <v>42683.0</v>
      </c>
      <c r="Q22" s="312">
        <v>63000.0</v>
      </c>
      <c r="R22" s="312">
        <v>379.0</v>
      </c>
      <c r="S22" s="316"/>
      <c r="T22" s="317">
        <v>383.8</v>
      </c>
      <c r="U22" s="312" t="s">
        <v>1366</v>
      </c>
      <c r="V22" s="312" t="s">
        <v>1367</v>
      </c>
      <c r="W22" s="50"/>
      <c r="X22" s="50"/>
      <c r="Y22" s="50"/>
      <c r="Z22" s="312"/>
      <c r="AA22" s="50"/>
      <c r="AB22" s="50"/>
      <c r="AC22" s="50"/>
      <c r="AD22" s="50"/>
      <c r="AE22" s="50"/>
    </row>
    <row r="23">
      <c r="A23" s="307">
        <v>41956.0375</v>
      </c>
      <c r="B23" s="50" t="s">
        <v>1085</v>
      </c>
      <c r="C23" s="303" t="s">
        <v>1177</v>
      </c>
      <c r="D23" s="303" t="s">
        <v>1178</v>
      </c>
      <c r="E23" s="310">
        <v>41740.0</v>
      </c>
      <c r="F23" s="312" t="s">
        <v>1370</v>
      </c>
      <c r="G23" s="303" t="s">
        <v>1181</v>
      </c>
      <c r="H23" s="303" t="s">
        <v>1181</v>
      </c>
      <c r="I23" s="303" t="s">
        <v>1187</v>
      </c>
      <c r="J23" s="306"/>
      <c r="K23" s="50"/>
      <c r="L23" s="50"/>
      <c r="M23" s="50">
        <v>224.0</v>
      </c>
      <c r="N23" s="50"/>
      <c r="O23" s="312"/>
      <c r="P23" s="310">
        <v>41956.0</v>
      </c>
      <c r="Q23" s="50">
        <v>12000.0</v>
      </c>
      <c r="R23" s="50">
        <v>388.0</v>
      </c>
      <c r="S23" s="318"/>
      <c r="T23" s="317">
        <v>388.0</v>
      </c>
      <c r="U23" s="312" t="s">
        <v>1369</v>
      </c>
      <c r="V23" s="312" t="s">
        <v>1367</v>
      </c>
      <c r="W23" s="50"/>
      <c r="X23" s="50"/>
      <c r="Y23" s="50"/>
      <c r="Z23" s="312"/>
      <c r="AA23" s="50"/>
      <c r="AB23" s="50"/>
      <c r="AC23" s="50"/>
      <c r="AD23" s="50"/>
      <c r="AE23" s="50"/>
    </row>
    <row r="24">
      <c r="A24" s="307">
        <v>43216.73125</v>
      </c>
      <c r="B24" s="312" t="s">
        <v>1371</v>
      </c>
      <c r="C24" s="303" t="s">
        <v>1177</v>
      </c>
      <c r="D24" s="303" t="s">
        <v>1178</v>
      </c>
      <c r="E24" s="315">
        <v>42170.0</v>
      </c>
      <c r="F24" s="312" t="s">
        <v>36</v>
      </c>
      <c r="G24" s="303" t="s">
        <v>1181</v>
      </c>
      <c r="H24" s="303" t="s">
        <v>1181</v>
      </c>
      <c r="I24" s="303" t="s">
        <v>1187</v>
      </c>
      <c r="J24" s="306">
        <v>0.9</v>
      </c>
      <c r="K24" s="50"/>
      <c r="L24" s="312"/>
      <c r="M24" s="312">
        <v>218.0</v>
      </c>
      <c r="N24" s="312"/>
      <c r="O24" s="312"/>
      <c r="P24" s="315">
        <v>43216.0</v>
      </c>
      <c r="Q24" s="312">
        <v>56469.0</v>
      </c>
      <c r="R24" s="312">
        <v>418.0</v>
      </c>
      <c r="S24" s="316"/>
      <c r="T24" s="317">
        <v>423.29</v>
      </c>
      <c r="U24" s="312" t="s">
        <v>1366</v>
      </c>
      <c r="V24" s="312" t="s">
        <v>1367</v>
      </c>
      <c r="W24" s="50"/>
      <c r="X24" s="50"/>
      <c r="Y24" s="50"/>
      <c r="Z24" s="312"/>
      <c r="AA24" s="50"/>
      <c r="AB24" s="50"/>
      <c r="AC24" s="50"/>
      <c r="AD24" s="50"/>
      <c r="AE24" s="50"/>
    </row>
    <row r="25">
      <c r="A25" s="307">
        <v>42903.839583333334</v>
      </c>
      <c r="B25" s="312" t="s">
        <v>906</v>
      </c>
      <c r="C25" s="312" t="s">
        <v>1184</v>
      </c>
      <c r="D25" s="303" t="s">
        <v>1185</v>
      </c>
      <c r="E25" s="315">
        <v>42430.0</v>
      </c>
      <c r="F25" s="312" t="s">
        <v>22</v>
      </c>
      <c r="G25" s="303" t="s">
        <v>1186</v>
      </c>
      <c r="H25" s="303" t="s">
        <v>1186</v>
      </c>
      <c r="I25" s="303" t="s">
        <v>1187</v>
      </c>
      <c r="J25" s="306">
        <v>0.8</v>
      </c>
      <c r="K25" s="50"/>
      <c r="L25" s="312"/>
      <c r="M25" s="50"/>
      <c r="N25" s="312"/>
      <c r="O25" s="312"/>
      <c r="P25" s="315">
        <v>42903.0</v>
      </c>
      <c r="Q25" s="312">
        <v>17165.0</v>
      </c>
      <c r="R25" s="312">
        <v>238.0</v>
      </c>
      <c r="S25" s="316"/>
      <c r="T25" s="317">
        <v>241.01</v>
      </c>
      <c r="U25" s="312" t="s">
        <v>1366</v>
      </c>
      <c r="V25" s="312" t="s">
        <v>1367</v>
      </c>
      <c r="W25" s="50"/>
      <c r="X25" s="50"/>
      <c r="Y25" s="50"/>
      <c r="Z25" s="312"/>
      <c r="AA25" s="50"/>
      <c r="AB25" s="50"/>
      <c r="AC25" s="50"/>
      <c r="AD25" s="50"/>
      <c r="AE25" s="50"/>
    </row>
    <row r="26">
      <c r="A26" s="307">
        <v>42842.825</v>
      </c>
      <c r="B26" s="312" t="s">
        <v>841</v>
      </c>
      <c r="C26" s="312" t="s">
        <v>1184</v>
      </c>
      <c r="D26" s="303" t="s">
        <v>1185</v>
      </c>
      <c r="E26" s="315">
        <v>42004.0</v>
      </c>
      <c r="F26" s="312" t="s">
        <v>38</v>
      </c>
      <c r="G26" s="303" t="s">
        <v>1187</v>
      </c>
      <c r="H26" s="303" t="s">
        <v>1186</v>
      </c>
      <c r="I26" s="303" t="s">
        <v>1187</v>
      </c>
      <c r="J26" s="306">
        <v>0.9</v>
      </c>
      <c r="K26" s="312">
        <v>265.0</v>
      </c>
      <c r="L26" s="312"/>
      <c r="M26" s="312">
        <v>331.0</v>
      </c>
      <c r="N26" s="312"/>
      <c r="O26" s="312"/>
      <c r="P26" s="315">
        <v>42842.0</v>
      </c>
      <c r="Q26" s="312">
        <v>24252.0</v>
      </c>
      <c r="R26" s="312">
        <v>245.0</v>
      </c>
      <c r="S26" s="316"/>
      <c r="T26" s="317">
        <v>248.1</v>
      </c>
      <c r="U26" s="312" t="s">
        <v>1366</v>
      </c>
      <c r="V26" s="312" t="s">
        <v>1367</v>
      </c>
      <c r="W26" s="50"/>
      <c r="X26" s="50"/>
      <c r="Y26" s="50"/>
      <c r="Z26" s="312"/>
      <c r="AA26" s="312" t="s">
        <v>1372</v>
      </c>
      <c r="AB26" s="50"/>
      <c r="AC26" s="50"/>
      <c r="AD26" s="50"/>
      <c r="AE26" s="50"/>
    </row>
    <row r="27">
      <c r="A27" s="307">
        <v>42220.74652777778</v>
      </c>
      <c r="B27" s="312" t="s">
        <v>944</v>
      </c>
      <c r="C27" s="312" t="s">
        <v>1184</v>
      </c>
      <c r="D27" s="303" t="s">
        <v>1185</v>
      </c>
      <c r="E27" s="315">
        <v>41512.0</v>
      </c>
      <c r="F27" s="312" t="s">
        <v>32</v>
      </c>
      <c r="G27" s="303" t="s">
        <v>1181</v>
      </c>
      <c r="H27" s="303" t="s">
        <v>1181</v>
      </c>
      <c r="I27" s="303" t="s">
        <v>1181</v>
      </c>
      <c r="J27" s="306">
        <v>0.9</v>
      </c>
      <c r="K27" s="312"/>
      <c r="L27" s="312"/>
      <c r="M27" s="312">
        <v>294.0</v>
      </c>
      <c r="N27" s="312"/>
      <c r="O27" s="312"/>
      <c r="P27" s="315">
        <v>42220.0</v>
      </c>
      <c r="Q27" s="312">
        <v>27319.0</v>
      </c>
      <c r="R27" s="312">
        <v>258.0</v>
      </c>
      <c r="S27" s="316"/>
      <c r="T27" s="317">
        <v>258.0</v>
      </c>
      <c r="U27" s="312" t="s">
        <v>1369</v>
      </c>
      <c r="V27" s="312" t="s">
        <v>1367</v>
      </c>
      <c r="W27" s="50"/>
      <c r="X27" s="50"/>
      <c r="Y27" s="50"/>
      <c r="Z27" s="312"/>
      <c r="AA27" s="50"/>
      <c r="AB27" s="50"/>
      <c r="AC27" s="50"/>
      <c r="AD27" s="50"/>
      <c r="AE27" s="50"/>
    </row>
    <row r="28">
      <c r="A28" s="307">
        <v>42101.09097222222</v>
      </c>
      <c r="B28" s="312" t="s">
        <v>304</v>
      </c>
      <c r="C28" s="303" t="s">
        <v>1177</v>
      </c>
      <c r="D28" s="303" t="s">
        <v>1178</v>
      </c>
      <c r="E28" s="315">
        <v>42093.0</v>
      </c>
      <c r="F28" s="312" t="s">
        <v>38</v>
      </c>
      <c r="G28" s="303" t="s">
        <v>1179</v>
      </c>
      <c r="H28" s="303" t="s">
        <v>1179</v>
      </c>
      <c r="I28" s="303" t="s">
        <v>1187</v>
      </c>
      <c r="J28" s="306"/>
      <c r="K28" s="50"/>
      <c r="L28" s="312"/>
      <c r="M28" s="312">
        <v>225.0</v>
      </c>
      <c r="N28" s="50"/>
      <c r="O28" s="312"/>
      <c r="P28" s="315">
        <v>42101.0</v>
      </c>
      <c r="Q28" s="312">
        <v>317.0</v>
      </c>
      <c r="R28" s="312">
        <v>404.0</v>
      </c>
      <c r="S28" s="316"/>
      <c r="T28" s="317">
        <v>409.11</v>
      </c>
      <c r="U28" s="312" t="s">
        <v>1366</v>
      </c>
      <c r="V28" s="312" t="s">
        <v>1367</v>
      </c>
      <c r="W28" s="50"/>
      <c r="X28" s="50"/>
      <c r="Y28" s="50"/>
      <c r="Z28" s="312"/>
      <c r="AA28" s="312" t="s">
        <v>1373</v>
      </c>
      <c r="AB28" s="50"/>
      <c r="AC28" s="50"/>
      <c r="AD28" s="50"/>
      <c r="AE28" s="50"/>
    </row>
    <row r="29">
      <c r="A29" s="307">
        <v>42125.10972222222</v>
      </c>
      <c r="B29" s="312" t="s">
        <v>304</v>
      </c>
      <c r="C29" s="303" t="s">
        <v>1177</v>
      </c>
      <c r="D29" s="303" t="s">
        <v>1178</v>
      </c>
      <c r="E29" s="315">
        <v>42093.0</v>
      </c>
      <c r="F29" s="312" t="s">
        <v>38</v>
      </c>
      <c r="G29" s="303" t="s">
        <v>1179</v>
      </c>
      <c r="H29" s="303" t="s">
        <v>1179</v>
      </c>
      <c r="I29" s="303" t="s">
        <v>1187</v>
      </c>
      <c r="J29" s="306">
        <v>0.8</v>
      </c>
      <c r="K29" s="50"/>
      <c r="L29" s="312"/>
      <c r="M29" s="312">
        <v>212.0</v>
      </c>
      <c r="N29" s="50"/>
      <c r="O29" s="312"/>
      <c r="P29" s="315">
        <v>42125.0</v>
      </c>
      <c r="Q29" s="312">
        <v>1875.0</v>
      </c>
      <c r="R29" s="312">
        <v>405.0</v>
      </c>
      <c r="S29" s="316"/>
      <c r="T29" s="317">
        <v>410.13</v>
      </c>
      <c r="U29" s="312" t="s">
        <v>1366</v>
      </c>
      <c r="V29" s="312" t="s">
        <v>1367</v>
      </c>
      <c r="W29" s="50"/>
      <c r="X29" s="50"/>
      <c r="Y29" s="50"/>
      <c r="Z29" s="312"/>
      <c r="AA29" s="50"/>
      <c r="AB29" s="50"/>
      <c r="AC29" s="50"/>
      <c r="AD29" s="50"/>
      <c r="AE29" s="50"/>
    </row>
    <row r="30">
      <c r="A30" s="307">
        <v>42134.11597222222</v>
      </c>
      <c r="B30" s="312" t="s">
        <v>304</v>
      </c>
      <c r="C30" s="303" t="s">
        <v>1177</v>
      </c>
      <c r="D30" s="303" t="s">
        <v>1178</v>
      </c>
      <c r="E30" s="315">
        <v>42093.0</v>
      </c>
      <c r="F30" s="312" t="s">
        <v>38</v>
      </c>
      <c r="G30" s="303" t="s">
        <v>1203</v>
      </c>
      <c r="H30" s="303" t="s">
        <v>1190</v>
      </c>
      <c r="I30" s="303" t="s">
        <v>1186</v>
      </c>
      <c r="J30" s="306">
        <v>0.8</v>
      </c>
      <c r="K30" s="50"/>
      <c r="L30" s="312"/>
      <c r="M30" s="312">
        <v>205.0</v>
      </c>
      <c r="N30" s="50"/>
      <c r="O30" s="312"/>
      <c r="P30" s="315">
        <v>42134.0</v>
      </c>
      <c r="Q30" s="312">
        <v>3772.0</v>
      </c>
      <c r="R30" s="312">
        <v>410.0</v>
      </c>
      <c r="S30" s="316"/>
      <c r="T30" s="317">
        <v>410.0</v>
      </c>
      <c r="U30" s="312" t="s">
        <v>1369</v>
      </c>
      <c r="V30" s="312" t="s">
        <v>1367</v>
      </c>
      <c r="W30" s="50"/>
      <c r="X30" s="50"/>
      <c r="Y30" s="50"/>
      <c r="Z30" s="312"/>
      <c r="AA30" s="312" t="s">
        <v>1373</v>
      </c>
      <c r="AB30" s="50"/>
      <c r="AC30" s="50"/>
      <c r="AD30" s="50"/>
      <c r="AE30" s="50"/>
    </row>
    <row r="31">
      <c r="A31" s="307">
        <v>42146.12152777778</v>
      </c>
      <c r="B31" s="312" t="s">
        <v>304</v>
      </c>
      <c r="C31" s="303" t="s">
        <v>1177</v>
      </c>
      <c r="D31" s="303" t="s">
        <v>1178</v>
      </c>
      <c r="E31" s="315">
        <v>42093.0</v>
      </c>
      <c r="F31" s="312" t="s">
        <v>38</v>
      </c>
      <c r="G31" s="303" t="s">
        <v>1190</v>
      </c>
      <c r="H31" s="303" t="s">
        <v>1190</v>
      </c>
      <c r="I31" s="303" t="s">
        <v>1187</v>
      </c>
      <c r="J31" s="306">
        <v>0.8</v>
      </c>
      <c r="K31" s="50"/>
      <c r="L31" s="312"/>
      <c r="M31" s="312">
        <v>208.0</v>
      </c>
      <c r="N31" s="50"/>
      <c r="O31" s="312"/>
      <c r="P31" s="315">
        <v>42146.0</v>
      </c>
      <c r="Q31" s="312">
        <v>4815.0</v>
      </c>
      <c r="R31" s="312">
        <v>409.0</v>
      </c>
      <c r="S31" s="316"/>
      <c r="T31" s="317">
        <v>409.0</v>
      </c>
      <c r="U31" s="312" t="s">
        <v>1369</v>
      </c>
      <c r="V31" s="312" t="s">
        <v>1367</v>
      </c>
      <c r="W31" s="50"/>
      <c r="X31" s="50"/>
      <c r="Y31" s="50"/>
      <c r="Z31" s="312"/>
      <c r="AA31" s="312" t="s">
        <v>1374</v>
      </c>
      <c r="AB31" s="50"/>
      <c r="AC31" s="50"/>
      <c r="AD31" s="50"/>
      <c r="AE31" s="50"/>
    </row>
    <row r="32">
      <c r="A32" s="307">
        <v>42151.126388888886</v>
      </c>
      <c r="B32" s="312" t="s">
        <v>304</v>
      </c>
      <c r="C32" s="303" t="s">
        <v>1177</v>
      </c>
      <c r="D32" s="303" t="s">
        <v>1178</v>
      </c>
      <c r="E32" s="315">
        <v>42093.0</v>
      </c>
      <c r="F32" s="312" t="s">
        <v>38</v>
      </c>
      <c r="G32" s="303" t="s">
        <v>1190</v>
      </c>
      <c r="H32" s="303" t="s">
        <v>1190</v>
      </c>
      <c r="I32" s="303" t="s">
        <v>1187</v>
      </c>
      <c r="J32" s="306">
        <v>0.8</v>
      </c>
      <c r="K32" s="50"/>
      <c r="L32" s="312"/>
      <c r="M32" s="312">
        <v>206.0</v>
      </c>
      <c r="N32" s="50"/>
      <c r="O32" s="312"/>
      <c r="P32" s="315">
        <v>42151.0</v>
      </c>
      <c r="Q32" s="312">
        <v>5012.0</v>
      </c>
      <c r="R32" s="312">
        <v>410.0</v>
      </c>
      <c r="S32" s="316"/>
      <c r="T32" s="317">
        <v>410.0</v>
      </c>
      <c r="U32" s="312" t="s">
        <v>1369</v>
      </c>
      <c r="V32" s="312" t="s">
        <v>1367</v>
      </c>
      <c r="W32" s="50"/>
      <c r="X32" s="50"/>
      <c r="Y32" s="50"/>
      <c r="Z32" s="312"/>
      <c r="AA32" s="50"/>
      <c r="AB32" s="50"/>
      <c r="AC32" s="50"/>
      <c r="AD32" s="50"/>
      <c r="AE32" s="50"/>
    </row>
    <row r="33">
      <c r="A33" s="307">
        <v>42164.13333333333</v>
      </c>
      <c r="B33" s="312" t="s">
        <v>304</v>
      </c>
      <c r="C33" s="303" t="s">
        <v>1177</v>
      </c>
      <c r="D33" s="303" t="s">
        <v>1178</v>
      </c>
      <c r="E33" s="315">
        <v>42093.0</v>
      </c>
      <c r="F33" s="312" t="s">
        <v>38</v>
      </c>
      <c r="G33" s="303" t="s">
        <v>1190</v>
      </c>
      <c r="H33" s="303" t="s">
        <v>1190</v>
      </c>
      <c r="I33" s="303" t="s">
        <v>1187</v>
      </c>
      <c r="J33" s="306">
        <v>0.8</v>
      </c>
      <c r="K33" s="50"/>
      <c r="L33" s="312"/>
      <c r="M33" s="312">
        <v>205.0</v>
      </c>
      <c r="N33" s="312"/>
      <c r="O33" s="312"/>
      <c r="P33" s="315">
        <v>42164.0</v>
      </c>
      <c r="Q33" s="312">
        <v>5579.0</v>
      </c>
      <c r="R33" s="312">
        <v>410.0</v>
      </c>
      <c r="S33" s="316"/>
      <c r="T33" s="317">
        <v>410.0</v>
      </c>
      <c r="U33" s="312" t="s">
        <v>1369</v>
      </c>
      <c r="V33" s="312" t="s">
        <v>1367</v>
      </c>
      <c r="W33" s="50"/>
      <c r="X33" s="50"/>
      <c r="Y33" s="50"/>
      <c r="Z33" s="312"/>
      <c r="AA33" s="312" t="s">
        <v>1375</v>
      </c>
      <c r="AB33" s="50"/>
      <c r="AC33" s="50"/>
      <c r="AD33" s="50"/>
      <c r="AE33" s="50"/>
    </row>
    <row r="34">
      <c r="A34" s="307">
        <v>42175.14097222222</v>
      </c>
      <c r="B34" s="312" t="s">
        <v>304</v>
      </c>
      <c r="C34" s="303" t="s">
        <v>1177</v>
      </c>
      <c r="D34" s="303" t="s">
        <v>1178</v>
      </c>
      <c r="E34" s="315">
        <v>42093.0</v>
      </c>
      <c r="F34" s="312" t="s">
        <v>38</v>
      </c>
      <c r="G34" s="303" t="s">
        <v>1190</v>
      </c>
      <c r="H34" s="303" t="s">
        <v>1190</v>
      </c>
      <c r="I34" s="303" t="s">
        <v>1186</v>
      </c>
      <c r="J34" s="306">
        <v>0.8</v>
      </c>
      <c r="K34" s="50"/>
      <c r="L34" s="312"/>
      <c r="M34" s="312">
        <v>203.0</v>
      </c>
      <c r="N34" s="312"/>
      <c r="O34" s="312"/>
      <c r="P34" s="315">
        <v>42175.0</v>
      </c>
      <c r="Q34" s="312">
        <v>7339.0</v>
      </c>
      <c r="R34" s="312">
        <v>410.0</v>
      </c>
      <c r="S34" s="316"/>
      <c r="T34" s="317">
        <v>410.0</v>
      </c>
      <c r="U34" s="312" t="s">
        <v>1369</v>
      </c>
      <c r="V34" s="312" t="s">
        <v>1367</v>
      </c>
      <c r="W34" s="50"/>
      <c r="X34" s="50"/>
      <c r="Y34" s="50"/>
      <c r="Z34" s="312"/>
      <c r="AA34" s="50"/>
      <c r="AB34" s="50"/>
      <c r="AC34" s="50"/>
      <c r="AD34" s="50"/>
      <c r="AE34" s="50"/>
    </row>
    <row r="35">
      <c r="A35" s="307">
        <v>42218.14791666667</v>
      </c>
      <c r="B35" s="312" t="s">
        <v>304</v>
      </c>
      <c r="C35" s="303" t="s">
        <v>1177</v>
      </c>
      <c r="D35" s="303" t="s">
        <v>1178</v>
      </c>
      <c r="E35" s="315">
        <v>42093.0</v>
      </c>
      <c r="F35" s="312" t="s">
        <v>38</v>
      </c>
      <c r="G35" s="303" t="s">
        <v>1179</v>
      </c>
      <c r="H35" s="303" t="s">
        <v>1180</v>
      </c>
      <c r="I35" s="303" t="s">
        <v>1186</v>
      </c>
      <c r="J35" s="306">
        <v>0.8</v>
      </c>
      <c r="K35" s="312">
        <v>404.0</v>
      </c>
      <c r="L35" s="312"/>
      <c r="M35" s="312">
        <v>200.0</v>
      </c>
      <c r="N35" s="312"/>
      <c r="O35" s="312"/>
      <c r="P35" s="315">
        <v>42218.0</v>
      </c>
      <c r="Q35" s="312">
        <v>9484.0</v>
      </c>
      <c r="R35" s="312">
        <v>409.0</v>
      </c>
      <c r="S35" s="316"/>
      <c r="T35" s="317">
        <v>409.0</v>
      </c>
      <c r="U35" s="312" t="s">
        <v>1369</v>
      </c>
      <c r="V35" s="312" t="s">
        <v>1367</v>
      </c>
      <c r="W35" s="312">
        <v>409.0</v>
      </c>
      <c r="X35" s="312">
        <v>345.0</v>
      </c>
      <c r="Y35" s="312">
        <v>12.1</v>
      </c>
      <c r="Z35" s="312" t="s">
        <v>1369</v>
      </c>
      <c r="AA35" s="50"/>
      <c r="AB35" s="50"/>
      <c r="AC35" s="50"/>
      <c r="AD35" s="50"/>
      <c r="AE35" s="50"/>
    </row>
    <row r="36">
      <c r="A36" s="307">
        <v>42231.16805555556</v>
      </c>
      <c r="B36" s="312" t="s">
        <v>304</v>
      </c>
      <c r="C36" s="303" t="s">
        <v>1177</v>
      </c>
      <c r="D36" s="303" t="s">
        <v>1178</v>
      </c>
      <c r="E36" s="315">
        <v>42093.0</v>
      </c>
      <c r="F36" s="312" t="s">
        <v>38</v>
      </c>
      <c r="G36" s="303" t="s">
        <v>1179</v>
      </c>
      <c r="H36" s="303" t="s">
        <v>1179</v>
      </c>
      <c r="I36" s="303" t="s">
        <v>1181</v>
      </c>
      <c r="J36" s="306">
        <v>0.8</v>
      </c>
      <c r="K36" s="312"/>
      <c r="L36" s="312"/>
      <c r="M36" s="312">
        <v>199.0</v>
      </c>
      <c r="N36" s="312"/>
      <c r="O36" s="312"/>
      <c r="P36" s="315">
        <v>42231.0</v>
      </c>
      <c r="Q36" s="312">
        <v>10843.0</v>
      </c>
      <c r="R36" s="312">
        <v>408.0</v>
      </c>
      <c r="S36" s="316"/>
      <c r="T36" s="317">
        <v>408.0</v>
      </c>
      <c r="U36" s="312" t="s">
        <v>1369</v>
      </c>
      <c r="V36" s="312" t="s">
        <v>1367</v>
      </c>
      <c r="W36" s="312">
        <v>410.0</v>
      </c>
      <c r="X36" s="312">
        <v>360.0</v>
      </c>
      <c r="Y36" s="312">
        <v>9.6</v>
      </c>
      <c r="Z36" s="312" t="s">
        <v>1369</v>
      </c>
      <c r="AA36" s="50"/>
      <c r="AB36" s="50"/>
      <c r="AC36" s="50"/>
      <c r="AD36" s="50"/>
      <c r="AE36" s="50"/>
    </row>
    <row r="37">
      <c r="A37" s="307">
        <v>42255.17847222222</v>
      </c>
      <c r="B37" s="312" t="s">
        <v>304</v>
      </c>
      <c r="C37" s="303" t="s">
        <v>1177</v>
      </c>
      <c r="D37" s="303" t="s">
        <v>1178</v>
      </c>
      <c r="E37" s="315">
        <v>42093.0</v>
      </c>
      <c r="F37" s="312" t="s">
        <v>38</v>
      </c>
      <c r="G37" s="312"/>
      <c r="H37" s="312"/>
      <c r="I37" s="312"/>
      <c r="J37" s="306">
        <v>0.8</v>
      </c>
      <c r="K37" s="50"/>
      <c r="L37" s="312"/>
      <c r="M37" s="312">
        <v>198.0</v>
      </c>
      <c r="N37" s="312"/>
      <c r="O37" s="312"/>
      <c r="P37" s="315">
        <v>42255.0</v>
      </c>
      <c r="Q37" s="312">
        <v>13087.0</v>
      </c>
      <c r="R37" s="312">
        <v>407.0</v>
      </c>
      <c r="S37" s="316"/>
      <c r="T37" s="317">
        <v>407.0</v>
      </c>
      <c r="U37" s="312" t="s">
        <v>1369</v>
      </c>
      <c r="V37" s="312" t="s">
        <v>1367</v>
      </c>
      <c r="W37" s="50"/>
      <c r="X37" s="50"/>
      <c r="Y37" s="50"/>
      <c r="Z37" s="312"/>
      <c r="AA37" s="50"/>
      <c r="AB37" s="50"/>
      <c r="AC37" s="50"/>
      <c r="AD37" s="50"/>
      <c r="AE37" s="50"/>
    </row>
    <row r="38">
      <c r="A38" s="307">
        <v>42264.18472222222</v>
      </c>
      <c r="B38" s="312" t="s">
        <v>304</v>
      </c>
      <c r="C38" s="303" t="s">
        <v>1177</v>
      </c>
      <c r="D38" s="303" t="s">
        <v>1178</v>
      </c>
      <c r="E38" s="315">
        <v>42093.0</v>
      </c>
      <c r="F38" s="312" t="s">
        <v>38</v>
      </c>
      <c r="G38" s="312"/>
      <c r="H38" s="312"/>
      <c r="I38" s="312"/>
      <c r="J38" s="306">
        <v>0.8</v>
      </c>
      <c r="K38" s="50"/>
      <c r="L38" s="312"/>
      <c r="M38" s="312">
        <v>197.0</v>
      </c>
      <c r="N38" s="312"/>
      <c r="O38" s="312"/>
      <c r="P38" s="315">
        <v>42264.0</v>
      </c>
      <c r="Q38" s="312">
        <v>16302.0</v>
      </c>
      <c r="R38" s="312">
        <v>406.0</v>
      </c>
      <c r="S38" s="316"/>
      <c r="T38" s="317">
        <v>406.0</v>
      </c>
      <c r="U38" s="312" t="s">
        <v>1369</v>
      </c>
      <c r="V38" s="312" t="s">
        <v>1367</v>
      </c>
      <c r="W38" s="50"/>
      <c r="X38" s="50"/>
      <c r="Y38" s="50"/>
      <c r="Z38" s="312"/>
      <c r="AA38" s="50"/>
      <c r="AB38" s="50"/>
      <c r="AC38" s="50"/>
      <c r="AD38" s="50"/>
      <c r="AE38" s="50"/>
    </row>
    <row r="39">
      <c r="A39" s="307">
        <v>42272.1875</v>
      </c>
      <c r="B39" s="312" t="s">
        <v>304</v>
      </c>
      <c r="C39" s="303" t="s">
        <v>1177</v>
      </c>
      <c r="D39" s="303" t="s">
        <v>1178</v>
      </c>
      <c r="E39" s="315">
        <v>42093.0</v>
      </c>
      <c r="F39" s="312" t="s">
        <v>38</v>
      </c>
      <c r="G39" s="312"/>
      <c r="H39" s="312"/>
      <c r="I39" s="312"/>
      <c r="J39" s="306"/>
      <c r="K39" s="50"/>
      <c r="L39" s="312"/>
      <c r="M39" s="312">
        <v>197.0</v>
      </c>
      <c r="N39" s="312"/>
      <c r="O39" s="312"/>
      <c r="P39" s="315">
        <v>42272.0</v>
      </c>
      <c r="Q39" s="312">
        <v>18610.0</v>
      </c>
      <c r="R39" s="312">
        <v>407.0</v>
      </c>
      <c r="S39" s="316"/>
      <c r="T39" s="317">
        <v>407.0</v>
      </c>
      <c r="U39" s="312" t="s">
        <v>1369</v>
      </c>
      <c r="V39" s="312" t="s">
        <v>1367</v>
      </c>
      <c r="W39" s="50"/>
      <c r="X39" s="50"/>
      <c r="Y39" s="50"/>
      <c r="Z39" s="312"/>
      <c r="AA39" s="50"/>
      <c r="AB39" s="50"/>
      <c r="AC39" s="50"/>
      <c r="AD39" s="50"/>
      <c r="AE39" s="50"/>
    </row>
    <row r="40">
      <c r="A40" s="307">
        <v>41904.00902777778</v>
      </c>
      <c r="B40" s="50" t="s">
        <v>1010</v>
      </c>
      <c r="C40" s="303" t="s">
        <v>1177</v>
      </c>
      <c r="D40" s="303" t="s">
        <v>1178</v>
      </c>
      <c r="E40" s="310">
        <v>41591.0</v>
      </c>
      <c r="F40" s="50" t="s">
        <v>32</v>
      </c>
      <c r="G40" s="303" t="s">
        <v>1187</v>
      </c>
      <c r="H40" s="303" t="s">
        <v>1187</v>
      </c>
      <c r="I40" s="303" t="s">
        <v>1187</v>
      </c>
      <c r="J40" s="306"/>
      <c r="K40" s="50"/>
      <c r="L40" s="50"/>
      <c r="M40" s="50">
        <v>200.0</v>
      </c>
      <c r="N40" s="50"/>
      <c r="O40" s="312"/>
      <c r="P40" s="310">
        <v>41904.0</v>
      </c>
      <c r="Q40" s="50">
        <v>16045.0</v>
      </c>
      <c r="R40" s="50">
        <v>383.0</v>
      </c>
      <c r="S40" s="318"/>
      <c r="T40" s="317">
        <v>383.0</v>
      </c>
      <c r="U40" s="50" t="s">
        <v>1369</v>
      </c>
      <c r="V40" s="312" t="s">
        <v>1367</v>
      </c>
      <c r="W40" s="50"/>
      <c r="X40" s="50"/>
      <c r="Y40" s="50"/>
      <c r="Z40" s="312"/>
      <c r="AA40" s="312"/>
      <c r="AB40" s="50"/>
      <c r="AC40" s="50"/>
      <c r="AD40" s="50"/>
      <c r="AE40" s="50"/>
    </row>
    <row r="41">
      <c r="A41" s="307">
        <v>42354.25</v>
      </c>
      <c r="B41" s="312" t="s">
        <v>1110</v>
      </c>
      <c r="C41" s="303" t="s">
        <v>1177</v>
      </c>
      <c r="D41" s="303" t="s">
        <v>1178</v>
      </c>
      <c r="E41" s="315">
        <v>42291.0</v>
      </c>
      <c r="F41" s="312" t="s">
        <v>20</v>
      </c>
      <c r="G41" s="312"/>
      <c r="H41" s="312"/>
      <c r="I41" s="312"/>
      <c r="J41" s="306">
        <v>0.8</v>
      </c>
      <c r="K41" s="50"/>
      <c r="L41" s="312"/>
      <c r="M41" s="312">
        <v>189.0</v>
      </c>
      <c r="N41" s="312"/>
      <c r="O41" s="312"/>
      <c r="P41" s="315">
        <v>42354.0</v>
      </c>
      <c r="Q41" s="312">
        <v>1186.0</v>
      </c>
      <c r="R41" s="312">
        <v>368.0</v>
      </c>
      <c r="S41" s="316"/>
      <c r="T41" s="317">
        <v>368.0</v>
      </c>
      <c r="U41" s="312" t="s">
        <v>1369</v>
      </c>
      <c r="V41" s="312" t="s">
        <v>1367</v>
      </c>
      <c r="W41" s="312">
        <v>368.0</v>
      </c>
      <c r="X41" s="312">
        <v>317.0</v>
      </c>
      <c r="Y41" s="312">
        <v>9.1</v>
      </c>
      <c r="Z41" s="312" t="s">
        <v>1369</v>
      </c>
      <c r="AA41" s="50"/>
      <c r="AB41" s="50"/>
      <c r="AC41" s="50"/>
      <c r="AD41" s="50"/>
      <c r="AE41" s="50"/>
    </row>
    <row r="42">
      <c r="A42" s="307">
        <v>41908.01875</v>
      </c>
      <c r="B42" s="50" t="s">
        <v>981</v>
      </c>
      <c r="C42" s="303" t="s">
        <v>1177</v>
      </c>
      <c r="D42" s="303" t="s">
        <v>1178</v>
      </c>
      <c r="E42" s="310">
        <v>41795.0</v>
      </c>
      <c r="F42" s="312" t="s">
        <v>30</v>
      </c>
      <c r="G42" s="303" t="s">
        <v>1187</v>
      </c>
      <c r="H42" s="303" t="s">
        <v>1180</v>
      </c>
      <c r="I42" s="303" t="s">
        <v>1187</v>
      </c>
      <c r="J42" s="306"/>
      <c r="K42" s="312"/>
      <c r="L42" s="50"/>
      <c r="M42" s="312">
        <v>215.0</v>
      </c>
      <c r="N42" s="50"/>
      <c r="O42" s="312"/>
      <c r="P42" s="315">
        <v>41908.0</v>
      </c>
      <c r="Q42" s="312">
        <v>4397.0</v>
      </c>
      <c r="R42" s="50">
        <v>392.0</v>
      </c>
      <c r="S42" s="318"/>
      <c r="T42" s="317">
        <v>396.96</v>
      </c>
      <c r="U42" s="312" t="s">
        <v>1366</v>
      </c>
      <c r="V42" s="312" t="s">
        <v>1367</v>
      </c>
      <c r="W42" s="50"/>
      <c r="X42" s="50"/>
      <c r="Y42" s="50"/>
      <c r="Z42" s="312"/>
      <c r="AA42" s="50" t="s">
        <v>1373</v>
      </c>
      <c r="AB42" s="50"/>
      <c r="AC42" s="50"/>
      <c r="AD42" s="50"/>
      <c r="AE42" s="50"/>
    </row>
    <row r="43">
      <c r="A43" s="307">
        <v>42320.23125</v>
      </c>
      <c r="B43" s="50" t="s">
        <v>981</v>
      </c>
      <c r="C43" s="303" t="s">
        <v>1177</v>
      </c>
      <c r="D43" s="303" t="s">
        <v>1178</v>
      </c>
      <c r="E43" s="310">
        <v>41795.0</v>
      </c>
      <c r="F43" s="312" t="s">
        <v>30</v>
      </c>
      <c r="G43" s="303" t="s">
        <v>1179</v>
      </c>
      <c r="H43" s="303" t="s">
        <v>1181</v>
      </c>
      <c r="I43" s="303" t="s">
        <v>1186</v>
      </c>
      <c r="J43" s="306">
        <v>0.9</v>
      </c>
      <c r="K43" s="312">
        <v>392.0</v>
      </c>
      <c r="L43" s="312"/>
      <c r="M43" s="312">
        <v>223.0</v>
      </c>
      <c r="N43" s="50"/>
      <c r="O43" s="312"/>
      <c r="P43" s="315">
        <v>42320.0</v>
      </c>
      <c r="Q43" s="312">
        <v>43123.0</v>
      </c>
      <c r="R43" s="312">
        <v>355.0</v>
      </c>
      <c r="S43" s="316"/>
      <c r="T43" s="317">
        <v>359.49</v>
      </c>
      <c r="U43" s="312" t="s">
        <v>1366</v>
      </c>
      <c r="V43" s="312" t="s">
        <v>1367</v>
      </c>
      <c r="W43" s="50"/>
      <c r="X43" s="50"/>
      <c r="Y43" s="50"/>
      <c r="Z43" s="312"/>
      <c r="AA43" s="312" t="s">
        <v>1376</v>
      </c>
      <c r="AB43" s="50"/>
      <c r="AC43" s="50"/>
      <c r="AD43" s="50"/>
      <c r="AE43" s="50"/>
    </row>
    <row r="44">
      <c r="A44" s="307">
        <v>42347.239583333336</v>
      </c>
      <c r="B44" s="312" t="s">
        <v>981</v>
      </c>
      <c r="C44" s="303" t="s">
        <v>1177</v>
      </c>
      <c r="D44" s="303" t="s">
        <v>1178</v>
      </c>
      <c r="E44" s="315">
        <v>41795.0</v>
      </c>
      <c r="F44" s="312" t="s">
        <v>30</v>
      </c>
      <c r="G44" s="303" t="s">
        <v>1179</v>
      </c>
      <c r="H44" s="303" t="s">
        <v>1181</v>
      </c>
      <c r="I44" s="303" t="s">
        <v>1181</v>
      </c>
      <c r="J44" s="306">
        <v>0.9</v>
      </c>
      <c r="K44" s="312">
        <v>392.0</v>
      </c>
      <c r="L44" s="312"/>
      <c r="M44" s="312">
        <v>222.0</v>
      </c>
      <c r="N44" s="312"/>
      <c r="O44" s="312"/>
      <c r="P44" s="315">
        <v>42347.0</v>
      </c>
      <c r="Q44" s="312">
        <v>46500.0</v>
      </c>
      <c r="R44" s="312">
        <v>374.0</v>
      </c>
      <c r="S44" s="316"/>
      <c r="T44" s="317">
        <v>378.73</v>
      </c>
      <c r="U44" s="312" t="s">
        <v>1366</v>
      </c>
      <c r="V44" s="312" t="s">
        <v>1367</v>
      </c>
      <c r="W44" s="50"/>
      <c r="X44" s="50"/>
      <c r="Y44" s="50"/>
      <c r="Z44" s="312"/>
      <c r="AA44" s="50"/>
      <c r="AB44" s="50"/>
      <c r="AC44" s="50"/>
      <c r="AD44" s="50"/>
      <c r="AE44" s="50"/>
    </row>
    <row r="45">
      <c r="A45" s="307">
        <v>42502.33472222222</v>
      </c>
      <c r="B45" s="312" t="s">
        <v>866</v>
      </c>
      <c r="C45" s="303" t="s">
        <v>1177</v>
      </c>
      <c r="D45" s="303" t="s">
        <v>1178</v>
      </c>
      <c r="E45" s="315">
        <v>41795.0</v>
      </c>
      <c r="F45" s="312" t="s">
        <v>30</v>
      </c>
      <c r="G45" s="303" t="s">
        <v>1179</v>
      </c>
      <c r="H45" s="303" t="s">
        <v>1180</v>
      </c>
      <c r="I45" s="303" t="s">
        <v>1181</v>
      </c>
      <c r="J45" s="306">
        <v>0.9</v>
      </c>
      <c r="K45" s="312">
        <v>392.0</v>
      </c>
      <c r="L45" s="312"/>
      <c r="M45" s="312">
        <v>223.0</v>
      </c>
      <c r="N45" s="312"/>
      <c r="O45" s="312"/>
      <c r="P45" s="315">
        <v>42502.0</v>
      </c>
      <c r="Q45" s="312">
        <v>62660.0</v>
      </c>
      <c r="R45" s="312">
        <v>374.0</v>
      </c>
      <c r="S45" s="316"/>
      <c r="T45" s="317">
        <v>378.73</v>
      </c>
      <c r="U45" s="312" t="s">
        <v>1366</v>
      </c>
      <c r="V45" s="312" t="s">
        <v>1367</v>
      </c>
      <c r="W45" s="50"/>
      <c r="X45" s="50"/>
      <c r="Y45" s="50"/>
      <c r="Z45" s="312"/>
      <c r="AA45" s="50"/>
      <c r="AB45" s="50"/>
      <c r="AC45" s="50"/>
      <c r="AD45" s="50"/>
      <c r="AE45" s="50"/>
    </row>
    <row r="46">
      <c r="A46" s="307">
        <v>42980.60625</v>
      </c>
      <c r="B46" s="312" t="s">
        <v>981</v>
      </c>
      <c r="C46" s="303" t="s">
        <v>1177</v>
      </c>
      <c r="D46" s="303" t="s">
        <v>1178</v>
      </c>
      <c r="E46" s="315">
        <v>41792.0</v>
      </c>
      <c r="F46" s="312" t="s">
        <v>30</v>
      </c>
      <c r="G46" s="303" t="s">
        <v>1179</v>
      </c>
      <c r="H46" s="303" t="s">
        <v>1179</v>
      </c>
      <c r="I46" s="303" t="s">
        <v>1181</v>
      </c>
      <c r="J46" s="306">
        <v>0.9</v>
      </c>
      <c r="K46" s="312">
        <v>391.0</v>
      </c>
      <c r="L46" s="312"/>
      <c r="M46" s="312">
        <v>219.0</v>
      </c>
      <c r="N46" s="312"/>
      <c r="O46" s="312"/>
      <c r="P46" s="315">
        <v>42980.0</v>
      </c>
      <c r="Q46" s="312">
        <v>106200.0</v>
      </c>
      <c r="R46" s="312">
        <v>378.0</v>
      </c>
      <c r="S46" s="316"/>
      <c r="T46" s="317">
        <v>382.78</v>
      </c>
      <c r="U46" s="312" t="s">
        <v>1366</v>
      </c>
      <c r="V46" s="312" t="s">
        <v>1367</v>
      </c>
      <c r="W46" s="50"/>
      <c r="X46" s="50"/>
      <c r="Y46" s="50"/>
      <c r="Z46" s="312"/>
      <c r="AA46" s="50"/>
      <c r="AB46" s="50"/>
      <c r="AC46" s="50"/>
      <c r="AD46" s="50"/>
      <c r="AE46" s="50"/>
    </row>
    <row r="47">
      <c r="A47" s="307">
        <v>43123.677083333336</v>
      </c>
      <c r="B47" s="312" t="s">
        <v>866</v>
      </c>
      <c r="C47" s="303" t="s">
        <v>1177</v>
      </c>
      <c r="D47" s="303" t="s">
        <v>1178</v>
      </c>
      <c r="E47" s="315">
        <v>43063.0</v>
      </c>
      <c r="F47" s="312" t="s">
        <v>28</v>
      </c>
      <c r="G47" s="303" t="s">
        <v>1179</v>
      </c>
      <c r="H47" s="303" t="s">
        <v>1190</v>
      </c>
      <c r="I47" s="303" t="s">
        <v>1181</v>
      </c>
      <c r="J47" s="306">
        <v>0.9</v>
      </c>
      <c r="K47" s="312">
        <v>389.0</v>
      </c>
      <c r="L47" s="312"/>
      <c r="M47" s="312">
        <v>233.0</v>
      </c>
      <c r="N47" s="312"/>
      <c r="O47" s="312"/>
      <c r="P47" s="315">
        <v>43123.0</v>
      </c>
      <c r="Q47" s="312">
        <v>6900.0</v>
      </c>
      <c r="R47" s="312">
        <v>389.0</v>
      </c>
      <c r="S47" s="316"/>
      <c r="T47" s="317">
        <v>389.0</v>
      </c>
      <c r="U47" s="312" t="s">
        <v>1369</v>
      </c>
      <c r="V47" s="312" t="s">
        <v>1367</v>
      </c>
      <c r="W47" s="50"/>
      <c r="X47" s="50"/>
      <c r="Y47" s="50"/>
      <c r="Z47" s="312"/>
      <c r="AA47" s="312" t="s">
        <v>1377</v>
      </c>
      <c r="AB47" s="50"/>
      <c r="AC47" s="50"/>
      <c r="AD47" s="50"/>
      <c r="AE47" s="50"/>
    </row>
    <row r="48">
      <c r="A48" s="307">
        <v>42586.37291666667</v>
      </c>
      <c r="B48" s="312" t="s">
        <v>945</v>
      </c>
      <c r="C48" s="303" t="s">
        <v>1177</v>
      </c>
      <c r="D48" s="303" t="s">
        <v>1178</v>
      </c>
      <c r="E48" s="315">
        <v>41913.0</v>
      </c>
      <c r="F48" s="312" t="s">
        <v>30</v>
      </c>
      <c r="G48" s="303" t="s">
        <v>1180</v>
      </c>
      <c r="H48" s="303" t="s">
        <v>1180</v>
      </c>
      <c r="I48" s="303" t="s">
        <v>1181</v>
      </c>
      <c r="J48" s="306">
        <v>0.8</v>
      </c>
      <c r="K48" s="312">
        <v>384.0</v>
      </c>
      <c r="L48" s="312"/>
      <c r="M48" s="312">
        <v>223.0</v>
      </c>
      <c r="N48" s="312"/>
      <c r="O48" s="312"/>
      <c r="P48" s="315">
        <v>42586.0</v>
      </c>
      <c r="Q48" s="312">
        <v>76500.0</v>
      </c>
      <c r="R48" s="312">
        <v>372.0</v>
      </c>
      <c r="S48" s="316"/>
      <c r="T48" s="317">
        <v>376.71</v>
      </c>
      <c r="U48" s="312" t="s">
        <v>1366</v>
      </c>
      <c r="V48" s="312" t="s">
        <v>1367</v>
      </c>
      <c r="W48" s="50"/>
      <c r="X48" s="50"/>
      <c r="Y48" s="50"/>
      <c r="Z48" s="312"/>
      <c r="AA48" s="50"/>
      <c r="AB48" s="50"/>
      <c r="AC48" s="50"/>
      <c r="AD48" s="50"/>
      <c r="AE48" s="50"/>
    </row>
    <row r="49">
      <c r="A49" s="307">
        <v>42316.78472222222</v>
      </c>
      <c r="B49" s="312" t="s">
        <v>1078</v>
      </c>
      <c r="C49" s="312" t="s">
        <v>1184</v>
      </c>
      <c r="D49" s="303" t="s">
        <v>1185</v>
      </c>
      <c r="E49" s="315">
        <v>41986.0</v>
      </c>
      <c r="F49" s="312" t="s">
        <v>38</v>
      </c>
      <c r="G49" s="303" t="s">
        <v>1181</v>
      </c>
      <c r="H49" s="303" t="s">
        <v>1181</v>
      </c>
      <c r="I49" s="303" t="s">
        <v>1187</v>
      </c>
      <c r="J49" s="306">
        <v>0.9</v>
      </c>
      <c r="K49" s="50"/>
      <c r="L49" s="312"/>
      <c r="M49" s="312">
        <v>330.0</v>
      </c>
      <c r="N49" s="312"/>
      <c r="O49" s="312"/>
      <c r="P49" s="315">
        <v>42316.0</v>
      </c>
      <c r="Q49" s="312">
        <v>16839.0</v>
      </c>
      <c r="R49" s="312">
        <v>247.0</v>
      </c>
      <c r="S49" s="316"/>
      <c r="T49" s="317">
        <v>250.13</v>
      </c>
      <c r="U49" s="312" t="s">
        <v>1366</v>
      </c>
      <c r="V49" s="312" t="s">
        <v>1367</v>
      </c>
      <c r="W49" s="312">
        <v>221.0</v>
      </c>
      <c r="X49" s="312">
        <v>176.9</v>
      </c>
      <c r="Y49" s="312">
        <v>14.0</v>
      </c>
      <c r="Z49" s="312" t="s">
        <v>1366</v>
      </c>
      <c r="AA49" s="50"/>
      <c r="AB49" s="50"/>
      <c r="AC49" s="50"/>
      <c r="AD49" s="50"/>
      <c r="AE49" s="50"/>
    </row>
    <row r="50">
      <c r="A50" s="307">
        <v>42433.302083333336</v>
      </c>
      <c r="B50" s="312" t="s">
        <v>802</v>
      </c>
      <c r="C50" s="303" t="s">
        <v>1177</v>
      </c>
      <c r="D50" s="303" t="s">
        <v>1178</v>
      </c>
      <c r="E50" s="315">
        <v>42139.0</v>
      </c>
      <c r="F50" s="312" t="s">
        <v>22</v>
      </c>
      <c r="G50" s="312"/>
      <c r="H50" s="312"/>
      <c r="I50" s="312"/>
      <c r="J50" s="306"/>
      <c r="K50" s="50"/>
      <c r="L50" s="312"/>
      <c r="M50" s="312">
        <v>218.0</v>
      </c>
      <c r="N50" s="312"/>
      <c r="O50" s="312"/>
      <c r="P50" s="315">
        <v>42433.0</v>
      </c>
      <c r="Q50" s="312">
        <v>17800.0</v>
      </c>
      <c r="R50" s="312">
        <v>353.0</v>
      </c>
      <c r="S50" s="316"/>
      <c r="T50" s="317">
        <v>353.0</v>
      </c>
      <c r="U50" s="312" t="s">
        <v>1369</v>
      </c>
      <c r="V50" s="312" t="s">
        <v>1367</v>
      </c>
      <c r="W50" s="50"/>
      <c r="X50" s="50"/>
      <c r="Y50" s="50"/>
      <c r="Z50" s="312"/>
      <c r="AA50" s="50"/>
      <c r="AB50" s="50"/>
      <c r="AC50" s="50"/>
      <c r="AD50" s="50"/>
      <c r="AE50" s="50"/>
    </row>
    <row r="51">
      <c r="A51" s="307">
        <v>42455.42361111111</v>
      </c>
      <c r="B51" s="312" t="s">
        <v>761</v>
      </c>
      <c r="C51" s="303" t="s">
        <v>1177</v>
      </c>
      <c r="D51" s="303" t="s">
        <v>1178</v>
      </c>
      <c r="E51" s="315">
        <v>42437.0</v>
      </c>
      <c r="F51" s="312" t="s">
        <v>43</v>
      </c>
      <c r="G51" s="303" t="s">
        <v>1179</v>
      </c>
      <c r="H51" s="303" t="s">
        <v>1180</v>
      </c>
      <c r="I51" s="303" t="s">
        <v>1187</v>
      </c>
      <c r="J51" s="306">
        <v>0.9</v>
      </c>
      <c r="K51" s="312">
        <v>448.0</v>
      </c>
      <c r="L51" s="312"/>
      <c r="M51" s="312">
        <v>228.0</v>
      </c>
      <c r="N51" s="312"/>
      <c r="O51" s="312"/>
      <c r="P51" s="315">
        <v>42455.0</v>
      </c>
      <c r="Q51" s="312">
        <v>1196.0</v>
      </c>
      <c r="R51" s="312">
        <v>450.0</v>
      </c>
      <c r="S51" s="316"/>
      <c r="T51" s="317">
        <v>455.7</v>
      </c>
      <c r="U51" s="312" t="s">
        <v>1366</v>
      </c>
      <c r="V51" s="312" t="s">
        <v>1367</v>
      </c>
      <c r="W51" s="50"/>
      <c r="X51" s="50"/>
      <c r="Y51" s="50"/>
      <c r="Z51" s="312"/>
      <c r="AA51" s="50"/>
      <c r="AB51" s="50"/>
      <c r="AC51" s="50"/>
      <c r="AD51" s="50"/>
      <c r="AE51" s="50"/>
    </row>
    <row r="52">
      <c r="A52" s="307">
        <v>42466.424305555556</v>
      </c>
      <c r="B52" s="312" t="s">
        <v>761</v>
      </c>
      <c r="C52" s="303" t="s">
        <v>1177</v>
      </c>
      <c r="D52" s="303" t="s">
        <v>1178</v>
      </c>
      <c r="E52" s="315">
        <v>42437.0</v>
      </c>
      <c r="F52" s="312" t="s">
        <v>43</v>
      </c>
      <c r="G52" s="303" t="s">
        <v>1179</v>
      </c>
      <c r="H52" s="303" t="s">
        <v>1180</v>
      </c>
      <c r="I52" s="303" t="s">
        <v>1187</v>
      </c>
      <c r="J52" s="306">
        <v>0.9</v>
      </c>
      <c r="K52" s="312">
        <v>448.0</v>
      </c>
      <c r="L52" s="312"/>
      <c r="M52" s="312">
        <v>226.0</v>
      </c>
      <c r="N52" s="312"/>
      <c r="O52" s="312"/>
      <c r="P52" s="315">
        <v>42466.0</v>
      </c>
      <c r="Q52" s="312">
        <v>2062.0</v>
      </c>
      <c r="R52" s="312">
        <v>448.0</v>
      </c>
      <c r="S52" s="316"/>
      <c r="T52" s="317">
        <v>453.67</v>
      </c>
      <c r="U52" s="312" t="s">
        <v>1366</v>
      </c>
      <c r="V52" s="312" t="s">
        <v>1367</v>
      </c>
      <c r="W52" s="50"/>
      <c r="X52" s="50"/>
      <c r="Y52" s="50"/>
      <c r="Z52" s="312"/>
      <c r="AA52" s="50"/>
      <c r="AB52" s="50"/>
      <c r="AC52" s="50"/>
      <c r="AD52" s="50"/>
      <c r="AE52" s="50"/>
    </row>
    <row r="53">
      <c r="A53" s="307">
        <v>42542.425</v>
      </c>
      <c r="B53" s="312" t="s">
        <v>761</v>
      </c>
      <c r="C53" s="303" t="s">
        <v>1177</v>
      </c>
      <c r="D53" s="303" t="s">
        <v>1178</v>
      </c>
      <c r="E53" s="315">
        <v>42437.0</v>
      </c>
      <c r="F53" s="312" t="s">
        <v>43</v>
      </c>
      <c r="G53" s="303" t="s">
        <v>1179</v>
      </c>
      <c r="H53" s="303" t="s">
        <v>1180</v>
      </c>
      <c r="I53" s="303" t="s">
        <v>1187</v>
      </c>
      <c r="J53" s="306"/>
      <c r="K53" s="312">
        <v>448.0</v>
      </c>
      <c r="L53" s="312"/>
      <c r="M53" s="312">
        <v>218.0</v>
      </c>
      <c r="N53" s="312"/>
      <c r="O53" s="312"/>
      <c r="P53" s="315">
        <v>42542.0</v>
      </c>
      <c r="Q53" s="312">
        <v>7133.0</v>
      </c>
      <c r="R53" s="312">
        <v>448.0</v>
      </c>
      <c r="S53" s="316"/>
      <c r="T53" s="317">
        <v>453.67</v>
      </c>
      <c r="U53" s="312" t="s">
        <v>1366</v>
      </c>
      <c r="V53" s="312" t="s">
        <v>1367</v>
      </c>
      <c r="W53" s="50"/>
      <c r="X53" s="50"/>
      <c r="Y53" s="50"/>
      <c r="Z53" s="312"/>
      <c r="AA53" s="50"/>
      <c r="AB53" s="50"/>
      <c r="AC53" s="50"/>
      <c r="AD53" s="50"/>
      <c r="AE53" s="50"/>
    </row>
    <row r="54">
      <c r="A54" s="307">
        <v>42587.42569444444</v>
      </c>
      <c r="B54" s="312" t="s">
        <v>761</v>
      </c>
      <c r="C54" s="303" t="s">
        <v>1177</v>
      </c>
      <c r="D54" s="303" t="s">
        <v>1178</v>
      </c>
      <c r="E54" s="315">
        <v>42437.0</v>
      </c>
      <c r="F54" s="312" t="s">
        <v>43</v>
      </c>
      <c r="G54" s="303" t="s">
        <v>1179</v>
      </c>
      <c r="H54" s="303" t="s">
        <v>1180</v>
      </c>
      <c r="I54" s="303" t="s">
        <v>1187</v>
      </c>
      <c r="J54" s="306"/>
      <c r="K54" s="312">
        <v>448.0</v>
      </c>
      <c r="L54" s="312"/>
      <c r="M54" s="312">
        <v>215.0</v>
      </c>
      <c r="N54" s="312"/>
      <c r="O54" s="312"/>
      <c r="P54" s="315">
        <v>42587.0</v>
      </c>
      <c r="Q54" s="312">
        <v>10715.0</v>
      </c>
      <c r="R54" s="312">
        <v>446.0</v>
      </c>
      <c r="S54" s="316"/>
      <c r="T54" s="317">
        <v>451.65</v>
      </c>
      <c r="U54" s="312" t="s">
        <v>1366</v>
      </c>
      <c r="V54" s="312" t="s">
        <v>1367</v>
      </c>
      <c r="W54" s="50"/>
      <c r="X54" s="50"/>
      <c r="Y54" s="50"/>
      <c r="Z54" s="312"/>
      <c r="AA54" s="50"/>
      <c r="AB54" s="50"/>
      <c r="AC54" s="50"/>
      <c r="AD54" s="50"/>
      <c r="AE54" s="50"/>
    </row>
    <row r="55">
      <c r="A55" s="307">
        <v>42646.42638888889</v>
      </c>
      <c r="B55" s="312" t="s">
        <v>761</v>
      </c>
      <c r="C55" s="303" t="s">
        <v>1177</v>
      </c>
      <c r="D55" s="303" t="s">
        <v>1178</v>
      </c>
      <c r="E55" s="315">
        <v>42437.0</v>
      </c>
      <c r="F55" s="312" t="s">
        <v>43</v>
      </c>
      <c r="G55" s="303" t="s">
        <v>1179</v>
      </c>
      <c r="H55" s="303" t="s">
        <v>1181</v>
      </c>
      <c r="I55" s="303" t="s">
        <v>1187</v>
      </c>
      <c r="J55" s="306"/>
      <c r="K55" s="312">
        <v>448.0</v>
      </c>
      <c r="L55" s="312"/>
      <c r="M55" s="312">
        <v>216.0</v>
      </c>
      <c r="N55" s="312"/>
      <c r="O55" s="312"/>
      <c r="P55" s="315">
        <v>42646.0</v>
      </c>
      <c r="Q55" s="312">
        <v>15001.0</v>
      </c>
      <c r="R55" s="312">
        <v>439.0</v>
      </c>
      <c r="S55" s="316"/>
      <c r="T55" s="317">
        <v>444.56</v>
      </c>
      <c r="U55" s="312" t="s">
        <v>1366</v>
      </c>
      <c r="V55" s="312" t="s">
        <v>1367</v>
      </c>
      <c r="W55" s="50"/>
      <c r="X55" s="50"/>
      <c r="Y55" s="50"/>
      <c r="Z55" s="312"/>
      <c r="AA55" s="50"/>
      <c r="AB55" s="50"/>
      <c r="AC55" s="50"/>
      <c r="AD55" s="50"/>
      <c r="AE55" s="50"/>
    </row>
    <row r="56">
      <c r="A56" s="307">
        <v>42656.427083333336</v>
      </c>
      <c r="B56" s="312" t="s">
        <v>761</v>
      </c>
      <c r="C56" s="303" t="s">
        <v>1177</v>
      </c>
      <c r="D56" s="303" t="s">
        <v>1178</v>
      </c>
      <c r="E56" s="315">
        <v>42437.0</v>
      </c>
      <c r="F56" s="312" t="s">
        <v>43</v>
      </c>
      <c r="G56" s="303" t="s">
        <v>1179</v>
      </c>
      <c r="H56" s="303" t="s">
        <v>1181</v>
      </c>
      <c r="I56" s="303" t="s">
        <v>1187</v>
      </c>
      <c r="J56" s="306"/>
      <c r="K56" s="312">
        <v>448.0</v>
      </c>
      <c r="L56" s="312"/>
      <c r="M56" s="312">
        <v>213.0</v>
      </c>
      <c r="N56" s="312"/>
      <c r="O56" s="312"/>
      <c r="P56" s="315">
        <v>42656.0</v>
      </c>
      <c r="Q56" s="312">
        <v>18602.0</v>
      </c>
      <c r="R56" s="312">
        <v>434.0</v>
      </c>
      <c r="S56" s="316"/>
      <c r="T56" s="317">
        <v>439.49</v>
      </c>
      <c r="U56" s="312" t="s">
        <v>1366</v>
      </c>
      <c r="V56" s="312" t="s">
        <v>1367</v>
      </c>
      <c r="W56" s="50"/>
      <c r="X56" s="50"/>
      <c r="Y56" s="50"/>
      <c r="Z56" s="312"/>
      <c r="AA56" s="50"/>
      <c r="AB56" s="50"/>
      <c r="AC56" s="50"/>
      <c r="AD56" s="50"/>
      <c r="AE56" s="50"/>
    </row>
    <row r="57">
      <c r="A57" s="307">
        <v>42685.459027777775</v>
      </c>
      <c r="B57" s="312" t="s">
        <v>761</v>
      </c>
      <c r="C57" s="303" t="s">
        <v>1177</v>
      </c>
      <c r="D57" s="303" t="s">
        <v>1178</v>
      </c>
      <c r="E57" s="315">
        <v>42437.0</v>
      </c>
      <c r="F57" s="312" t="s">
        <v>43</v>
      </c>
      <c r="G57" s="303" t="s">
        <v>1179</v>
      </c>
      <c r="H57" s="303" t="s">
        <v>1179</v>
      </c>
      <c r="I57" s="303" t="s">
        <v>1187</v>
      </c>
      <c r="J57" s="306">
        <v>0.8</v>
      </c>
      <c r="K57" s="312">
        <v>448.0</v>
      </c>
      <c r="L57" s="312"/>
      <c r="M57" s="312">
        <v>214.0</v>
      </c>
      <c r="N57" s="312"/>
      <c r="O57" s="312"/>
      <c r="P57" s="315">
        <v>42685.0</v>
      </c>
      <c r="Q57" s="312">
        <v>20421.0</v>
      </c>
      <c r="R57" s="312">
        <v>439.0</v>
      </c>
      <c r="S57" s="316"/>
      <c r="T57" s="317">
        <v>444.56</v>
      </c>
      <c r="U57" s="312" t="s">
        <v>1366</v>
      </c>
      <c r="V57" s="312" t="s">
        <v>1367</v>
      </c>
      <c r="W57" s="50"/>
      <c r="X57" s="50"/>
      <c r="Y57" s="50"/>
      <c r="Z57" s="312"/>
      <c r="AA57" s="50"/>
      <c r="AB57" s="50"/>
      <c r="AC57" s="50"/>
      <c r="AD57" s="50"/>
      <c r="AE57" s="50"/>
    </row>
    <row r="58">
      <c r="A58" s="307">
        <v>42766.49513888889</v>
      </c>
      <c r="B58" s="312" t="s">
        <v>761</v>
      </c>
      <c r="C58" s="303" t="s">
        <v>1177</v>
      </c>
      <c r="D58" s="303" t="s">
        <v>1178</v>
      </c>
      <c r="E58" s="315">
        <v>42437.0</v>
      </c>
      <c r="F58" s="312" t="s">
        <v>43</v>
      </c>
      <c r="G58" s="303" t="s">
        <v>1179</v>
      </c>
      <c r="H58" s="303" t="s">
        <v>1180</v>
      </c>
      <c r="I58" s="303" t="s">
        <v>1187</v>
      </c>
      <c r="J58" s="306">
        <v>0.8</v>
      </c>
      <c r="K58" s="312">
        <v>448.0</v>
      </c>
      <c r="L58" s="312"/>
      <c r="M58" s="312">
        <v>222.0</v>
      </c>
      <c r="N58" s="312"/>
      <c r="O58" s="312"/>
      <c r="P58" s="315">
        <v>42766.0</v>
      </c>
      <c r="Q58" s="312">
        <v>25581.0</v>
      </c>
      <c r="R58" s="312">
        <v>432.0</v>
      </c>
      <c r="S58" s="316"/>
      <c r="T58" s="317">
        <v>437.47</v>
      </c>
      <c r="U58" s="312" t="s">
        <v>1366</v>
      </c>
      <c r="V58" s="312" t="s">
        <v>1367</v>
      </c>
      <c r="W58" s="50"/>
      <c r="X58" s="50"/>
      <c r="Y58" s="50"/>
      <c r="Z58" s="312"/>
      <c r="AA58" s="50"/>
      <c r="AB58" s="50"/>
      <c r="AC58" s="50"/>
      <c r="AD58" s="50"/>
      <c r="AE58" s="50"/>
    </row>
    <row r="59">
      <c r="A59" s="307">
        <v>42823.51736111111</v>
      </c>
      <c r="B59" s="312" t="s">
        <v>761</v>
      </c>
      <c r="C59" s="303" t="s">
        <v>1177</v>
      </c>
      <c r="D59" s="303" t="s">
        <v>1178</v>
      </c>
      <c r="E59" s="315">
        <v>42437.0</v>
      </c>
      <c r="F59" s="312" t="s">
        <v>43</v>
      </c>
      <c r="G59" s="303" t="s">
        <v>1180</v>
      </c>
      <c r="H59" s="303" t="s">
        <v>1179</v>
      </c>
      <c r="I59" s="303" t="s">
        <v>1187</v>
      </c>
      <c r="J59" s="306">
        <v>0.9</v>
      </c>
      <c r="K59" s="312">
        <v>448.0</v>
      </c>
      <c r="L59" s="312"/>
      <c r="M59" s="312">
        <v>222.0</v>
      </c>
      <c r="N59" s="312"/>
      <c r="O59" s="312"/>
      <c r="P59" s="315">
        <v>42823.0</v>
      </c>
      <c r="Q59" s="312">
        <v>30786.0</v>
      </c>
      <c r="R59" s="312">
        <v>431.0</v>
      </c>
      <c r="S59" s="316"/>
      <c r="T59" s="317">
        <v>436.46</v>
      </c>
      <c r="U59" s="312" t="s">
        <v>1366</v>
      </c>
      <c r="V59" s="312" t="s">
        <v>1367</v>
      </c>
      <c r="W59" s="312"/>
      <c r="X59" s="312"/>
      <c r="Y59" s="312"/>
      <c r="Z59" s="312"/>
      <c r="AA59" s="312" t="s">
        <v>1378</v>
      </c>
      <c r="AB59" s="50"/>
      <c r="AC59" s="50"/>
      <c r="AD59" s="50"/>
      <c r="AE59" s="50"/>
    </row>
    <row r="60">
      <c r="A60" s="307">
        <v>42892.54305555556</v>
      </c>
      <c r="B60" s="312" t="s">
        <v>761</v>
      </c>
      <c r="C60" s="303" t="s">
        <v>1177</v>
      </c>
      <c r="D60" s="303" t="s">
        <v>1178</v>
      </c>
      <c r="E60" s="315">
        <v>42437.0</v>
      </c>
      <c r="F60" s="312" t="s">
        <v>43</v>
      </c>
      <c r="G60" s="303" t="s">
        <v>1179</v>
      </c>
      <c r="H60" s="303" t="s">
        <v>1179</v>
      </c>
      <c r="I60" s="303" t="s">
        <v>1186</v>
      </c>
      <c r="J60" s="306">
        <v>0.9</v>
      </c>
      <c r="K60" s="312">
        <v>448.0</v>
      </c>
      <c r="L60" s="312"/>
      <c r="M60" s="312">
        <v>219.0</v>
      </c>
      <c r="N60" s="312"/>
      <c r="O60" s="312"/>
      <c r="P60" s="315">
        <v>42892.0</v>
      </c>
      <c r="Q60" s="312">
        <v>35581.0</v>
      </c>
      <c r="R60" s="312">
        <v>429.0</v>
      </c>
      <c r="S60" s="316"/>
      <c r="T60" s="317">
        <v>434.43</v>
      </c>
      <c r="U60" s="312" t="s">
        <v>1366</v>
      </c>
      <c r="V60" s="312" t="s">
        <v>1367</v>
      </c>
      <c r="W60" s="50"/>
      <c r="X60" s="50"/>
      <c r="Y60" s="50"/>
      <c r="Z60" s="312"/>
      <c r="AA60" s="50"/>
      <c r="AB60" s="50"/>
      <c r="AC60" s="50"/>
      <c r="AD60" s="50"/>
      <c r="AE60" s="50"/>
    </row>
    <row r="61">
      <c r="A61" s="307">
        <v>42976.59444444445</v>
      </c>
      <c r="B61" s="312" t="s">
        <v>761</v>
      </c>
      <c r="C61" s="303" t="s">
        <v>1177</v>
      </c>
      <c r="D61" s="303" t="s">
        <v>1178</v>
      </c>
      <c r="E61" s="315">
        <v>42437.0</v>
      </c>
      <c r="F61" s="312" t="s">
        <v>43</v>
      </c>
      <c r="G61" s="303" t="s">
        <v>1179</v>
      </c>
      <c r="H61" s="303" t="s">
        <v>1180</v>
      </c>
      <c r="I61" s="303" t="s">
        <v>1186</v>
      </c>
      <c r="J61" s="306">
        <v>0.9</v>
      </c>
      <c r="K61" s="312">
        <v>448.0</v>
      </c>
      <c r="L61" s="312"/>
      <c r="M61" s="312">
        <v>215.0</v>
      </c>
      <c r="N61" s="312"/>
      <c r="O61" s="312"/>
      <c r="P61" s="315">
        <v>42976.0</v>
      </c>
      <c r="Q61" s="312">
        <v>42743.0</v>
      </c>
      <c r="R61" s="312">
        <v>429.0</v>
      </c>
      <c r="S61" s="316"/>
      <c r="T61" s="317">
        <v>434.43</v>
      </c>
      <c r="U61" s="312" t="s">
        <v>1366</v>
      </c>
      <c r="V61" s="312" t="s">
        <v>1367</v>
      </c>
      <c r="W61" s="312">
        <v>425.0</v>
      </c>
      <c r="X61" s="312">
        <v>68.0</v>
      </c>
      <c r="Y61" s="312">
        <v>58.7</v>
      </c>
      <c r="Z61" s="312" t="s">
        <v>1366</v>
      </c>
      <c r="AA61" s="312" t="s">
        <v>1379</v>
      </c>
      <c r="AB61" s="50"/>
      <c r="AC61" s="50"/>
      <c r="AD61" s="50"/>
      <c r="AE61" s="50"/>
    </row>
    <row r="62">
      <c r="A62" s="307">
        <v>43066.638194444444</v>
      </c>
      <c r="B62" s="312" t="s">
        <v>761</v>
      </c>
      <c r="C62" s="303" t="s">
        <v>1177</v>
      </c>
      <c r="D62" s="303" t="s">
        <v>1178</v>
      </c>
      <c r="E62" s="315">
        <v>42437.0</v>
      </c>
      <c r="F62" s="312" t="s">
        <v>43</v>
      </c>
      <c r="G62" s="303" t="s">
        <v>1179</v>
      </c>
      <c r="H62" s="303" t="s">
        <v>1180</v>
      </c>
      <c r="I62" s="303" t="s">
        <v>1181</v>
      </c>
      <c r="J62" s="306">
        <v>0.7</v>
      </c>
      <c r="K62" s="312">
        <v>448.0</v>
      </c>
      <c r="L62" s="312"/>
      <c r="M62" s="312">
        <v>213.0</v>
      </c>
      <c r="N62" s="312"/>
      <c r="O62" s="312"/>
      <c r="P62" s="315">
        <v>43066.0</v>
      </c>
      <c r="Q62" s="312">
        <v>51364.0</v>
      </c>
      <c r="R62" s="312">
        <v>431.0</v>
      </c>
      <c r="S62" s="316"/>
      <c r="T62" s="317">
        <v>436.46</v>
      </c>
      <c r="U62" s="312" t="s">
        <v>1366</v>
      </c>
      <c r="V62" s="312" t="s">
        <v>1367</v>
      </c>
      <c r="W62" s="50"/>
      <c r="X62" s="50"/>
      <c r="Y62" s="50"/>
      <c r="Z62" s="312"/>
      <c r="AA62" s="50"/>
      <c r="AB62" s="50"/>
      <c r="AC62" s="50"/>
      <c r="AD62" s="50"/>
      <c r="AE62" s="50"/>
    </row>
    <row r="63">
      <c r="A63" s="307">
        <v>42155.13125</v>
      </c>
      <c r="B63" s="312" t="s">
        <v>887</v>
      </c>
      <c r="C63" s="303" t="s">
        <v>1177</v>
      </c>
      <c r="D63" s="303" t="s">
        <v>1178</v>
      </c>
      <c r="E63" s="315">
        <v>41619.0</v>
      </c>
      <c r="F63" s="312" t="s">
        <v>30</v>
      </c>
      <c r="G63" s="303" t="s">
        <v>1180</v>
      </c>
      <c r="H63" s="303" t="s">
        <v>1180</v>
      </c>
      <c r="I63" s="303" t="s">
        <v>1181</v>
      </c>
      <c r="J63" s="306">
        <v>0.9</v>
      </c>
      <c r="K63" s="50"/>
      <c r="L63" s="312"/>
      <c r="M63" s="312">
        <v>239.0</v>
      </c>
      <c r="N63" s="50"/>
      <c r="O63" s="312"/>
      <c r="P63" s="315">
        <v>42155.0</v>
      </c>
      <c r="Q63" s="312">
        <v>26000.0</v>
      </c>
      <c r="R63" s="312">
        <v>378.0</v>
      </c>
      <c r="S63" s="316"/>
      <c r="T63" s="317">
        <v>382.78</v>
      </c>
      <c r="U63" s="312" t="s">
        <v>1366</v>
      </c>
      <c r="V63" s="312" t="s">
        <v>1367</v>
      </c>
      <c r="W63" s="50"/>
      <c r="X63" s="50"/>
      <c r="Y63" s="50"/>
      <c r="Z63" s="312"/>
      <c r="AA63" s="50"/>
      <c r="AB63" s="50"/>
      <c r="AC63" s="50"/>
      <c r="AD63" s="50"/>
      <c r="AE63" s="50"/>
    </row>
    <row r="64">
      <c r="A64" s="307">
        <v>42295.21597222222</v>
      </c>
      <c r="B64" s="312" t="s">
        <v>1043</v>
      </c>
      <c r="C64" s="303" t="s">
        <v>1177</v>
      </c>
      <c r="D64" s="303" t="s">
        <v>1178</v>
      </c>
      <c r="E64" s="315">
        <v>41644.0</v>
      </c>
      <c r="F64" s="312" t="s">
        <v>30</v>
      </c>
      <c r="G64" s="303" t="s">
        <v>1180</v>
      </c>
      <c r="H64" s="303" t="s">
        <v>1181</v>
      </c>
      <c r="I64" s="303" t="s">
        <v>1186</v>
      </c>
      <c r="J64" s="306">
        <v>0.8</v>
      </c>
      <c r="K64" s="50"/>
      <c r="L64" s="312"/>
      <c r="M64" s="312">
        <v>197.0</v>
      </c>
      <c r="N64" s="312"/>
      <c r="O64" s="312"/>
      <c r="P64" s="315">
        <v>42295.0</v>
      </c>
      <c r="Q64" s="312">
        <v>57000.0</v>
      </c>
      <c r="R64" s="312">
        <v>379.0</v>
      </c>
      <c r="S64" s="316"/>
      <c r="T64" s="317">
        <v>379.0</v>
      </c>
      <c r="U64" s="312" t="s">
        <v>1369</v>
      </c>
      <c r="V64" s="312" t="s">
        <v>1367</v>
      </c>
      <c r="W64" s="50"/>
      <c r="X64" s="50"/>
      <c r="Y64" s="50"/>
      <c r="Z64" s="312"/>
      <c r="AA64" s="50"/>
      <c r="AB64" s="50"/>
      <c r="AC64" s="50"/>
      <c r="AD64" s="50"/>
      <c r="AE64" s="50"/>
    </row>
    <row r="65">
      <c r="A65" s="307">
        <v>42537.35763888889</v>
      </c>
      <c r="B65" s="312" t="s">
        <v>907</v>
      </c>
      <c r="C65" s="303" t="s">
        <v>1177</v>
      </c>
      <c r="D65" s="303" t="s">
        <v>1178</v>
      </c>
      <c r="E65" s="315">
        <v>42450.0</v>
      </c>
      <c r="F65" s="312" t="s">
        <v>20</v>
      </c>
      <c r="G65" s="303" t="s">
        <v>1179</v>
      </c>
      <c r="H65" s="303" t="s">
        <v>1180</v>
      </c>
      <c r="I65" s="303" t="s">
        <v>1181</v>
      </c>
      <c r="J65" s="306"/>
      <c r="K65" s="50"/>
      <c r="L65" s="312"/>
      <c r="M65" s="312">
        <v>202.0</v>
      </c>
      <c r="N65" s="312"/>
      <c r="O65" s="312"/>
      <c r="P65" s="315">
        <v>42537.0</v>
      </c>
      <c r="Q65" s="312">
        <v>7080.0</v>
      </c>
      <c r="R65" s="312">
        <v>367.0</v>
      </c>
      <c r="S65" s="316"/>
      <c r="T65" s="317">
        <v>367.0</v>
      </c>
      <c r="U65" s="312" t="s">
        <v>1369</v>
      </c>
      <c r="V65" s="312" t="s">
        <v>1367</v>
      </c>
      <c r="W65" s="50"/>
      <c r="X65" s="50"/>
      <c r="Y65" s="50"/>
      <c r="Z65" s="312"/>
      <c r="AA65" s="312" t="s">
        <v>1380</v>
      </c>
      <c r="AB65" s="50"/>
      <c r="AC65" s="50"/>
      <c r="AD65" s="50"/>
      <c r="AE65" s="50"/>
    </row>
    <row r="66">
      <c r="A66" s="307">
        <v>42989.603472222225</v>
      </c>
      <c r="B66" s="312" t="s">
        <v>999</v>
      </c>
      <c r="C66" s="303" t="s">
        <v>1177</v>
      </c>
      <c r="D66" s="303" t="s">
        <v>1178</v>
      </c>
      <c r="E66" s="315">
        <v>42851.0</v>
      </c>
      <c r="F66" s="312" t="s">
        <v>62</v>
      </c>
      <c r="G66" s="303" t="s">
        <v>1180</v>
      </c>
      <c r="H66" s="312"/>
      <c r="I66" s="312"/>
      <c r="J66" s="306"/>
      <c r="K66" s="50"/>
      <c r="L66" s="312"/>
      <c r="M66" s="312">
        <v>215.0</v>
      </c>
      <c r="N66" s="312"/>
      <c r="O66" s="312"/>
      <c r="P66" s="315">
        <v>42989.0</v>
      </c>
      <c r="Q66" s="312">
        <v>7170.0</v>
      </c>
      <c r="R66" s="312">
        <v>450.0</v>
      </c>
      <c r="S66" s="316"/>
      <c r="T66" s="317">
        <v>450.0</v>
      </c>
      <c r="U66" s="312" t="s">
        <v>1369</v>
      </c>
      <c r="V66" s="312" t="s">
        <v>1367</v>
      </c>
      <c r="W66" s="50"/>
      <c r="X66" s="50"/>
      <c r="Y66" s="50"/>
      <c r="Z66" s="312"/>
      <c r="AA66" s="312"/>
      <c r="AB66" s="50"/>
      <c r="AC66" s="50"/>
      <c r="AD66" s="50"/>
      <c r="AE66" s="50"/>
    </row>
    <row r="67">
      <c r="A67" s="307">
        <v>42581.36736111111</v>
      </c>
      <c r="B67" s="312" t="s">
        <v>930</v>
      </c>
      <c r="C67" s="303" t="s">
        <v>1177</v>
      </c>
      <c r="D67" s="303" t="s">
        <v>1178</v>
      </c>
      <c r="E67" s="315">
        <v>42473.0</v>
      </c>
      <c r="F67" s="312" t="s">
        <v>47</v>
      </c>
      <c r="G67" s="303" t="s">
        <v>1180</v>
      </c>
      <c r="H67" s="303" t="s">
        <v>1179</v>
      </c>
      <c r="I67" s="303" t="s">
        <v>1181</v>
      </c>
      <c r="J67" s="306">
        <v>0.7</v>
      </c>
      <c r="K67" s="312">
        <v>412.0</v>
      </c>
      <c r="L67" s="312"/>
      <c r="M67" s="312">
        <v>244.0</v>
      </c>
      <c r="N67" s="312"/>
      <c r="O67" s="312"/>
      <c r="P67" s="315">
        <v>42581.0</v>
      </c>
      <c r="Q67" s="312">
        <v>1330.0</v>
      </c>
      <c r="R67" s="312">
        <v>412.0</v>
      </c>
      <c r="S67" s="316"/>
      <c r="T67" s="317">
        <v>417.22</v>
      </c>
      <c r="U67" s="312" t="s">
        <v>1366</v>
      </c>
      <c r="V67" s="312" t="s">
        <v>1367</v>
      </c>
      <c r="W67" s="50"/>
      <c r="X67" s="50"/>
      <c r="Y67" s="50"/>
      <c r="Z67" s="312"/>
      <c r="AA67" s="312" t="s">
        <v>1381</v>
      </c>
      <c r="AB67" s="50"/>
      <c r="AC67" s="50"/>
      <c r="AD67" s="50"/>
      <c r="AE67" s="50"/>
    </row>
    <row r="68">
      <c r="A68" s="307">
        <v>42722.475694444445</v>
      </c>
      <c r="B68" s="312" t="s">
        <v>930</v>
      </c>
      <c r="C68" s="303" t="s">
        <v>1177</v>
      </c>
      <c r="D68" s="303" t="s">
        <v>1178</v>
      </c>
      <c r="E68" s="315">
        <v>42473.0</v>
      </c>
      <c r="F68" s="312" t="s">
        <v>47</v>
      </c>
      <c r="G68" s="303" t="s">
        <v>1181</v>
      </c>
      <c r="H68" s="303" t="s">
        <v>1181</v>
      </c>
      <c r="I68" s="303" t="s">
        <v>1181</v>
      </c>
      <c r="J68" s="306">
        <v>0.8</v>
      </c>
      <c r="K68" s="312">
        <v>412.0</v>
      </c>
      <c r="L68" s="312"/>
      <c r="M68" s="312">
        <v>235.0</v>
      </c>
      <c r="N68" s="312"/>
      <c r="O68" s="312"/>
      <c r="P68" s="315">
        <v>42722.0</v>
      </c>
      <c r="Q68" s="312">
        <v>10001.0</v>
      </c>
      <c r="R68" s="312">
        <v>402.0</v>
      </c>
      <c r="S68" s="316"/>
      <c r="T68" s="317">
        <v>407.09</v>
      </c>
      <c r="U68" s="312" t="s">
        <v>1366</v>
      </c>
      <c r="V68" s="312" t="s">
        <v>1367</v>
      </c>
      <c r="W68" s="50"/>
      <c r="X68" s="50"/>
      <c r="Y68" s="50"/>
      <c r="Z68" s="312"/>
      <c r="AA68" s="50"/>
      <c r="AB68" s="50"/>
      <c r="AC68" s="50"/>
      <c r="AD68" s="50"/>
      <c r="AE68" s="50"/>
    </row>
    <row r="69">
      <c r="A69" s="307">
        <v>42938.56180555555</v>
      </c>
      <c r="B69" s="312" t="s">
        <v>930</v>
      </c>
      <c r="C69" s="303" t="s">
        <v>1177</v>
      </c>
      <c r="D69" s="303" t="s">
        <v>1178</v>
      </c>
      <c r="E69" s="315">
        <v>42473.0</v>
      </c>
      <c r="F69" s="312" t="s">
        <v>47</v>
      </c>
      <c r="G69" s="303" t="s">
        <v>1181</v>
      </c>
      <c r="H69" s="303" t="s">
        <v>1181</v>
      </c>
      <c r="I69" s="303" t="s">
        <v>1186</v>
      </c>
      <c r="J69" s="306">
        <v>0.8</v>
      </c>
      <c r="K69" s="312">
        <v>412.0</v>
      </c>
      <c r="L69" s="312"/>
      <c r="M69" s="312">
        <v>230.0</v>
      </c>
      <c r="N69" s="312"/>
      <c r="O69" s="312"/>
      <c r="P69" s="315">
        <v>42938.0</v>
      </c>
      <c r="Q69" s="312">
        <v>19700.0</v>
      </c>
      <c r="R69" s="312">
        <v>400.0</v>
      </c>
      <c r="S69" s="316"/>
      <c r="T69" s="317">
        <v>405.06</v>
      </c>
      <c r="U69" s="312" t="s">
        <v>1366</v>
      </c>
      <c r="V69" s="312" t="s">
        <v>1367</v>
      </c>
      <c r="W69" s="50"/>
      <c r="X69" s="50"/>
      <c r="Y69" s="50"/>
      <c r="Z69" s="312"/>
      <c r="AA69" s="50"/>
      <c r="AB69" s="50"/>
      <c r="AC69" s="50"/>
      <c r="AD69" s="50"/>
      <c r="AE69" s="50"/>
    </row>
    <row r="70">
      <c r="A70" s="307">
        <v>42940.5625</v>
      </c>
      <c r="B70" s="312" t="s">
        <v>932</v>
      </c>
      <c r="C70" s="303" t="s">
        <v>1177</v>
      </c>
      <c r="D70" s="303" t="s">
        <v>1178</v>
      </c>
      <c r="E70" s="315">
        <v>41969.0</v>
      </c>
      <c r="F70" s="312" t="s">
        <v>30</v>
      </c>
      <c r="G70" s="303" t="s">
        <v>1179</v>
      </c>
      <c r="H70" s="303" t="s">
        <v>1187</v>
      </c>
      <c r="I70" s="303" t="s">
        <v>1187</v>
      </c>
      <c r="J70" s="306">
        <v>0.8</v>
      </c>
      <c r="K70" s="50"/>
      <c r="L70" s="312"/>
      <c r="M70" s="312">
        <v>221.0</v>
      </c>
      <c r="N70" s="312"/>
      <c r="O70" s="312"/>
      <c r="P70" s="315">
        <v>42940.0</v>
      </c>
      <c r="Q70" s="312">
        <v>44471.0</v>
      </c>
      <c r="R70" s="312">
        <v>385.0</v>
      </c>
      <c r="S70" s="316"/>
      <c r="T70" s="317">
        <v>389.87</v>
      </c>
      <c r="U70" s="312" t="s">
        <v>1366</v>
      </c>
      <c r="V70" s="312" t="s">
        <v>1367</v>
      </c>
      <c r="W70" s="50"/>
      <c r="X70" s="50"/>
      <c r="Y70" s="50"/>
      <c r="Z70" s="312"/>
      <c r="AA70" s="50"/>
      <c r="AB70" s="50"/>
      <c r="AC70" s="50"/>
      <c r="AD70" s="50"/>
      <c r="AE70" s="50"/>
    </row>
    <row r="71">
      <c r="A71" s="307">
        <v>41906.01111111111</v>
      </c>
      <c r="B71" s="50" t="s">
        <v>712</v>
      </c>
      <c r="C71" s="303" t="s">
        <v>1177</v>
      </c>
      <c r="D71" s="303" t="s">
        <v>1178</v>
      </c>
      <c r="E71" s="310">
        <v>41787.0</v>
      </c>
      <c r="F71" s="50" t="s">
        <v>30</v>
      </c>
      <c r="G71" s="303" t="s">
        <v>1186</v>
      </c>
      <c r="H71" s="303" t="s">
        <v>1180</v>
      </c>
      <c r="I71" s="303" t="s">
        <v>1186</v>
      </c>
      <c r="J71" s="306"/>
      <c r="K71" s="50"/>
      <c r="L71" s="50"/>
      <c r="M71" s="50">
        <v>216.0</v>
      </c>
      <c r="N71" s="50"/>
      <c r="O71" s="312"/>
      <c r="P71" s="310">
        <v>41906.0</v>
      </c>
      <c r="Q71" s="50">
        <v>6053.0</v>
      </c>
      <c r="R71" s="50">
        <v>392.0</v>
      </c>
      <c r="S71" s="318"/>
      <c r="T71" s="317">
        <v>396.96</v>
      </c>
      <c r="U71" s="312" t="s">
        <v>1366</v>
      </c>
      <c r="V71" s="312" t="s">
        <v>1367</v>
      </c>
      <c r="W71" s="50"/>
      <c r="X71" s="50"/>
      <c r="Y71" s="50"/>
      <c r="Z71" s="312"/>
      <c r="AA71" s="50"/>
      <c r="AB71" s="50"/>
      <c r="AC71" s="50"/>
      <c r="AD71" s="50"/>
      <c r="AE71" s="50"/>
    </row>
    <row r="72">
      <c r="A72" s="307">
        <v>42010.04861111111</v>
      </c>
      <c r="B72" s="50" t="s">
        <v>712</v>
      </c>
      <c r="C72" s="303" t="s">
        <v>1177</v>
      </c>
      <c r="D72" s="303" t="s">
        <v>1178</v>
      </c>
      <c r="E72" s="310">
        <v>41787.0</v>
      </c>
      <c r="F72" s="312" t="s">
        <v>30</v>
      </c>
      <c r="G72" s="303" t="s">
        <v>1186</v>
      </c>
      <c r="H72" s="303" t="s">
        <v>1181</v>
      </c>
      <c r="I72" s="303" t="s">
        <v>1186</v>
      </c>
      <c r="J72" s="306"/>
      <c r="K72" s="50"/>
      <c r="L72" s="50"/>
      <c r="M72" s="50">
        <v>226.0</v>
      </c>
      <c r="N72" s="50"/>
      <c r="O72" s="312"/>
      <c r="P72" s="310">
        <v>42010.0</v>
      </c>
      <c r="Q72" s="50">
        <v>10000.0</v>
      </c>
      <c r="R72" s="50">
        <v>391.0</v>
      </c>
      <c r="S72" s="318"/>
      <c r="T72" s="317">
        <v>395.95</v>
      </c>
      <c r="U72" s="312" t="s">
        <v>1366</v>
      </c>
      <c r="V72" s="312" t="s">
        <v>1367</v>
      </c>
      <c r="W72" s="50"/>
      <c r="X72" s="50"/>
      <c r="Y72" s="50"/>
      <c r="Z72" s="312"/>
      <c r="AA72" s="50" t="s">
        <v>1382</v>
      </c>
      <c r="AB72" s="50"/>
      <c r="AC72" s="50"/>
      <c r="AD72" s="50"/>
      <c r="AE72" s="50"/>
    </row>
    <row r="73">
      <c r="A73" s="307">
        <v>42415.28958333333</v>
      </c>
      <c r="B73" s="312" t="s">
        <v>712</v>
      </c>
      <c r="C73" s="303" t="s">
        <v>1177</v>
      </c>
      <c r="D73" s="303" t="s">
        <v>1178</v>
      </c>
      <c r="E73" s="315">
        <v>41787.0</v>
      </c>
      <c r="F73" s="312" t="s">
        <v>30</v>
      </c>
      <c r="G73" s="303" t="s">
        <v>1181</v>
      </c>
      <c r="H73" s="303" t="s">
        <v>1186</v>
      </c>
      <c r="I73" s="303" t="s">
        <v>1186</v>
      </c>
      <c r="J73" s="306">
        <v>0.9</v>
      </c>
      <c r="K73" s="50"/>
      <c r="L73" s="312"/>
      <c r="M73" s="312">
        <v>229.0</v>
      </c>
      <c r="N73" s="312"/>
      <c r="O73" s="312"/>
      <c r="P73" s="315">
        <v>42415.0</v>
      </c>
      <c r="Q73" s="312">
        <v>34317.0</v>
      </c>
      <c r="R73" s="312">
        <v>372.0</v>
      </c>
      <c r="S73" s="316"/>
      <c r="T73" s="317">
        <v>376.71</v>
      </c>
      <c r="U73" s="312" t="s">
        <v>1366</v>
      </c>
      <c r="V73" s="312" t="s">
        <v>1367</v>
      </c>
      <c r="W73" s="50"/>
      <c r="X73" s="50"/>
      <c r="Y73" s="50"/>
      <c r="Z73" s="312"/>
      <c r="AA73" s="50"/>
      <c r="AB73" s="50"/>
      <c r="AC73" s="50"/>
      <c r="AD73" s="50"/>
      <c r="AE73" s="50"/>
    </row>
    <row r="74">
      <c r="A74" s="307">
        <v>42415.34861111111</v>
      </c>
      <c r="B74" s="312" t="s">
        <v>712</v>
      </c>
      <c r="C74" s="303" t="s">
        <v>1177</v>
      </c>
      <c r="D74" s="303" t="s">
        <v>1178</v>
      </c>
      <c r="E74" s="315">
        <v>41787.0</v>
      </c>
      <c r="F74" s="312" t="s">
        <v>30</v>
      </c>
      <c r="G74" s="303" t="s">
        <v>1181</v>
      </c>
      <c r="H74" s="303" t="s">
        <v>1181</v>
      </c>
      <c r="I74" s="303" t="s">
        <v>1181</v>
      </c>
      <c r="J74" s="306">
        <v>0.9</v>
      </c>
      <c r="K74" s="50"/>
      <c r="L74" s="312"/>
      <c r="M74" s="312">
        <v>224.0</v>
      </c>
      <c r="N74" s="312"/>
      <c r="O74" s="312"/>
      <c r="P74" s="315">
        <v>42415.0</v>
      </c>
      <c r="Q74" s="312">
        <v>40005.0</v>
      </c>
      <c r="R74" s="312">
        <v>383.0</v>
      </c>
      <c r="S74" s="316"/>
      <c r="T74" s="317">
        <v>387.85</v>
      </c>
      <c r="U74" s="312" t="s">
        <v>1366</v>
      </c>
      <c r="V74" s="312" t="s">
        <v>1367</v>
      </c>
      <c r="W74" s="50"/>
      <c r="X74" s="50"/>
      <c r="Y74" s="50"/>
      <c r="Z74" s="312"/>
      <c r="AA74" s="50"/>
      <c r="AB74" s="50"/>
      <c r="AC74" s="50"/>
      <c r="AD74" s="50"/>
      <c r="AE74" s="50"/>
    </row>
    <row r="75">
      <c r="A75" s="307">
        <v>42351.90694444445</v>
      </c>
      <c r="B75" s="312" t="s">
        <v>1107</v>
      </c>
      <c r="C75" s="312" t="s">
        <v>1197</v>
      </c>
      <c r="D75" s="303" t="s">
        <v>1178</v>
      </c>
      <c r="E75" s="315">
        <v>42144.0</v>
      </c>
      <c r="F75" s="312" t="s">
        <v>36</v>
      </c>
      <c r="G75" s="303" t="s">
        <v>1180</v>
      </c>
      <c r="H75" s="303" t="s">
        <v>1180</v>
      </c>
      <c r="I75" s="303" t="s">
        <v>1186</v>
      </c>
      <c r="J75" s="306">
        <v>0.9</v>
      </c>
      <c r="K75" s="312">
        <v>436.0</v>
      </c>
      <c r="L75" s="312"/>
      <c r="M75" s="312">
        <v>195.0</v>
      </c>
      <c r="N75" s="312"/>
      <c r="O75" s="312"/>
      <c r="P75" s="315">
        <v>42351.0</v>
      </c>
      <c r="Q75" s="312">
        <v>27000.0</v>
      </c>
      <c r="R75" s="312">
        <v>430.0</v>
      </c>
      <c r="S75" s="316"/>
      <c r="T75" s="317">
        <v>435.44</v>
      </c>
      <c r="U75" s="312" t="s">
        <v>1366</v>
      </c>
      <c r="V75" s="312" t="s">
        <v>1367</v>
      </c>
      <c r="W75" s="50"/>
      <c r="X75" s="50"/>
      <c r="Y75" s="50"/>
      <c r="Z75" s="312"/>
      <c r="AA75" s="312" t="s">
        <v>1383</v>
      </c>
      <c r="AB75" s="50"/>
      <c r="AC75" s="50"/>
      <c r="AD75" s="50"/>
      <c r="AE75" s="50"/>
    </row>
    <row r="76">
      <c r="A76" s="307">
        <v>43125.87013888889</v>
      </c>
      <c r="B76" s="312" t="s">
        <v>573</v>
      </c>
      <c r="C76" s="312" t="s">
        <v>1184</v>
      </c>
      <c r="D76" s="303" t="s">
        <v>1185</v>
      </c>
      <c r="E76" s="315">
        <v>43100.0</v>
      </c>
      <c r="F76" s="312" t="s">
        <v>1221</v>
      </c>
      <c r="G76" s="303" t="s">
        <v>1187</v>
      </c>
      <c r="H76" s="303" t="s">
        <v>1187</v>
      </c>
      <c r="I76" s="303" t="s">
        <v>1187</v>
      </c>
      <c r="J76" s="306">
        <v>0.9</v>
      </c>
      <c r="K76" s="312">
        <v>312.0</v>
      </c>
      <c r="L76" s="312"/>
      <c r="M76" s="312">
        <v>230.0</v>
      </c>
      <c r="N76" s="312"/>
      <c r="O76" s="312"/>
      <c r="P76" s="315">
        <v>43125.0</v>
      </c>
      <c r="Q76" s="312">
        <v>120.0</v>
      </c>
      <c r="R76" s="312">
        <v>312.0</v>
      </c>
      <c r="S76" s="316"/>
      <c r="T76" s="317">
        <v>315.95</v>
      </c>
      <c r="U76" s="312" t="s">
        <v>1366</v>
      </c>
      <c r="V76" s="312" t="s">
        <v>1367</v>
      </c>
      <c r="W76" s="50"/>
      <c r="X76" s="50"/>
      <c r="Y76" s="50"/>
      <c r="Z76" s="312"/>
      <c r="AA76" s="312" t="s">
        <v>1384</v>
      </c>
      <c r="AB76" s="50"/>
      <c r="AC76" s="50"/>
      <c r="AD76" s="50"/>
      <c r="AE76" s="50"/>
    </row>
    <row r="77">
      <c r="A77" s="307">
        <v>43167.87847222222</v>
      </c>
      <c r="B77" s="312" t="s">
        <v>573</v>
      </c>
      <c r="C77" s="312" t="s">
        <v>1184</v>
      </c>
      <c r="D77" s="303" t="s">
        <v>1185</v>
      </c>
      <c r="E77" s="315">
        <v>43100.0</v>
      </c>
      <c r="F77" s="312" t="s">
        <v>1221</v>
      </c>
      <c r="G77" s="303" t="s">
        <v>1187</v>
      </c>
      <c r="H77" s="303" t="s">
        <v>1187</v>
      </c>
      <c r="I77" s="303" t="s">
        <v>1187</v>
      </c>
      <c r="J77" s="306">
        <v>0.9</v>
      </c>
      <c r="K77" s="312">
        <v>312.0</v>
      </c>
      <c r="L77" s="312"/>
      <c r="M77" s="312">
        <v>216.0</v>
      </c>
      <c r="N77" s="312"/>
      <c r="O77" s="312"/>
      <c r="P77" s="315">
        <v>43167.0</v>
      </c>
      <c r="Q77" s="312">
        <v>662.0</v>
      </c>
      <c r="R77" s="312">
        <v>312.0</v>
      </c>
      <c r="S77" s="316"/>
      <c r="T77" s="317">
        <v>315.95</v>
      </c>
      <c r="U77" s="312" t="s">
        <v>1366</v>
      </c>
      <c r="V77" s="312" t="s">
        <v>1367</v>
      </c>
      <c r="W77" s="50"/>
      <c r="X77" s="50"/>
      <c r="Y77" s="50"/>
      <c r="Z77" s="312"/>
      <c r="AA77" s="312" t="s">
        <v>1384</v>
      </c>
      <c r="AB77" s="50"/>
      <c r="AC77" s="50"/>
      <c r="AD77" s="50"/>
      <c r="AE77" s="50"/>
    </row>
    <row r="78">
      <c r="A78" s="307">
        <v>43201.884722222225</v>
      </c>
      <c r="B78" s="312" t="s">
        <v>573</v>
      </c>
      <c r="C78" s="312" t="s">
        <v>1184</v>
      </c>
      <c r="D78" s="303" t="s">
        <v>1185</v>
      </c>
      <c r="E78" s="315">
        <v>43100.0</v>
      </c>
      <c r="F78" s="312" t="s">
        <v>1221</v>
      </c>
      <c r="G78" s="303" t="s">
        <v>1187</v>
      </c>
      <c r="H78" s="303" t="s">
        <v>1186</v>
      </c>
      <c r="I78" s="303" t="s">
        <v>1187</v>
      </c>
      <c r="J78" s="306">
        <v>0.9</v>
      </c>
      <c r="K78" s="312">
        <v>312.0</v>
      </c>
      <c r="L78" s="312"/>
      <c r="M78" s="312">
        <v>218.0</v>
      </c>
      <c r="N78" s="312"/>
      <c r="O78" s="312"/>
      <c r="P78" s="315">
        <v>43201.0</v>
      </c>
      <c r="Q78" s="312">
        <v>1152.0</v>
      </c>
      <c r="R78" s="312">
        <v>312.0</v>
      </c>
      <c r="S78" s="316"/>
      <c r="T78" s="317">
        <v>315.95</v>
      </c>
      <c r="U78" s="312" t="s">
        <v>1366</v>
      </c>
      <c r="V78" s="312" t="s">
        <v>1367</v>
      </c>
      <c r="W78" s="50"/>
      <c r="X78" s="50"/>
      <c r="Y78" s="50"/>
      <c r="Z78" s="312"/>
      <c r="AA78" s="312" t="s">
        <v>1384</v>
      </c>
      <c r="AB78" s="50"/>
      <c r="AC78" s="50"/>
      <c r="AD78" s="50"/>
      <c r="AE78" s="50"/>
    </row>
    <row r="79">
      <c r="A79" s="307">
        <v>42174.745833333334</v>
      </c>
      <c r="B79" s="312" t="s">
        <v>1385</v>
      </c>
      <c r="C79" s="312" t="s">
        <v>1184</v>
      </c>
      <c r="D79" s="303" t="s">
        <v>1185</v>
      </c>
      <c r="E79" s="315">
        <v>41310.0</v>
      </c>
      <c r="F79" s="312" t="s">
        <v>30</v>
      </c>
      <c r="G79" s="303" t="s">
        <v>1180</v>
      </c>
      <c r="H79" s="303" t="s">
        <v>1181</v>
      </c>
      <c r="I79" s="303" t="s">
        <v>1181</v>
      </c>
      <c r="J79" s="306">
        <v>0.9</v>
      </c>
      <c r="K79" s="312">
        <v>270.0</v>
      </c>
      <c r="L79" s="312"/>
      <c r="M79" s="312">
        <v>299.0</v>
      </c>
      <c r="N79" s="312"/>
      <c r="O79" s="312"/>
      <c r="P79" s="315">
        <v>42174.0</v>
      </c>
      <c r="Q79" s="312">
        <v>32660.0</v>
      </c>
      <c r="R79" s="312">
        <v>254.0</v>
      </c>
      <c r="S79" s="316"/>
      <c r="T79" s="317">
        <v>254.0</v>
      </c>
      <c r="U79" s="312" t="s">
        <v>1369</v>
      </c>
      <c r="V79" s="312" t="s">
        <v>1367</v>
      </c>
      <c r="W79" s="50"/>
      <c r="X79" s="50"/>
      <c r="Y79" s="50"/>
      <c r="Z79" s="312"/>
      <c r="AA79" s="312" t="s">
        <v>1386</v>
      </c>
      <c r="AB79" s="50"/>
      <c r="AC79" s="50"/>
      <c r="AD79" s="50"/>
      <c r="AE79" s="50"/>
    </row>
    <row r="80">
      <c r="A80" s="307">
        <v>42202.75</v>
      </c>
      <c r="B80" s="312" t="s">
        <v>1385</v>
      </c>
      <c r="C80" s="312" t="s">
        <v>1184</v>
      </c>
      <c r="D80" s="303" t="s">
        <v>1185</v>
      </c>
      <c r="E80" s="315">
        <v>41310.0</v>
      </c>
      <c r="F80" s="312" t="s">
        <v>30</v>
      </c>
      <c r="G80" s="303" t="s">
        <v>1180</v>
      </c>
      <c r="H80" s="303" t="s">
        <v>1181</v>
      </c>
      <c r="I80" s="303" t="s">
        <v>1181</v>
      </c>
      <c r="J80" s="306">
        <v>0.9</v>
      </c>
      <c r="K80" s="312">
        <v>270.0</v>
      </c>
      <c r="L80" s="312"/>
      <c r="M80" s="312">
        <v>299.0</v>
      </c>
      <c r="N80" s="312"/>
      <c r="O80" s="312"/>
      <c r="P80" s="315">
        <v>42202.0</v>
      </c>
      <c r="Q80" s="312">
        <v>34622.0</v>
      </c>
      <c r="R80" s="312">
        <v>254.0</v>
      </c>
      <c r="S80" s="316"/>
      <c r="T80" s="317">
        <v>254.0</v>
      </c>
      <c r="U80" s="312" t="s">
        <v>1369</v>
      </c>
      <c r="V80" s="312" t="s">
        <v>1367</v>
      </c>
      <c r="W80" s="312"/>
      <c r="X80" s="312"/>
      <c r="Y80" s="312"/>
      <c r="Z80" s="312"/>
      <c r="AA80" s="312" t="s">
        <v>1386</v>
      </c>
      <c r="AB80" s="50"/>
      <c r="AC80" s="50"/>
      <c r="AD80" s="50"/>
      <c r="AE80" s="50"/>
    </row>
    <row r="81">
      <c r="A81" s="307">
        <v>42244.75347222222</v>
      </c>
      <c r="B81" s="312" t="s">
        <v>1385</v>
      </c>
      <c r="C81" s="312" t="s">
        <v>1184</v>
      </c>
      <c r="D81" s="303" t="s">
        <v>1185</v>
      </c>
      <c r="E81" s="315">
        <v>41310.0</v>
      </c>
      <c r="F81" s="312" t="s">
        <v>30</v>
      </c>
      <c r="G81" s="303" t="s">
        <v>1180</v>
      </c>
      <c r="H81" s="303" t="s">
        <v>1181</v>
      </c>
      <c r="I81" s="303" t="s">
        <v>1181</v>
      </c>
      <c r="J81" s="306">
        <v>0.9</v>
      </c>
      <c r="K81" s="312">
        <v>270.0</v>
      </c>
      <c r="L81" s="312"/>
      <c r="M81" s="312">
        <v>299.0</v>
      </c>
      <c r="N81" s="312"/>
      <c r="O81" s="312"/>
      <c r="P81" s="315">
        <v>42244.0</v>
      </c>
      <c r="Q81" s="312">
        <v>36269.0</v>
      </c>
      <c r="R81" s="312">
        <v>254.0</v>
      </c>
      <c r="S81" s="316"/>
      <c r="T81" s="317">
        <v>254.0</v>
      </c>
      <c r="U81" s="312" t="s">
        <v>1369</v>
      </c>
      <c r="V81" s="312" t="s">
        <v>1367</v>
      </c>
      <c r="W81" s="50"/>
      <c r="X81" s="50"/>
      <c r="Y81" s="50"/>
      <c r="Z81" s="312"/>
      <c r="AA81" s="312" t="s">
        <v>1386</v>
      </c>
      <c r="AB81" s="50"/>
      <c r="AC81" s="50"/>
      <c r="AD81" s="50"/>
      <c r="AE81" s="50"/>
    </row>
    <row r="82">
      <c r="A82" s="307">
        <v>42258.756944444445</v>
      </c>
      <c r="B82" s="312" t="s">
        <v>1385</v>
      </c>
      <c r="C82" s="312" t="s">
        <v>1184</v>
      </c>
      <c r="D82" s="303" t="s">
        <v>1185</v>
      </c>
      <c r="E82" s="315">
        <v>41310.0</v>
      </c>
      <c r="F82" s="312" t="s">
        <v>30</v>
      </c>
      <c r="G82" s="303" t="s">
        <v>1180</v>
      </c>
      <c r="H82" s="303" t="s">
        <v>1181</v>
      </c>
      <c r="I82" s="303" t="s">
        <v>1181</v>
      </c>
      <c r="J82" s="306">
        <v>0.9</v>
      </c>
      <c r="K82" s="312">
        <v>270.0</v>
      </c>
      <c r="L82" s="312"/>
      <c r="M82" s="312">
        <v>299.0</v>
      </c>
      <c r="N82" s="312"/>
      <c r="O82" s="312"/>
      <c r="P82" s="315">
        <v>42258.0</v>
      </c>
      <c r="Q82" s="312">
        <v>36771.0</v>
      </c>
      <c r="R82" s="312">
        <v>253.0</v>
      </c>
      <c r="S82" s="316"/>
      <c r="T82" s="317">
        <v>253.0</v>
      </c>
      <c r="U82" s="312" t="s">
        <v>1369</v>
      </c>
      <c r="V82" s="312" t="s">
        <v>1367</v>
      </c>
      <c r="W82" s="50"/>
      <c r="X82" s="50"/>
      <c r="Y82" s="50"/>
      <c r="Z82" s="312"/>
      <c r="AA82" s="312" t="s">
        <v>1386</v>
      </c>
      <c r="AB82" s="50"/>
      <c r="AC82" s="50"/>
      <c r="AD82" s="50"/>
      <c r="AE82" s="50"/>
    </row>
    <row r="83">
      <c r="A83" s="307">
        <v>42299.76875</v>
      </c>
      <c r="B83" s="312" t="s">
        <v>1385</v>
      </c>
      <c r="C83" s="312" t="s">
        <v>1184</v>
      </c>
      <c r="D83" s="303" t="s">
        <v>1185</v>
      </c>
      <c r="E83" s="315">
        <v>41310.0</v>
      </c>
      <c r="F83" s="312" t="s">
        <v>30</v>
      </c>
      <c r="G83" s="303" t="s">
        <v>1180</v>
      </c>
      <c r="H83" s="303" t="s">
        <v>1181</v>
      </c>
      <c r="I83" s="303" t="s">
        <v>1181</v>
      </c>
      <c r="J83" s="306">
        <v>0.9</v>
      </c>
      <c r="K83" s="312">
        <v>270.0</v>
      </c>
      <c r="L83" s="312"/>
      <c r="M83" s="312">
        <v>298.0</v>
      </c>
      <c r="N83" s="312"/>
      <c r="O83" s="312"/>
      <c r="P83" s="315">
        <v>42299.0</v>
      </c>
      <c r="Q83" s="312">
        <v>39139.0</v>
      </c>
      <c r="R83" s="312">
        <v>252.0</v>
      </c>
      <c r="S83" s="316"/>
      <c r="T83" s="317">
        <v>252.0</v>
      </c>
      <c r="U83" s="312" t="s">
        <v>1369</v>
      </c>
      <c r="V83" s="312" t="s">
        <v>1367</v>
      </c>
      <c r="W83" s="50"/>
      <c r="X83" s="50"/>
      <c r="Y83" s="50"/>
      <c r="Z83" s="312"/>
      <c r="AA83" s="312" t="s">
        <v>1386</v>
      </c>
      <c r="AB83" s="50"/>
      <c r="AC83" s="50"/>
      <c r="AD83" s="50"/>
      <c r="AE83" s="50"/>
    </row>
    <row r="84">
      <c r="A84" s="307">
        <v>42337.774305555555</v>
      </c>
      <c r="B84" s="312" t="s">
        <v>1385</v>
      </c>
      <c r="C84" s="312" t="s">
        <v>1184</v>
      </c>
      <c r="D84" s="303" t="s">
        <v>1185</v>
      </c>
      <c r="E84" s="315">
        <v>41310.0</v>
      </c>
      <c r="F84" s="312" t="s">
        <v>30</v>
      </c>
      <c r="G84" s="303" t="s">
        <v>1180</v>
      </c>
      <c r="H84" s="303" t="s">
        <v>1181</v>
      </c>
      <c r="I84" s="303" t="s">
        <v>1181</v>
      </c>
      <c r="J84" s="306">
        <v>0.9</v>
      </c>
      <c r="K84" s="312">
        <v>270.0</v>
      </c>
      <c r="L84" s="312"/>
      <c r="M84" s="312">
        <v>298.0</v>
      </c>
      <c r="N84" s="312"/>
      <c r="O84" s="312"/>
      <c r="P84" s="315">
        <v>42337.0</v>
      </c>
      <c r="Q84" s="312">
        <v>39940.0</v>
      </c>
      <c r="R84" s="312">
        <v>253.0</v>
      </c>
      <c r="S84" s="316"/>
      <c r="T84" s="317">
        <v>253.0</v>
      </c>
      <c r="U84" s="312" t="s">
        <v>1369</v>
      </c>
      <c r="V84" s="312" t="s">
        <v>1367</v>
      </c>
      <c r="W84" s="50"/>
      <c r="X84" s="50"/>
      <c r="Y84" s="50"/>
      <c r="Z84" s="312"/>
      <c r="AA84" s="312" t="s">
        <v>1386</v>
      </c>
      <c r="AB84" s="50"/>
      <c r="AC84" s="50"/>
      <c r="AD84" s="50"/>
      <c r="AE84" s="50"/>
    </row>
    <row r="85">
      <c r="A85" s="307">
        <v>42374.78680555556</v>
      </c>
      <c r="B85" s="312" t="s">
        <v>1385</v>
      </c>
      <c r="C85" s="312" t="s">
        <v>1184</v>
      </c>
      <c r="D85" s="303" t="s">
        <v>1185</v>
      </c>
      <c r="E85" s="315">
        <v>41310.0</v>
      </c>
      <c r="F85" s="312" t="s">
        <v>30</v>
      </c>
      <c r="G85" s="303" t="s">
        <v>1180</v>
      </c>
      <c r="H85" s="303" t="s">
        <v>1181</v>
      </c>
      <c r="I85" s="303" t="s">
        <v>1181</v>
      </c>
      <c r="J85" s="306">
        <v>0.9</v>
      </c>
      <c r="K85" s="312">
        <v>270.0</v>
      </c>
      <c r="L85" s="312"/>
      <c r="M85" s="312">
        <v>298.0</v>
      </c>
      <c r="N85" s="312"/>
      <c r="O85" s="312"/>
      <c r="P85" s="315">
        <v>42374.0</v>
      </c>
      <c r="Q85" s="312">
        <v>41800.0</v>
      </c>
      <c r="R85" s="312">
        <v>252.0</v>
      </c>
      <c r="S85" s="316"/>
      <c r="T85" s="317">
        <v>252.0</v>
      </c>
      <c r="U85" s="312" t="s">
        <v>1369</v>
      </c>
      <c r="V85" s="312" t="s">
        <v>1367</v>
      </c>
      <c r="W85" s="50"/>
      <c r="X85" s="50"/>
      <c r="Y85" s="50"/>
      <c r="Z85" s="312"/>
      <c r="AA85" s="312" t="s">
        <v>1386</v>
      </c>
      <c r="AB85" s="50"/>
      <c r="AC85" s="50"/>
      <c r="AD85" s="50"/>
      <c r="AE85" s="50"/>
    </row>
    <row r="86">
      <c r="A86" s="307">
        <v>42437.79027777778</v>
      </c>
      <c r="B86" s="312" t="s">
        <v>1385</v>
      </c>
      <c r="C86" s="312" t="s">
        <v>1184</v>
      </c>
      <c r="D86" s="303" t="s">
        <v>1185</v>
      </c>
      <c r="E86" s="315">
        <v>41310.0</v>
      </c>
      <c r="F86" s="312" t="s">
        <v>30</v>
      </c>
      <c r="G86" s="303" t="s">
        <v>1180</v>
      </c>
      <c r="H86" s="303" t="s">
        <v>1181</v>
      </c>
      <c r="I86" s="303" t="s">
        <v>1181</v>
      </c>
      <c r="J86" s="306">
        <v>0.9</v>
      </c>
      <c r="K86" s="312">
        <v>270.0</v>
      </c>
      <c r="L86" s="312"/>
      <c r="M86" s="312">
        <v>298.0</v>
      </c>
      <c r="N86" s="312"/>
      <c r="O86" s="312"/>
      <c r="P86" s="315">
        <v>42437.0</v>
      </c>
      <c r="Q86" s="312">
        <v>43603.0</v>
      </c>
      <c r="R86" s="312">
        <v>253.0</v>
      </c>
      <c r="S86" s="316"/>
      <c r="T86" s="317">
        <v>253.0</v>
      </c>
      <c r="U86" s="312" t="s">
        <v>1369</v>
      </c>
      <c r="V86" s="312" t="s">
        <v>1367</v>
      </c>
      <c r="W86" s="50"/>
      <c r="X86" s="50"/>
      <c r="Y86" s="50"/>
      <c r="Z86" s="312"/>
      <c r="AA86" s="312" t="s">
        <v>1386</v>
      </c>
      <c r="AB86" s="50"/>
      <c r="AC86" s="50"/>
      <c r="AD86" s="50"/>
      <c r="AE86" s="50"/>
    </row>
    <row r="87">
      <c r="A87" s="307">
        <v>42459.790972222225</v>
      </c>
      <c r="B87" s="312" t="s">
        <v>1385</v>
      </c>
      <c r="C87" s="312" t="s">
        <v>1184</v>
      </c>
      <c r="D87" s="303" t="s">
        <v>1185</v>
      </c>
      <c r="E87" s="315">
        <v>41310.0</v>
      </c>
      <c r="F87" s="312" t="s">
        <v>30</v>
      </c>
      <c r="G87" s="303" t="s">
        <v>1180</v>
      </c>
      <c r="H87" s="303" t="s">
        <v>1181</v>
      </c>
      <c r="I87" s="303" t="s">
        <v>1181</v>
      </c>
      <c r="J87" s="306">
        <v>0.9</v>
      </c>
      <c r="K87" s="312">
        <v>270.0</v>
      </c>
      <c r="L87" s="312"/>
      <c r="M87" s="312">
        <v>297.0</v>
      </c>
      <c r="N87" s="312"/>
      <c r="O87" s="312"/>
      <c r="P87" s="315">
        <v>42459.0</v>
      </c>
      <c r="Q87" s="312">
        <v>44219.0</v>
      </c>
      <c r="R87" s="312">
        <v>253.0</v>
      </c>
      <c r="S87" s="316"/>
      <c r="T87" s="317">
        <v>253.0</v>
      </c>
      <c r="U87" s="312" t="s">
        <v>1369</v>
      </c>
      <c r="V87" s="312" t="s">
        <v>1367</v>
      </c>
      <c r="W87" s="50"/>
      <c r="X87" s="50"/>
      <c r="Y87" s="50"/>
      <c r="Z87" s="312"/>
      <c r="AA87" s="312" t="s">
        <v>1386</v>
      </c>
      <c r="AB87" s="50"/>
      <c r="AC87" s="50"/>
      <c r="AD87" s="50"/>
      <c r="AE87" s="50"/>
    </row>
    <row r="88">
      <c r="A88" s="307">
        <v>42481.79305555556</v>
      </c>
      <c r="B88" s="312" t="s">
        <v>1385</v>
      </c>
      <c r="C88" s="312" t="s">
        <v>1184</v>
      </c>
      <c r="D88" s="303" t="s">
        <v>1185</v>
      </c>
      <c r="E88" s="315">
        <v>41310.0</v>
      </c>
      <c r="F88" s="312" t="s">
        <v>30</v>
      </c>
      <c r="G88" s="303" t="s">
        <v>1180</v>
      </c>
      <c r="H88" s="303" t="s">
        <v>1181</v>
      </c>
      <c r="I88" s="303" t="s">
        <v>1181</v>
      </c>
      <c r="J88" s="306">
        <v>0.9</v>
      </c>
      <c r="K88" s="312">
        <v>270.0</v>
      </c>
      <c r="L88" s="312"/>
      <c r="M88" s="312">
        <v>297.0</v>
      </c>
      <c r="N88" s="312"/>
      <c r="O88" s="312"/>
      <c r="P88" s="315">
        <v>42481.0</v>
      </c>
      <c r="Q88" s="312">
        <v>44883.0</v>
      </c>
      <c r="R88" s="312">
        <v>254.0</v>
      </c>
      <c r="S88" s="316"/>
      <c r="T88" s="317">
        <v>254.0</v>
      </c>
      <c r="U88" s="312" t="s">
        <v>1369</v>
      </c>
      <c r="V88" s="312" t="s">
        <v>1367</v>
      </c>
      <c r="W88" s="50"/>
      <c r="X88" s="50"/>
      <c r="Y88" s="50"/>
      <c r="Z88" s="312"/>
      <c r="AA88" s="312" t="s">
        <v>1386</v>
      </c>
      <c r="AB88" s="50"/>
      <c r="AC88" s="50"/>
      <c r="AD88" s="50"/>
      <c r="AE88" s="50"/>
    </row>
    <row r="89">
      <c r="A89" s="307">
        <v>42524.79722222222</v>
      </c>
      <c r="B89" s="312" t="s">
        <v>1385</v>
      </c>
      <c r="C89" s="312" t="s">
        <v>1184</v>
      </c>
      <c r="D89" s="303" t="s">
        <v>1185</v>
      </c>
      <c r="E89" s="315">
        <v>41310.0</v>
      </c>
      <c r="F89" s="312" t="s">
        <v>30</v>
      </c>
      <c r="G89" s="303" t="s">
        <v>1180</v>
      </c>
      <c r="H89" s="303" t="s">
        <v>1181</v>
      </c>
      <c r="I89" s="303" t="s">
        <v>1181</v>
      </c>
      <c r="J89" s="306">
        <v>0.9</v>
      </c>
      <c r="K89" s="312">
        <v>270.0</v>
      </c>
      <c r="L89" s="312"/>
      <c r="M89" s="312">
        <v>297.0</v>
      </c>
      <c r="N89" s="312"/>
      <c r="O89" s="312"/>
      <c r="P89" s="315">
        <v>42524.0</v>
      </c>
      <c r="Q89" s="312">
        <v>46559.0</v>
      </c>
      <c r="R89" s="312">
        <v>254.0</v>
      </c>
      <c r="S89" s="316"/>
      <c r="T89" s="317">
        <v>254.0</v>
      </c>
      <c r="U89" s="312" t="s">
        <v>1369</v>
      </c>
      <c r="V89" s="312" t="s">
        <v>1367</v>
      </c>
      <c r="W89" s="50"/>
      <c r="X89" s="50"/>
      <c r="Y89" s="50"/>
      <c r="Z89" s="312"/>
      <c r="AA89" s="312" t="s">
        <v>1386</v>
      </c>
      <c r="AB89" s="50"/>
      <c r="AC89" s="50"/>
      <c r="AD89" s="50"/>
      <c r="AE89" s="50"/>
    </row>
    <row r="90">
      <c r="A90" s="307">
        <v>42559.8</v>
      </c>
      <c r="B90" s="312" t="s">
        <v>1385</v>
      </c>
      <c r="C90" s="312" t="s">
        <v>1184</v>
      </c>
      <c r="D90" s="303" t="s">
        <v>1185</v>
      </c>
      <c r="E90" s="315">
        <v>41310.0</v>
      </c>
      <c r="F90" s="312" t="s">
        <v>30</v>
      </c>
      <c r="G90" s="303" t="s">
        <v>1180</v>
      </c>
      <c r="H90" s="303" t="s">
        <v>1181</v>
      </c>
      <c r="I90" s="303" t="s">
        <v>1181</v>
      </c>
      <c r="J90" s="306">
        <v>0.9</v>
      </c>
      <c r="K90" s="312">
        <v>270.0</v>
      </c>
      <c r="L90" s="312"/>
      <c r="M90" s="312">
        <v>297.0</v>
      </c>
      <c r="N90" s="312"/>
      <c r="O90" s="312"/>
      <c r="P90" s="315">
        <v>42559.0</v>
      </c>
      <c r="Q90" s="312">
        <v>48053.0</v>
      </c>
      <c r="R90" s="312">
        <v>253.0</v>
      </c>
      <c r="S90" s="316"/>
      <c r="T90" s="317">
        <v>253.0</v>
      </c>
      <c r="U90" s="312" t="s">
        <v>1369</v>
      </c>
      <c r="V90" s="312" t="s">
        <v>1367</v>
      </c>
      <c r="W90" s="50"/>
      <c r="X90" s="50"/>
      <c r="Y90" s="50"/>
      <c r="Z90" s="312"/>
      <c r="AA90" s="312" t="s">
        <v>1386</v>
      </c>
      <c r="AB90" s="50"/>
      <c r="AC90" s="50"/>
      <c r="AD90" s="50"/>
      <c r="AE90" s="50"/>
    </row>
    <row r="91">
      <c r="A91" s="307">
        <v>42619.805555555555</v>
      </c>
      <c r="B91" s="312" t="s">
        <v>1385</v>
      </c>
      <c r="C91" s="312" t="s">
        <v>1184</v>
      </c>
      <c r="D91" s="303" t="s">
        <v>1185</v>
      </c>
      <c r="E91" s="315">
        <v>41310.0</v>
      </c>
      <c r="F91" s="312" t="s">
        <v>30</v>
      </c>
      <c r="G91" s="303" t="s">
        <v>1180</v>
      </c>
      <c r="H91" s="303" t="s">
        <v>1181</v>
      </c>
      <c r="I91" s="303" t="s">
        <v>1181</v>
      </c>
      <c r="J91" s="306">
        <v>0.9</v>
      </c>
      <c r="K91" s="312">
        <v>270.0</v>
      </c>
      <c r="L91" s="312"/>
      <c r="M91" s="312">
        <v>297.0</v>
      </c>
      <c r="N91" s="312"/>
      <c r="O91" s="312"/>
      <c r="P91" s="315">
        <v>42619.0</v>
      </c>
      <c r="Q91" s="312">
        <v>49639.0</v>
      </c>
      <c r="R91" s="312">
        <v>253.0</v>
      </c>
      <c r="S91" s="316"/>
      <c r="T91" s="317">
        <v>253.0</v>
      </c>
      <c r="U91" s="312" t="s">
        <v>1369</v>
      </c>
      <c r="V91" s="312" t="s">
        <v>1367</v>
      </c>
      <c r="W91" s="50"/>
      <c r="X91" s="50"/>
      <c r="Y91" s="50"/>
      <c r="Z91" s="312"/>
      <c r="AA91" s="312" t="s">
        <v>1386</v>
      </c>
      <c r="AB91" s="50"/>
      <c r="AC91" s="50"/>
      <c r="AD91" s="50"/>
      <c r="AE91" s="50"/>
    </row>
    <row r="92">
      <c r="A92" s="307">
        <v>42649.80763888889</v>
      </c>
      <c r="B92" s="312" t="s">
        <v>1385</v>
      </c>
      <c r="C92" s="312" t="s">
        <v>1184</v>
      </c>
      <c r="D92" s="303" t="s">
        <v>1185</v>
      </c>
      <c r="E92" s="315">
        <v>41310.0</v>
      </c>
      <c r="F92" s="312" t="s">
        <v>30</v>
      </c>
      <c r="G92" s="303" t="s">
        <v>1180</v>
      </c>
      <c r="H92" s="303" t="s">
        <v>1181</v>
      </c>
      <c r="I92" s="303" t="s">
        <v>1181</v>
      </c>
      <c r="J92" s="306">
        <v>0.9</v>
      </c>
      <c r="K92" s="312">
        <v>270.0</v>
      </c>
      <c r="L92" s="312"/>
      <c r="M92" s="312">
        <v>297.0</v>
      </c>
      <c r="N92" s="312"/>
      <c r="O92" s="312"/>
      <c r="P92" s="315">
        <v>42649.0</v>
      </c>
      <c r="Q92" s="312">
        <v>50510.0</v>
      </c>
      <c r="R92" s="312">
        <v>252.0</v>
      </c>
      <c r="S92" s="316"/>
      <c r="T92" s="317">
        <v>252.0</v>
      </c>
      <c r="U92" s="312" t="s">
        <v>1369</v>
      </c>
      <c r="V92" s="312" t="s">
        <v>1367</v>
      </c>
      <c r="W92" s="50"/>
      <c r="X92" s="50"/>
      <c r="Y92" s="50"/>
      <c r="Z92" s="312"/>
      <c r="AA92" s="312" t="s">
        <v>1386</v>
      </c>
      <c r="AB92" s="50"/>
      <c r="AC92" s="50"/>
      <c r="AD92" s="50"/>
      <c r="AE92" s="50"/>
    </row>
    <row r="93">
      <c r="A93" s="307">
        <v>42822.822222222225</v>
      </c>
      <c r="B93" s="312" t="s">
        <v>1385</v>
      </c>
      <c r="C93" s="312" t="s">
        <v>1184</v>
      </c>
      <c r="D93" s="303" t="s">
        <v>1185</v>
      </c>
      <c r="E93" s="315">
        <v>41310.0</v>
      </c>
      <c r="F93" s="312" t="s">
        <v>30</v>
      </c>
      <c r="G93" s="303" t="s">
        <v>1180</v>
      </c>
      <c r="H93" s="303" t="s">
        <v>1181</v>
      </c>
      <c r="I93" s="303" t="s">
        <v>1181</v>
      </c>
      <c r="J93" s="306">
        <v>0.9</v>
      </c>
      <c r="K93" s="312">
        <v>270.0</v>
      </c>
      <c r="L93" s="312"/>
      <c r="M93" s="312">
        <v>297.0</v>
      </c>
      <c r="N93" s="312"/>
      <c r="O93" s="312"/>
      <c r="P93" s="315">
        <v>42822.0</v>
      </c>
      <c r="Q93" s="312">
        <v>55213.0</v>
      </c>
      <c r="R93" s="312">
        <v>252.0</v>
      </c>
      <c r="S93" s="316"/>
      <c r="T93" s="317">
        <v>252.0</v>
      </c>
      <c r="U93" s="312" t="s">
        <v>1369</v>
      </c>
      <c r="V93" s="312" t="s">
        <v>1367</v>
      </c>
      <c r="W93" s="50"/>
      <c r="X93" s="50"/>
      <c r="Y93" s="50"/>
      <c r="Z93" s="312"/>
      <c r="AA93" s="312" t="s">
        <v>1386</v>
      </c>
      <c r="AB93" s="50"/>
      <c r="AC93" s="50"/>
      <c r="AD93" s="50"/>
      <c r="AE93" s="50"/>
    </row>
    <row r="94">
      <c r="A94" s="307">
        <v>42849.82638888889</v>
      </c>
      <c r="B94" s="312" t="s">
        <v>1385</v>
      </c>
      <c r="C94" s="312" t="s">
        <v>1184</v>
      </c>
      <c r="D94" s="303" t="s">
        <v>1185</v>
      </c>
      <c r="E94" s="315">
        <v>41310.0</v>
      </c>
      <c r="F94" s="312" t="s">
        <v>30</v>
      </c>
      <c r="G94" s="303" t="s">
        <v>1180</v>
      </c>
      <c r="H94" s="303" t="s">
        <v>1181</v>
      </c>
      <c r="I94" s="303" t="s">
        <v>1181</v>
      </c>
      <c r="J94" s="306">
        <v>0.9</v>
      </c>
      <c r="K94" s="312">
        <v>270.0</v>
      </c>
      <c r="L94" s="312"/>
      <c r="M94" s="312">
        <v>297.0</v>
      </c>
      <c r="N94" s="312"/>
      <c r="O94" s="312"/>
      <c r="P94" s="315">
        <v>42849.0</v>
      </c>
      <c r="Q94" s="312">
        <v>55770.0</v>
      </c>
      <c r="R94" s="312">
        <v>252.0</v>
      </c>
      <c r="S94" s="316"/>
      <c r="T94" s="317">
        <v>252.0</v>
      </c>
      <c r="U94" s="312" t="s">
        <v>1369</v>
      </c>
      <c r="V94" s="312" t="s">
        <v>1367</v>
      </c>
      <c r="W94" s="50"/>
      <c r="X94" s="50"/>
      <c r="Y94" s="50"/>
      <c r="Z94" s="312"/>
      <c r="AA94" s="312" t="s">
        <v>1386</v>
      </c>
      <c r="AB94" s="50"/>
      <c r="AC94" s="50"/>
      <c r="AD94" s="50"/>
      <c r="AE94" s="50"/>
    </row>
    <row r="95">
      <c r="A95" s="307">
        <v>42878.83263888889</v>
      </c>
      <c r="B95" s="312" t="s">
        <v>1385</v>
      </c>
      <c r="C95" s="312" t="s">
        <v>1184</v>
      </c>
      <c r="D95" s="303" t="s">
        <v>1185</v>
      </c>
      <c r="E95" s="315">
        <v>41310.0</v>
      </c>
      <c r="F95" s="312" t="s">
        <v>30</v>
      </c>
      <c r="G95" s="303" t="s">
        <v>1180</v>
      </c>
      <c r="H95" s="303" t="s">
        <v>1181</v>
      </c>
      <c r="I95" s="303" t="s">
        <v>1181</v>
      </c>
      <c r="J95" s="306">
        <v>0.9</v>
      </c>
      <c r="K95" s="312">
        <v>270.0</v>
      </c>
      <c r="L95" s="312"/>
      <c r="M95" s="312">
        <v>297.0</v>
      </c>
      <c r="N95" s="312"/>
      <c r="O95" s="312"/>
      <c r="P95" s="315">
        <v>42878.0</v>
      </c>
      <c r="Q95" s="312">
        <v>56833.0</v>
      </c>
      <c r="R95" s="312">
        <v>252.0</v>
      </c>
      <c r="S95" s="316"/>
      <c r="T95" s="317">
        <v>252.0</v>
      </c>
      <c r="U95" s="312" t="s">
        <v>1369</v>
      </c>
      <c r="V95" s="312" t="s">
        <v>1367</v>
      </c>
      <c r="W95" s="50"/>
      <c r="X95" s="50"/>
      <c r="Y95" s="50"/>
      <c r="Z95" s="312"/>
      <c r="AA95" s="312" t="s">
        <v>1386</v>
      </c>
      <c r="AB95" s="50"/>
      <c r="AC95" s="50"/>
      <c r="AD95" s="50"/>
      <c r="AE95" s="50"/>
    </row>
    <row r="96">
      <c r="A96" s="307">
        <v>42887.836805555555</v>
      </c>
      <c r="B96" s="312" t="s">
        <v>1385</v>
      </c>
      <c r="C96" s="312" t="s">
        <v>1184</v>
      </c>
      <c r="D96" s="303" t="s">
        <v>1185</v>
      </c>
      <c r="E96" s="315">
        <v>41310.0</v>
      </c>
      <c r="F96" s="312" t="s">
        <v>30</v>
      </c>
      <c r="G96" s="303" t="s">
        <v>1180</v>
      </c>
      <c r="H96" s="303" t="s">
        <v>1181</v>
      </c>
      <c r="I96" s="303" t="s">
        <v>1181</v>
      </c>
      <c r="J96" s="306">
        <v>0.9</v>
      </c>
      <c r="K96" s="312">
        <v>270.0</v>
      </c>
      <c r="L96" s="312"/>
      <c r="M96" s="312">
        <v>297.0</v>
      </c>
      <c r="N96" s="312"/>
      <c r="O96" s="312"/>
      <c r="P96" s="315">
        <v>42887.0</v>
      </c>
      <c r="Q96" s="312">
        <v>57133.0</v>
      </c>
      <c r="R96" s="312">
        <v>253.0</v>
      </c>
      <c r="S96" s="316"/>
      <c r="T96" s="317">
        <v>253.0</v>
      </c>
      <c r="U96" s="312" t="s">
        <v>1369</v>
      </c>
      <c r="V96" s="312" t="s">
        <v>1367</v>
      </c>
      <c r="W96" s="50"/>
      <c r="X96" s="50"/>
      <c r="Y96" s="50"/>
      <c r="Z96" s="312"/>
      <c r="AA96" s="312" t="s">
        <v>1386</v>
      </c>
      <c r="AB96" s="50"/>
      <c r="AC96" s="50"/>
      <c r="AD96" s="50"/>
      <c r="AE96" s="50"/>
    </row>
    <row r="97">
      <c r="A97" s="307">
        <v>42905.83888888889</v>
      </c>
      <c r="B97" s="312" t="s">
        <v>1385</v>
      </c>
      <c r="C97" s="312" t="s">
        <v>1184</v>
      </c>
      <c r="D97" s="303" t="s">
        <v>1185</v>
      </c>
      <c r="E97" s="315">
        <v>41310.0</v>
      </c>
      <c r="F97" s="312" t="s">
        <v>30</v>
      </c>
      <c r="G97" s="303" t="s">
        <v>1180</v>
      </c>
      <c r="H97" s="303" t="s">
        <v>1181</v>
      </c>
      <c r="I97" s="303" t="s">
        <v>1181</v>
      </c>
      <c r="J97" s="306">
        <v>0.9</v>
      </c>
      <c r="K97" s="312">
        <v>270.0</v>
      </c>
      <c r="L97" s="312"/>
      <c r="M97" s="312">
        <v>297.0</v>
      </c>
      <c r="N97" s="312"/>
      <c r="O97" s="312"/>
      <c r="P97" s="315">
        <v>42905.0</v>
      </c>
      <c r="Q97" s="312">
        <v>57585.0</v>
      </c>
      <c r="R97" s="312">
        <v>253.0</v>
      </c>
      <c r="S97" s="316"/>
      <c r="T97" s="317">
        <v>253.0</v>
      </c>
      <c r="U97" s="312" t="s">
        <v>1369</v>
      </c>
      <c r="V97" s="312" t="s">
        <v>1367</v>
      </c>
      <c r="W97" s="50"/>
      <c r="X97" s="50"/>
      <c r="Y97" s="50"/>
      <c r="Z97" s="312"/>
      <c r="AA97" s="312" t="s">
        <v>1386</v>
      </c>
      <c r="AB97" s="50"/>
      <c r="AC97" s="50"/>
      <c r="AD97" s="50"/>
      <c r="AE97" s="50"/>
    </row>
    <row r="98">
      <c r="A98" s="307">
        <v>42937.845138888886</v>
      </c>
      <c r="B98" s="312" t="s">
        <v>1385</v>
      </c>
      <c r="C98" s="312" t="s">
        <v>1184</v>
      </c>
      <c r="D98" s="303" t="s">
        <v>1185</v>
      </c>
      <c r="E98" s="315">
        <v>41310.0</v>
      </c>
      <c r="F98" s="312" t="s">
        <v>30</v>
      </c>
      <c r="G98" s="303" t="s">
        <v>1180</v>
      </c>
      <c r="H98" s="303" t="s">
        <v>1181</v>
      </c>
      <c r="I98" s="303" t="s">
        <v>1181</v>
      </c>
      <c r="J98" s="306">
        <v>0.9</v>
      </c>
      <c r="K98" s="312">
        <v>270.0</v>
      </c>
      <c r="L98" s="312"/>
      <c r="M98" s="312">
        <v>297.0</v>
      </c>
      <c r="N98" s="312"/>
      <c r="O98" s="312"/>
      <c r="P98" s="315">
        <v>42937.0</v>
      </c>
      <c r="Q98" s="312">
        <v>58329.0</v>
      </c>
      <c r="R98" s="312">
        <v>253.0</v>
      </c>
      <c r="S98" s="316"/>
      <c r="T98" s="317">
        <v>253.0</v>
      </c>
      <c r="U98" s="312" t="s">
        <v>1369</v>
      </c>
      <c r="V98" s="312" t="s">
        <v>1367</v>
      </c>
      <c r="W98" s="50"/>
      <c r="X98" s="50"/>
      <c r="Y98" s="50"/>
      <c r="Z98" s="312"/>
      <c r="AA98" s="312" t="s">
        <v>1386</v>
      </c>
      <c r="AB98" s="50"/>
      <c r="AC98" s="50"/>
      <c r="AD98" s="50"/>
      <c r="AE98" s="50"/>
    </row>
    <row r="99">
      <c r="A99" s="307">
        <v>42958.84722222222</v>
      </c>
      <c r="B99" s="312" t="s">
        <v>1385</v>
      </c>
      <c r="C99" s="312" t="s">
        <v>1184</v>
      </c>
      <c r="D99" s="303" t="s">
        <v>1185</v>
      </c>
      <c r="E99" s="315">
        <v>41310.0</v>
      </c>
      <c r="F99" s="312" t="s">
        <v>30</v>
      </c>
      <c r="G99" s="303" t="s">
        <v>1181</v>
      </c>
      <c r="H99" s="303" t="s">
        <v>1181</v>
      </c>
      <c r="I99" s="303" t="s">
        <v>1181</v>
      </c>
      <c r="J99" s="306">
        <v>0.9</v>
      </c>
      <c r="K99" s="312">
        <v>270.0</v>
      </c>
      <c r="L99" s="312"/>
      <c r="M99" s="312">
        <v>297.0</v>
      </c>
      <c r="N99" s="312"/>
      <c r="O99" s="312"/>
      <c r="P99" s="315">
        <v>42958.0</v>
      </c>
      <c r="Q99" s="312">
        <v>58983.0</v>
      </c>
      <c r="R99" s="312">
        <v>253.0</v>
      </c>
      <c r="S99" s="316"/>
      <c r="T99" s="317">
        <v>253.0</v>
      </c>
      <c r="U99" s="312" t="s">
        <v>1369</v>
      </c>
      <c r="V99" s="312" t="s">
        <v>1367</v>
      </c>
      <c r="W99" s="50"/>
      <c r="X99" s="50"/>
      <c r="Y99" s="50"/>
      <c r="Z99" s="312"/>
      <c r="AA99" s="312" t="s">
        <v>1386</v>
      </c>
      <c r="AB99" s="50"/>
      <c r="AC99" s="50"/>
      <c r="AD99" s="50"/>
      <c r="AE99" s="50"/>
    </row>
    <row r="100">
      <c r="A100" s="307">
        <v>42992.85486111111</v>
      </c>
      <c r="B100" s="312" t="s">
        <v>1385</v>
      </c>
      <c r="C100" s="312" t="s">
        <v>1184</v>
      </c>
      <c r="D100" s="303" t="s">
        <v>1185</v>
      </c>
      <c r="E100" s="315">
        <v>41310.0</v>
      </c>
      <c r="F100" s="312" t="s">
        <v>30</v>
      </c>
      <c r="G100" s="303" t="s">
        <v>1181</v>
      </c>
      <c r="H100" s="303" t="s">
        <v>1181</v>
      </c>
      <c r="I100" s="303" t="s">
        <v>1181</v>
      </c>
      <c r="J100" s="306">
        <v>0.9</v>
      </c>
      <c r="K100" s="312">
        <v>270.0</v>
      </c>
      <c r="L100" s="312"/>
      <c r="M100" s="312">
        <v>297.0</v>
      </c>
      <c r="N100" s="312"/>
      <c r="O100" s="312"/>
      <c r="P100" s="315">
        <v>42992.0</v>
      </c>
      <c r="Q100" s="312">
        <v>59487.0</v>
      </c>
      <c r="R100" s="312">
        <v>253.0</v>
      </c>
      <c r="S100" s="316"/>
      <c r="T100" s="317">
        <v>253.0</v>
      </c>
      <c r="U100" s="312" t="s">
        <v>1369</v>
      </c>
      <c r="V100" s="312" t="s">
        <v>1367</v>
      </c>
      <c r="W100" s="50"/>
      <c r="X100" s="50"/>
      <c r="Y100" s="50"/>
      <c r="Z100" s="312"/>
      <c r="AA100" s="312" t="s">
        <v>1386</v>
      </c>
      <c r="AB100" s="50"/>
      <c r="AC100" s="50"/>
      <c r="AD100" s="50"/>
      <c r="AE100" s="50"/>
    </row>
    <row r="101">
      <c r="A101" s="307">
        <v>43042.861805555556</v>
      </c>
      <c r="B101" s="312" t="s">
        <v>1385</v>
      </c>
      <c r="C101" s="312" t="s">
        <v>1184</v>
      </c>
      <c r="D101" s="303" t="s">
        <v>1185</v>
      </c>
      <c r="E101" s="315">
        <v>41310.0</v>
      </c>
      <c r="F101" s="312" t="s">
        <v>30</v>
      </c>
      <c r="G101" s="303" t="s">
        <v>1181</v>
      </c>
      <c r="H101" s="303" t="s">
        <v>1181</v>
      </c>
      <c r="I101" s="303" t="s">
        <v>1181</v>
      </c>
      <c r="J101" s="306">
        <v>0.9</v>
      </c>
      <c r="K101" s="312">
        <v>270.0</v>
      </c>
      <c r="L101" s="312"/>
      <c r="M101" s="312">
        <v>297.0</v>
      </c>
      <c r="N101" s="312"/>
      <c r="O101" s="312"/>
      <c r="P101" s="315">
        <v>43042.0</v>
      </c>
      <c r="Q101" s="312">
        <v>60373.0</v>
      </c>
      <c r="R101" s="312">
        <v>252.0</v>
      </c>
      <c r="S101" s="316"/>
      <c r="T101" s="317">
        <v>252.0</v>
      </c>
      <c r="U101" s="312" t="s">
        <v>1369</v>
      </c>
      <c r="V101" s="312" t="s">
        <v>1367</v>
      </c>
      <c r="W101" s="50"/>
      <c r="X101" s="50"/>
      <c r="Y101" s="50"/>
      <c r="Z101" s="312"/>
      <c r="AA101" s="312" t="s">
        <v>1386</v>
      </c>
      <c r="AB101" s="50"/>
      <c r="AC101" s="50"/>
      <c r="AD101" s="50"/>
      <c r="AE101" s="50"/>
    </row>
    <row r="102">
      <c r="A102" s="307">
        <v>43125.86944444444</v>
      </c>
      <c r="B102" s="312" t="s">
        <v>1385</v>
      </c>
      <c r="C102" s="312" t="s">
        <v>1184</v>
      </c>
      <c r="D102" s="303" t="s">
        <v>1185</v>
      </c>
      <c r="E102" s="315">
        <v>41310.0</v>
      </c>
      <c r="F102" s="312" t="s">
        <v>30</v>
      </c>
      <c r="G102" s="303" t="s">
        <v>1181</v>
      </c>
      <c r="H102" s="303" t="s">
        <v>1181</v>
      </c>
      <c r="I102" s="303" t="s">
        <v>1181</v>
      </c>
      <c r="J102" s="306">
        <v>0.9</v>
      </c>
      <c r="K102" s="312">
        <v>270.0</v>
      </c>
      <c r="L102" s="312"/>
      <c r="M102" s="312">
        <v>297.0</v>
      </c>
      <c r="N102" s="312"/>
      <c r="O102" s="312"/>
      <c r="P102" s="315">
        <v>43125.0</v>
      </c>
      <c r="Q102" s="312">
        <v>61535.0</v>
      </c>
      <c r="R102" s="312">
        <v>252.0</v>
      </c>
      <c r="S102" s="316"/>
      <c r="T102" s="317">
        <v>252.0</v>
      </c>
      <c r="U102" s="312" t="s">
        <v>1369</v>
      </c>
      <c r="V102" s="312" t="s">
        <v>1367</v>
      </c>
      <c r="W102" s="50"/>
      <c r="X102" s="50"/>
      <c r="Y102" s="50"/>
      <c r="Z102" s="312"/>
      <c r="AA102" s="312" t="s">
        <v>1386</v>
      </c>
      <c r="AB102" s="50"/>
      <c r="AC102" s="50"/>
      <c r="AD102" s="50"/>
      <c r="AE102" s="50"/>
    </row>
    <row r="103">
      <c r="A103" s="307">
        <v>43201.88402777778</v>
      </c>
      <c r="B103" s="312" t="s">
        <v>1385</v>
      </c>
      <c r="C103" s="312" t="s">
        <v>1184</v>
      </c>
      <c r="D103" s="303" t="s">
        <v>1185</v>
      </c>
      <c r="E103" s="315">
        <v>41310.0</v>
      </c>
      <c r="F103" s="312" t="s">
        <v>30</v>
      </c>
      <c r="G103" s="303" t="s">
        <v>1181</v>
      </c>
      <c r="H103" s="303" t="s">
        <v>1181</v>
      </c>
      <c r="I103" s="303" t="s">
        <v>1181</v>
      </c>
      <c r="J103" s="306">
        <v>0.9</v>
      </c>
      <c r="K103" s="312">
        <v>270.0</v>
      </c>
      <c r="L103" s="312"/>
      <c r="M103" s="312">
        <v>297.0</v>
      </c>
      <c r="N103" s="312"/>
      <c r="O103" s="312"/>
      <c r="P103" s="315">
        <v>43201.0</v>
      </c>
      <c r="Q103" s="312">
        <v>61874.0</v>
      </c>
      <c r="R103" s="312">
        <v>252.0</v>
      </c>
      <c r="S103" s="316"/>
      <c r="T103" s="317">
        <v>252.0</v>
      </c>
      <c r="U103" s="312" t="s">
        <v>1369</v>
      </c>
      <c r="V103" s="312" t="s">
        <v>1367</v>
      </c>
      <c r="W103" s="50"/>
      <c r="X103" s="50"/>
      <c r="Y103" s="50"/>
      <c r="Z103" s="312"/>
      <c r="AA103" s="312" t="s">
        <v>1386</v>
      </c>
      <c r="AB103" s="50"/>
      <c r="AC103" s="50"/>
      <c r="AD103" s="50"/>
      <c r="AE103" s="50"/>
    </row>
    <row r="104">
      <c r="A104" s="307">
        <v>42313.21875</v>
      </c>
      <c r="B104" s="312" t="s">
        <v>523</v>
      </c>
      <c r="C104" s="303" t="s">
        <v>1177</v>
      </c>
      <c r="D104" s="303" t="s">
        <v>1178</v>
      </c>
      <c r="E104" s="315">
        <v>42137.0</v>
      </c>
      <c r="F104" s="312" t="s">
        <v>30</v>
      </c>
      <c r="G104" s="303" t="s">
        <v>1181</v>
      </c>
      <c r="H104" s="303" t="s">
        <v>1181</v>
      </c>
      <c r="I104" s="303" t="s">
        <v>1186</v>
      </c>
      <c r="J104" s="306">
        <v>0.8</v>
      </c>
      <c r="K104" s="50"/>
      <c r="L104" s="312"/>
      <c r="M104" s="312">
        <v>204.0</v>
      </c>
      <c r="N104" s="312"/>
      <c r="O104" s="312"/>
      <c r="P104" s="315">
        <v>42313.0</v>
      </c>
      <c r="Q104" s="312">
        <v>16840.0</v>
      </c>
      <c r="R104" s="312">
        <v>385.0</v>
      </c>
      <c r="S104" s="316"/>
      <c r="T104" s="317">
        <v>389.87</v>
      </c>
      <c r="U104" s="312" t="s">
        <v>1366</v>
      </c>
      <c r="V104" s="312" t="s">
        <v>1367</v>
      </c>
      <c r="W104" s="312"/>
      <c r="X104" s="312"/>
      <c r="Y104" s="50"/>
      <c r="Z104" s="312"/>
      <c r="AA104" s="312" t="s">
        <v>1387</v>
      </c>
      <c r="AB104" s="50"/>
      <c r="AC104" s="50"/>
      <c r="AD104" s="50"/>
      <c r="AE104" s="50"/>
    </row>
    <row r="105">
      <c r="A105" s="307">
        <v>42358.26458333333</v>
      </c>
      <c r="B105" s="312" t="s">
        <v>523</v>
      </c>
      <c r="C105" s="303" t="s">
        <v>1177</v>
      </c>
      <c r="D105" s="303" t="s">
        <v>1178</v>
      </c>
      <c r="E105" s="310">
        <v>42137.0</v>
      </c>
      <c r="F105" s="312" t="s">
        <v>30</v>
      </c>
      <c r="G105" s="303" t="s">
        <v>1181</v>
      </c>
      <c r="H105" s="303" t="s">
        <v>1181</v>
      </c>
      <c r="I105" s="303" t="s">
        <v>1186</v>
      </c>
      <c r="J105" s="306">
        <v>0.8</v>
      </c>
      <c r="K105" s="50"/>
      <c r="L105" s="312"/>
      <c r="M105" s="312">
        <v>209.0</v>
      </c>
      <c r="N105" s="312"/>
      <c r="O105" s="312"/>
      <c r="P105" s="315">
        <v>42358.0</v>
      </c>
      <c r="Q105" s="312">
        <v>22000.0</v>
      </c>
      <c r="R105" s="312">
        <v>377.0</v>
      </c>
      <c r="S105" s="316"/>
      <c r="T105" s="317">
        <v>381.77</v>
      </c>
      <c r="U105" s="312" t="s">
        <v>1366</v>
      </c>
      <c r="V105" s="312" t="s">
        <v>1367</v>
      </c>
      <c r="W105" s="312"/>
      <c r="X105" s="50"/>
      <c r="Y105" s="312"/>
      <c r="Z105" s="312"/>
      <c r="AA105" s="50"/>
      <c r="AB105" s="50"/>
      <c r="AC105" s="50"/>
      <c r="AD105" s="50"/>
      <c r="AE105" s="50"/>
    </row>
    <row r="106">
      <c r="A106" s="307">
        <v>42448.30902777778</v>
      </c>
      <c r="B106" s="312" t="s">
        <v>523</v>
      </c>
      <c r="C106" s="303" t="s">
        <v>1177</v>
      </c>
      <c r="D106" s="303" t="s">
        <v>1178</v>
      </c>
      <c r="E106" s="315">
        <v>42137.0</v>
      </c>
      <c r="F106" s="312" t="s">
        <v>30</v>
      </c>
      <c r="G106" s="303" t="s">
        <v>1181</v>
      </c>
      <c r="H106" s="303" t="s">
        <v>1181</v>
      </c>
      <c r="I106" s="303" t="s">
        <v>1181</v>
      </c>
      <c r="J106" s="306">
        <v>0.8</v>
      </c>
      <c r="K106" s="50"/>
      <c r="L106" s="312"/>
      <c r="M106" s="312">
        <v>214.0</v>
      </c>
      <c r="N106" s="312"/>
      <c r="O106" s="312"/>
      <c r="P106" s="315">
        <v>42448.0</v>
      </c>
      <c r="Q106" s="312">
        <v>28805.0</v>
      </c>
      <c r="R106" s="312">
        <v>370.0</v>
      </c>
      <c r="S106" s="316"/>
      <c r="T106" s="317">
        <v>374.68</v>
      </c>
      <c r="U106" s="312" t="s">
        <v>1366</v>
      </c>
      <c r="V106" s="312" t="s">
        <v>1367</v>
      </c>
      <c r="W106" s="50"/>
      <c r="X106" s="50"/>
      <c r="Y106" s="50"/>
      <c r="Z106" s="312"/>
      <c r="AA106" s="50"/>
      <c r="AB106" s="50"/>
      <c r="AC106" s="50"/>
      <c r="AD106" s="50"/>
      <c r="AE106" s="50"/>
    </row>
    <row r="107">
      <c r="A107" s="307">
        <v>42469.32361111111</v>
      </c>
      <c r="B107" s="312" t="s">
        <v>523</v>
      </c>
      <c r="C107" s="303" t="s">
        <v>1177</v>
      </c>
      <c r="D107" s="303" t="s">
        <v>1178</v>
      </c>
      <c r="E107" s="315">
        <v>42137.0</v>
      </c>
      <c r="F107" s="312" t="s">
        <v>30</v>
      </c>
      <c r="G107" s="303" t="s">
        <v>1181</v>
      </c>
      <c r="H107" s="303" t="s">
        <v>1181</v>
      </c>
      <c r="I107" s="303" t="s">
        <v>1181</v>
      </c>
      <c r="J107" s="306">
        <v>0.8</v>
      </c>
      <c r="K107" s="50"/>
      <c r="L107" s="312"/>
      <c r="M107" s="312">
        <v>213.0</v>
      </c>
      <c r="N107" s="312"/>
      <c r="O107" s="312"/>
      <c r="P107" s="315">
        <v>42469.0</v>
      </c>
      <c r="Q107" s="312">
        <v>31293.0</v>
      </c>
      <c r="R107" s="312">
        <v>375.0</v>
      </c>
      <c r="S107" s="316"/>
      <c r="T107" s="317">
        <v>379.75</v>
      </c>
      <c r="U107" s="312" t="s">
        <v>1366</v>
      </c>
      <c r="V107" s="312" t="s">
        <v>1367</v>
      </c>
      <c r="W107" s="312">
        <v>375.0</v>
      </c>
      <c r="X107" s="312">
        <v>196.0</v>
      </c>
      <c r="Y107" s="312" t="s">
        <v>1388</v>
      </c>
      <c r="Z107" s="312" t="s">
        <v>1366</v>
      </c>
      <c r="AA107" s="50"/>
      <c r="AB107" s="50"/>
      <c r="AC107" s="50"/>
      <c r="AD107" s="50"/>
      <c r="AE107" s="50"/>
    </row>
    <row r="108">
      <c r="A108" s="307">
        <v>42576.36597222222</v>
      </c>
      <c r="B108" s="312" t="s">
        <v>523</v>
      </c>
      <c r="C108" s="303" t="s">
        <v>1177</v>
      </c>
      <c r="D108" s="303" t="s">
        <v>1178</v>
      </c>
      <c r="E108" s="315">
        <v>42137.0</v>
      </c>
      <c r="F108" s="312" t="s">
        <v>30</v>
      </c>
      <c r="G108" s="303" t="s">
        <v>1180</v>
      </c>
      <c r="H108" s="303" t="s">
        <v>1181</v>
      </c>
      <c r="I108" s="303" t="s">
        <v>1186</v>
      </c>
      <c r="J108" s="306">
        <v>0.8</v>
      </c>
      <c r="K108" s="50"/>
      <c r="L108" s="312"/>
      <c r="M108" s="312">
        <v>207.0</v>
      </c>
      <c r="N108" s="312"/>
      <c r="O108" s="312"/>
      <c r="P108" s="315">
        <v>42576.0</v>
      </c>
      <c r="Q108" s="312">
        <v>42234.0</v>
      </c>
      <c r="R108" s="312">
        <v>381.0</v>
      </c>
      <c r="S108" s="316"/>
      <c r="T108" s="317">
        <v>385.82</v>
      </c>
      <c r="U108" s="312" t="s">
        <v>1366</v>
      </c>
      <c r="V108" s="312" t="s">
        <v>1367</v>
      </c>
      <c r="W108" s="312">
        <v>381.0</v>
      </c>
      <c r="X108" s="312">
        <v>98.0</v>
      </c>
      <c r="Y108" s="312" t="s">
        <v>1389</v>
      </c>
      <c r="Z108" s="312" t="s">
        <v>1369</v>
      </c>
      <c r="AA108" s="50"/>
      <c r="AB108" s="50"/>
      <c r="AC108" s="50"/>
      <c r="AD108" s="50"/>
      <c r="AE108" s="50"/>
    </row>
    <row r="109">
      <c r="A109" s="307">
        <v>42592.38055555556</v>
      </c>
      <c r="B109" s="312" t="s">
        <v>523</v>
      </c>
      <c r="C109" s="303" t="s">
        <v>1177</v>
      </c>
      <c r="D109" s="303" t="s">
        <v>1178</v>
      </c>
      <c r="E109" s="315">
        <v>42137.0</v>
      </c>
      <c r="F109" s="312" t="s">
        <v>30</v>
      </c>
      <c r="G109" s="303" t="s">
        <v>1180</v>
      </c>
      <c r="H109" s="303" t="s">
        <v>1181</v>
      </c>
      <c r="I109" s="303" t="s">
        <v>1186</v>
      </c>
      <c r="J109" s="306">
        <v>0.8</v>
      </c>
      <c r="K109" s="50"/>
      <c r="L109" s="312"/>
      <c r="M109" s="312">
        <v>207.0</v>
      </c>
      <c r="N109" s="312"/>
      <c r="O109" s="312"/>
      <c r="P109" s="315">
        <v>42592.0</v>
      </c>
      <c r="Q109" s="312">
        <v>45533.0</v>
      </c>
      <c r="R109" s="312">
        <v>385.0</v>
      </c>
      <c r="S109" s="316"/>
      <c r="T109" s="317">
        <v>385.0</v>
      </c>
      <c r="U109" s="312" t="s">
        <v>1369</v>
      </c>
      <c r="V109" s="312" t="s">
        <v>1367</v>
      </c>
      <c r="W109" s="50"/>
      <c r="X109" s="50"/>
      <c r="Y109" s="50"/>
      <c r="Z109" s="312"/>
      <c r="AA109" s="50"/>
      <c r="AB109" s="50"/>
      <c r="AC109" s="50"/>
      <c r="AD109" s="50"/>
      <c r="AE109" s="50"/>
    </row>
    <row r="110">
      <c r="A110" s="307">
        <v>42632.40347222222</v>
      </c>
      <c r="B110" s="312" t="s">
        <v>523</v>
      </c>
      <c r="C110" s="303" t="s">
        <v>1177</v>
      </c>
      <c r="D110" s="303" t="s">
        <v>1178</v>
      </c>
      <c r="E110" s="315">
        <v>42137.0</v>
      </c>
      <c r="F110" s="312" t="s">
        <v>30</v>
      </c>
      <c r="G110" s="303" t="s">
        <v>1181</v>
      </c>
      <c r="H110" s="303" t="s">
        <v>1180</v>
      </c>
      <c r="I110" s="303" t="s">
        <v>1186</v>
      </c>
      <c r="J110" s="306">
        <v>0.8</v>
      </c>
      <c r="K110" s="50"/>
      <c r="L110" s="312"/>
      <c r="M110" s="312">
        <v>205.0</v>
      </c>
      <c r="N110" s="312"/>
      <c r="O110" s="312"/>
      <c r="P110" s="315">
        <v>42632.0</v>
      </c>
      <c r="Q110" s="312">
        <v>50878.0</v>
      </c>
      <c r="R110" s="312">
        <v>385.0</v>
      </c>
      <c r="S110" s="316"/>
      <c r="T110" s="317">
        <v>385.0</v>
      </c>
      <c r="U110" s="312" t="s">
        <v>1369</v>
      </c>
      <c r="V110" s="312" t="s">
        <v>1367</v>
      </c>
      <c r="W110" s="312">
        <v>385.0</v>
      </c>
      <c r="X110" s="312">
        <v>234.0</v>
      </c>
      <c r="Y110" s="312">
        <v>28.8</v>
      </c>
      <c r="Z110" s="312" t="s">
        <v>1369</v>
      </c>
      <c r="AA110" s="50"/>
      <c r="AB110" s="50"/>
      <c r="AC110" s="50"/>
      <c r="AD110" s="50"/>
      <c r="AE110" s="50"/>
    </row>
    <row r="111">
      <c r="A111" s="307">
        <v>42702.46319444444</v>
      </c>
      <c r="B111" s="312" t="s">
        <v>523</v>
      </c>
      <c r="C111" s="303" t="s">
        <v>1177</v>
      </c>
      <c r="D111" s="303" t="s">
        <v>1178</v>
      </c>
      <c r="E111" s="315">
        <v>42137.0</v>
      </c>
      <c r="F111" s="312" t="s">
        <v>30</v>
      </c>
      <c r="G111" s="303" t="s">
        <v>1180</v>
      </c>
      <c r="H111" s="303" t="s">
        <v>1181</v>
      </c>
      <c r="I111" s="303" t="s">
        <v>1187</v>
      </c>
      <c r="J111" s="306">
        <v>0.9</v>
      </c>
      <c r="K111" s="50"/>
      <c r="L111" s="312"/>
      <c r="M111" s="312">
        <v>205.0</v>
      </c>
      <c r="N111" s="312"/>
      <c r="O111" s="312"/>
      <c r="P111" s="315">
        <v>42702.0</v>
      </c>
      <c r="Q111" s="312">
        <v>60825.0</v>
      </c>
      <c r="R111" s="312">
        <v>384.0</v>
      </c>
      <c r="S111" s="316"/>
      <c r="T111" s="317">
        <v>384.0</v>
      </c>
      <c r="U111" s="312" t="s">
        <v>1369</v>
      </c>
      <c r="V111" s="312" t="s">
        <v>1367</v>
      </c>
      <c r="W111" s="312">
        <v>384.0</v>
      </c>
      <c r="X111" s="312">
        <v>200.0</v>
      </c>
      <c r="Y111" s="312">
        <v>34.8</v>
      </c>
      <c r="Z111" s="312" t="s">
        <v>1369</v>
      </c>
      <c r="AA111" s="50"/>
      <c r="AB111" s="50"/>
      <c r="AC111" s="50"/>
      <c r="AD111" s="50"/>
      <c r="AE111" s="50"/>
    </row>
    <row r="112">
      <c r="A112" s="307">
        <v>42815.51458333333</v>
      </c>
      <c r="B112" s="312" t="s">
        <v>523</v>
      </c>
      <c r="C112" s="303" t="s">
        <v>1177</v>
      </c>
      <c r="D112" s="303" t="s">
        <v>1178</v>
      </c>
      <c r="E112" s="315">
        <v>42137.0</v>
      </c>
      <c r="F112" s="312" t="s">
        <v>30</v>
      </c>
      <c r="G112" s="303" t="s">
        <v>1181</v>
      </c>
      <c r="H112" s="303" t="s">
        <v>1186</v>
      </c>
      <c r="I112" s="303" t="s">
        <v>1186</v>
      </c>
      <c r="J112" s="306">
        <v>0.8</v>
      </c>
      <c r="K112" s="50"/>
      <c r="L112" s="312"/>
      <c r="M112" s="312">
        <v>205.0</v>
      </c>
      <c r="N112" s="312"/>
      <c r="O112" s="312"/>
      <c r="P112" s="315">
        <v>42815.0</v>
      </c>
      <c r="Q112" s="312">
        <v>75443.0</v>
      </c>
      <c r="R112" s="312">
        <v>381.0</v>
      </c>
      <c r="S112" s="316"/>
      <c r="T112" s="317">
        <v>381.0</v>
      </c>
      <c r="U112" s="312" t="s">
        <v>1369</v>
      </c>
      <c r="V112" s="312" t="s">
        <v>1367</v>
      </c>
      <c r="W112" s="312">
        <v>381.0</v>
      </c>
      <c r="X112" s="312">
        <v>194.0</v>
      </c>
      <c r="Y112" s="312">
        <v>35.4</v>
      </c>
      <c r="Z112" s="312" t="s">
        <v>1369</v>
      </c>
      <c r="AA112" s="50"/>
      <c r="AB112" s="50"/>
      <c r="AC112" s="50"/>
      <c r="AD112" s="50"/>
      <c r="AE112" s="50"/>
    </row>
    <row r="113">
      <c r="A113" s="307">
        <v>42960.58541666667</v>
      </c>
      <c r="B113" s="312" t="s">
        <v>523</v>
      </c>
      <c r="C113" s="303" t="s">
        <v>1177</v>
      </c>
      <c r="D113" s="303" t="s">
        <v>1178</v>
      </c>
      <c r="E113" s="315">
        <v>42923.0</v>
      </c>
      <c r="F113" s="312" t="s">
        <v>28</v>
      </c>
      <c r="G113" s="303" t="s">
        <v>1190</v>
      </c>
      <c r="H113" s="303" t="s">
        <v>1180</v>
      </c>
      <c r="I113" s="303" t="s">
        <v>1186</v>
      </c>
      <c r="J113" s="306">
        <v>0.8</v>
      </c>
      <c r="K113" s="312">
        <v>382.0</v>
      </c>
      <c r="L113" s="312"/>
      <c r="M113" s="312">
        <v>183.0</v>
      </c>
      <c r="N113" s="312"/>
      <c r="O113" s="312"/>
      <c r="P113" s="315">
        <v>42960.0</v>
      </c>
      <c r="Q113" s="312">
        <v>6548.0</v>
      </c>
      <c r="R113" s="312">
        <v>383.0</v>
      </c>
      <c r="S113" s="316"/>
      <c r="T113" s="317">
        <v>387.85</v>
      </c>
      <c r="U113" s="312" t="s">
        <v>1366</v>
      </c>
      <c r="V113" s="312" t="s">
        <v>1367</v>
      </c>
      <c r="W113" s="312">
        <v>383.0</v>
      </c>
      <c r="X113" s="312">
        <v>183.0</v>
      </c>
      <c r="Y113" s="312">
        <v>36.0</v>
      </c>
      <c r="Z113" s="312" t="s">
        <v>1369</v>
      </c>
      <c r="AA113" s="50"/>
      <c r="AB113" s="50"/>
      <c r="AC113" s="50"/>
      <c r="AD113" s="50"/>
      <c r="AE113" s="50"/>
    </row>
    <row r="114">
      <c r="A114" s="307">
        <v>43135.68958333333</v>
      </c>
      <c r="B114" s="312" t="s">
        <v>523</v>
      </c>
      <c r="C114" s="303" t="s">
        <v>1177</v>
      </c>
      <c r="D114" s="303" t="s">
        <v>1178</v>
      </c>
      <c r="E114" s="315">
        <v>42923.0</v>
      </c>
      <c r="F114" s="312" t="s">
        <v>28</v>
      </c>
      <c r="G114" s="303" t="s">
        <v>1181</v>
      </c>
      <c r="H114" s="303" t="s">
        <v>1186</v>
      </c>
      <c r="I114" s="303" t="s">
        <v>1186</v>
      </c>
      <c r="J114" s="306">
        <v>0.8</v>
      </c>
      <c r="K114" s="312">
        <v>382.0</v>
      </c>
      <c r="L114" s="312"/>
      <c r="M114" s="312">
        <v>201.0</v>
      </c>
      <c r="N114" s="312"/>
      <c r="O114" s="312"/>
      <c r="P114" s="315">
        <v>43135.0</v>
      </c>
      <c r="Q114" s="312">
        <v>25247.0</v>
      </c>
      <c r="R114" s="312">
        <v>367.0</v>
      </c>
      <c r="S114" s="316"/>
      <c r="T114" s="317">
        <v>371.65</v>
      </c>
      <c r="U114" s="312" t="s">
        <v>1366</v>
      </c>
      <c r="V114" s="312" t="s">
        <v>1367</v>
      </c>
      <c r="W114" s="312">
        <v>367.0</v>
      </c>
      <c r="X114" s="312">
        <v>89.0</v>
      </c>
      <c r="Y114" s="312" t="s">
        <v>1390</v>
      </c>
      <c r="Z114" s="312" t="s">
        <v>1369</v>
      </c>
      <c r="AA114" s="50"/>
      <c r="AB114" s="50"/>
      <c r="AC114" s="50"/>
      <c r="AD114" s="50"/>
      <c r="AE114" s="50"/>
    </row>
    <row r="115">
      <c r="A115" s="307">
        <v>43135.69097222222</v>
      </c>
      <c r="B115" s="312" t="s">
        <v>523</v>
      </c>
      <c r="C115" s="303" t="s">
        <v>1177</v>
      </c>
      <c r="D115" s="303" t="s">
        <v>1178</v>
      </c>
      <c r="E115" s="315">
        <v>42923.0</v>
      </c>
      <c r="F115" s="312" t="s">
        <v>28</v>
      </c>
      <c r="G115" s="303" t="s">
        <v>1181</v>
      </c>
      <c r="H115" s="303" t="s">
        <v>1186</v>
      </c>
      <c r="I115" s="303" t="s">
        <v>1186</v>
      </c>
      <c r="J115" s="306">
        <v>0.8</v>
      </c>
      <c r="K115" s="312">
        <v>382.0</v>
      </c>
      <c r="L115" s="312"/>
      <c r="M115" s="312">
        <v>201.0</v>
      </c>
      <c r="N115" s="312"/>
      <c r="O115" s="312"/>
      <c r="P115" s="315">
        <v>43135.0</v>
      </c>
      <c r="Q115" s="312">
        <v>25456.0</v>
      </c>
      <c r="R115" s="312">
        <v>367.0</v>
      </c>
      <c r="S115" s="316"/>
      <c r="T115" s="317">
        <v>367.0</v>
      </c>
      <c r="U115" s="312" t="s">
        <v>1369</v>
      </c>
      <c r="V115" s="312" t="s">
        <v>1367</v>
      </c>
      <c r="W115" s="312">
        <v>367.0</v>
      </c>
      <c r="X115" s="312">
        <v>162.0</v>
      </c>
      <c r="Y115" s="312" t="s">
        <v>1391</v>
      </c>
      <c r="Z115" s="312" t="s">
        <v>1369</v>
      </c>
      <c r="AA115" s="50"/>
      <c r="AB115" s="50"/>
      <c r="AC115" s="50"/>
      <c r="AD115" s="50"/>
      <c r="AE115" s="50"/>
    </row>
    <row r="116">
      <c r="A116" s="307">
        <v>42320.229166666664</v>
      </c>
      <c r="B116" s="312" t="s">
        <v>934</v>
      </c>
      <c r="C116" s="303" t="s">
        <v>1177</v>
      </c>
      <c r="D116" s="303" t="s">
        <v>1178</v>
      </c>
      <c r="E116" s="315">
        <v>41600.0</v>
      </c>
      <c r="F116" s="312" t="s">
        <v>32</v>
      </c>
      <c r="G116" s="303" t="s">
        <v>1181</v>
      </c>
      <c r="H116" s="303" t="s">
        <v>1181</v>
      </c>
      <c r="I116" s="303" t="s">
        <v>1181</v>
      </c>
      <c r="J116" s="306">
        <v>0.8</v>
      </c>
      <c r="K116" s="312">
        <v>382.0</v>
      </c>
      <c r="L116" s="312"/>
      <c r="M116" s="312">
        <v>245.0</v>
      </c>
      <c r="N116" s="312"/>
      <c r="O116" s="312"/>
      <c r="P116" s="315">
        <v>42320.0</v>
      </c>
      <c r="Q116" s="312">
        <v>58000.0</v>
      </c>
      <c r="R116" s="312">
        <v>372.0</v>
      </c>
      <c r="S116" s="316"/>
      <c r="T116" s="317">
        <v>376.71</v>
      </c>
      <c r="U116" s="312" t="s">
        <v>1366</v>
      </c>
      <c r="V116" s="312" t="s">
        <v>1367</v>
      </c>
      <c r="W116" s="50"/>
      <c r="X116" s="50"/>
      <c r="Y116" s="50"/>
      <c r="Z116" s="312"/>
      <c r="AA116" s="312" t="s">
        <v>1392</v>
      </c>
      <c r="AB116" s="50"/>
      <c r="AC116" s="50"/>
      <c r="AD116" s="50"/>
      <c r="AE116" s="50"/>
    </row>
    <row r="117">
      <c r="A117" s="307">
        <v>42366.263194444444</v>
      </c>
      <c r="B117" s="312" t="s">
        <v>934</v>
      </c>
      <c r="C117" s="303" t="s">
        <v>1177</v>
      </c>
      <c r="D117" s="303" t="s">
        <v>1178</v>
      </c>
      <c r="E117" s="310">
        <v>41600.0</v>
      </c>
      <c r="F117" s="312" t="s">
        <v>32</v>
      </c>
      <c r="G117" s="303" t="s">
        <v>1181</v>
      </c>
      <c r="H117" s="303" t="s">
        <v>1181</v>
      </c>
      <c r="I117" s="303" t="s">
        <v>1181</v>
      </c>
      <c r="J117" s="306">
        <v>0.8</v>
      </c>
      <c r="K117" s="312">
        <v>382.0</v>
      </c>
      <c r="L117" s="312"/>
      <c r="M117" s="312">
        <v>245.0</v>
      </c>
      <c r="N117" s="312"/>
      <c r="O117" s="312"/>
      <c r="P117" s="315">
        <v>42366.0</v>
      </c>
      <c r="Q117" s="312">
        <v>64000.0</v>
      </c>
      <c r="R117" s="312">
        <v>370.0</v>
      </c>
      <c r="S117" s="316"/>
      <c r="T117" s="317">
        <v>374.68</v>
      </c>
      <c r="U117" s="312" t="s">
        <v>1366</v>
      </c>
      <c r="V117" s="312" t="s">
        <v>1367</v>
      </c>
      <c r="W117" s="50"/>
      <c r="X117" s="50"/>
      <c r="Y117" s="50"/>
      <c r="Z117" s="312"/>
      <c r="AA117" s="312" t="s">
        <v>1393</v>
      </c>
      <c r="AB117" s="50"/>
      <c r="AC117" s="50"/>
      <c r="AD117" s="50"/>
      <c r="AE117" s="50"/>
    </row>
    <row r="118">
      <c r="A118" s="307">
        <v>42576.37222222222</v>
      </c>
      <c r="B118" s="312" t="s">
        <v>934</v>
      </c>
      <c r="C118" s="303" t="s">
        <v>1177</v>
      </c>
      <c r="D118" s="303" t="s">
        <v>1178</v>
      </c>
      <c r="E118" s="315">
        <v>41600.0</v>
      </c>
      <c r="F118" s="312" t="s">
        <v>32</v>
      </c>
      <c r="G118" s="303" t="s">
        <v>1181</v>
      </c>
      <c r="H118" s="303" t="s">
        <v>1181</v>
      </c>
      <c r="I118" s="303" t="s">
        <v>1181</v>
      </c>
      <c r="J118" s="306">
        <v>0.8</v>
      </c>
      <c r="K118" s="50"/>
      <c r="L118" s="312"/>
      <c r="M118" s="312">
        <v>235.0</v>
      </c>
      <c r="N118" s="312"/>
      <c r="O118" s="312"/>
      <c r="P118" s="315">
        <v>42576.0</v>
      </c>
      <c r="Q118" s="312">
        <v>84000.0</v>
      </c>
      <c r="R118" s="312">
        <v>382.0</v>
      </c>
      <c r="S118" s="316"/>
      <c r="T118" s="317">
        <v>382.0</v>
      </c>
      <c r="U118" s="312" t="s">
        <v>1369</v>
      </c>
      <c r="V118" s="312" t="s">
        <v>1367</v>
      </c>
      <c r="W118" s="50"/>
      <c r="X118" s="50"/>
      <c r="Y118" s="50"/>
      <c r="Z118" s="312"/>
      <c r="AA118" s="312" t="s">
        <v>1394</v>
      </c>
      <c r="AB118" s="50"/>
      <c r="AC118" s="50"/>
      <c r="AD118" s="50"/>
      <c r="AE118" s="50"/>
    </row>
    <row r="119">
      <c r="A119" s="307">
        <v>42951.618055555555</v>
      </c>
      <c r="B119" s="312" t="s">
        <v>943</v>
      </c>
      <c r="C119" s="303" t="s">
        <v>1177</v>
      </c>
      <c r="D119" s="303" t="s">
        <v>1178</v>
      </c>
      <c r="E119" s="315">
        <v>42414.0</v>
      </c>
      <c r="F119" s="312" t="s">
        <v>20</v>
      </c>
      <c r="G119" s="303" t="s">
        <v>1180</v>
      </c>
      <c r="H119" s="303" t="s">
        <v>1181</v>
      </c>
      <c r="I119" s="303" t="s">
        <v>1187</v>
      </c>
      <c r="J119" s="306">
        <v>0.8</v>
      </c>
      <c r="K119" s="312">
        <v>362.0</v>
      </c>
      <c r="L119" s="312"/>
      <c r="M119" s="312">
        <v>210.0</v>
      </c>
      <c r="N119" s="312"/>
      <c r="O119" s="312"/>
      <c r="P119" s="315">
        <v>42951.0</v>
      </c>
      <c r="Q119" s="312">
        <v>52000.0</v>
      </c>
      <c r="R119" s="312">
        <v>361.0</v>
      </c>
      <c r="S119" s="316"/>
      <c r="T119" s="317">
        <v>361.0</v>
      </c>
      <c r="U119" s="312" t="s">
        <v>1369</v>
      </c>
      <c r="V119" s="312" t="s">
        <v>1367</v>
      </c>
      <c r="W119" s="50"/>
      <c r="X119" s="50"/>
      <c r="Y119" s="50"/>
      <c r="Z119" s="312"/>
      <c r="AA119" s="50"/>
      <c r="AB119" s="50"/>
      <c r="AC119" s="50"/>
      <c r="AD119" s="50"/>
      <c r="AE119" s="50"/>
    </row>
    <row r="120">
      <c r="A120" s="307">
        <v>42612.38888888889</v>
      </c>
      <c r="B120" s="312" t="s">
        <v>881</v>
      </c>
      <c r="C120" s="303" t="s">
        <v>1177</v>
      </c>
      <c r="D120" s="303" t="s">
        <v>1178</v>
      </c>
      <c r="E120" s="315">
        <v>42486.0</v>
      </c>
      <c r="F120" s="312" t="s">
        <v>22</v>
      </c>
      <c r="G120" s="312"/>
      <c r="H120" s="312"/>
      <c r="I120" s="312"/>
      <c r="J120" s="306"/>
      <c r="K120" s="50"/>
      <c r="L120" s="312"/>
      <c r="M120" s="312">
        <v>198.0</v>
      </c>
      <c r="N120" s="312"/>
      <c r="O120" s="312"/>
      <c r="P120" s="315">
        <v>42612.0</v>
      </c>
      <c r="Q120" s="312">
        <v>6455.0</v>
      </c>
      <c r="R120" s="312">
        <v>361.0</v>
      </c>
      <c r="S120" s="316"/>
      <c r="T120" s="317">
        <v>365.57</v>
      </c>
      <c r="U120" s="312" t="s">
        <v>1366</v>
      </c>
      <c r="V120" s="312" t="s">
        <v>1367</v>
      </c>
      <c r="W120" s="50"/>
      <c r="X120" s="50"/>
      <c r="Y120" s="50"/>
      <c r="Z120" s="312"/>
      <c r="AA120" s="50"/>
      <c r="AB120" s="50"/>
      <c r="AC120" s="50"/>
      <c r="AD120" s="50"/>
      <c r="AE120" s="50"/>
    </row>
    <row r="121">
      <c r="A121" s="307">
        <v>42693.45972222222</v>
      </c>
      <c r="B121" s="312" t="s">
        <v>881</v>
      </c>
      <c r="C121" s="303" t="s">
        <v>1177</v>
      </c>
      <c r="D121" s="303" t="s">
        <v>1178</v>
      </c>
      <c r="E121" s="315">
        <v>42486.0</v>
      </c>
      <c r="F121" s="312" t="s">
        <v>22</v>
      </c>
      <c r="G121" s="303" t="s">
        <v>1179</v>
      </c>
      <c r="H121" s="303" t="s">
        <v>1181</v>
      </c>
      <c r="I121" s="303" t="s">
        <v>1181</v>
      </c>
      <c r="J121" s="306">
        <v>0.9</v>
      </c>
      <c r="K121" s="50"/>
      <c r="L121" s="312"/>
      <c r="M121" s="312">
        <v>219.0</v>
      </c>
      <c r="N121" s="312"/>
      <c r="O121" s="312"/>
      <c r="P121" s="315">
        <v>42693.0</v>
      </c>
      <c r="Q121" s="312">
        <v>11989.0</v>
      </c>
      <c r="R121" s="312">
        <v>362.0</v>
      </c>
      <c r="S121" s="316"/>
      <c r="T121" s="317">
        <v>366.58</v>
      </c>
      <c r="U121" s="312" t="s">
        <v>1366</v>
      </c>
      <c r="V121" s="312" t="s">
        <v>1367</v>
      </c>
      <c r="W121" s="50"/>
      <c r="X121" s="50"/>
      <c r="Y121" s="50"/>
      <c r="Z121" s="312"/>
      <c r="AA121" s="50"/>
      <c r="AB121" s="50"/>
      <c r="AC121" s="50"/>
      <c r="AD121" s="50"/>
      <c r="AE121" s="50"/>
    </row>
    <row r="122">
      <c r="A122" s="307">
        <v>42883.541666666664</v>
      </c>
      <c r="B122" s="312" t="s">
        <v>881</v>
      </c>
      <c r="C122" s="303" t="s">
        <v>1177</v>
      </c>
      <c r="D122" s="303" t="s">
        <v>1178</v>
      </c>
      <c r="E122" s="315">
        <v>42486.0</v>
      </c>
      <c r="F122" s="312" t="s">
        <v>22</v>
      </c>
      <c r="G122" s="303" t="s">
        <v>1179</v>
      </c>
      <c r="H122" s="303" t="s">
        <v>1186</v>
      </c>
      <c r="I122" s="303" t="s">
        <v>1180</v>
      </c>
      <c r="J122" s="306">
        <v>0.9</v>
      </c>
      <c r="K122" s="312">
        <v>362.0</v>
      </c>
      <c r="L122" s="312"/>
      <c r="M122" s="312">
        <v>218.0</v>
      </c>
      <c r="N122" s="312"/>
      <c r="O122" s="312"/>
      <c r="P122" s="315">
        <v>42883.0</v>
      </c>
      <c r="Q122" s="312">
        <v>23635.0</v>
      </c>
      <c r="R122" s="312">
        <v>362.0</v>
      </c>
      <c r="S122" s="316"/>
      <c r="T122" s="317">
        <v>366.58</v>
      </c>
      <c r="U122" s="312" t="s">
        <v>1366</v>
      </c>
      <c r="V122" s="312" t="s">
        <v>1367</v>
      </c>
      <c r="W122" s="50"/>
      <c r="X122" s="50"/>
      <c r="Y122" s="50"/>
      <c r="Z122" s="312"/>
      <c r="AA122" s="50"/>
      <c r="AB122" s="50"/>
      <c r="AC122" s="50"/>
      <c r="AD122" s="50"/>
      <c r="AE122" s="50"/>
    </row>
    <row r="123">
      <c r="A123" s="307">
        <v>43054.65694444445</v>
      </c>
      <c r="B123" s="312" t="s">
        <v>881</v>
      </c>
      <c r="C123" s="303" t="s">
        <v>1177</v>
      </c>
      <c r="D123" s="303" t="s">
        <v>1178</v>
      </c>
      <c r="E123" s="315">
        <v>42486.0</v>
      </c>
      <c r="F123" s="312" t="s">
        <v>22</v>
      </c>
      <c r="G123" s="303" t="s">
        <v>1179</v>
      </c>
      <c r="H123" s="303" t="s">
        <v>1181</v>
      </c>
      <c r="I123" s="303" t="s">
        <v>1181</v>
      </c>
      <c r="J123" s="306">
        <v>0.9</v>
      </c>
      <c r="K123" s="312">
        <v>362.0</v>
      </c>
      <c r="L123" s="312"/>
      <c r="M123" s="312">
        <v>208.0</v>
      </c>
      <c r="N123" s="312"/>
      <c r="O123" s="312"/>
      <c r="P123" s="315">
        <v>43054.0</v>
      </c>
      <c r="Q123" s="312">
        <v>38729.0</v>
      </c>
      <c r="R123" s="312">
        <v>355.0</v>
      </c>
      <c r="S123" s="316"/>
      <c r="T123" s="317">
        <v>359.49</v>
      </c>
      <c r="U123" s="312" t="s">
        <v>1366</v>
      </c>
      <c r="V123" s="312" t="s">
        <v>1367</v>
      </c>
      <c r="W123" s="50"/>
      <c r="X123" s="50"/>
      <c r="Y123" s="50"/>
      <c r="Z123" s="312"/>
      <c r="AA123" s="50"/>
      <c r="AB123" s="50"/>
      <c r="AC123" s="50"/>
      <c r="AD123" s="50"/>
      <c r="AE123" s="50"/>
    </row>
    <row r="124">
      <c r="A124" s="307">
        <v>43096.65555555555</v>
      </c>
      <c r="B124" s="312" t="s">
        <v>1395</v>
      </c>
      <c r="C124" s="303" t="s">
        <v>1177</v>
      </c>
      <c r="D124" s="303" t="s">
        <v>1178</v>
      </c>
      <c r="E124" s="315">
        <v>43061.0</v>
      </c>
      <c r="F124" s="312" t="s">
        <v>28</v>
      </c>
      <c r="G124" s="303" t="s">
        <v>1179</v>
      </c>
      <c r="H124" s="303" t="s">
        <v>1181</v>
      </c>
      <c r="I124" s="303" t="s">
        <v>1181</v>
      </c>
      <c r="J124" s="306">
        <v>0.9</v>
      </c>
      <c r="K124" s="312">
        <v>386.0</v>
      </c>
      <c r="L124" s="312"/>
      <c r="M124" s="312">
        <v>240.0</v>
      </c>
      <c r="N124" s="312"/>
      <c r="O124" s="312"/>
      <c r="P124" s="315">
        <v>43096.0</v>
      </c>
      <c r="Q124" s="312">
        <v>2642.0</v>
      </c>
      <c r="R124" s="312">
        <v>384.0</v>
      </c>
      <c r="S124" s="316"/>
      <c r="T124" s="317">
        <v>388.86</v>
      </c>
      <c r="U124" s="312" t="s">
        <v>1366</v>
      </c>
      <c r="V124" s="312" t="s">
        <v>1367</v>
      </c>
      <c r="W124" s="50"/>
      <c r="X124" s="50"/>
      <c r="Y124" s="50"/>
      <c r="Z124" s="312"/>
      <c r="AA124" s="312" t="s">
        <v>1396</v>
      </c>
      <c r="AB124" s="50"/>
      <c r="AC124" s="50"/>
      <c r="AD124" s="50"/>
      <c r="AE124" s="50"/>
    </row>
    <row r="125">
      <c r="A125" s="307">
        <v>42452.49375</v>
      </c>
      <c r="B125" s="312" t="s">
        <v>764</v>
      </c>
      <c r="C125" s="303" t="s">
        <v>1177</v>
      </c>
      <c r="D125" s="303" t="s">
        <v>1178</v>
      </c>
      <c r="E125" s="315">
        <v>41772.0</v>
      </c>
      <c r="F125" s="312" t="s">
        <v>30</v>
      </c>
      <c r="G125" s="303" t="s">
        <v>1181</v>
      </c>
      <c r="H125" s="303" t="s">
        <v>1181</v>
      </c>
      <c r="I125" s="303" t="s">
        <v>1187</v>
      </c>
      <c r="J125" s="306">
        <v>0.8</v>
      </c>
      <c r="K125" s="312">
        <v>381.0</v>
      </c>
      <c r="L125" s="312"/>
      <c r="M125" s="312">
        <v>220.0</v>
      </c>
      <c r="N125" s="312"/>
      <c r="O125" s="312"/>
      <c r="P125" s="315">
        <v>42452.0</v>
      </c>
      <c r="Q125" s="312">
        <v>38500.0</v>
      </c>
      <c r="R125" s="312">
        <v>375.0</v>
      </c>
      <c r="S125" s="316"/>
      <c r="T125" s="317">
        <v>379.75</v>
      </c>
      <c r="U125" s="312" t="s">
        <v>1366</v>
      </c>
      <c r="V125" s="312" t="s">
        <v>1367</v>
      </c>
      <c r="W125" s="50"/>
      <c r="X125" s="50"/>
      <c r="Y125" s="50"/>
      <c r="Z125" s="312"/>
      <c r="AA125" s="50"/>
      <c r="AB125" s="50"/>
      <c r="AC125" s="50"/>
      <c r="AD125" s="50"/>
      <c r="AE125" s="50"/>
    </row>
    <row r="126">
      <c r="A126" s="307">
        <v>42767.495833333334</v>
      </c>
      <c r="B126" s="312" t="s">
        <v>764</v>
      </c>
      <c r="C126" s="303" t="s">
        <v>1177</v>
      </c>
      <c r="D126" s="303" t="s">
        <v>1178</v>
      </c>
      <c r="E126" s="315">
        <v>41772.0</v>
      </c>
      <c r="F126" s="312" t="s">
        <v>30</v>
      </c>
      <c r="G126" s="312"/>
      <c r="H126" s="312"/>
      <c r="I126" s="312"/>
      <c r="J126" s="306"/>
      <c r="K126" s="50"/>
      <c r="L126" s="312"/>
      <c r="M126" s="312">
        <v>220.0</v>
      </c>
      <c r="N126" s="312"/>
      <c r="O126" s="312"/>
      <c r="P126" s="315">
        <v>42767.0</v>
      </c>
      <c r="Q126" s="312">
        <v>56157.0</v>
      </c>
      <c r="R126" s="312">
        <v>377.0</v>
      </c>
      <c r="S126" s="316"/>
      <c r="T126" s="317">
        <v>381.77</v>
      </c>
      <c r="U126" s="312" t="s">
        <v>1366</v>
      </c>
      <c r="V126" s="312" t="s">
        <v>1367</v>
      </c>
      <c r="W126" s="50"/>
      <c r="X126" s="50"/>
      <c r="Y126" s="50"/>
      <c r="Z126" s="312"/>
      <c r="AA126" s="50"/>
      <c r="AB126" s="50"/>
      <c r="AC126" s="50"/>
      <c r="AD126" s="50"/>
      <c r="AE126" s="50"/>
    </row>
    <row r="127">
      <c r="A127" s="307">
        <v>43198.72430555556</v>
      </c>
      <c r="B127" s="312" t="s">
        <v>1397</v>
      </c>
      <c r="C127" s="303" t="s">
        <v>1177</v>
      </c>
      <c r="D127" s="303" t="s">
        <v>1178</v>
      </c>
      <c r="E127" s="315">
        <v>42248.0</v>
      </c>
      <c r="F127" s="312" t="s">
        <v>38</v>
      </c>
      <c r="G127" s="303" t="s">
        <v>1180</v>
      </c>
      <c r="H127" s="303" t="s">
        <v>1180</v>
      </c>
      <c r="I127" s="303" t="s">
        <v>1187</v>
      </c>
      <c r="J127" s="306">
        <v>0.8</v>
      </c>
      <c r="K127" s="50"/>
      <c r="L127" s="312"/>
      <c r="M127" s="312"/>
      <c r="N127" s="312"/>
      <c r="O127" s="312"/>
      <c r="P127" s="315">
        <v>43198.0</v>
      </c>
      <c r="Q127" s="312">
        <v>15970.0</v>
      </c>
      <c r="R127" s="312">
        <v>393.0</v>
      </c>
      <c r="S127" s="316"/>
      <c r="T127" s="317">
        <v>397.97</v>
      </c>
      <c r="U127" s="312" t="s">
        <v>1366</v>
      </c>
      <c r="V127" s="312" t="s">
        <v>1367</v>
      </c>
      <c r="W127" s="50"/>
      <c r="X127" s="50"/>
      <c r="Y127" s="50"/>
      <c r="Z127" s="312"/>
      <c r="AA127" s="50"/>
      <c r="AB127" s="50"/>
      <c r="AC127" s="50"/>
      <c r="AD127" s="50"/>
      <c r="AE127" s="50"/>
    </row>
    <row r="128">
      <c r="A128" s="307">
        <v>42957.572222222225</v>
      </c>
      <c r="B128" s="312" t="s">
        <v>949</v>
      </c>
      <c r="C128" s="303" t="s">
        <v>1177</v>
      </c>
      <c r="D128" s="303" t="s">
        <v>1178</v>
      </c>
      <c r="E128" s="315">
        <v>42099.0</v>
      </c>
      <c r="F128" s="312" t="s">
        <v>38</v>
      </c>
      <c r="G128" s="312"/>
      <c r="H128" s="303" t="s">
        <v>1181</v>
      </c>
      <c r="I128" s="303" t="s">
        <v>1187</v>
      </c>
      <c r="J128" s="306">
        <v>0.9</v>
      </c>
      <c r="K128" s="312">
        <v>404.0</v>
      </c>
      <c r="L128" s="312"/>
      <c r="M128" s="312">
        <v>188.0</v>
      </c>
      <c r="N128" s="312"/>
      <c r="O128" s="312"/>
      <c r="P128" s="315">
        <v>42957.0</v>
      </c>
      <c r="Q128" s="312">
        <v>88900.0</v>
      </c>
      <c r="R128" s="312">
        <v>383.0</v>
      </c>
      <c r="S128" s="316"/>
      <c r="T128" s="317">
        <v>387.85</v>
      </c>
      <c r="U128" s="312" t="s">
        <v>1366</v>
      </c>
      <c r="V128" s="312" t="s">
        <v>1367</v>
      </c>
      <c r="W128" s="50"/>
      <c r="X128" s="50"/>
      <c r="Y128" s="50"/>
      <c r="Z128" s="312"/>
      <c r="AA128" s="50"/>
      <c r="AB128" s="50"/>
      <c r="AC128" s="50"/>
      <c r="AD128" s="50"/>
      <c r="AE128" s="50"/>
    </row>
    <row r="129">
      <c r="A129" s="307">
        <v>42492.334027777775</v>
      </c>
      <c r="B129" s="312" t="s">
        <v>857</v>
      </c>
      <c r="C129" s="303" t="s">
        <v>1177</v>
      </c>
      <c r="D129" s="303" t="s">
        <v>1178</v>
      </c>
      <c r="E129" s="315">
        <v>42139.0</v>
      </c>
      <c r="F129" s="312" t="s">
        <v>36</v>
      </c>
      <c r="G129" s="303" t="s">
        <v>1205</v>
      </c>
      <c r="H129" s="303" t="s">
        <v>1186</v>
      </c>
      <c r="I129" s="303" t="s">
        <v>1186</v>
      </c>
      <c r="J129" s="306">
        <v>0.9</v>
      </c>
      <c r="K129" s="312">
        <v>425.0</v>
      </c>
      <c r="L129" s="312"/>
      <c r="M129" s="312">
        <v>224.0</v>
      </c>
      <c r="N129" s="312">
        <v>36000.0</v>
      </c>
      <c r="O129" s="303" t="s">
        <v>1398</v>
      </c>
      <c r="P129" s="315">
        <v>42492.0</v>
      </c>
      <c r="Q129" s="312">
        <v>54500.0</v>
      </c>
      <c r="R129" s="312">
        <v>425.0</v>
      </c>
      <c r="S129" s="316"/>
      <c r="T129" s="317">
        <v>430.38</v>
      </c>
      <c r="U129" s="312" t="s">
        <v>1366</v>
      </c>
      <c r="V129" s="312" t="s">
        <v>1399</v>
      </c>
      <c r="W129" s="50"/>
      <c r="X129" s="50"/>
      <c r="Y129" s="50"/>
      <c r="Z129" s="312"/>
      <c r="AA129" s="312" t="s">
        <v>1400</v>
      </c>
      <c r="AB129" s="50"/>
      <c r="AC129" s="50"/>
      <c r="AD129" s="50"/>
      <c r="AE129" s="50"/>
    </row>
    <row r="130">
      <c r="A130" s="307">
        <v>43116.665972222225</v>
      </c>
      <c r="B130" s="312" t="s">
        <v>1401</v>
      </c>
      <c r="C130" s="303" t="s">
        <v>1177</v>
      </c>
      <c r="D130" s="303" t="s">
        <v>1178</v>
      </c>
      <c r="E130" s="315">
        <v>42277.0</v>
      </c>
      <c r="F130" s="312" t="s">
        <v>47</v>
      </c>
      <c r="G130" s="303" t="s">
        <v>1181</v>
      </c>
      <c r="H130" s="303" t="s">
        <v>1181</v>
      </c>
      <c r="I130" s="303" t="s">
        <v>1181</v>
      </c>
      <c r="J130" s="306"/>
      <c r="K130" s="312">
        <v>428.0</v>
      </c>
      <c r="L130" s="312"/>
      <c r="M130" s="312">
        <v>240.0</v>
      </c>
      <c r="N130" s="312"/>
      <c r="O130" s="312"/>
      <c r="P130" s="315">
        <v>43116.0</v>
      </c>
      <c r="Q130" s="312">
        <v>35333.0</v>
      </c>
      <c r="R130" s="312">
        <v>402.0</v>
      </c>
      <c r="S130" s="316"/>
      <c r="T130" s="317">
        <v>407.09</v>
      </c>
      <c r="U130" s="312" t="s">
        <v>1366</v>
      </c>
      <c r="V130" s="312" t="s">
        <v>1367</v>
      </c>
      <c r="W130" s="50"/>
      <c r="X130" s="50"/>
      <c r="Y130" s="50"/>
      <c r="Z130" s="312"/>
      <c r="AA130" s="50"/>
      <c r="AB130" s="50"/>
      <c r="AC130" s="50"/>
      <c r="AD130" s="50"/>
      <c r="AE130" s="50"/>
    </row>
    <row r="131">
      <c r="A131" s="307">
        <v>43115.666666666664</v>
      </c>
      <c r="B131" s="312" t="s">
        <v>1401</v>
      </c>
      <c r="C131" s="303" t="s">
        <v>1177</v>
      </c>
      <c r="D131" s="303" t="s">
        <v>1178</v>
      </c>
      <c r="E131" s="315">
        <v>42240.0</v>
      </c>
      <c r="F131" s="312" t="s">
        <v>22</v>
      </c>
      <c r="G131" s="303" t="s">
        <v>1181</v>
      </c>
      <c r="H131" s="303" t="s">
        <v>1181</v>
      </c>
      <c r="I131" s="303" t="s">
        <v>1181</v>
      </c>
      <c r="J131" s="306"/>
      <c r="K131" s="312">
        <v>370.0</v>
      </c>
      <c r="L131" s="312"/>
      <c r="M131" s="312">
        <v>230.0</v>
      </c>
      <c r="N131" s="312"/>
      <c r="O131" s="312"/>
      <c r="P131" s="315">
        <v>43115.0</v>
      </c>
      <c r="Q131" s="312">
        <v>30174.0</v>
      </c>
      <c r="R131" s="312">
        <v>356.0</v>
      </c>
      <c r="S131" s="316"/>
      <c r="T131" s="317">
        <v>360.51</v>
      </c>
      <c r="U131" s="312" t="s">
        <v>1366</v>
      </c>
      <c r="V131" s="312" t="s">
        <v>1367</v>
      </c>
      <c r="W131" s="50"/>
      <c r="X131" s="50"/>
      <c r="Y131" s="50"/>
      <c r="Z131" s="312"/>
      <c r="AA131" s="50"/>
      <c r="AB131" s="50"/>
      <c r="AC131" s="50"/>
      <c r="AD131" s="50"/>
      <c r="AE131" s="50"/>
    </row>
    <row r="132">
      <c r="A132" s="307">
        <v>43137.69236111111</v>
      </c>
      <c r="B132" s="312" t="s">
        <v>1402</v>
      </c>
      <c r="C132" s="303" t="s">
        <v>1177</v>
      </c>
      <c r="D132" s="303" t="s">
        <v>1178</v>
      </c>
      <c r="E132" s="315">
        <v>42079.0</v>
      </c>
      <c r="F132" s="312" t="s">
        <v>30</v>
      </c>
      <c r="G132" s="303" t="s">
        <v>1179</v>
      </c>
      <c r="H132" s="303" t="s">
        <v>1180</v>
      </c>
      <c r="I132" s="303" t="s">
        <v>1186</v>
      </c>
      <c r="J132" s="306">
        <v>0.8</v>
      </c>
      <c r="K132" s="50"/>
      <c r="L132" s="312"/>
      <c r="M132" s="312">
        <v>220.0</v>
      </c>
      <c r="N132" s="312"/>
      <c r="O132" s="312"/>
      <c r="P132" s="315">
        <v>43137.0</v>
      </c>
      <c r="Q132" s="312">
        <v>140504.0</v>
      </c>
      <c r="R132" s="312">
        <v>371.0</v>
      </c>
      <c r="S132" s="316"/>
      <c r="T132" s="317">
        <v>371.0</v>
      </c>
      <c r="U132" s="312" t="s">
        <v>1369</v>
      </c>
      <c r="V132" s="312" t="s">
        <v>1367</v>
      </c>
      <c r="W132" s="50"/>
      <c r="X132" s="50"/>
      <c r="Y132" s="50"/>
      <c r="Z132" s="312"/>
      <c r="AA132" s="50"/>
      <c r="AB132" s="50"/>
      <c r="AC132" s="50"/>
      <c r="AD132" s="50"/>
      <c r="AE132" s="50"/>
    </row>
    <row r="133">
      <c r="A133" s="307">
        <v>42960.575</v>
      </c>
      <c r="B133" s="312" t="s">
        <v>954</v>
      </c>
      <c r="C133" s="303" t="s">
        <v>1177</v>
      </c>
      <c r="D133" s="303" t="s">
        <v>1178</v>
      </c>
      <c r="E133" s="315">
        <v>42170.0</v>
      </c>
      <c r="F133" s="312" t="s">
        <v>22</v>
      </c>
      <c r="G133" s="303" t="s">
        <v>1205</v>
      </c>
      <c r="H133" s="303" t="s">
        <v>1181</v>
      </c>
      <c r="I133" s="303" t="s">
        <v>1186</v>
      </c>
      <c r="J133" s="306"/>
      <c r="K133" s="312">
        <v>366.0</v>
      </c>
      <c r="L133" s="312"/>
      <c r="M133" s="312">
        <v>188.0</v>
      </c>
      <c r="N133" s="312"/>
      <c r="O133" s="312"/>
      <c r="P133" s="315">
        <v>42960.0</v>
      </c>
      <c r="Q133" s="312">
        <v>171941.0</v>
      </c>
      <c r="R133" s="312">
        <v>351.0</v>
      </c>
      <c r="S133" s="316"/>
      <c r="T133" s="317">
        <v>351.0</v>
      </c>
      <c r="U133" s="312" t="s">
        <v>1369</v>
      </c>
      <c r="V133" s="312" t="s">
        <v>1367</v>
      </c>
      <c r="W133" s="50"/>
      <c r="X133" s="50"/>
      <c r="Y133" s="50"/>
      <c r="Z133" s="312"/>
      <c r="AA133" s="312" t="s">
        <v>1403</v>
      </c>
      <c r="AB133" s="50"/>
      <c r="AC133" s="50"/>
      <c r="AD133" s="50"/>
      <c r="AE133" s="50"/>
    </row>
    <row r="134">
      <c r="A134" s="307">
        <v>42540.35486111111</v>
      </c>
      <c r="B134" s="312" t="s">
        <v>909</v>
      </c>
      <c r="C134" s="303" t="s">
        <v>1177</v>
      </c>
      <c r="D134" s="303" t="s">
        <v>1178</v>
      </c>
      <c r="E134" s="315">
        <v>42093.0</v>
      </c>
      <c r="F134" s="312" t="s">
        <v>36</v>
      </c>
      <c r="G134" s="303" t="s">
        <v>1190</v>
      </c>
      <c r="H134" s="303" t="s">
        <v>1180</v>
      </c>
      <c r="I134" s="303" t="s">
        <v>1180</v>
      </c>
      <c r="J134" s="306">
        <v>0.9</v>
      </c>
      <c r="K134" s="50"/>
      <c r="L134" s="312"/>
      <c r="M134" s="312">
        <v>206.0</v>
      </c>
      <c r="N134" s="312"/>
      <c r="O134" s="312"/>
      <c r="P134" s="315">
        <v>42540.0</v>
      </c>
      <c r="Q134" s="312">
        <v>50011.0</v>
      </c>
      <c r="R134" s="312">
        <v>412.0</v>
      </c>
      <c r="S134" s="316"/>
      <c r="T134" s="317">
        <v>417.22</v>
      </c>
      <c r="U134" s="312" t="s">
        <v>1366</v>
      </c>
      <c r="V134" s="312" t="s">
        <v>1367</v>
      </c>
      <c r="W134" s="50"/>
      <c r="X134" s="50"/>
      <c r="Y134" s="50"/>
      <c r="Z134" s="312"/>
      <c r="AA134" s="50"/>
      <c r="AB134" s="50"/>
      <c r="AC134" s="50"/>
      <c r="AD134" s="50"/>
      <c r="AE134" s="50"/>
    </row>
    <row r="135">
      <c r="A135" s="307">
        <v>42261.759722222225</v>
      </c>
      <c r="B135" s="312" t="s">
        <v>1003</v>
      </c>
      <c r="C135" s="312" t="s">
        <v>1184</v>
      </c>
      <c r="D135" s="303" t="s">
        <v>1185</v>
      </c>
      <c r="E135" s="315">
        <v>41274.0</v>
      </c>
      <c r="F135" s="312" t="s">
        <v>32</v>
      </c>
      <c r="G135" s="303" t="s">
        <v>1181</v>
      </c>
      <c r="H135" s="303" t="s">
        <v>1181</v>
      </c>
      <c r="I135" s="303" t="s">
        <v>1181</v>
      </c>
      <c r="J135" s="306">
        <v>0.9</v>
      </c>
      <c r="K135" s="50"/>
      <c r="L135" s="312"/>
      <c r="M135" s="312">
        <v>334.0</v>
      </c>
      <c r="N135" s="312"/>
      <c r="O135" s="312"/>
      <c r="P135" s="315">
        <v>42261.0</v>
      </c>
      <c r="Q135" s="312">
        <v>35700.0</v>
      </c>
      <c r="R135" s="312">
        <v>256.0</v>
      </c>
      <c r="S135" s="316"/>
      <c r="T135" s="317">
        <v>259.24</v>
      </c>
      <c r="U135" s="312" t="s">
        <v>1366</v>
      </c>
      <c r="V135" s="312" t="s">
        <v>1367</v>
      </c>
      <c r="W135" s="50"/>
      <c r="X135" s="50"/>
      <c r="Y135" s="50"/>
      <c r="Z135" s="312"/>
      <c r="AA135" s="50"/>
      <c r="AB135" s="50"/>
      <c r="AC135" s="50"/>
      <c r="AD135" s="50"/>
      <c r="AE135" s="50"/>
    </row>
    <row r="136">
      <c r="A136" s="307">
        <v>42297.200694444444</v>
      </c>
      <c r="B136" s="312" t="s">
        <v>1046</v>
      </c>
      <c r="C136" s="303" t="s">
        <v>1177</v>
      </c>
      <c r="D136" s="303" t="s">
        <v>1178</v>
      </c>
      <c r="E136" s="315">
        <v>41579.0</v>
      </c>
      <c r="F136" s="312" t="s">
        <v>30</v>
      </c>
      <c r="G136" s="303" t="s">
        <v>1180</v>
      </c>
      <c r="H136" s="303" t="s">
        <v>1181</v>
      </c>
      <c r="I136" s="303" t="s">
        <v>1186</v>
      </c>
      <c r="J136" s="306">
        <v>0.8</v>
      </c>
      <c r="K136" s="312">
        <v>398.0</v>
      </c>
      <c r="L136" s="312"/>
      <c r="M136" s="312">
        <v>211.0</v>
      </c>
      <c r="N136" s="312"/>
      <c r="O136" s="312"/>
      <c r="P136" s="315">
        <v>42297.0</v>
      </c>
      <c r="Q136" s="312">
        <v>53000.0</v>
      </c>
      <c r="R136" s="312">
        <v>366.0</v>
      </c>
      <c r="S136" s="316"/>
      <c r="T136" s="317">
        <v>370.63</v>
      </c>
      <c r="U136" s="312" t="s">
        <v>1366</v>
      </c>
      <c r="V136" s="312" t="s">
        <v>1367</v>
      </c>
      <c r="W136" s="312">
        <v>367.0</v>
      </c>
      <c r="X136" s="312">
        <v>0.0</v>
      </c>
      <c r="Y136" s="312">
        <v>73.9</v>
      </c>
      <c r="Z136" s="312" t="s">
        <v>1366</v>
      </c>
      <c r="AA136" s="312" t="s">
        <v>1404</v>
      </c>
      <c r="AB136" s="50"/>
      <c r="AC136" s="50"/>
      <c r="AD136" s="50"/>
      <c r="AE136" s="50"/>
    </row>
    <row r="137">
      <c r="A137" s="307">
        <v>42283.19375</v>
      </c>
      <c r="B137" s="312" t="s">
        <v>1027</v>
      </c>
      <c r="C137" s="303" t="s">
        <v>1177</v>
      </c>
      <c r="D137" s="303" t="s">
        <v>1178</v>
      </c>
      <c r="E137" s="315">
        <v>41614.0</v>
      </c>
      <c r="F137" s="312" t="s">
        <v>32</v>
      </c>
      <c r="G137" s="303" t="s">
        <v>1190</v>
      </c>
      <c r="H137" s="303" t="s">
        <v>1181</v>
      </c>
      <c r="I137" s="303" t="s">
        <v>1181</v>
      </c>
      <c r="J137" s="306">
        <v>0.9</v>
      </c>
      <c r="K137" s="312">
        <v>402.0</v>
      </c>
      <c r="L137" s="312"/>
      <c r="M137" s="312">
        <v>200.0</v>
      </c>
      <c r="N137" s="312"/>
      <c r="O137" s="312"/>
      <c r="P137" s="315">
        <v>42283.0</v>
      </c>
      <c r="Q137" s="312">
        <v>67023.0</v>
      </c>
      <c r="R137" s="312">
        <v>374.0</v>
      </c>
      <c r="S137" s="316"/>
      <c r="T137" s="317">
        <v>378.73</v>
      </c>
      <c r="U137" s="312" t="s">
        <v>1366</v>
      </c>
      <c r="V137" s="312" t="s">
        <v>1367</v>
      </c>
      <c r="W137" s="50"/>
      <c r="X137" s="50"/>
      <c r="Y137" s="50"/>
      <c r="Z137" s="312"/>
      <c r="AA137" s="312" t="s">
        <v>1405</v>
      </c>
      <c r="AB137" s="50"/>
      <c r="AC137" s="50"/>
      <c r="AD137" s="50"/>
      <c r="AE137" s="50"/>
    </row>
    <row r="138">
      <c r="A138" s="307">
        <v>42307.217361111114</v>
      </c>
      <c r="B138" s="312" t="s">
        <v>1027</v>
      </c>
      <c r="C138" s="303" t="s">
        <v>1177</v>
      </c>
      <c r="D138" s="303" t="s">
        <v>1178</v>
      </c>
      <c r="E138" s="315">
        <v>41614.0</v>
      </c>
      <c r="F138" s="312" t="s">
        <v>32</v>
      </c>
      <c r="G138" s="303" t="s">
        <v>1179</v>
      </c>
      <c r="H138" s="303" t="s">
        <v>1181</v>
      </c>
      <c r="I138" s="303" t="s">
        <v>1181</v>
      </c>
      <c r="J138" s="306">
        <v>0.9</v>
      </c>
      <c r="K138" s="312">
        <v>402.0</v>
      </c>
      <c r="L138" s="312"/>
      <c r="M138" s="312">
        <v>200.0</v>
      </c>
      <c r="N138" s="312"/>
      <c r="O138" s="312"/>
      <c r="P138" s="315">
        <v>42307.0</v>
      </c>
      <c r="Q138" s="312">
        <v>69300.0</v>
      </c>
      <c r="R138" s="312">
        <v>371.0</v>
      </c>
      <c r="S138" s="316"/>
      <c r="T138" s="317">
        <v>375.7</v>
      </c>
      <c r="U138" s="312" t="s">
        <v>1366</v>
      </c>
      <c r="V138" s="312" t="s">
        <v>1367</v>
      </c>
      <c r="W138" s="50"/>
      <c r="X138" s="50"/>
      <c r="Y138" s="50"/>
      <c r="Z138" s="312"/>
      <c r="AA138" s="50"/>
      <c r="AB138" s="50"/>
      <c r="AC138" s="50"/>
      <c r="AD138" s="50"/>
      <c r="AE138" s="50"/>
    </row>
    <row r="139">
      <c r="A139" s="307">
        <v>41900.001388888886</v>
      </c>
      <c r="B139" s="312" t="s">
        <v>900</v>
      </c>
      <c r="C139" s="303" t="s">
        <v>1177</v>
      </c>
      <c r="D139" s="303" t="s">
        <v>1178</v>
      </c>
      <c r="E139" s="315">
        <v>41598.0</v>
      </c>
      <c r="F139" s="312" t="s">
        <v>30</v>
      </c>
      <c r="G139" s="303" t="s">
        <v>1179</v>
      </c>
      <c r="H139" s="303" t="s">
        <v>1190</v>
      </c>
      <c r="I139" s="303" t="s">
        <v>1186</v>
      </c>
      <c r="J139" s="306">
        <v>0.8</v>
      </c>
      <c r="K139" s="50"/>
      <c r="L139" s="312"/>
      <c r="M139" s="312">
        <v>212.0</v>
      </c>
      <c r="N139" s="50"/>
      <c r="O139" s="312"/>
      <c r="P139" s="315">
        <v>41900.0</v>
      </c>
      <c r="Q139" s="312">
        <v>33366.0</v>
      </c>
      <c r="R139" s="312">
        <v>393.0</v>
      </c>
      <c r="S139" s="316"/>
      <c r="T139" s="317">
        <v>393.0</v>
      </c>
      <c r="U139" s="312" t="s">
        <v>1369</v>
      </c>
      <c r="V139" s="312" t="s">
        <v>1367</v>
      </c>
      <c r="W139" s="50"/>
      <c r="X139" s="312"/>
      <c r="Y139" s="312"/>
      <c r="Z139" s="312"/>
      <c r="AA139" s="312" t="s">
        <v>1406</v>
      </c>
      <c r="AB139" s="50"/>
      <c r="AC139" s="50"/>
      <c r="AD139" s="50"/>
      <c r="AE139" s="50"/>
    </row>
    <row r="140">
      <c r="A140" s="307">
        <v>42167.138194444444</v>
      </c>
      <c r="B140" s="50" t="s">
        <v>900</v>
      </c>
      <c r="C140" s="303" t="s">
        <v>1177</v>
      </c>
      <c r="D140" s="303" t="s">
        <v>1178</v>
      </c>
      <c r="E140" s="310">
        <v>41597.0</v>
      </c>
      <c r="F140" s="312" t="s">
        <v>30</v>
      </c>
      <c r="G140" s="303" t="s">
        <v>1179</v>
      </c>
      <c r="H140" s="303" t="s">
        <v>1190</v>
      </c>
      <c r="I140" s="303" t="s">
        <v>1186</v>
      </c>
      <c r="J140" s="306">
        <v>0.8</v>
      </c>
      <c r="K140" s="50"/>
      <c r="L140" s="312"/>
      <c r="M140" s="312">
        <v>217.0</v>
      </c>
      <c r="N140" s="312"/>
      <c r="O140" s="312"/>
      <c r="P140" s="315">
        <v>42167.0</v>
      </c>
      <c r="Q140" s="312">
        <v>60000.0</v>
      </c>
      <c r="R140" s="312">
        <v>388.0</v>
      </c>
      <c r="S140" s="316"/>
      <c r="T140" s="317">
        <v>388.0</v>
      </c>
      <c r="U140" s="312" t="s">
        <v>1369</v>
      </c>
      <c r="V140" s="312" t="s">
        <v>1367</v>
      </c>
      <c r="W140" s="50"/>
      <c r="X140" s="312"/>
      <c r="Y140" s="312"/>
      <c r="Z140" s="312"/>
      <c r="AA140" s="312"/>
      <c r="AB140" s="50"/>
      <c r="AC140" s="50"/>
      <c r="AD140" s="50"/>
      <c r="AE140" s="50"/>
    </row>
    <row r="141">
      <c r="A141" s="307">
        <v>42591.37569444445</v>
      </c>
      <c r="B141" s="50" t="s">
        <v>900</v>
      </c>
      <c r="C141" s="303" t="s">
        <v>1177</v>
      </c>
      <c r="D141" s="303" t="s">
        <v>1178</v>
      </c>
      <c r="E141" s="315">
        <v>41598.0</v>
      </c>
      <c r="F141" s="312" t="s">
        <v>30</v>
      </c>
      <c r="G141" s="303" t="s">
        <v>1179</v>
      </c>
      <c r="H141" s="303" t="s">
        <v>1190</v>
      </c>
      <c r="I141" s="303" t="s">
        <v>1186</v>
      </c>
      <c r="J141" s="306">
        <v>0.8</v>
      </c>
      <c r="K141" s="50"/>
      <c r="L141" s="312"/>
      <c r="M141" s="312">
        <v>218.0</v>
      </c>
      <c r="N141" s="312"/>
      <c r="O141" s="312"/>
      <c r="P141" s="315">
        <v>42591.0</v>
      </c>
      <c r="Q141" s="312">
        <v>104000.0</v>
      </c>
      <c r="R141" s="312">
        <v>373.0</v>
      </c>
      <c r="S141" s="316"/>
      <c r="T141" s="317">
        <v>373.0</v>
      </c>
      <c r="U141" s="312" t="s">
        <v>1369</v>
      </c>
      <c r="V141" s="312" t="s">
        <v>1367</v>
      </c>
      <c r="W141" s="50"/>
      <c r="X141" s="312"/>
      <c r="Y141" s="312"/>
      <c r="Z141" s="312"/>
      <c r="AA141" s="312" t="s">
        <v>1373</v>
      </c>
      <c r="AB141" s="50"/>
      <c r="AC141" s="50"/>
      <c r="AD141" s="50"/>
      <c r="AE141" s="50"/>
    </row>
    <row r="142">
      <c r="A142" s="307">
        <v>42970.58472222222</v>
      </c>
      <c r="B142" s="312" t="s">
        <v>900</v>
      </c>
      <c r="C142" s="303" t="s">
        <v>1177</v>
      </c>
      <c r="D142" s="303" t="s">
        <v>1178</v>
      </c>
      <c r="E142" s="315">
        <v>41598.0</v>
      </c>
      <c r="F142" s="312" t="s">
        <v>30</v>
      </c>
      <c r="G142" s="303" t="s">
        <v>1179</v>
      </c>
      <c r="H142" s="303" t="s">
        <v>1190</v>
      </c>
      <c r="I142" s="303" t="s">
        <v>1186</v>
      </c>
      <c r="J142" s="306">
        <v>0.8</v>
      </c>
      <c r="K142" s="50"/>
      <c r="L142" s="312"/>
      <c r="M142" s="312">
        <v>217.0</v>
      </c>
      <c r="N142" s="312"/>
      <c r="O142" s="312"/>
      <c r="P142" s="315">
        <v>42970.0</v>
      </c>
      <c r="Q142" s="312">
        <v>134709.0</v>
      </c>
      <c r="R142" s="312">
        <v>377.0</v>
      </c>
      <c r="S142" s="316"/>
      <c r="T142" s="317">
        <v>377.0</v>
      </c>
      <c r="U142" s="312" t="s">
        <v>1369</v>
      </c>
      <c r="V142" s="312" t="s">
        <v>1367</v>
      </c>
      <c r="W142" s="50"/>
      <c r="X142" s="50"/>
      <c r="Y142" s="50"/>
      <c r="Z142" s="312"/>
      <c r="AA142" s="50"/>
      <c r="AB142" s="50"/>
      <c r="AC142" s="50"/>
      <c r="AD142" s="50"/>
      <c r="AE142" s="50"/>
    </row>
    <row r="143">
      <c r="A143" s="307">
        <v>41969.041666666664</v>
      </c>
      <c r="B143" s="50" t="s">
        <v>1094</v>
      </c>
      <c r="C143" s="303" t="s">
        <v>1177</v>
      </c>
      <c r="D143" s="303" t="s">
        <v>1178</v>
      </c>
      <c r="E143" s="310">
        <v>41784.0</v>
      </c>
      <c r="F143" s="312" t="s">
        <v>30</v>
      </c>
      <c r="G143" s="303" t="s">
        <v>1190</v>
      </c>
      <c r="H143" s="303" t="s">
        <v>1181</v>
      </c>
      <c r="I143" s="303" t="s">
        <v>1187</v>
      </c>
      <c r="J143" s="306"/>
      <c r="K143" s="50"/>
      <c r="L143" s="50"/>
      <c r="M143" s="50">
        <v>205.0</v>
      </c>
      <c r="N143" s="50"/>
      <c r="O143" s="312"/>
      <c r="P143" s="310">
        <v>41969.0</v>
      </c>
      <c r="Q143" s="50">
        <v>14000.0</v>
      </c>
      <c r="R143" s="50">
        <v>391.0</v>
      </c>
      <c r="S143" s="318"/>
      <c r="T143" s="317">
        <v>394.95</v>
      </c>
      <c r="U143" s="312" t="s">
        <v>1407</v>
      </c>
      <c r="V143" s="312" t="s">
        <v>1367</v>
      </c>
      <c r="W143" s="50"/>
      <c r="X143" s="50"/>
      <c r="Y143" s="50"/>
      <c r="Z143" s="312"/>
      <c r="AA143" s="50" t="s">
        <v>1373</v>
      </c>
      <c r="AB143" s="50"/>
      <c r="AC143" s="50"/>
      <c r="AD143" s="50"/>
      <c r="AE143" s="50"/>
    </row>
    <row r="144">
      <c r="A144" s="307">
        <v>41996.04652777778</v>
      </c>
      <c r="B144" s="50" t="s">
        <v>724</v>
      </c>
      <c r="C144" s="303" t="s">
        <v>1177</v>
      </c>
      <c r="D144" s="303" t="s">
        <v>1178</v>
      </c>
      <c r="E144" s="310">
        <v>41986.0</v>
      </c>
      <c r="F144" s="312" t="s">
        <v>30</v>
      </c>
      <c r="G144" s="303" t="s">
        <v>1179</v>
      </c>
      <c r="H144" s="303" t="s">
        <v>1179</v>
      </c>
      <c r="I144" s="303" t="s">
        <v>1187</v>
      </c>
      <c r="J144" s="306"/>
      <c r="K144" s="50"/>
      <c r="L144" s="50"/>
      <c r="M144" s="50">
        <v>261.0</v>
      </c>
      <c r="N144" s="50"/>
      <c r="O144" s="312"/>
      <c r="P144" s="310">
        <v>41996.0</v>
      </c>
      <c r="Q144" s="50">
        <v>950.0</v>
      </c>
      <c r="R144" s="50">
        <v>394.0</v>
      </c>
      <c r="S144" s="318"/>
      <c r="T144" s="317">
        <v>398.99</v>
      </c>
      <c r="U144" s="312" t="s">
        <v>1366</v>
      </c>
      <c r="V144" s="312" t="s">
        <v>1367</v>
      </c>
      <c r="W144" s="50"/>
      <c r="X144" s="50"/>
      <c r="Y144" s="50"/>
      <c r="Z144" s="312"/>
      <c r="AA144" s="50" t="s">
        <v>1408</v>
      </c>
      <c r="AB144" s="50"/>
      <c r="AC144" s="50"/>
      <c r="AD144" s="50"/>
      <c r="AE144" s="50"/>
    </row>
    <row r="145">
      <c r="A145" s="307">
        <v>42019.049305555556</v>
      </c>
      <c r="B145" s="50" t="s">
        <v>724</v>
      </c>
      <c r="C145" s="303" t="s">
        <v>1177</v>
      </c>
      <c r="D145" s="303" t="s">
        <v>1178</v>
      </c>
      <c r="E145" s="310">
        <v>41986.0</v>
      </c>
      <c r="F145" s="312" t="s">
        <v>30</v>
      </c>
      <c r="G145" s="303" t="s">
        <v>1190</v>
      </c>
      <c r="H145" s="303" t="s">
        <v>1190</v>
      </c>
      <c r="I145" s="303" t="s">
        <v>1180</v>
      </c>
      <c r="J145" s="306"/>
      <c r="K145" s="50"/>
      <c r="L145" s="50"/>
      <c r="M145" s="50">
        <v>261.0</v>
      </c>
      <c r="N145" s="50"/>
      <c r="O145" s="312"/>
      <c r="P145" s="310">
        <v>42019.0</v>
      </c>
      <c r="Q145" s="50">
        <v>3600.0</v>
      </c>
      <c r="R145" s="50">
        <v>394.0</v>
      </c>
      <c r="S145" s="318"/>
      <c r="T145" s="317">
        <v>398.99</v>
      </c>
      <c r="U145" s="312" t="s">
        <v>1366</v>
      </c>
      <c r="V145" s="312" t="s">
        <v>1367</v>
      </c>
      <c r="W145" s="50"/>
      <c r="X145" s="50"/>
      <c r="Y145" s="50"/>
      <c r="Z145" s="312"/>
      <c r="AA145" s="50"/>
      <c r="AB145" s="50"/>
      <c r="AC145" s="50"/>
      <c r="AD145" s="50"/>
      <c r="AE145" s="50"/>
    </row>
    <row r="146">
      <c r="A146" s="307">
        <v>42055.075</v>
      </c>
      <c r="B146" s="50" t="s">
        <v>724</v>
      </c>
      <c r="C146" s="303" t="s">
        <v>1177</v>
      </c>
      <c r="D146" s="303" t="s">
        <v>1178</v>
      </c>
      <c r="E146" s="310">
        <v>41986.0</v>
      </c>
      <c r="F146" s="312" t="s">
        <v>30</v>
      </c>
      <c r="G146" s="303" t="s">
        <v>1179</v>
      </c>
      <c r="H146" s="303" t="s">
        <v>1179</v>
      </c>
      <c r="I146" s="303" t="s">
        <v>1181</v>
      </c>
      <c r="J146" s="306"/>
      <c r="K146" s="50"/>
      <c r="L146" s="50"/>
      <c r="M146" s="50">
        <v>260.0</v>
      </c>
      <c r="N146" s="50"/>
      <c r="O146" s="312"/>
      <c r="P146" s="310">
        <v>42055.0</v>
      </c>
      <c r="Q146" s="50">
        <v>5500.0</v>
      </c>
      <c r="R146" s="50">
        <v>399.0</v>
      </c>
      <c r="S146" s="318"/>
      <c r="T146" s="317">
        <v>404.05</v>
      </c>
      <c r="U146" s="312" t="s">
        <v>1366</v>
      </c>
      <c r="V146" s="312" t="s">
        <v>1367</v>
      </c>
      <c r="W146" s="50"/>
      <c r="X146" s="50"/>
      <c r="Y146" s="50"/>
      <c r="Z146" s="312"/>
      <c r="AA146" s="50"/>
      <c r="AB146" s="50"/>
      <c r="AC146" s="50"/>
      <c r="AD146" s="50"/>
      <c r="AE146" s="50"/>
    </row>
    <row r="147">
      <c r="A147" s="307">
        <v>42153.12986111111</v>
      </c>
      <c r="B147" s="312" t="s">
        <v>724</v>
      </c>
      <c r="C147" s="303" t="s">
        <v>1177</v>
      </c>
      <c r="D147" s="303" t="s">
        <v>1178</v>
      </c>
      <c r="E147" s="315">
        <v>41986.0</v>
      </c>
      <c r="F147" s="312" t="s">
        <v>30</v>
      </c>
      <c r="G147" s="303" t="s">
        <v>1180</v>
      </c>
      <c r="H147" s="303" t="s">
        <v>1179</v>
      </c>
      <c r="I147" s="303" t="s">
        <v>1186</v>
      </c>
      <c r="J147" s="306">
        <v>0.9</v>
      </c>
      <c r="K147" s="50"/>
      <c r="L147" s="312"/>
      <c r="M147" s="312">
        <v>250.0</v>
      </c>
      <c r="N147" s="50"/>
      <c r="O147" s="312"/>
      <c r="P147" s="315">
        <v>42153.0</v>
      </c>
      <c r="Q147" s="312">
        <v>12440.0</v>
      </c>
      <c r="R147" s="312">
        <v>388.0</v>
      </c>
      <c r="S147" s="316"/>
      <c r="T147" s="317">
        <v>392.91</v>
      </c>
      <c r="U147" s="312" t="s">
        <v>1366</v>
      </c>
      <c r="V147" s="312" t="s">
        <v>1367</v>
      </c>
      <c r="W147" s="50"/>
      <c r="X147" s="50"/>
      <c r="Y147" s="50"/>
      <c r="Z147" s="312"/>
      <c r="AA147" s="50"/>
      <c r="AB147" s="50"/>
      <c r="AC147" s="50"/>
      <c r="AD147" s="50"/>
      <c r="AE147" s="50"/>
    </row>
    <row r="148">
      <c r="A148" s="307">
        <v>42247.17569444444</v>
      </c>
      <c r="B148" s="312" t="s">
        <v>724</v>
      </c>
      <c r="C148" s="303" t="s">
        <v>1177</v>
      </c>
      <c r="D148" s="303" t="s">
        <v>1178</v>
      </c>
      <c r="E148" s="315">
        <v>41986.0</v>
      </c>
      <c r="F148" s="312" t="s">
        <v>30</v>
      </c>
      <c r="G148" s="303" t="s">
        <v>1181</v>
      </c>
      <c r="H148" s="303" t="s">
        <v>1181</v>
      </c>
      <c r="I148" s="303" t="s">
        <v>1186</v>
      </c>
      <c r="J148" s="306">
        <v>0.9</v>
      </c>
      <c r="K148" s="312">
        <v>398.0</v>
      </c>
      <c r="L148" s="312"/>
      <c r="M148" s="312">
        <v>225.0</v>
      </c>
      <c r="N148" s="312"/>
      <c r="O148" s="312"/>
      <c r="P148" s="315">
        <v>42247.0</v>
      </c>
      <c r="Q148" s="312">
        <v>21956.0</v>
      </c>
      <c r="R148" s="312">
        <v>386.0</v>
      </c>
      <c r="S148" s="316"/>
      <c r="T148" s="317">
        <v>390.89</v>
      </c>
      <c r="U148" s="312" t="s">
        <v>1366</v>
      </c>
      <c r="V148" s="312" t="s">
        <v>1367</v>
      </c>
      <c r="W148" s="50"/>
      <c r="X148" s="50"/>
      <c r="Y148" s="50"/>
      <c r="Z148" s="312"/>
      <c r="AA148" s="50"/>
      <c r="AB148" s="50"/>
      <c r="AC148" s="50"/>
      <c r="AD148" s="50"/>
      <c r="AE148" s="50"/>
    </row>
    <row r="149">
      <c r="A149" s="307">
        <v>42367.26388888889</v>
      </c>
      <c r="B149" s="312" t="s">
        <v>724</v>
      </c>
      <c r="C149" s="303" t="s">
        <v>1177</v>
      </c>
      <c r="D149" s="303" t="s">
        <v>1178</v>
      </c>
      <c r="E149" s="310">
        <v>41986.0</v>
      </c>
      <c r="F149" s="312" t="s">
        <v>30</v>
      </c>
      <c r="G149" s="312"/>
      <c r="H149" s="312"/>
      <c r="I149" s="312"/>
      <c r="J149" s="306"/>
      <c r="K149" s="50"/>
      <c r="L149" s="312"/>
      <c r="M149" s="312">
        <v>218.0</v>
      </c>
      <c r="N149" s="312"/>
      <c r="O149" s="312"/>
      <c r="P149" s="315">
        <v>42367.0</v>
      </c>
      <c r="Q149" s="312">
        <v>35000.0</v>
      </c>
      <c r="R149" s="312">
        <v>378.0</v>
      </c>
      <c r="S149" s="316"/>
      <c r="T149" s="317">
        <v>382.78</v>
      </c>
      <c r="U149" s="312" t="s">
        <v>1366</v>
      </c>
      <c r="V149" s="312" t="s">
        <v>1367</v>
      </c>
      <c r="W149" s="50"/>
      <c r="X149" s="50"/>
      <c r="Y149" s="50"/>
      <c r="Z149" s="312"/>
      <c r="AA149" s="50"/>
      <c r="AB149" s="50"/>
      <c r="AC149" s="50"/>
      <c r="AD149" s="50"/>
      <c r="AE149" s="50"/>
    </row>
    <row r="150">
      <c r="A150" s="307">
        <v>42874.538194444445</v>
      </c>
      <c r="B150" s="312" t="s">
        <v>724</v>
      </c>
      <c r="C150" s="303" t="s">
        <v>1177</v>
      </c>
      <c r="D150" s="303" t="s">
        <v>1178</v>
      </c>
      <c r="E150" s="315">
        <v>41986.0</v>
      </c>
      <c r="F150" s="312" t="s">
        <v>30</v>
      </c>
      <c r="G150" s="303" t="s">
        <v>1181</v>
      </c>
      <c r="H150" s="303" t="s">
        <v>1181</v>
      </c>
      <c r="I150" s="303" t="s">
        <v>1181</v>
      </c>
      <c r="J150" s="306"/>
      <c r="K150" s="50"/>
      <c r="L150" s="312"/>
      <c r="M150" s="312">
        <v>240.0</v>
      </c>
      <c r="N150" s="312"/>
      <c r="O150" s="312"/>
      <c r="P150" s="315">
        <v>42874.0</v>
      </c>
      <c r="Q150" s="312">
        <v>62000.0</v>
      </c>
      <c r="R150" s="312">
        <v>380.0</v>
      </c>
      <c r="S150" s="316"/>
      <c r="T150" s="317">
        <v>384.81</v>
      </c>
      <c r="U150" s="312" t="s">
        <v>1366</v>
      </c>
      <c r="V150" s="312" t="s">
        <v>1367</v>
      </c>
      <c r="W150" s="50"/>
      <c r="X150" s="50"/>
      <c r="Y150" s="50"/>
      <c r="Z150" s="312"/>
      <c r="AA150" s="50"/>
      <c r="AB150" s="50"/>
      <c r="AC150" s="50"/>
      <c r="AD150" s="50"/>
      <c r="AE150" s="50"/>
    </row>
    <row r="151">
      <c r="A151" s="307">
        <v>43117.66805555556</v>
      </c>
      <c r="B151" s="312" t="s">
        <v>724</v>
      </c>
      <c r="C151" s="303" t="s">
        <v>1177</v>
      </c>
      <c r="D151" s="303" t="s">
        <v>1178</v>
      </c>
      <c r="E151" s="315">
        <v>41986.0</v>
      </c>
      <c r="F151" s="312" t="s">
        <v>30</v>
      </c>
      <c r="G151" s="303" t="s">
        <v>1180</v>
      </c>
      <c r="H151" s="303" t="s">
        <v>1179</v>
      </c>
      <c r="I151" s="303" t="s">
        <v>1181</v>
      </c>
      <c r="J151" s="306">
        <v>0.9</v>
      </c>
      <c r="K151" s="50"/>
      <c r="L151" s="312"/>
      <c r="M151" s="312">
        <v>225.0</v>
      </c>
      <c r="N151" s="312"/>
      <c r="O151" s="312"/>
      <c r="P151" s="315">
        <v>43117.0</v>
      </c>
      <c r="Q151" s="312">
        <v>75000.0</v>
      </c>
      <c r="R151" s="312">
        <v>374.0</v>
      </c>
      <c r="S151" s="316"/>
      <c r="T151" s="317">
        <v>378.73</v>
      </c>
      <c r="U151" s="312" t="s">
        <v>1366</v>
      </c>
      <c r="V151" s="312" t="s">
        <v>1367</v>
      </c>
      <c r="W151" s="50"/>
      <c r="X151" s="50"/>
      <c r="Y151" s="50"/>
      <c r="Z151" s="312"/>
      <c r="AA151" s="50"/>
      <c r="AB151" s="50"/>
      <c r="AC151" s="50"/>
      <c r="AD151" s="50"/>
      <c r="AE151" s="50"/>
    </row>
    <row r="152">
      <c r="A152" s="307">
        <v>42261.75833333333</v>
      </c>
      <c r="B152" s="312" t="s">
        <v>1002</v>
      </c>
      <c r="C152" s="312" t="s">
        <v>1184</v>
      </c>
      <c r="D152" s="303" t="s">
        <v>1185</v>
      </c>
      <c r="E152" s="315">
        <v>41396.0</v>
      </c>
      <c r="F152" s="312" t="s">
        <v>12</v>
      </c>
      <c r="G152" s="50"/>
      <c r="H152" s="50"/>
      <c r="I152" s="50"/>
      <c r="J152" s="306">
        <v>0.9</v>
      </c>
      <c r="K152" s="312">
        <v>205.0</v>
      </c>
      <c r="L152" s="312"/>
      <c r="M152" s="312">
        <v>309.0</v>
      </c>
      <c r="N152" s="312"/>
      <c r="O152" s="312"/>
      <c r="P152" s="315">
        <v>42261.0</v>
      </c>
      <c r="Q152" s="312">
        <v>35000.0</v>
      </c>
      <c r="R152" s="312">
        <v>198.0</v>
      </c>
      <c r="S152" s="316"/>
      <c r="T152" s="317">
        <v>198.0</v>
      </c>
      <c r="U152" s="312" t="s">
        <v>1369</v>
      </c>
      <c r="V152" s="312" t="s">
        <v>1367</v>
      </c>
      <c r="W152" s="50"/>
      <c r="X152" s="50"/>
      <c r="Y152" s="50"/>
      <c r="Z152" s="312"/>
      <c r="AA152" s="50"/>
      <c r="AB152" s="50"/>
      <c r="AC152" s="50"/>
      <c r="AD152" s="50"/>
      <c r="AE152" s="50"/>
    </row>
    <row r="153">
      <c r="A153" s="307">
        <v>42929.85</v>
      </c>
      <c r="B153" s="312" t="s">
        <v>923</v>
      </c>
      <c r="C153" s="312" t="s">
        <v>1184</v>
      </c>
      <c r="D153" s="303" t="s">
        <v>1185</v>
      </c>
      <c r="E153" s="315">
        <v>41722.0</v>
      </c>
      <c r="F153" s="312" t="s">
        <v>30</v>
      </c>
      <c r="G153" s="303" t="s">
        <v>1180</v>
      </c>
      <c r="H153" s="303" t="s">
        <v>1181</v>
      </c>
      <c r="I153" s="303" t="s">
        <v>1187</v>
      </c>
      <c r="J153" s="306">
        <v>0.9</v>
      </c>
      <c r="K153" s="312">
        <v>265.0</v>
      </c>
      <c r="L153" s="312"/>
      <c r="M153" s="312">
        <v>324.0</v>
      </c>
      <c r="N153" s="312"/>
      <c r="O153" s="312"/>
      <c r="P153" s="315">
        <v>42929.0</v>
      </c>
      <c r="Q153" s="312">
        <v>70566.0</v>
      </c>
      <c r="R153" s="312">
        <v>251.0</v>
      </c>
      <c r="S153" s="316"/>
      <c r="T153" s="317">
        <v>254.18</v>
      </c>
      <c r="U153" s="312" t="s">
        <v>1366</v>
      </c>
      <c r="V153" s="312" t="s">
        <v>1367</v>
      </c>
      <c r="W153" s="50"/>
      <c r="X153" s="50"/>
      <c r="Y153" s="50"/>
      <c r="Z153" s="312"/>
      <c r="AA153" s="312" t="s">
        <v>1409</v>
      </c>
      <c r="AB153" s="50"/>
      <c r="AC153" s="50"/>
      <c r="AD153" s="50"/>
      <c r="AE153" s="50"/>
    </row>
    <row r="154">
      <c r="A154" s="307">
        <v>42532.347916666666</v>
      </c>
      <c r="B154" s="312" t="s">
        <v>830</v>
      </c>
      <c r="C154" s="303" t="s">
        <v>1177</v>
      </c>
      <c r="D154" s="303" t="s">
        <v>1178</v>
      </c>
      <c r="E154" s="315">
        <v>41635.0</v>
      </c>
      <c r="F154" s="312" t="s">
        <v>32</v>
      </c>
      <c r="G154" s="303" t="s">
        <v>1179</v>
      </c>
      <c r="H154" s="303" t="s">
        <v>1181</v>
      </c>
      <c r="I154" s="303" t="s">
        <v>1186</v>
      </c>
      <c r="J154" s="306">
        <v>0.9</v>
      </c>
      <c r="K154" s="312">
        <v>392.0</v>
      </c>
      <c r="L154" s="312"/>
      <c r="M154" s="312">
        <v>214.0</v>
      </c>
      <c r="N154" s="312"/>
      <c r="O154" s="312"/>
      <c r="P154" s="315">
        <v>42532.0</v>
      </c>
      <c r="Q154" s="312">
        <v>156115.0</v>
      </c>
      <c r="R154" s="312">
        <v>372.0</v>
      </c>
      <c r="S154" s="316"/>
      <c r="T154" s="317">
        <v>376.71</v>
      </c>
      <c r="U154" s="312" t="s">
        <v>1366</v>
      </c>
      <c r="V154" s="312" t="s">
        <v>1367</v>
      </c>
      <c r="W154" s="312"/>
      <c r="X154" s="312"/>
      <c r="Y154" s="312"/>
      <c r="Z154" s="312"/>
      <c r="AA154" s="312" t="s">
        <v>1410</v>
      </c>
      <c r="AB154" s="50"/>
      <c r="AC154" s="50"/>
      <c r="AD154" s="50"/>
      <c r="AE154" s="50"/>
    </row>
    <row r="155">
      <c r="A155" s="307">
        <v>42836.52013888889</v>
      </c>
      <c r="B155" s="312" t="s">
        <v>830</v>
      </c>
      <c r="C155" s="303" t="s">
        <v>1177</v>
      </c>
      <c r="D155" s="303" t="s">
        <v>1178</v>
      </c>
      <c r="E155" s="315">
        <v>41635.0</v>
      </c>
      <c r="F155" s="312" t="s">
        <v>32</v>
      </c>
      <c r="G155" s="303" t="s">
        <v>1179</v>
      </c>
      <c r="H155" s="303" t="s">
        <v>1190</v>
      </c>
      <c r="I155" s="303" t="s">
        <v>1186</v>
      </c>
      <c r="J155" s="306">
        <v>0.9</v>
      </c>
      <c r="K155" s="312">
        <v>392.0</v>
      </c>
      <c r="L155" s="312"/>
      <c r="M155" s="312">
        <v>217.0</v>
      </c>
      <c r="N155" s="312"/>
      <c r="O155" s="312"/>
      <c r="P155" s="315">
        <v>42836.0</v>
      </c>
      <c r="Q155" s="312">
        <v>201000.0</v>
      </c>
      <c r="R155" s="312">
        <v>367.0</v>
      </c>
      <c r="S155" s="316"/>
      <c r="T155" s="317">
        <v>371.65</v>
      </c>
      <c r="U155" s="312" t="s">
        <v>1366</v>
      </c>
      <c r="V155" s="312" t="s">
        <v>1367</v>
      </c>
      <c r="W155" s="50"/>
      <c r="X155" s="50"/>
      <c r="Y155" s="50"/>
      <c r="Z155" s="312"/>
      <c r="AA155" s="50"/>
      <c r="AB155" s="50"/>
      <c r="AC155" s="50"/>
      <c r="AD155" s="50"/>
      <c r="AE155" s="50"/>
    </row>
    <row r="156">
      <c r="A156" s="307">
        <v>43037.925</v>
      </c>
      <c r="B156" s="312" t="s">
        <v>1005</v>
      </c>
      <c r="C156" s="312" t="s">
        <v>1197</v>
      </c>
      <c r="D156" s="303" t="s">
        <v>1178</v>
      </c>
      <c r="E156" s="315">
        <v>42781.0</v>
      </c>
      <c r="F156" s="312" t="s">
        <v>43</v>
      </c>
      <c r="G156" s="303" t="s">
        <v>1179</v>
      </c>
      <c r="H156" s="303" t="s">
        <v>1180</v>
      </c>
      <c r="I156" s="303" t="s">
        <v>1187</v>
      </c>
      <c r="J156" s="306">
        <v>0.6</v>
      </c>
      <c r="K156" s="312">
        <v>473.0</v>
      </c>
      <c r="L156" s="312"/>
      <c r="M156" s="312">
        <v>197.0</v>
      </c>
      <c r="N156" s="312"/>
      <c r="O156" s="312"/>
      <c r="P156" s="315">
        <v>43037.0</v>
      </c>
      <c r="Q156" s="312">
        <v>5704.0</v>
      </c>
      <c r="R156" s="312">
        <v>469.0</v>
      </c>
      <c r="S156" s="316"/>
      <c r="T156" s="317">
        <v>474.94</v>
      </c>
      <c r="U156" s="312" t="s">
        <v>1366</v>
      </c>
      <c r="V156" s="312" t="s">
        <v>1367</v>
      </c>
      <c r="W156" s="312">
        <v>266.0</v>
      </c>
      <c r="X156" s="312">
        <v>123.0</v>
      </c>
      <c r="Y156" s="312">
        <v>24.8</v>
      </c>
      <c r="Z156" s="312" t="s">
        <v>1366</v>
      </c>
      <c r="AA156" s="50"/>
      <c r="AB156" s="50"/>
      <c r="AC156" s="50"/>
      <c r="AD156" s="50"/>
      <c r="AE156" s="50"/>
    </row>
    <row r="157">
      <c r="A157" s="307">
        <v>42994.92569444444</v>
      </c>
      <c r="B157" s="312" t="s">
        <v>1005</v>
      </c>
      <c r="C157" s="312" t="s">
        <v>1197</v>
      </c>
      <c r="D157" s="303" t="s">
        <v>1178</v>
      </c>
      <c r="E157" s="315">
        <v>42781.0</v>
      </c>
      <c r="F157" s="312" t="s">
        <v>43</v>
      </c>
      <c r="G157" s="303" t="s">
        <v>1179</v>
      </c>
      <c r="H157" s="303" t="s">
        <v>1180</v>
      </c>
      <c r="I157" s="303" t="s">
        <v>1187</v>
      </c>
      <c r="J157" s="306">
        <v>0.6</v>
      </c>
      <c r="K157" s="312">
        <v>473.0</v>
      </c>
      <c r="L157" s="312"/>
      <c r="M157" s="312">
        <v>195.0</v>
      </c>
      <c r="N157" s="312"/>
      <c r="O157" s="312"/>
      <c r="P157" s="315">
        <v>42994.0</v>
      </c>
      <c r="Q157" s="312">
        <v>2647.0</v>
      </c>
      <c r="R157" s="312">
        <v>472.0</v>
      </c>
      <c r="S157" s="316"/>
      <c r="T157" s="317">
        <v>477.97</v>
      </c>
      <c r="U157" s="312" t="s">
        <v>1366</v>
      </c>
      <c r="V157" s="312" t="s">
        <v>1367</v>
      </c>
      <c r="W157" s="312">
        <v>466.0</v>
      </c>
      <c r="X157" s="312">
        <v>90.0</v>
      </c>
      <c r="Y157" s="312">
        <v>65.0</v>
      </c>
      <c r="Z157" s="312" t="s">
        <v>1366</v>
      </c>
      <c r="AA157" s="50"/>
      <c r="AB157" s="50"/>
      <c r="AC157" s="50"/>
      <c r="AD157" s="50"/>
      <c r="AE157" s="50"/>
    </row>
    <row r="158">
      <c r="A158" s="307">
        <v>42297.2</v>
      </c>
      <c r="B158" s="312" t="s">
        <v>1045</v>
      </c>
      <c r="C158" s="303" t="s">
        <v>1177</v>
      </c>
      <c r="D158" s="303" t="s">
        <v>1178</v>
      </c>
      <c r="E158" s="315">
        <v>41631.0</v>
      </c>
      <c r="F158" s="312" t="s">
        <v>32</v>
      </c>
      <c r="G158" s="303" t="s">
        <v>1180</v>
      </c>
      <c r="H158" s="303" t="s">
        <v>1181</v>
      </c>
      <c r="I158" s="303" t="s">
        <v>1186</v>
      </c>
      <c r="J158" s="306">
        <v>0.8</v>
      </c>
      <c r="K158" s="312">
        <v>404.0</v>
      </c>
      <c r="L158" s="312"/>
      <c r="M158" s="312">
        <v>204.0</v>
      </c>
      <c r="N158" s="312"/>
      <c r="O158" s="312"/>
      <c r="P158" s="315">
        <v>42297.0</v>
      </c>
      <c r="Q158" s="312">
        <v>114400.0</v>
      </c>
      <c r="R158" s="312">
        <v>375.0</v>
      </c>
      <c r="S158" s="316"/>
      <c r="T158" s="317">
        <v>379.75</v>
      </c>
      <c r="U158" s="312" t="s">
        <v>1366</v>
      </c>
      <c r="V158" s="312" t="s">
        <v>1367</v>
      </c>
      <c r="W158" s="312">
        <v>300.0</v>
      </c>
      <c r="X158" s="312">
        <v>100.0</v>
      </c>
      <c r="Y158" s="312">
        <v>40.0</v>
      </c>
      <c r="Z158" s="312" t="s">
        <v>1366</v>
      </c>
      <c r="AA158" s="50"/>
      <c r="AB158" s="50"/>
      <c r="AC158" s="50"/>
      <c r="AD158" s="50"/>
      <c r="AE158" s="50"/>
    </row>
    <row r="159">
      <c r="A159" s="307">
        <v>42841.525</v>
      </c>
      <c r="B159" s="312" t="s">
        <v>835</v>
      </c>
      <c r="C159" s="303" t="s">
        <v>1177</v>
      </c>
      <c r="D159" s="303" t="s">
        <v>1178</v>
      </c>
      <c r="E159" s="315">
        <v>41920.0</v>
      </c>
      <c r="F159" s="312" t="s">
        <v>30</v>
      </c>
      <c r="G159" s="303" t="s">
        <v>1179</v>
      </c>
      <c r="H159" s="303" t="s">
        <v>1179</v>
      </c>
      <c r="I159" s="303" t="s">
        <v>1181</v>
      </c>
      <c r="J159" s="306"/>
      <c r="K159" s="50"/>
      <c r="L159" s="312"/>
      <c r="M159" s="312">
        <v>224.0</v>
      </c>
      <c r="N159" s="312"/>
      <c r="O159" s="312"/>
      <c r="P159" s="315">
        <v>42841.0</v>
      </c>
      <c r="Q159" s="312">
        <v>117145.0</v>
      </c>
      <c r="R159" s="312">
        <v>381.0</v>
      </c>
      <c r="S159" s="316"/>
      <c r="T159" s="317">
        <v>381.0</v>
      </c>
      <c r="U159" s="312" t="s">
        <v>1369</v>
      </c>
      <c r="V159" s="312" t="s">
        <v>1367</v>
      </c>
      <c r="W159" s="50"/>
      <c r="X159" s="50"/>
      <c r="Y159" s="50"/>
      <c r="Z159" s="312"/>
      <c r="AA159" s="312"/>
      <c r="AB159" s="50"/>
      <c r="AC159" s="50"/>
      <c r="AD159" s="50"/>
      <c r="AE159" s="50"/>
    </row>
    <row r="160">
      <c r="A160" s="307">
        <v>42063.07847222222</v>
      </c>
      <c r="B160" s="50" t="s">
        <v>772</v>
      </c>
      <c r="C160" s="303" t="s">
        <v>1177</v>
      </c>
      <c r="D160" s="303" t="s">
        <v>1178</v>
      </c>
      <c r="E160" s="315">
        <v>41598.0</v>
      </c>
      <c r="F160" s="312" t="s">
        <v>30</v>
      </c>
      <c r="G160" s="303" t="s">
        <v>1187</v>
      </c>
      <c r="H160" s="303" t="s">
        <v>1187</v>
      </c>
      <c r="I160" s="303" t="s">
        <v>1187</v>
      </c>
      <c r="J160" s="306"/>
      <c r="K160" s="50"/>
      <c r="L160" s="50"/>
      <c r="M160" s="50">
        <v>242.0</v>
      </c>
      <c r="N160" s="50"/>
      <c r="O160" s="312"/>
      <c r="P160" s="310">
        <v>42063.0</v>
      </c>
      <c r="Q160" s="50">
        <v>30100.0</v>
      </c>
      <c r="R160" s="50">
        <v>380.0</v>
      </c>
      <c r="S160" s="318"/>
      <c r="T160" s="317">
        <v>384.81</v>
      </c>
      <c r="U160" s="312" t="s">
        <v>1366</v>
      </c>
      <c r="V160" s="312" t="s">
        <v>1367</v>
      </c>
      <c r="W160" s="50"/>
      <c r="X160" s="50"/>
      <c r="Y160" s="50"/>
      <c r="Z160" s="312"/>
      <c r="AA160" s="50"/>
      <c r="AB160" s="50"/>
      <c r="AC160" s="50"/>
      <c r="AD160" s="50"/>
      <c r="AE160" s="50"/>
    </row>
    <row r="161">
      <c r="A161" s="307">
        <v>42405.282638888886</v>
      </c>
      <c r="B161" s="312" t="s">
        <v>772</v>
      </c>
      <c r="C161" s="303" t="s">
        <v>1177</v>
      </c>
      <c r="D161" s="303" t="s">
        <v>1178</v>
      </c>
      <c r="E161" s="315">
        <v>41598.0</v>
      </c>
      <c r="F161" s="312" t="s">
        <v>30</v>
      </c>
      <c r="G161" s="303" t="s">
        <v>1180</v>
      </c>
      <c r="H161" s="303" t="s">
        <v>1181</v>
      </c>
      <c r="I161" s="303" t="s">
        <v>1181</v>
      </c>
      <c r="J161" s="306">
        <v>0.9</v>
      </c>
      <c r="K161" s="50"/>
      <c r="L161" s="312"/>
      <c r="M161" s="312">
        <v>218.0</v>
      </c>
      <c r="N161" s="312">
        <v>35000.0</v>
      </c>
      <c r="O161" s="303" t="s">
        <v>1207</v>
      </c>
      <c r="P161" s="315">
        <v>42405.0</v>
      </c>
      <c r="Q161" s="312">
        <v>58000.0</v>
      </c>
      <c r="R161" s="312">
        <v>371.0</v>
      </c>
      <c r="S161" s="316"/>
      <c r="T161" s="317">
        <v>375.7</v>
      </c>
      <c r="U161" s="312" t="s">
        <v>1366</v>
      </c>
      <c r="V161" s="312" t="s">
        <v>1399</v>
      </c>
      <c r="W161" s="50"/>
      <c r="X161" s="50"/>
      <c r="Y161" s="50"/>
      <c r="Z161" s="312"/>
      <c r="AA161" s="50"/>
      <c r="AB161" s="50"/>
      <c r="AC161" s="50"/>
      <c r="AD161" s="50"/>
      <c r="AE161" s="50"/>
    </row>
    <row r="162">
      <c r="A162" s="307">
        <v>42550.36041666667</v>
      </c>
      <c r="B162" s="312" t="s">
        <v>772</v>
      </c>
      <c r="C162" s="303" t="s">
        <v>1177</v>
      </c>
      <c r="D162" s="303" t="s">
        <v>1178</v>
      </c>
      <c r="E162" s="315">
        <v>42362.0</v>
      </c>
      <c r="F162" s="312" t="s">
        <v>36</v>
      </c>
      <c r="G162" s="312"/>
      <c r="H162" s="312"/>
      <c r="I162" s="312"/>
      <c r="J162" s="306"/>
      <c r="K162" s="50"/>
      <c r="L162" s="312"/>
      <c r="M162" s="312">
        <v>218.0</v>
      </c>
      <c r="N162" s="312"/>
      <c r="O162" s="312"/>
      <c r="P162" s="315">
        <v>42550.0</v>
      </c>
      <c r="Q162" s="312">
        <v>12000.0</v>
      </c>
      <c r="R162" s="312">
        <v>430.0</v>
      </c>
      <c r="S162" s="316"/>
      <c r="T162" s="317">
        <v>435.44</v>
      </c>
      <c r="U162" s="312" t="s">
        <v>1366</v>
      </c>
      <c r="V162" s="312" t="s">
        <v>1367</v>
      </c>
      <c r="W162" s="50"/>
      <c r="X162" s="50"/>
      <c r="Y162" s="50"/>
      <c r="Z162" s="312"/>
      <c r="AA162" s="50"/>
      <c r="AB162" s="50"/>
      <c r="AC162" s="50"/>
      <c r="AD162" s="50"/>
      <c r="AE162" s="50"/>
    </row>
    <row r="163">
      <c r="A163" s="307">
        <v>41907.01597222222</v>
      </c>
      <c r="B163" s="50" t="s">
        <v>1015</v>
      </c>
      <c r="C163" s="303" t="s">
        <v>1177</v>
      </c>
      <c r="D163" s="303" t="s">
        <v>1178</v>
      </c>
      <c r="E163" s="310">
        <v>41591.0</v>
      </c>
      <c r="F163" s="50" t="s">
        <v>12</v>
      </c>
      <c r="G163" s="303" t="s">
        <v>1181</v>
      </c>
      <c r="H163" s="303" t="s">
        <v>1186</v>
      </c>
      <c r="I163" s="303" t="s">
        <v>1187</v>
      </c>
      <c r="J163" s="306"/>
      <c r="K163" s="50"/>
      <c r="L163" s="50"/>
      <c r="M163" s="50">
        <v>231.0</v>
      </c>
      <c r="N163" s="50"/>
      <c r="O163" s="312"/>
      <c r="P163" s="310">
        <v>41907.0</v>
      </c>
      <c r="Q163" s="50">
        <v>15300.0</v>
      </c>
      <c r="R163" s="50">
        <v>285.0</v>
      </c>
      <c r="S163" s="318"/>
      <c r="T163" s="317">
        <v>287.88</v>
      </c>
      <c r="U163" s="312" t="s">
        <v>1407</v>
      </c>
      <c r="V163" s="312" t="s">
        <v>1367</v>
      </c>
      <c r="W163" s="50"/>
      <c r="X163" s="50"/>
      <c r="Y163" s="50"/>
      <c r="Z163" s="312"/>
      <c r="AA163" s="50" t="s">
        <v>1411</v>
      </c>
      <c r="AB163" s="50"/>
      <c r="AC163" s="50"/>
      <c r="AD163" s="50"/>
      <c r="AE163" s="50"/>
    </row>
    <row r="164">
      <c r="A164" s="307">
        <v>42304.21527777778</v>
      </c>
      <c r="B164" s="312" t="s">
        <v>1062</v>
      </c>
      <c r="C164" s="303" t="s">
        <v>1177</v>
      </c>
      <c r="D164" s="303" t="s">
        <v>1178</v>
      </c>
      <c r="E164" s="315">
        <v>41530.0</v>
      </c>
      <c r="F164" s="312" t="s">
        <v>32</v>
      </c>
      <c r="G164" s="303" t="s">
        <v>1179</v>
      </c>
      <c r="H164" s="303" t="s">
        <v>1180</v>
      </c>
      <c r="I164" s="303" t="s">
        <v>1187</v>
      </c>
      <c r="J164" s="306">
        <v>0.9</v>
      </c>
      <c r="K164" s="312">
        <v>408.0</v>
      </c>
      <c r="L164" s="312"/>
      <c r="M164" s="312">
        <v>224.0</v>
      </c>
      <c r="N164" s="312"/>
      <c r="O164" s="312"/>
      <c r="P164" s="315">
        <v>42304.0</v>
      </c>
      <c r="Q164" s="312">
        <v>64908.0</v>
      </c>
      <c r="R164" s="312">
        <v>388.0</v>
      </c>
      <c r="S164" s="316"/>
      <c r="T164" s="317">
        <v>392.91</v>
      </c>
      <c r="U164" s="312" t="s">
        <v>1366</v>
      </c>
      <c r="V164" s="312" t="s">
        <v>1367</v>
      </c>
      <c r="W164" s="50"/>
      <c r="X164" s="50"/>
      <c r="Y164" s="50"/>
      <c r="Z164" s="312"/>
      <c r="AA164" s="312" t="s">
        <v>1412</v>
      </c>
      <c r="AB164" s="50"/>
      <c r="AC164" s="50"/>
      <c r="AD164" s="50"/>
      <c r="AE164" s="50"/>
    </row>
    <row r="165">
      <c r="A165" s="307">
        <v>42316.22152777778</v>
      </c>
      <c r="B165" s="312" t="s">
        <v>1077</v>
      </c>
      <c r="C165" s="303" t="s">
        <v>1177</v>
      </c>
      <c r="D165" s="303" t="s">
        <v>1178</v>
      </c>
      <c r="E165" s="315">
        <v>41635.0</v>
      </c>
      <c r="F165" s="312" t="s">
        <v>32</v>
      </c>
      <c r="G165" s="303" t="s">
        <v>1180</v>
      </c>
      <c r="H165" s="303" t="s">
        <v>1180</v>
      </c>
      <c r="I165" s="303" t="s">
        <v>1186</v>
      </c>
      <c r="J165" s="306">
        <v>0.9</v>
      </c>
      <c r="K165" s="312">
        <v>398.0</v>
      </c>
      <c r="L165" s="312"/>
      <c r="M165" s="312">
        <v>211.0</v>
      </c>
      <c r="N165" s="312"/>
      <c r="O165" s="312"/>
      <c r="P165" s="315">
        <v>42316.0</v>
      </c>
      <c r="Q165" s="312">
        <v>122100.0</v>
      </c>
      <c r="R165" s="312">
        <v>361.0</v>
      </c>
      <c r="S165" s="316"/>
      <c r="T165" s="317">
        <v>365.57</v>
      </c>
      <c r="U165" s="312" t="s">
        <v>1366</v>
      </c>
      <c r="V165" s="312" t="s">
        <v>1367</v>
      </c>
      <c r="W165" s="312">
        <v>361.0</v>
      </c>
      <c r="X165" s="312">
        <v>20.0</v>
      </c>
      <c r="Y165" s="312">
        <v>64.0</v>
      </c>
      <c r="Z165" s="312" t="s">
        <v>1366</v>
      </c>
      <c r="AA165" s="312" t="s">
        <v>1387</v>
      </c>
      <c r="AB165" s="50"/>
      <c r="AC165" s="50"/>
      <c r="AD165" s="50"/>
      <c r="AE165" s="50"/>
    </row>
    <row r="166">
      <c r="A166" s="307">
        <v>42815.919444444444</v>
      </c>
      <c r="B166" s="312" t="s">
        <v>816</v>
      </c>
      <c r="C166" s="312" t="s">
        <v>1197</v>
      </c>
      <c r="D166" s="303" t="s">
        <v>1178</v>
      </c>
      <c r="E166" s="315">
        <v>42732.0</v>
      </c>
      <c r="F166" s="312" t="s">
        <v>51</v>
      </c>
      <c r="G166" s="303" t="s">
        <v>1179</v>
      </c>
      <c r="H166" s="303" t="s">
        <v>1179</v>
      </c>
      <c r="I166" s="303" t="s">
        <v>1187</v>
      </c>
      <c r="J166" s="306">
        <v>0.8</v>
      </c>
      <c r="K166" s="50"/>
      <c r="L166" s="312"/>
      <c r="M166" s="312">
        <v>215.0</v>
      </c>
      <c r="N166" s="312"/>
      <c r="O166" s="312"/>
      <c r="P166" s="315">
        <v>42815.0</v>
      </c>
      <c r="Q166" s="312">
        <v>3800.0</v>
      </c>
      <c r="R166" s="312">
        <v>323.0</v>
      </c>
      <c r="S166" s="316"/>
      <c r="T166" s="317">
        <v>323.0</v>
      </c>
      <c r="U166" s="312" t="s">
        <v>1369</v>
      </c>
      <c r="V166" s="312" t="s">
        <v>1367</v>
      </c>
      <c r="W166" s="50"/>
      <c r="X166" s="50"/>
      <c r="Y166" s="50"/>
      <c r="Z166" s="312"/>
      <c r="AA166" s="50"/>
      <c r="AB166" s="50"/>
      <c r="AC166" s="50"/>
      <c r="AD166" s="50"/>
      <c r="AE166" s="50"/>
    </row>
    <row r="167">
      <c r="A167" s="307">
        <v>42957.57152777778</v>
      </c>
      <c r="B167" s="312" t="s">
        <v>948</v>
      </c>
      <c r="C167" s="303" t="s">
        <v>1177</v>
      </c>
      <c r="D167" s="303" t="s">
        <v>1178</v>
      </c>
      <c r="E167" s="315">
        <v>42825.0</v>
      </c>
      <c r="F167" s="312" t="s">
        <v>43</v>
      </c>
      <c r="G167" s="303" t="s">
        <v>1181</v>
      </c>
      <c r="H167" s="303" t="s">
        <v>1181</v>
      </c>
      <c r="I167" s="303" t="s">
        <v>1187</v>
      </c>
      <c r="J167" s="306">
        <v>0.9</v>
      </c>
      <c r="K167" s="312">
        <v>456.0</v>
      </c>
      <c r="L167" s="312"/>
      <c r="M167" s="312">
        <v>198.0</v>
      </c>
      <c r="N167" s="312"/>
      <c r="O167" s="312"/>
      <c r="P167" s="315">
        <v>42957.0</v>
      </c>
      <c r="Q167" s="312">
        <v>8900.0</v>
      </c>
      <c r="R167" s="312">
        <v>456.0</v>
      </c>
      <c r="S167" s="316"/>
      <c r="T167" s="317">
        <v>461.77</v>
      </c>
      <c r="U167" s="312" t="s">
        <v>1366</v>
      </c>
      <c r="V167" s="312" t="s">
        <v>1367</v>
      </c>
      <c r="W167" s="50"/>
      <c r="X167" s="50"/>
      <c r="Y167" s="50"/>
      <c r="Z167" s="312"/>
      <c r="AA167" s="312" t="s">
        <v>1413</v>
      </c>
      <c r="AB167" s="50"/>
      <c r="AC167" s="50"/>
      <c r="AD167" s="50"/>
      <c r="AE167" s="50"/>
    </row>
    <row r="168">
      <c r="A168" s="307">
        <v>43095.6625</v>
      </c>
      <c r="B168" s="312" t="s">
        <v>948</v>
      </c>
      <c r="C168" s="303" t="s">
        <v>1177</v>
      </c>
      <c r="D168" s="303" t="s">
        <v>1178</v>
      </c>
      <c r="E168" s="315">
        <v>42825.0</v>
      </c>
      <c r="F168" s="312" t="s">
        <v>43</v>
      </c>
      <c r="G168" s="303" t="s">
        <v>1181</v>
      </c>
      <c r="H168" s="303" t="s">
        <v>1181</v>
      </c>
      <c r="I168" s="303" t="s">
        <v>1187</v>
      </c>
      <c r="J168" s="306">
        <v>0.9</v>
      </c>
      <c r="K168" s="312">
        <v>456.0</v>
      </c>
      <c r="L168" s="312"/>
      <c r="M168" s="312">
        <v>204.0</v>
      </c>
      <c r="N168" s="312"/>
      <c r="O168" s="312"/>
      <c r="P168" s="315">
        <v>43095.0</v>
      </c>
      <c r="Q168" s="312">
        <v>14500.0</v>
      </c>
      <c r="R168" s="312">
        <v>446.0</v>
      </c>
      <c r="S168" s="316"/>
      <c r="T168" s="317">
        <v>451.65</v>
      </c>
      <c r="U168" s="312" t="s">
        <v>1366</v>
      </c>
      <c r="V168" s="312" t="s">
        <v>1367</v>
      </c>
      <c r="W168" s="50"/>
      <c r="X168" s="50"/>
      <c r="Y168" s="50"/>
      <c r="Z168" s="312"/>
      <c r="AA168" s="50"/>
      <c r="AB168" s="50"/>
      <c r="AC168" s="50"/>
      <c r="AD168" s="50"/>
      <c r="AE168" s="50"/>
    </row>
    <row r="169">
      <c r="A169" s="307">
        <v>42110.09722222222</v>
      </c>
      <c r="B169" s="312" t="s">
        <v>836</v>
      </c>
      <c r="C169" s="303" t="s">
        <v>1177</v>
      </c>
      <c r="D169" s="303" t="s">
        <v>1178</v>
      </c>
      <c r="E169" s="315">
        <v>41584.0</v>
      </c>
      <c r="F169" s="312" t="s">
        <v>1370</v>
      </c>
      <c r="G169" s="303" t="s">
        <v>1179</v>
      </c>
      <c r="H169" s="303" t="s">
        <v>1179</v>
      </c>
      <c r="I169" s="303" t="s">
        <v>1187</v>
      </c>
      <c r="J169" s="306"/>
      <c r="K169" s="50"/>
      <c r="L169" s="312"/>
      <c r="M169" s="312">
        <v>229.0</v>
      </c>
      <c r="N169" s="50"/>
      <c r="O169" s="312"/>
      <c r="P169" s="315">
        <v>42110.0</v>
      </c>
      <c r="Q169" s="312">
        <v>64000.0</v>
      </c>
      <c r="R169" s="312">
        <v>385.0</v>
      </c>
      <c r="S169" s="316"/>
      <c r="T169" s="317">
        <v>389.87</v>
      </c>
      <c r="U169" s="312" t="s">
        <v>1366</v>
      </c>
      <c r="V169" s="312" t="s">
        <v>1367</v>
      </c>
      <c r="W169" s="50"/>
      <c r="X169" s="50"/>
      <c r="Y169" s="50"/>
      <c r="Z169" s="312"/>
      <c r="AA169" s="50"/>
      <c r="AB169" s="50"/>
      <c r="AC169" s="50"/>
      <c r="AD169" s="50"/>
      <c r="AE169" s="50"/>
    </row>
    <row r="170">
      <c r="A170" s="307">
        <v>42878.83194444444</v>
      </c>
      <c r="B170" s="312" t="s">
        <v>878</v>
      </c>
      <c r="C170" s="312" t="s">
        <v>1184</v>
      </c>
      <c r="D170" s="303" t="s">
        <v>1185</v>
      </c>
      <c r="E170" s="315">
        <v>42771.0</v>
      </c>
      <c r="F170" s="312" t="s">
        <v>16</v>
      </c>
      <c r="G170" s="303" t="s">
        <v>1181</v>
      </c>
      <c r="H170" s="303" t="s">
        <v>1187</v>
      </c>
      <c r="I170" s="303" t="s">
        <v>1187</v>
      </c>
      <c r="J170" s="306">
        <v>1.0</v>
      </c>
      <c r="K170" s="312">
        <v>220.0</v>
      </c>
      <c r="L170" s="312"/>
      <c r="M170" s="312">
        <v>270.0</v>
      </c>
      <c r="N170" s="312"/>
      <c r="O170" s="312"/>
      <c r="P170" s="315">
        <v>42878.0</v>
      </c>
      <c r="Q170" s="312">
        <v>10654.0</v>
      </c>
      <c r="R170" s="312">
        <v>218.0</v>
      </c>
      <c r="S170" s="316"/>
      <c r="T170" s="317">
        <v>218.0</v>
      </c>
      <c r="U170" s="312" t="s">
        <v>1369</v>
      </c>
      <c r="V170" s="312" t="s">
        <v>1367</v>
      </c>
      <c r="W170" s="50"/>
      <c r="X170" s="50"/>
      <c r="Y170" s="50"/>
      <c r="Z170" s="312"/>
      <c r="AA170" s="50"/>
      <c r="AB170" s="50"/>
      <c r="AC170" s="50"/>
      <c r="AD170" s="50"/>
      <c r="AE170" s="50"/>
    </row>
    <row r="171">
      <c r="A171" s="307">
        <v>42322.77291666667</v>
      </c>
      <c r="B171" s="312" t="s">
        <v>1086</v>
      </c>
      <c r="C171" s="312" t="s">
        <v>1184</v>
      </c>
      <c r="D171" s="303" t="s">
        <v>1185</v>
      </c>
      <c r="E171" s="315">
        <v>41164.0</v>
      </c>
      <c r="F171" s="312" t="s">
        <v>30</v>
      </c>
      <c r="G171" s="303" t="s">
        <v>1181</v>
      </c>
      <c r="H171" s="303" t="s">
        <v>1181</v>
      </c>
      <c r="I171" s="303" t="s">
        <v>1187</v>
      </c>
      <c r="J171" s="306">
        <v>0.9</v>
      </c>
      <c r="K171" s="312">
        <v>271.0</v>
      </c>
      <c r="L171" s="312"/>
      <c r="M171" s="312">
        <v>328.0</v>
      </c>
      <c r="N171" s="312">
        <v>40000.0</v>
      </c>
      <c r="O171" s="303" t="s">
        <v>1323</v>
      </c>
      <c r="P171" s="315">
        <v>42322.0</v>
      </c>
      <c r="Q171" s="312">
        <v>55200.0</v>
      </c>
      <c r="R171" s="312">
        <v>253.0</v>
      </c>
      <c r="S171" s="316"/>
      <c r="T171" s="317">
        <v>253.0</v>
      </c>
      <c r="U171" s="312" t="s">
        <v>1369</v>
      </c>
      <c r="V171" s="312" t="s">
        <v>1399</v>
      </c>
      <c r="W171" s="50"/>
      <c r="X171" s="50"/>
      <c r="Y171" s="50"/>
      <c r="Z171" s="312"/>
      <c r="AA171" s="312" t="s">
        <v>1414</v>
      </c>
      <c r="AB171" s="50"/>
      <c r="AC171" s="50"/>
      <c r="AD171" s="50"/>
      <c r="AE171" s="50"/>
    </row>
    <row r="172">
      <c r="A172" s="307">
        <v>42072.08263888889</v>
      </c>
      <c r="B172" s="50" t="s">
        <v>807</v>
      </c>
      <c r="C172" s="303" t="s">
        <v>1177</v>
      </c>
      <c r="D172" s="303" t="s">
        <v>1178</v>
      </c>
      <c r="E172" s="315">
        <v>41594.0</v>
      </c>
      <c r="F172" s="312" t="s">
        <v>1370</v>
      </c>
      <c r="G172" s="303" t="s">
        <v>1187</v>
      </c>
      <c r="H172" s="303" t="s">
        <v>1187</v>
      </c>
      <c r="I172" s="303" t="s">
        <v>1186</v>
      </c>
      <c r="J172" s="306"/>
      <c r="K172" s="50"/>
      <c r="L172" s="50"/>
      <c r="M172" s="50">
        <v>222.0</v>
      </c>
      <c r="N172" s="50"/>
      <c r="O172" s="312"/>
      <c r="P172" s="310">
        <v>42072.0</v>
      </c>
      <c r="Q172" s="50">
        <v>39000.0</v>
      </c>
      <c r="R172" s="50">
        <v>378.0</v>
      </c>
      <c r="S172" s="318"/>
      <c r="T172" s="317">
        <v>382.78</v>
      </c>
      <c r="U172" s="312" t="s">
        <v>1366</v>
      </c>
      <c r="V172" s="312" t="s">
        <v>1367</v>
      </c>
      <c r="W172" s="50"/>
      <c r="X172" s="50"/>
      <c r="Y172" s="50"/>
      <c r="Z172" s="312"/>
      <c r="AA172" s="50" t="s">
        <v>1373</v>
      </c>
      <c r="AB172" s="50"/>
      <c r="AC172" s="50"/>
      <c r="AD172" s="50"/>
      <c r="AE172" s="50"/>
    </row>
    <row r="173">
      <c r="A173" s="307">
        <v>42597.40833333333</v>
      </c>
      <c r="B173" s="312" t="s">
        <v>961</v>
      </c>
      <c r="C173" s="303" t="s">
        <v>1177</v>
      </c>
      <c r="D173" s="303" t="s">
        <v>1178</v>
      </c>
      <c r="E173" s="315">
        <v>41992.0</v>
      </c>
      <c r="F173" s="312" t="s">
        <v>30</v>
      </c>
      <c r="G173" s="303" t="s">
        <v>1179</v>
      </c>
      <c r="H173" s="303" t="s">
        <v>1180</v>
      </c>
      <c r="I173" s="303" t="s">
        <v>1181</v>
      </c>
      <c r="J173" s="306">
        <v>0.9</v>
      </c>
      <c r="K173" s="50"/>
      <c r="L173" s="312"/>
      <c r="M173" s="312">
        <v>229.0</v>
      </c>
      <c r="N173" s="312"/>
      <c r="O173" s="312"/>
      <c r="P173" s="315">
        <v>42597.0</v>
      </c>
      <c r="Q173" s="312">
        <v>102000.0</v>
      </c>
      <c r="R173" s="312">
        <v>374.0</v>
      </c>
      <c r="S173" s="316"/>
      <c r="T173" s="317">
        <v>378.73</v>
      </c>
      <c r="U173" s="312" t="s">
        <v>1366</v>
      </c>
      <c r="V173" s="312" t="s">
        <v>1367</v>
      </c>
      <c r="W173" s="50"/>
      <c r="X173" s="50"/>
      <c r="Y173" s="50"/>
      <c r="Z173" s="312"/>
      <c r="AA173" s="50"/>
      <c r="AB173" s="50"/>
      <c r="AC173" s="50"/>
      <c r="AD173" s="50"/>
      <c r="AE173" s="50"/>
    </row>
    <row r="174">
      <c r="A174" s="307">
        <v>42049.07361111111</v>
      </c>
      <c r="B174" s="50" t="s">
        <v>782</v>
      </c>
      <c r="C174" s="303" t="s">
        <v>1177</v>
      </c>
      <c r="D174" s="303" t="s">
        <v>1178</v>
      </c>
      <c r="E174" s="310">
        <v>41691.0</v>
      </c>
      <c r="F174" s="312" t="s">
        <v>1370</v>
      </c>
      <c r="G174" s="303" t="s">
        <v>1186</v>
      </c>
      <c r="H174" s="303" t="s">
        <v>1181</v>
      </c>
      <c r="I174" s="303" t="s">
        <v>1186</v>
      </c>
      <c r="J174" s="306"/>
      <c r="K174" s="50"/>
      <c r="L174" s="50"/>
      <c r="M174" s="50">
        <v>217.0</v>
      </c>
      <c r="N174" s="50"/>
      <c r="O174" s="312"/>
      <c r="P174" s="310">
        <v>42049.0</v>
      </c>
      <c r="Q174" s="50">
        <v>18000.0</v>
      </c>
      <c r="R174" s="50">
        <v>380.0</v>
      </c>
      <c r="S174" s="318"/>
      <c r="T174" s="317">
        <v>384.81</v>
      </c>
      <c r="U174" s="312" t="s">
        <v>1366</v>
      </c>
      <c r="V174" s="312" t="s">
        <v>1367</v>
      </c>
      <c r="W174" s="50"/>
      <c r="X174" s="50"/>
      <c r="Y174" s="50"/>
      <c r="Z174" s="312"/>
      <c r="AA174" s="50" t="s">
        <v>1373</v>
      </c>
      <c r="AB174" s="50"/>
      <c r="AC174" s="50"/>
      <c r="AD174" s="50"/>
      <c r="AE174" s="50"/>
    </row>
    <row r="175">
      <c r="A175" s="307">
        <v>42948.566666666666</v>
      </c>
      <c r="B175" s="312" t="s">
        <v>941</v>
      </c>
      <c r="C175" s="303" t="s">
        <v>1177</v>
      </c>
      <c r="D175" s="303" t="s">
        <v>1178</v>
      </c>
      <c r="E175" s="315">
        <v>42180.0</v>
      </c>
      <c r="F175" s="312" t="s">
        <v>30</v>
      </c>
      <c r="G175" s="303" t="s">
        <v>1190</v>
      </c>
      <c r="H175" s="303" t="s">
        <v>1180</v>
      </c>
      <c r="I175" s="303" t="s">
        <v>1179</v>
      </c>
      <c r="J175" s="306">
        <v>0.9</v>
      </c>
      <c r="K175" s="50"/>
      <c r="L175" s="312"/>
      <c r="M175" s="312">
        <v>227.0</v>
      </c>
      <c r="N175" s="312"/>
      <c r="O175" s="312"/>
      <c r="P175" s="315">
        <v>42948.0</v>
      </c>
      <c r="Q175" s="312">
        <v>145128.0</v>
      </c>
      <c r="R175" s="312">
        <v>370.0</v>
      </c>
      <c r="S175" s="316"/>
      <c r="T175" s="317">
        <v>370.0</v>
      </c>
      <c r="U175" s="312" t="s">
        <v>1369</v>
      </c>
      <c r="V175" s="312" t="s">
        <v>1367</v>
      </c>
      <c r="W175" s="50"/>
      <c r="X175" s="50"/>
      <c r="Y175" s="50"/>
      <c r="Z175" s="312"/>
      <c r="AA175" s="50"/>
      <c r="AB175" s="50"/>
      <c r="AC175" s="50"/>
      <c r="AD175" s="50"/>
      <c r="AE175" s="50"/>
    </row>
    <row r="176">
      <c r="A176" s="307">
        <v>42963.57777777778</v>
      </c>
      <c r="B176" s="312" t="s">
        <v>960</v>
      </c>
      <c r="C176" s="303" t="s">
        <v>1177</v>
      </c>
      <c r="D176" s="303" t="s">
        <v>1178</v>
      </c>
      <c r="E176" s="315">
        <v>42704.0</v>
      </c>
      <c r="F176" s="312" t="s">
        <v>43</v>
      </c>
      <c r="G176" s="303" t="s">
        <v>1179</v>
      </c>
      <c r="H176" s="303" t="s">
        <v>1181</v>
      </c>
      <c r="I176" s="303" t="s">
        <v>1187</v>
      </c>
      <c r="J176" s="306">
        <v>0.9</v>
      </c>
      <c r="K176" s="312">
        <v>451.0</v>
      </c>
      <c r="L176" s="312"/>
      <c r="M176" s="312">
        <v>218.0</v>
      </c>
      <c r="N176" s="312"/>
      <c r="O176" s="312"/>
      <c r="P176" s="315">
        <v>42963.0</v>
      </c>
      <c r="Q176" s="312">
        <v>22185.0</v>
      </c>
      <c r="R176" s="312">
        <v>439.0</v>
      </c>
      <c r="S176" s="316"/>
      <c r="T176" s="317">
        <v>444.56</v>
      </c>
      <c r="U176" s="312" t="s">
        <v>1366</v>
      </c>
      <c r="V176" s="312" t="s">
        <v>1367</v>
      </c>
      <c r="W176" s="50"/>
      <c r="X176" s="50"/>
      <c r="Y176" s="50"/>
      <c r="Z176" s="312"/>
      <c r="AA176" s="312" t="s">
        <v>1415</v>
      </c>
      <c r="AB176" s="50"/>
      <c r="AC176" s="50"/>
      <c r="AD176" s="50"/>
      <c r="AE176" s="50"/>
    </row>
    <row r="177">
      <c r="A177" s="307">
        <v>42314.22361111111</v>
      </c>
      <c r="B177" s="312" t="s">
        <v>1074</v>
      </c>
      <c r="C177" s="303" t="s">
        <v>1177</v>
      </c>
      <c r="D177" s="303" t="s">
        <v>1178</v>
      </c>
      <c r="E177" s="315">
        <v>42036.0</v>
      </c>
      <c r="F177" s="312" t="s">
        <v>36</v>
      </c>
      <c r="G177" s="303" t="s">
        <v>1180</v>
      </c>
      <c r="H177" s="303" t="s">
        <v>1180</v>
      </c>
      <c r="I177" s="303" t="s">
        <v>1187</v>
      </c>
      <c r="J177" s="306">
        <v>0.8</v>
      </c>
      <c r="K177" s="312">
        <v>404.0</v>
      </c>
      <c r="L177" s="312"/>
      <c r="M177" s="312">
        <v>204.0</v>
      </c>
      <c r="N177" s="312"/>
      <c r="O177" s="312"/>
      <c r="P177" s="315">
        <v>42314.0</v>
      </c>
      <c r="Q177" s="312">
        <v>14000.0</v>
      </c>
      <c r="R177" s="312">
        <v>396.0</v>
      </c>
      <c r="S177" s="316"/>
      <c r="T177" s="317">
        <v>401.01</v>
      </c>
      <c r="U177" s="312" t="s">
        <v>1366</v>
      </c>
      <c r="V177" s="312" t="s">
        <v>1367</v>
      </c>
      <c r="W177" s="50"/>
      <c r="X177" s="50"/>
      <c r="Y177" s="50"/>
      <c r="Z177" s="312"/>
      <c r="AA177" s="312" t="s">
        <v>1416</v>
      </c>
      <c r="AB177" s="50"/>
      <c r="AC177" s="50"/>
      <c r="AD177" s="50"/>
      <c r="AE177" s="50"/>
    </row>
    <row r="178">
      <c r="A178" s="307">
        <v>42538.353472222225</v>
      </c>
      <c r="B178" s="312" t="s">
        <v>908</v>
      </c>
      <c r="C178" s="303" t="s">
        <v>1177</v>
      </c>
      <c r="D178" s="303" t="s">
        <v>1178</v>
      </c>
      <c r="E178" s="315">
        <v>42339.0</v>
      </c>
      <c r="F178" s="312" t="s">
        <v>20</v>
      </c>
      <c r="G178" s="303" t="s">
        <v>1179</v>
      </c>
      <c r="H178" s="303" t="s">
        <v>1180</v>
      </c>
      <c r="I178" s="303" t="s">
        <v>1179</v>
      </c>
      <c r="J178" s="306">
        <v>0.8</v>
      </c>
      <c r="K178" s="50"/>
      <c r="L178" s="312"/>
      <c r="M178" s="312">
        <v>187.0</v>
      </c>
      <c r="N178" s="312"/>
      <c r="O178" s="312"/>
      <c r="P178" s="315">
        <v>42538.0</v>
      </c>
      <c r="Q178" s="312">
        <v>11968.0</v>
      </c>
      <c r="R178" s="312">
        <v>369.0</v>
      </c>
      <c r="S178" s="316"/>
      <c r="T178" s="317">
        <v>373.67</v>
      </c>
      <c r="U178" s="312" t="s">
        <v>1366</v>
      </c>
      <c r="V178" s="312" t="s">
        <v>1367</v>
      </c>
      <c r="W178" s="50"/>
      <c r="X178" s="50"/>
      <c r="Y178" s="50"/>
      <c r="Z178" s="312"/>
      <c r="AA178" s="50"/>
      <c r="AB178" s="50"/>
      <c r="AC178" s="50"/>
      <c r="AD178" s="50"/>
      <c r="AE178" s="50"/>
    </row>
    <row r="179">
      <c r="A179" s="307">
        <v>42795.50625</v>
      </c>
      <c r="B179" s="312" t="s">
        <v>797</v>
      </c>
      <c r="C179" s="303" t="s">
        <v>1177</v>
      </c>
      <c r="D179" s="303" t="s">
        <v>1178</v>
      </c>
      <c r="E179" s="315">
        <v>42339.0</v>
      </c>
      <c r="F179" s="312" t="s">
        <v>20</v>
      </c>
      <c r="G179" s="303" t="s">
        <v>1180</v>
      </c>
      <c r="H179" s="303" t="s">
        <v>1181</v>
      </c>
      <c r="I179" s="303" t="s">
        <v>1181</v>
      </c>
      <c r="J179" s="306">
        <v>0.9</v>
      </c>
      <c r="K179" s="50"/>
      <c r="L179" s="312"/>
      <c r="M179" s="312">
        <v>210.0</v>
      </c>
      <c r="N179" s="312"/>
      <c r="O179" s="312"/>
      <c r="P179" s="315">
        <v>42795.0</v>
      </c>
      <c r="Q179" s="312">
        <v>38020.0</v>
      </c>
      <c r="R179" s="312">
        <v>359.0</v>
      </c>
      <c r="S179" s="316"/>
      <c r="T179" s="317">
        <v>363.54</v>
      </c>
      <c r="U179" s="312" t="s">
        <v>1366</v>
      </c>
      <c r="V179" s="312" t="s">
        <v>1367</v>
      </c>
      <c r="W179" s="50"/>
      <c r="X179" s="50"/>
      <c r="Y179" s="50"/>
      <c r="Z179" s="312"/>
      <c r="AA179" s="50"/>
      <c r="AB179" s="50"/>
      <c r="AC179" s="50"/>
      <c r="AD179" s="50"/>
      <c r="AE179" s="50"/>
    </row>
    <row r="180">
      <c r="A180" s="307">
        <v>42883.83472222222</v>
      </c>
      <c r="B180" s="312" t="s">
        <v>882</v>
      </c>
      <c r="C180" s="312" t="s">
        <v>1184</v>
      </c>
      <c r="D180" s="303" t="s">
        <v>1185</v>
      </c>
      <c r="E180" s="315">
        <v>42577.0</v>
      </c>
      <c r="F180" s="312" t="s">
        <v>16</v>
      </c>
      <c r="G180" s="303" t="s">
        <v>1181</v>
      </c>
      <c r="H180" s="303" t="s">
        <v>1179</v>
      </c>
      <c r="I180" s="303" t="s">
        <v>1186</v>
      </c>
      <c r="J180" s="306">
        <v>0.9</v>
      </c>
      <c r="K180" s="312">
        <v>219.0</v>
      </c>
      <c r="L180" s="312"/>
      <c r="M180" s="312">
        <v>325.0</v>
      </c>
      <c r="N180" s="312"/>
      <c r="O180" s="312"/>
      <c r="P180" s="315">
        <v>42883.0</v>
      </c>
      <c r="Q180" s="312">
        <v>12340.0</v>
      </c>
      <c r="R180" s="312">
        <v>217.0</v>
      </c>
      <c r="S180" s="316"/>
      <c r="T180" s="317">
        <v>217.0</v>
      </c>
      <c r="U180" s="312" t="s">
        <v>1369</v>
      </c>
      <c r="V180" s="312" t="s">
        <v>1367</v>
      </c>
      <c r="W180" s="50"/>
      <c r="X180" s="50"/>
      <c r="Y180" s="50"/>
      <c r="Z180" s="312"/>
      <c r="AA180" s="50"/>
      <c r="AB180" s="50"/>
      <c r="AC180" s="50"/>
      <c r="AD180" s="50"/>
      <c r="AE180" s="50"/>
    </row>
    <row r="181">
      <c r="A181" s="307">
        <v>42350.78333333333</v>
      </c>
      <c r="B181" s="312" t="s">
        <v>1105</v>
      </c>
      <c r="C181" s="312" t="s">
        <v>1184</v>
      </c>
      <c r="D181" s="303" t="s">
        <v>1185</v>
      </c>
      <c r="E181" s="315">
        <v>41619.0</v>
      </c>
      <c r="F181" s="312" t="s">
        <v>30</v>
      </c>
      <c r="G181" s="303" t="s">
        <v>1181</v>
      </c>
      <c r="H181" s="303" t="s">
        <v>1186</v>
      </c>
      <c r="I181" s="303" t="s">
        <v>1187</v>
      </c>
      <c r="J181" s="306">
        <v>0.9</v>
      </c>
      <c r="K181" s="312"/>
      <c r="L181" s="312"/>
      <c r="M181" s="312">
        <v>321.0</v>
      </c>
      <c r="N181" s="312"/>
      <c r="O181" s="312"/>
      <c r="P181" s="315">
        <v>42350.0</v>
      </c>
      <c r="Q181" s="312">
        <v>23298.0</v>
      </c>
      <c r="R181" s="312">
        <v>265.0</v>
      </c>
      <c r="S181" s="316"/>
      <c r="T181" s="317">
        <v>265.0</v>
      </c>
      <c r="U181" s="312" t="s">
        <v>1369</v>
      </c>
      <c r="V181" s="312" t="s">
        <v>1367</v>
      </c>
      <c r="W181" s="50"/>
      <c r="X181" s="50"/>
      <c r="Y181" s="50"/>
      <c r="Z181" s="312"/>
      <c r="AA181" s="50"/>
      <c r="AB181" s="50"/>
      <c r="AC181" s="50"/>
      <c r="AD181" s="50"/>
      <c r="AE181" s="50"/>
    </row>
    <row r="182">
      <c r="A182" s="307">
        <v>42911.842361111114</v>
      </c>
      <c r="B182" s="312" t="s">
        <v>912</v>
      </c>
      <c r="C182" s="312" t="s">
        <v>1184</v>
      </c>
      <c r="D182" s="303" t="s">
        <v>1185</v>
      </c>
      <c r="E182" s="315">
        <v>42514.0</v>
      </c>
      <c r="F182" s="312" t="s">
        <v>47</v>
      </c>
      <c r="G182" s="303" t="s">
        <v>1179</v>
      </c>
      <c r="H182" s="303" t="s">
        <v>1181</v>
      </c>
      <c r="I182" s="303" t="s">
        <v>1187</v>
      </c>
      <c r="J182" s="306">
        <v>0.8</v>
      </c>
      <c r="K182" s="50"/>
      <c r="L182" s="312"/>
      <c r="M182" s="312">
        <v>310.0</v>
      </c>
      <c r="N182" s="312"/>
      <c r="O182" s="312"/>
      <c r="P182" s="315">
        <v>42911.0</v>
      </c>
      <c r="Q182" s="312">
        <v>23102.0</v>
      </c>
      <c r="R182" s="312">
        <v>263.0</v>
      </c>
      <c r="S182" s="316"/>
      <c r="T182" s="317">
        <v>266.33</v>
      </c>
      <c r="U182" s="312" t="s">
        <v>1366</v>
      </c>
      <c r="V182" s="312" t="s">
        <v>1367</v>
      </c>
      <c r="W182" s="50"/>
      <c r="X182" s="50"/>
      <c r="Y182" s="50"/>
      <c r="Z182" s="312"/>
      <c r="AA182" s="312" t="s">
        <v>1417</v>
      </c>
      <c r="AB182" s="50"/>
      <c r="AC182" s="50"/>
      <c r="AD182" s="50"/>
      <c r="AE182" s="50"/>
    </row>
    <row r="183">
      <c r="A183" s="307">
        <v>42167.9</v>
      </c>
      <c r="B183" s="312" t="s">
        <v>901</v>
      </c>
      <c r="C183" s="312" t="s">
        <v>1197</v>
      </c>
      <c r="D183" s="303" t="s">
        <v>1178</v>
      </c>
      <c r="E183" s="315">
        <v>41492.0</v>
      </c>
      <c r="F183" s="312" t="s">
        <v>30</v>
      </c>
      <c r="G183" s="303" t="s">
        <v>1179</v>
      </c>
      <c r="H183" s="303" t="s">
        <v>1181</v>
      </c>
      <c r="I183" s="303" t="s">
        <v>1186</v>
      </c>
      <c r="J183" s="306">
        <v>0.9</v>
      </c>
      <c r="K183" s="312">
        <v>426.0</v>
      </c>
      <c r="L183" s="312"/>
      <c r="M183" s="312">
        <v>223.0</v>
      </c>
      <c r="N183" s="312"/>
      <c r="O183" s="312"/>
      <c r="P183" s="315">
        <v>42167.0</v>
      </c>
      <c r="Q183" s="312">
        <v>73623.0</v>
      </c>
      <c r="R183" s="312">
        <v>405.0</v>
      </c>
      <c r="S183" s="316"/>
      <c r="T183" s="317">
        <v>405.0</v>
      </c>
      <c r="U183" s="312" t="s">
        <v>1369</v>
      </c>
      <c r="V183" s="312" t="s">
        <v>1367</v>
      </c>
      <c r="W183" s="50"/>
      <c r="X183" s="50"/>
      <c r="Y183" s="50"/>
      <c r="Z183" s="312"/>
      <c r="AA183" s="50"/>
      <c r="AB183" s="50"/>
      <c r="AC183" s="50"/>
      <c r="AD183" s="50"/>
      <c r="AE183" s="50"/>
    </row>
    <row r="184">
      <c r="A184" s="307">
        <v>43138.69305555556</v>
      </c>
      <c r="B184" s="312" t="s">
        <v>1304</v>
      </c>
      <c r="C184" s="303" t="s">
        <v>1177</v>
      </c>
      <c r="D184" s="303" t="s">
        <v>1178</v>
      </c>
      <c r="E184" s="315">
        <v>42726.0</v>
      </c>
      <c r="F184" s="312" t="s">
        <v>28</v>
      </c>
      <c r="G184" s="303" t="s">
        <v>1203</v>
      </c>
      <c r="H184" s="303" t="s">
        <v>1180</v>
      </c>
      <c r="I184" s="303" t="s">
        <v>1181</v>
      </c>
      <c r="J184" s="306"/>
      <c r="K184" s="50"/>
      <c r="L184" s="312"/>
      <c r="M184" s="312">
        <v>218.0</v>
      </c>
      <c r="N184" s="312"/>
      <c r="O184" s="312"/>
      <c r="P184" s="315">
        <v>43138.0</v>
      </c>
      <c r="Q184" s="312">
        <v>30325.0</v>
      </c>
      <c r="R184" s="312">
        <v>373.0</v>
      </c>
      <c r="S184" s="316"/>
      <c r="T184" s="317">
        <v>377.72</v>
      </c>
      <c r="U184" s="312" t="s">
        <v>1366</v>
      </c>
      <c r="V184" s="312" t="s">
        <v>1367</v>
      </c>
      <c r="W184" s="50"/>
      <c r="X184" s="50"/>
      <c r="Y184" s="50"/>
      <c r="Z184" s="312"/>
      <c r="AA184" s="50"/>
      <c r="AB184" s="50"/>
      <c r="AC184" s="50"/>
      <c r="AD184" s="50"/>
      <c r="AE184" s="50"/>
    </row>
    <row r="185">
      <c r="A185" s="307">
        <v>42289.19305555556</v>
      </c>
      <c r="B185" s="312" t="s">
        <v>1035</v>
      </c>
      <c r="C185" s="303" t="s">
        <v>1177</v>
      </c>
      <c r="D185" s="303" t="s">
        <v>1178</v>
      </c>
      <c r="E185" s="315">
        <v>42045.0</v>
      </c>
      <c r="F185" s="312" t="s">
        <v>38</v>
      </c>
      <c r="G185" s="303" t="s">
        <v>1180</v>
      </c>
      <c r="H185" s="303" t="s">
        <v>1180</v>
      </c>
      <c r="I185" s="303" t="s">
        <v>1186</v>
      </c>
      <c r="J185" s="306">
        <v>0.9</v>
      </c>
      <c r="K185" s="312">
        <v>404.0</v>
      </c>
      <c r="L185" s="312"/>
      <c r="M185" s="312">
        <v>209.0</v>
      </c>
      <c r="N185" s="312"/>
      <c r="O185" s="312"/>
      <c r="P185" s="315">
        <v>42289.0</v>
      </c>
      <c r="Q185" s="312">
        <v>16300.0</v>
      </c>
      <c r="R185" s="312">
        <v>402.0</v>
      </c>
      <c r="S185" s="316"/>
      <c r="T185" s="317">
        <v>407.09</v>
      </c>
      <c r="U185" s="312" t="s">
        <v>1366</v>
      </c>
      <c r="V185" s="312" t="s">
        <v>1367</v>
      </c>
      <c r="W185" s="50"/>
      <c r="X185" s="50"/>
      <c r="Y185" s="50"/>
      <c r="Z185" s="312"/>
      <c r="AA185" s="312" t="s">
        <v>1418</v>
      </c>
      <c r="AB185" s="50"/>
      <c r="AC185" s="50"/>
      <c r="AD185" s="50"/>
      <c r="AE185" s="50"/>
    </row>
    <row r="186">
      <c r="A186" s="307">
        <v>42212.75069444445</v>
      </c>
      <c r="B186" s="312" t="s">
        <v>935</v>
      </c>
      <c r="C186" s="312" t="s">
        <v>1184</v>
      </c>
      <c r="D186" s="303" t="s">
        <v>1185</v>
      </c>
      <c r="E186" s="315">
        <v>41782.0</v>
      </c>
      <c r="F186" s="312" t="s">
        <v>30</v>
      </c>
      <c r="G186" s="303" t="s">
        <v>1190</v>
      </c>
      <c r="H186" s="303" t="s">
        <v>1181</v>
      </c>
      <c r="I186" s="303" t="s">
        <v>1187</v>
      </c>
      <c r="J186" s="306">
        <v>0.6</v>
      </c>
      <c r="K186" s="312">
        <v>266.0</v>
      </c>
      <c r="L186" s="312"/>
      <c r="M186" s="312">
        <v>289.0</v>
      </c>
      <c r="N186" s="312"/>
      <c r="O186" s="312"/>
      <c r="P186" s="315">
        <v>42212.0</v>
      </c>
      <c r="Q186" s="312">
        <v>20240.0</v>
      </c>
      <c r="R186" s="312">
        <v>260.0</v>
      </c>
      <c r="S186" s="316"/>
      <c r="T186" s="317">
        <v>263.29</v>
      </c>
      <c r="U186" s="312" t="s">
        <v>1366</v>
      </c>
      <c r="V186" s="312" t="s">
        <v>1367</v>
      </c>
      <c r="W186" s="50"/>
      <c r="X186" s="50"/>
      <c r="Y186" s="50"/>
      <c r="Z186" s="312"/>
      <c r="AA186" s="50"/>
      <c r="AB186" s="50"/>
      <c r="AC186" s="50"/>
      <c r="AD186" s="50"/>
      <c r="AE186" s="50"/>
    </row>
    <row r="187">
      <c r="A187" s="307">
        <v>42947.84652777778</v>
      </c>
      <c r="B187" s="312" t="s">
        <v>938</v>
      </c>
      <c r="C187" s="312" t="s">
        <v>1184</v>
      </c>
      <c r="D187" s="303" t="s">
        <v>1185</v>
      </c>
      <c r="E187" s="315">
        <v>42709.0</v>
      </c>
      <c r="F187" s="312" t="s">
        <v>28</v>
      </c>
      <c r="G187" s="303" t="s">
        <v>1203</v>
      </c>
      <c r="H187" s="303" t="s">
        <v>1179</v>
      </c>
      <c r="I187" s="303" t="s">
        <v>1181</v>
      </c>
      <c r="J187" s="306">
        <v>0.9</v>
      </c>
      <c r="K187" s="50"/>
      <c r="L187" s="312"/>
      <c r="M187" s="312">
        <v>365.0</v>
      </c>
      <c r="N187" s="312"/>
      <c r="O187" s="312"/>
      <c r="P187" s="315">
        <v>42947.0</v>
      </c>
      <c r="Q187" s="312">
        <v>11252.0</v>
      </c>
      <c r="R187" s="312">
        <v>250.0</v>
      </c>
      <c r="S187" s="316"/>
      <c r="T187" s="317">
        <v>250.0</v>
      </c>
      <c r="U187" s="312" t="s">
        <v>1369</v>
      </c>
      <c r="V187" s="312" t="s">
        <v>1367</v>
      </c>
      <c r="W187" s="50"/>
      <c r="X187" s="50"/>
      <c r="Y187" s="50"/>
      <c r="Z187" s="312"/>
      <c r="AA187" s="50"/>
      <c r="AB187" s="50"/>
      <c r="AC187" s="50"/>
      <c r="AD187" s="50"/>
      <c r="AE187" s="50"/>
    </row>
    <row r="188">
      <c r="A188" s="307">
        <v>43007.85555555556</v>
      </c>
      <c r="B188" s="312" t="s">
        <v>938</v>
      </c>
      <c r="C188" s="312" t="s">
        <v>1184</v>
      </c>
      <c r="D188" s="303" t="s">
        <v>1185</v>
      </c>
      <c r="E188" s="315">
        <v>42705.0</v>
      </c>
      <c r="F188" s="312" t="s">
        <v>28</v>
      </c>
      <c r="G188" s="303" t="s">
        <v>1203</v>
      </c>
      <c r="H188" s="303" t="s">
        <v>1180</v>
      </c>
      <c r="I188" s="303" t="s">
        <v>1180</v>
      </c>
      <c r="J188" s="306">
        <v>0.9</v>
      </c>
      <c r="K188" s="50"/>
      <c r="L188" s="312"/>
      <c r="M188" s="312">
        <v>365.0</v>
      </c>
      <c r="N188" s="312"/>
      <c r="O188" s="312"/>
      <c r="P188" s="315">
        <v>43007.0</v>
      </c>
      <c r="Q188" s="312">
        <v>17351.0</v>
      </c>
      <c r="R188" s="312">
        <v>244.0</v>
      </c>
      <c r="S188" s="316"/>
      <c r="T188" s="317">
        <v>244.0</v>
      </c>
      <c r="U188" s="312" t="s">
        <v>1369</v>
      </c>
      <c r="V188" s="312" t="s">
        <v>1367</v>
      </c>
      <c r="W188" s="50"/>
      <c r="X188" s="50"/>
      <c r="Y188" s="50"/>
      <c r="Z188" s="312"/>
      <c r="AA188" s="50"/>
      <c r="AB188" s="50"/>
      <c r="AC188" s="50"/>
      <c r="AD188" s="50"/>
      <c r="AE188" s="50"/>
    </row>
    <row r="189">
      <c r="A189" s="307">
        <v>42874.552777777775</v>
      </c>
      <c r="B189" s="312" t="s">
        <v>874</v>
      </c>
      <c r="C189" s="303" t="s">
        <v>1177</v>
      </c>
      <c r="D189" s="303" t="s">
        <v>1178</v>
      </c>
      <c r="E189" s="315">
        <v>42146.0</v>
      </c>
      <c r="F189" s="312" t="s">
        <v>57</v>
      </c>
      <c r="G189" s="312"/>
      <c r="H189" s="312"/>
      <c r="I189" s="312"/>
      <c r="J189" s="306"/>
      <c r="K189" s="50"/>
      <c r="L189" s="312"/>
      <c r="M189" s="312">
        <v>230.0</v>
      </c>
      <c r="N189" s="312"/>
      <c r="O189" s="312"/>
      <c r="P189" s="315">
        <v>42874.0</v>
      </c>
      <c r="Q189" s="312">
        <v>120728.0</v>
      </c>
      <c r="R189" s="312">
        <v>400.0</v>
      </c>
      <c r="S189" s="316"/>
      <c r="T189" s="317">
        <v>400.0</v>
      </c>
      <c r="U189" s="312" t="s">
        <v>1369</v>
      </c>
      <c r="V189" s="312" t="s">
        <v>1367</v>
      </c>
      <c r="W189" s="50"/>
      <c r="X189" s="50"/>
      <c r="Y189" s="50"/>
      <c r="Z189" s="312"/>
      <c r="AA189" s="50"/>
      <c r="AB189" s="50"/>
      <c r="AC189" s="50"/>
      <c r="AD189" s="50"/>
      <c r="AE189" s="50"/>
    </row>
    <row r="190">
      <c r="A190" s="307">
        <v>43107.66180555556</v>
      </c>
      <c r="B190" s="312" t="s">
        <v>1419</v>
      </c>
      <c r="C190" s="303" t="s">
        <v>1177</v>
      </c>
      <c r="D190" s="303" t="s">
        <v>1178</v>
      </c>
      <c r="E190" s="315">
        <v>42887.0</v>
      </c>
      <c r="F190" s="312" t="s">
        <v>43</v>
      </c>
      <c r="G190" s="303" t="s">
        <v>1179</v>
      </c>
      <c r="H190" s="303" t="s">
        <v>1181</v>
      </c>
      <c r="I190" s="303" t="s">
        <v>1181</v>
      </c>
      <c r="J190" s="306">
        <v>0.9</v>
      </c>
      <c r="K190" s="312">
        <v>450.0</v>
      </c>
      <c r="L190" s="312"/>
      <c r="M190" s="312">
        <v>220.0</v>
      </c>
      <c r="N190" s="312"/>
      <c r="O190" s="312"/>
      <c r="P190" s="315">
        <v>43107.0</v>
      </c>
      <c r="Q190" s="312">
        <v>10177.0</v>
      </c>
      <c r="R190" s="312">
        <v>444.8</v>
      </c>
      <c r="S190" s="316"/>
      <c r="T190" s="317">
        <v>450.43</v>
      </c>
      <c r="U190" s="312" t="s">
        <v>1366</v>
      </c>
      <c r="V190" s="312" t="s">
        <v>1367</v>
      </c>
      <c r="W190" s="312"/>
      <c r="X190" s="50"/>
      <c r="Y190" s="50"/>
      <c r="Z190" s="312"/>
      <c r="AA190" s="50"/>
      <c r="AB190" s="50"/>
      <c r="AC190" s="50"/>
      <c r="AD190" s="50"/>
      <c r="AE190" s="50"/>
    </row>
    <row r="191">
      <c r="A191" s="307">
        <v>43006.61319444444</v>
      </c>
      <c r="B191" s="312" t="s">
        <v>1019</v>
      </c>
      <c r="C191" s="303" t="s">
        <v>1177</v>
      </c>
      <c r="D191" s="303" t="s">
        <v>1178</v>
      </c>
      <c r="E191" s="315"/>
      <c r="F191" s="312" t="s">
        <v>25</v>
      </c>
      <c r="G191" s="303" t="s">
        <v>1181</v>
      </c>
      <c r="H191" s="303" t="s">
        <v>1181</v>
      </c>
      <c r="I191" s="303" t="s">
        <v>1186</v>
      </c>
      <c r="J191" s="306">
        <v>0.9</v>
      </c>
      <c r="K191" s="50"/>
      <c r="L191" s="312"/>
      <c r="M191" s="312"/>
      <c r="N191" s="312"/>
      <c r="O191" s="312"/>
      <c r="P191" s="315">
        <v>43006.0</v>
      </c>
      <c r="Q191" s="312">
        <v>14806.0</v>
      </c>
      <c r="R191" s="312">
        <v>379.0</v>
      </c>
      <c r="S191" s="316"/>
      <c r="T191" s="317">
        <v>383.8</v>
      </c>
      <c r="U191" s="312" t="s">
        <v>1366</v>
      </c>
      <c r="V191" s="312" t="s">
        <v>1367</v>
      </c>
      <c r="W191" s="50"/>
      <c r="X191" s="50"/>
      <c r="Y191" s="50"/>
      <c r="Z191" s="312"/>
      <c r="AA191" s="50"/>
      <c r="AB191" s="50"/>
      <c r="AC191" s="50"/>
      <c r="AD191" s="50"/>
      <c r="AE191" s="50"/>
    </row>
    <row r="192">
      <c r="A192" s="307">
        <v>42971.850694444445</v>
      </c>
      <c r="B192" s="312" t="s">
        <v>972</v>
      </c>
      <c r="C192" s="312" t="s">
        <v>1184</v>
      </c>
      <c r="D192" s="303" t="s">
        <v>1185</v>
      </c>
      <c r="E192" s="315">
        <v>41244.0</v>
      </c>
      <c r="F192" s="312" t="s">
        <v>32</v>
      </c>
      <c r="G192" s="303" t="s">
        <v>1179</v>
      </c>
      <c r="H192" s="303" t="s">
        <v>1187</v>
      </c>
      <c r="I192" s="303" t="s">
        <v>1187</v>
      </c>
      <c r="J192" s="306">
        <v>0.9</v>
      </c>
      <c r="K192" s="50"/>
      <c r="L192" s="312"/>
      <c r="M192" s="312">
        <v>329.0</v>
      </c>
      <c r="N192" s="312"/>
      <c r="O192" s="312"/>
      <c r="P192" s="315">
        <v>42971.0</v>
      </c>
      <c r="Q192" s="312">
        <v>47871.0</v>
      </c>
      <c r="R192" s="312">
        <v>253.0</v>
      </c>
      <c r="S192" s="316"/>
      <c r="T192" s="317">
        <v>256.2</v>
      </c>
      <c r="U192" s="312" t="s">
        <v>1366</v>
      </c>
      <c r="V192" s="312" t="s">
        <v>1367</v>
      </c>
      <c r="W192" s="50"/>
      <c r="X192" s="50"/>
      <c r="Y192" s="50"/>
      <c r="Z192" s="312"/>
      <c r="AA192" s="312" t="s">
        <v>1420</v>
      </c>
      <c r="AB192" s="50"/>
      <c r="AC192" s="50"/>
      <c r="AD192" s="50"/>
      <c r="AE192" s="50"/>
    </row>
    <row r="193">
      <c r="A193" s="307">
        <v>42939.84166666667</v>
      </c>
      <c r="B193" s="312" t="s">
        <v>931</v>
      </c>
      <c r="C193" s="312" t="s">
        <v>1184</v>
      </c>
      <c r="D193" s="303" t="s">
        <v>1185</v>
      </c>
      <c r="E193" s="315">
        <v>41744.0</v>
      </c>
      <c r="F193" s="312" t="s">
        <v>30</v>
      </c>
      <c r="G193" s="303" t="s">
        <v>1181</v>
      </c>
      <c r="H193" s="303" t="s">
        <v>1181</v>
      </c>
      <c r="I193" s="303" t="s">
        <v>1187</v>
      </c>
      <c r="J193" s="306">
        <v>0.8</v>
      </c>
      <c r="K193" s="312">
        <v>272.0</v>
      </c>
      <c r="L193" s="312"/>
      <c r="M193" s="312">
        <v>330.0</v>
      </c>
      <c r="N193" s="312"/>
      <c r="O193" s="312"/>
      <c r="P193" s="315">
        <v>42939.0</v>
      </c>
      <c r="Q193" s="312">
        <v>55267.0</v>
      </c>
      <c r="R193" s="312">
        <v>260.0</v>
      </c>
      <c r="S193" s="316"/>
      <c r="T193" s="317">
        <v>263.29</v>
      </c>
      <c r="U193" s="312" t="s">
        <v>1366</v>
      </c>
      <c r="V193" s="312" t="s">
        <v>1367</v>
      </c>
      <c r="W193" s="312">
        <v>228.0</v>
      </c>
      <c r="X193" s="312">
        <v>166.0</v>
      </c>
      <c r="Y193" s="312">
        <v>16.8</v>
      </c>
      <c r="Z193" s="312" t="s">
        <v>1366</v>
      </c>
      <c r="AA193" s="312" t="s">
        <v>1421</v>
      </c>
      <c r="AB193" s="50"/>
      <c r="AC193" s="50"/>
      <c r="AD193" s="50"/>
      <c r="AE193" s="50"/>
    </row>
    <row r="194">
      <c r="A194" s="307">
        <v>43118.67083333333</v>
      </c>
      <c r="B194" s="312" t="s">
        <v>1422</v>
      </c>
      <c r="C194" s="303" t="s">
        <v>1177</v>
      </c>
      <c r="D194" s="303" t="s">
        <v>1178</v>
      </c>
      <c r="E194" s="315">
        <v>41605.0</v>
      </c>
      <c r="F194" s="312" t="s">
        <v>32</v>
      </c>
      <c r="G194" s="303" t="s">
        <v>1180</v>
      </c>
      <c r="H194" s="303" t="s">
        <v>1181</v>
      </c>
      <c r="I194" s="303" t="s">
        <v>1186</v>
      </c>
      <c r="J194" s="306">
        <v>0.8</v>
      </c>
      <c r="K194" s="312">
        <v>400.0</v>
      </c>
      <c r="L194" s="312"/>
      <c r="M194" s="312">
        <v>219.0</v>
      </c>
      <c r="N194" s="312"/>
      <c r="O194" s="312"/>
      <c r="P194" s="315">
        <v>43118.0</v>
      </c>
      <c r="Q194" s="312">
        <v>115805.0</v>
      </c>
      <c r="R194" s="312">
        <v>367.0</v>
      </c>
      <c r="S194" s="316"/>
      <c r="T194" s="317">
        <v>371.65</v>
      </c>
      <c r="U194" s="312" t="s">
        <v>1366</v>
      </c>
      <c r="V194" s="312" t="s">
        <v>1367</v>
      </c>
      <c r="W194" s="50"/>
      <c r="X194" s="50"/>
      <c r="Y194" s="50"/>
      <c r="Z194" s="312"/>
      <c r="AA194" s="312" t="s">
        <v>1423</v>
      </c>
      <c r="AB194" s="50"/>
      <c r="AC194" s="50"/>
      <c r="AD194" s="50"/>
      <c r="AE194" s="50"/>
    </row>
    <row r="195">
      <c r="A195" s="307">
        <v>42110.097916666666</v>
      </c>
      <c r="B195" s="50" t="s">
        <v>837</v>
      </c>
      <c r="C195" s="303" t="s">
        <v>1177</v>
      </c>
      <c r="D195" s="303" t="s">
        <v>1178</v>
      </c>
      <c r="E195" s="310">
        <v>41726.0</v>
      </c>
      <c r="F195" s="312" t="s">
        <v>1370</v>
      </c>
      <c r="G195" s="303" t="s">
        <v>1180</v>
      </c>
      <c r="H195" s="303" t="s">
        <v>1179</v>
      </c>
      <c r="I195" s="303" t="s">
        <v>1187</v>
      </c>
      <c r="J195" s="306"/>
      <c r="K195" s="50"/>
      <c r="L195" s="312"/>
      <c r="M195" s="312">
        <v>216.0</v>
      </c>
      <c r="N195" s="50"/>
      <c r="O195" s="312"/>
      <c r="P195" s="315">
        <v>42110.0</v>
      </c>
      <c r="Q195" s="312">
        <v>46000.0</v>
      </c>
      <c r="R195" s="312">
        <v>383.0</v>
      </c>
      <c r="S195" s="316"/>
      <c r="T195" s="317">
        <v>386.87</v>
      </c>
      <c r="U195" s="312" t="s">
        <v>1407</v>
      </c>
      <c r="V195" s="312" t="s">
        <v>1367</v>
      </c>
      <c r="W195" s="50"/>
      <c r="X195" s="50"/>
      <c r="Y195" s="50"/>
      <c r="Z195" s="312"/>
      <c r="AA195" s="312" t="s">
        <v>1424</v>
      </c>
      <c r="AB195" s="50"/>
      <c r="AC195" s="50"/>
      <c r="AD195" s="50"/>
      <c r="AE195" s="50"/>
    </row>
    <row r="196">
      <c r="A196" s="307">
        <v>41908.18819444445</v>
      </c>
      <c r="B196" s="50" t="s">
        <v>837</v>
      </c>
      <c r="C196" s="303" t="s">
        <v>1177</v>
      </c>
      <c r="D196" s="303" t="s">
        <v>1178</v>
      </c>
      <c r="E196" s="310">
        <v>41726.0</v>
      </c>
      <c r="F196" s="50" t="s">
        <v>1370</v>
      </c>
      <c r="G196" s="303" t="s">
        <v>1180</v>
      </c>
      <c r="H196" s="303" t="s">
        <v>1179</v>
      </c>
      <c r="I196" s="303" t="s">
        <v>1187</v>
      </c>
      <c r="J196" s="311"/>
      <c r="K196" s="50"/>
      <c r="L196" s="312"/>
      <c r="M196" s="312">
        <v>206.0</v>
      </c>
      <c r="N196" s="50"/>
      <c r="O196" s="50"/>
      <c r="P196" s="315">
        <v>41908.0</v>
      </c>
      <c r="Q196" s="312">
        <v>20509.0</v>
      </c>
      <c r="R196" s="312">
        <v>388.0</v>
      </c>
      <c r="S196" s="316"/>
      <c r="T196" s="317">
        <v>391.92</v>
      </c>
      <c r="U196" s="50" t="s">
        <v>1407</v>
      </c>
      <c r="V196" s="50" t="s">
        <v>1367</v>
      </c>
      <c r="W196" s="50"/>
      <c r="X196" s="50"/>
      <c r="Y196" s="50"/>
      <c r="Z196" s="50"/>
      <c r="AA196" s="312" t="s">
        <v>1425</v>
      </c>
      <c r="AB196" s="50"/>
      <c r="AC196" s="50"/>
      <c r="AD196" s="50"/>
      <c r="AE196" s="50"/>
    </row>
    <row r="197">
      <c r="A197" s="307">
        <v>43213.728472222225</v>
      </c>
      <c r="B197" s="312" t="s">
        <v>1426</v>
      </c>
      <c r="C197" s="303" t="s">
        <v>1177</v>
      </c>
      <c r="D197" s="303" t="s">
        <v>1178</v>
      </c>
      <c r="E197" s="315">
        <v>42417.0</v>
      </c>
      <c r="F197" s="312" t="s">
        <v>43</v>
      </c>
      <c r="G197" s="303" t="s">
        <v>1180</v>
      </c>
      <c r="H197" s="303" t="s">
        <v>1181</v>
      </c>
      <c r="I197" s="303" t="s">
        <v>1181</v>
      </c>
      <c r="J197" s="306">
        <v>0.8</v>
      </c>
      <c r="K197" s="312">
        <v>450.0</v>
      </c>
      <c r="L197" s="312"/>
      <c r="M197" s="312">
        <v>207.0</v>
      </c>
      <c r="N197" s="312"/>
      <c r="O197" s="312"/>
      <c r="P197" s="315">
        <v>43213.0</v>
      </c>
      <c r="Q197" s="312">
        <v>43642.0</v>
      </c>
      <c r="R197" s="312">
        <v>440.0</v>
      </c>
      <c r="S197" s="316"/>
      <c r="T197" s="317">
        <v>440.0</v>
      </c>
      <c r="U197" s="312" t="s">
        <v>1369</v>
      </c>
      <c r="V197" s="312" t="s">
        <v>1367</v>
      </c>
      <c r="W197" s="50"/>
      <c r="X197" s="50"/>
      <c r="Y197" s="50"/>
      <c r="Z197" s="312"/>
      <c r="AA197" s="50"/>
      <c r="AB197" s="50"/>
      <c r="AC197" s="50"/>
      <c r="AD197" s="50"/>
      <c r="AE197" s="50"/>
    </row>
    <row r="198">
      <c r="A198" s="307">
        <v>42884.83541666667</v>
      </c>
      <c r="B198" s="312" t="s">
        <v>884</v>
      </c>
      <c r="C198" s="312" t="s">
        <v>1184</v>
      </c>
      <c r="D198" s="303" t="s">
        <v>1185</v>
      </c>
      <c r="E198" s="315">
        <v>41673.0</v>
      </c>
      <c r="F198" s="312" t="s">
        <v>12</v>
      </c>
      <c r="G198" s="50"/>
      <c r="H198" s="50"/>
      <c r="I198" s="312"/>
      <c r="J198" s="306"/>
      <c r="K198" s="50"/>
      <c r="L198" s="312"/>
      <c r="M198" s="312">
        <v>318.0</v>
      </c>
      <c r="N198" s="312"/>
      <c r="O198" s="312"/>
      <c r="P198" s="315">
        <v>42884.0</v>
      </c>
      <c r="Q198" s="312">
        <v>29814.0</v>
      </c>
      <c r="R198" s="312">
        <v>178.0</v>
      </c>
      <c r="S198" s="316"/>
      <c r="T198" s="317">
        <v>178.0</v>
      </c>
      <c r="U198" s="312" t="s">
        <v>1369</v>
      </c>
      <c r="V198" s="312" t="s">
        <v>1367</v>
      </c>
      <c r="W198" s="50"/>
      <c r="X198" s="50"/>
      <c r="Y198" s="50"/>
      <c r="Z198" s="312"/>
      <c r="AA198" s="50"/>
      <c r="AB198" s="50"/>
      <c r="AC198" s="50"/>
      <c r="AD198" s="50"/>
      <c r="AE198" s="50"/>
    </row>
    <row r="199">
      <c r="A199" s="307">
        <v>42158.899305555555</v>
      </c>
      <c r="B199" s="312" t="s">
        <v>814</v>
      </c>
      <c r="C199" s="312" t="s">
        <v>1197</v>
      </c>
      <c r="D199" s="303" t="s">
        <v>1178</v>
      </c>
      <c r="E199" s="315">
        <v>41984.0</v>
      </c>
      <c r="F199" s="312" t="s">
        <v>30</v>
      </c>
      <c r="G199" s="303" t="s">
        <v>1180</v>
      </c>
      <c r="H199" s="303" t="s">
        <v>1186</v>
      </c>
      <c r="I199" s="303" t="s">
        <v>1187</v>
      </c>
      <c r="J199" s="306">
        <v>0.9</v>
      </c>
      <c r="K199" s="50"/>
      <c r="L199" s="312"/>
      <c r="M199" s="312">
        <v>232.0</v>
      </c>
      <c r="N199" s="312"/>
      <c r="O199" s="312"/>
      <c r="P199" s="315">
        <v>42158.0</v>
      </c>
      <c r="Q199" s="312">
        <v>11896.0</v>
      </c>
      <c r="R199" s="312">
        <v>424.0</v>
      </c>
      <c r="S199" s="316"/>
      <c r="T199" s="317">
        <v>429.37</v>
      </c>
      <c r="U199" s="312" t="s">
        <v>1366</v>
      </c>
      <c r="V199" s="312" t="s">
        <v>1367</v>
      </c>
      <c r="W199" s="50"/>
      <c r="X199" s="50"/>
      <c r="Y199" s="50"/>
      <c r="Z199" s="312"/>
      <c r="AA199" s="50"/>
      <c r="AB199" s="50"/>
      <c r="AC199" s="50"/>
      <c r="AD199" s="50"/>
      <c r="AE199" s="50"/>
    </row>
    <row r="200">
      <c r="A200" s="307">
        <v>42304.90347222222</v>
      </c>
      <c r="B200" s="312" t="s">
        <v>814</v>
      </c>
      <c r="C200" s="312" t="s">
        <v>1197</v>
      </c>
      <c r="D200" s="303" t="s">
        <v>1178</v>
      </c>
      <c r="E200" s="315">
        <v>41984.0</v>
      </c>
      <c r="F200" s="312" t="s">
        <v>30</v>
      </c>
      <c r="G200" s="303" t="s">
        <v>1180</v>
      </c>
      <c r="H200" s="303" t="s">
        <v>1186</v>
      </c>
      <c r="I200" s="303" t="s">
        <v>1187</v>
      </c>
      <c r="J200" s="306">
        <v>0.9</v>
      </c>
      <c r="K200" s="312"/>
      <c r="L200" s="312"/>
      <c r="M200" s="312">
        <v>209.0</v>
      </c>
      <c r="N200" s="312"/>
      <c r="O200" s="312"/>
      <c r="P200" s="315">
        <v>42304.0</v>
      </c>
      <c r="Q200" s="312">
        <v>19996.0</v>
      </c>
      <c r="R200" s="312">
        <v>421.0</v>
      </c>
      <c r="S200" s="316"/>
      <c r="T200" s="317">
        <v>426.33</v>
      </c>
      <c r="U200" s="312" t="s">
        <v>1366</v>
      </c>
      <c r="V200" s="312" t="s">
        <v>1367</v>
      </c>
      <c r="W200" s="50"/>
      <c r="X200" s="50"/>
      <c r="Y200" s="50"/>
      <c r="Z200" s="312"/>
      <c r="AA200" s="50"/>
      <c r="AB200" s="50"/>
      <c r="AC200" s="50"/>
      <c r="AD200" s="50"/>
      <c r="AE200" s="50"/>
    </row>
    <row r="201">
      <c r="A201" s="307">
        <v>42623.91111111111</v>
      </c>
      <c r="B201" s="312" t="s">
        <v>814</v>
      </c>
      <c r="C201" s="312" t="s">
        <v>1197</v>
      </c>
      <c r="D201" s="303" t="s">
        <v>1178</v>
      </c>
      <c r="E201" s="315">
        <v>41984.0</v>
      </c>
      <c r="F201" s="312" t="s">
        <v>30</v>
      </c>
      <c r="G201" s="303" t="s">
        <v>1180</v>
      </c>
      <c r="H201" s="303" t="s">
        <v>1186</v>
      </c>
      <c r="I201" s="303" t="s">
        <v>1187</v>
      </c>
      <c r="J201" s="306">
        <v>0.9</v>
      </c>
      <c r="K201" s="50"/>
      <c r="L201" s="312"/>
      <c r="M201" s="312">
        <v>204.0</v>
      </c>
      <c r="N201" s="312"/>
      <c r="O201" s="312"/>
      <c r="P201" s="315">
        <v>42623.0</v>
      </c>
      <c r="Q201" s="312">
        <v>36474.0</v>
      </c>
      <c r="R201" s="312">
        <v>422.0</v>
      </c>
      <c r="S201" s="316"/>
      <c r="T201" s="317">
        <v>427.34</v>
      </c>
      <c r="U201" s="312" t="s">
        <v>1366</v>
      </c>
      <c r="V201" s="312" t="s">
        <v>1367</v>
      </c>
      <c r="W201" s="50"/>
      <c r="X201" s="50"/>
      <c r="Y201" s="50"/>
      <c r="Z201" s="312"/>
      <c r="AA201" s="50"/>
      <c r="AB201" s="50"/>
      <c r="AC201" s="50"/>
      <c r="AD201" s="50"/>
      <c r="AE201" s="50"/>
    </row>
    <row r="202">
      <c r="A202" s="307">
        <v>42813.91805555556</v>
      </c>
      <c r="B202" s="312" t="s">
        <v>814</v>
      </c>
      <c r="C202" s="312" t="s">
        <v>1197</v>
      </c>
      <c r="D202" s="303" t="s">
        <v>1178</v>
      </c>
      <c r="E202" s="315">
        <v>41984.0</v>
      </c>
      <c r="F202" s="312" t="s">
        <v>30</v>
      </c>
      <c r="G202" s="303" t="s">
        <v>1180</v>
      </c>
      <c r="H202" s="303" t="s">
        <v>1180</v>
      </c>
      <c r="I202" s="303" t="s">
        <v>1187</v>
      </c>
      <c r="J202" s="306">
        <v>0.9</v>
      </c>
      <c r="K202" s="50"/>
      <c r="L202" s="312"/>
      <c r="M202" s="312">
        <v>211.0</v>
      </c>
      <c r="N202" s="312"/>
      <c r="O202" s="312"/>
      <c r="P202" s="315">
        <v>42813.0</v>
      </c>
      <c r="Q202" s="312">
        <v>46800.0</v>
      </c>
      <c r="R202" s="312">
        <v>420.0</v>
      </c>
      <c r="S202" s="316"/>
      <c r="T202" s="317">
        <v>420.0</v>
      </c>
      <c r="U202" s="312" t="s">
        <v>1369</v>
      </c>
      <c r="V202" s="312" t="s">
        <v>1367</v>
      </c>
      <c r="W202" s="50"/>
      <c r="X202" s="50"/>
      <c r="Y202" s="50"/>
      <c r="Z202" s="312"/>
      <c r="AA202" s="50"/>
      <c r="AB202" s="50"/>
      <c r="AC202" s="50"/>
      <c r="AD202" s="50"/>
      <c r="AE202" s="50"/>
    </row>
    <row r="203">
      <c r="A203" s="307">
        <v>43057.92638888889</v>
      </c>
      <c r="B203" s="312" t="s">
        <v>814</v>
      </c>
      <c r="C203" s="312" t="s">
        <v>1197</v>
      </c>
      <c r="D203" s="303" t="s">
        <v>1178</v>
      </c>
      <c r="E203" s="315">
        <v>41984.0</v>
      </c>
      <c r="F203" s="312" t="s">
        <v>40</v>
      </c>
      <c r="G203" s="303" t="s">
        <v>1180</v>
      </c>
      <c r="H203" s="303" t="s">
        <v>1181</v>
      </c>
      <c r="I203" s="303" t="s">
        <v>1186</v>
      </c>
      <c r="J203" s="306">
        <v>0.9</v>
      </c>
      <c r="K203" s="50"/>
      <c r="L203" s="312"/>
      <c r="M203" s="312">
        <v>204.0</v>
      </c>
      <c r="N203" s="312">
        <v>53800.0</v>
      </c>
      <c r="O203" s="303" t="s">
        <v>1398</v>
      </c>
      <c r="P203" s="315">
        <v>43057.0</v>
      </c>
      <c r="Q203" s="312">
        <v>53900.0</v>
      </c>
      <c r="R203" s="312">
        <v>452.0</v>
      </c>
      <c r="S203" s="316"/>
      <c r="T203" s="317">
        <v>452.0</v>
      </c>
      <c r="U203" s="312" t="s">
        <v>1369</v>
      </c>
      <c r="V203" s="312" t="s">
        <v>1399</v>
      </c>
      <c r="W203" s="50"/>
      <c r="X203" s="50"/>
      <c r="Y203" s="50"/>
      <c r="Z203" s="312"/>
      <c r="AA203" s="312" t="s">
        <v>1427</v>
      </c>
      <c r="AB203" s="50"/>
      <c r="AC203" s="50"/>
      <c r="AD203" s="50"/>
      <c r="AE203" s="50"/>
    </row>
    <row r="204">
      <c r="A204" s="307">
        <v>43079.927083333336</v>
      </c>
      <c r="B204" s="312" t="s">
        <v>814</v>
      </c>
      <c r="C204" s="312" t="s">
        <v>1197</v>
      </c>
      <c r="D204" s="303" t="s">
        <v>1178</v>
      </c>
      <c r="E204" s="315">
        <v>41984.0</v>
      </c>
      <c r="F204" s="312" t="s">
        <v>40</v>
      </c>
      <c r="G204" s="303" t="s">
        <v>1180</v>
      </c>
      <c r="H204" s="303" t="s">
        <v>1181</v>
      </c>
      <c r="I204" s="303" t="s">
        <v>1186</v>
      </c>
      <c r="J204" s="306">
        <v>0.8</v>
      </c>
      <c r="K204" s="50"/>
      <c r="L204" s="312"/>
      <c r="M204" s="312">
        <v>208.0</v>
      </c>
      <c r="N204" s="312">
        <v>53800.0</v>
      </c>
      <c r="O204" s="303" t="s">
        <v>1323</v>
      </c>
      <c r="P204" s="315">
        <v>43079.0</v>
      </c>
      <c r="Q204" s="312">
        <v>56500.0</v>
      </c>
      <c r="R204" s="312">
        <v>460.0</v>
      </c>
      <c r="S204" s="316"/>
      <c r="T204" s="317">
        <v>460.0</v>
      </c>
      <c r="U204" s="312" t="s">
        <v>1369</v>
      </c>
      <c r="V204" s="312" t="s">
        <v>1399</v>
      </c>
      <c r="W204" s="312"/>
      <c r="X204" s="312"/>
      <c r="Y204" s="50"/>
      <c r="Z204" s="312"/>
      <c r="AA204" s="312" t="s">
        <v>1427</v>
      </c>
      <c r="AB204" s="50"/>
      <c r="AC204" s="50"/>
      <c r="AD204" s="50"/>
      <c r="AE204" s="50"/>
    </row>
    <row r="205">
      <c r="A205" s="307">
        <v>42813.91875</v>
      </c>
      <c r="B205" s="312" t="s">
        <v>815</v>
      </c>
      <c r="C205" s="312" t="s">
        <v>1197</v>
      </c>
      <c r="D205" s="303" t="s">
        <v>1178</v>
      </c>
      <c r="E205" s="315">
        <v>42767.0</v>
      </c>
      <c r="F205" s="312" t="s">
        <v>16</v>
      </c>
      <c r="G205" s="303" t="s">
        <v>1181</v>
      </c>
      <c r="H205" s="303" t="s">
        <v>1180</v>
      </c>
      <c r="I205" s="303" t="s">
        <v>1187</v>
      </c>
      <c r="J205" s="306">
        <v>0.9</v>
      </c>
      <c r="K205" s="50"/>
      <c r="L205" s="312"/>
      <c r="M205" s="312">
        <v>228.0</v>
      </c>
      <c r="N205" s="312"/>
      <c r="O205" s="312"/>
      <c r="P205" s="315">
        <v>42813.0</v>
      </c>
      <c r="Q205" s="312">
        <v>572.0</v>
      </c>
      <c r="R205" s="312">
        <v>351.0</v>
      </c>
      <c r="S205" s="316"/>
      <c r="T205" s="317">
        <v>351.0</v>
      </c>
      <c r="U205" s="312" t="s">
        <v>1369</v>
      </c>
      <c r="V205" s="312" t="s">
        <v>1367</v>
      </c>
      <c r="W205" s="50"/>
      <c r="X205" s="50"/>
      <c r="Y205" s="50"/>
      <c r="Z205" s="312"/>
      <c r="AA205" s="50"/>
      <c r="AB205" s="50"/>
      <c r="AC205" s="50"/>
      <c r="AD205" s="50"/>
      <c r="AE205" s="50"/>
    </row>
    <row r="206">
      <c r="A206" s="307">
        <v>43100.89791666667</v>
      </c>
      <c r="B206" s="312" t="s">
        <v>1428</v>
      </c>
      <c r="C206" s="312" t="s">
        <v>1292</v>
      </c>
      <c r="D206" s="303" t="s">
        <v>1185</v>
      </c>
      <c r="E206" s="315">
        <v>42282.0</v>
      </c>
      <c r="F206" s="312" t="s">
        <v>30</v>
      </c>
      <c r="G206" s="303" t="s">
        <v>1190</v>
      </c>
      <c r="H206" s="303" t="s">
        <v>1179</v>
      </c>
      <c r="I206" s="303" t="s">
        <v>1179</v>
      </c>
      <c r="J206" s="306">
        <v>0.8</v>
      </c>
      <c r="K206" s="50"/>
      <c r="L206" s="312"/>
      <c r="M206" s="312">
        <v>332.0</v>
      </c>
      <c r="N206" s="312"/>
      <c r="O206" s="312"/>
      <c r="P206" s="315">
        <v>43100.0</v>
      </c>
      <c r="Q206" s="312">
        <v>25335.0</v>
      </c>
      <c r="R206" s="50"/>
      <c r="S206" s="318"/>
      <c r="T206" s="317"/>
      <c r="U206" s="312" t="s">
        <v>1369</v>
      </c>
      <c r="V206" s="312" t="s">
        <v>1367</v>
      </c>
      <c r="W206" s="50"/>
      <c r="X206" s="50"/>
      <c r="Y206" s="50"/>
      <c r="Z206" s="312"/>
      <c r="AA206" s="50"/>
      <c r="AB206" s="50"/>
      <c r="AC206" s="50"/>
      <c r="AD206" s="50"/>
      <c r="AE206" s="50"/>
    </row>
    <row r="207">
      <c r="A207" s="307">
        <v>42164.74444444444</v>
      </c>
      <c r="B207" s="312" t="s">
        <v>232</v>
      </c>
      <c r="C207" s="312" t="s">
        <v>1184</v>
      </c>
      <c r="D207" s="303" t="s">
        <v>1185</v>
      </c>
      <c r="E207" s="315">
        <v>41724.0</v>
      </c>
      <c r="F207" s="312" t="s">
        <v>30</v>
      </c>
      <c r="G207" s="303" t="s">
        <v>1190</v>
      </c>
      <c r="H207" s="303" t="s">
        <v>1180</v>
      </c>
      <c r="I207" s="303" t="s">
        <v>1181</v>
      </c>
      <c r="J207" s="306">
        <v>0.8</v>
      </c>
      <c r="K207" s="312">
        <v>271.0</v>
      </c>
      <c r="L207" s="312"/>
      <c r="M207" s="312">
        <v>321.0</v>
      </c>
      <c r="N207" s="312"/>
      <c r="O207" s="312"/>
      <c r="P207" s="315">
        <v>42164.0</v>
      </c>
      <c r="Q207" s="312">
        <v>49700.0</v>
      </c>
      <c r="R207" s="312">
        <v>253.0</v>
      </c>
      <c r="S207" s="316"/>
      <c r="T207" s="317">
        <v>256.2</v>
      </c>
      <c r="U207" s="312" t="s">
        <v>1366</v>
      </c>
      <c r="V207" s="312" t="s">
        <v>1367</v>
      </c>
      <c r="W207" s="50"/>
      <c r="X207" s="50"/>
      <c r="Y207" s="50"/>
      <c r="Z207" s="312"/>
      <c r="AA207" s="50"/>
      <c r="AB207" s="50"/>
      <c r="AC207" s="50"/>
      <c r="AD207" s="50"/>
      <c r="AE207" s="50"/>
    </row>
    <row r="208">
      <c r="A208" s="307">
        <v>41725.74513888889</v>
      </c>
      <c r="B208" s="312" t="s">
        <v>232</v>
      </c>
      <c r="C208" s="312" t="s">
        <v>1184</v>
      </c>
      <c r="D208" s="303" t="s">
        <v>1185</v>
      </c>
      <c r="E208" s="315">
        <v>41724.0</v>
      </c>
      <c r="F208" s="312" t="s">
        <v>30</v>
      </c>
      <c r="G208" s="50"/>
      <c r="H208" s="50"/>
      <c r="I208" s="50"/>
      <c r="J208" s="306"/>
      <c r="K208" s="312">
        <v>271.0</v>
      </c>
      <c r="L208" s="312"/>
      <c r="M208" s="312">
        <v>310.0</v>
      </c>
      <c r="N208" s="312"/>
      <c r="O208" s="312"/>
      <c r="P208" s="315">
        <v>41725.0</v>
      </c>
      <c r="Q208" s="312">
        <v>50.0</v>
      </c>
      <c r="R208" s="312">
        <v>271.0</v>
      </c>
      <c r="S208" s="316"/>
      <c r="T208" s="317">
        <v>274.43</v>
      </c>
      <c r="U208" s="312" t="s">
        <v>1366</v>
      </c>
      <c r="V208" s="312" t="s">
        <v>1367</v>
      </c>
      <c r="W208" s="312">
        <v>270.0</v>
      </c>
      <c r="X208" s="312">
        <v>0.0</v>
      </c>
      <c r="Y208" s="312" t="s">
        <v>1429</v>
      </c>
      <c r="Z208" s="312" t="s">
        <v>1369</v>
      </c>
      <c r="AA208" s="50"/>
      <c r="AB208" s="50"/>
      <c r="AC208" s="50"/>
      <c r="AD208" s="50"/>
      <c r="AE208" s="50"/>
    </row>
    <row r="209">
      <c r="A209" s="307">
        <v>42312.771527777775</v>
      </c>
      <c r="B209" s="312" t="s">
        <v>232</v>
      </c>
      <c r="C209" s="312" t="s">
        <v>1184</v>
      </c>
      <c r="D209" s="303" t="s">
        <v>1185</v>
      </c>
      <c r="E209" s="315">
        <v>41724.0</v>
      </c>
      <c r="F209" s="312" t="s">
        <v>30</v>
      </c>
      <c r="G209" s="303" t="s">
        <v>1179</v>
      </c>
      <c r="H209" s="303" t="s">
        <v>1179</v>
      </c>
      <c r="I209" s="303" t="s">
        <v>1186</v>
      </c>
      <c r="J209" s="306">
        <v>0.8</v>
      </c>
      <c r="K209" s="312">
        <v>271.0</v>
      </c>
      <c r="L209" s="312"/>
      <c r="M209" s="312">
        <v>319.0</v>
      </c>
      <c r="N209" s="312"/>
      <c r="O209" s="312"/>
      <c r="P209" s="315">
        <v>42312.0</v>
      </c>
      <c r="Q209" s="312">
        <v>61800.0</v>
      </c>
      <c r="R209" s="312">
        <v>250.0</v>
      </c>
      <c r="S209" s="316"/>
      <c r="T209" s="317">
        <v>253.16</v>
      </c>
      <c r="U209" s="312" t="s">
        <v>1366</v>
      </c>
      <c r="V209" s="312" t="s">
        <v>1367</v>
      </c>
      <c r="W209" s="312">
        <v>250.0</v>
      </c>
      <c r="X209" s="312">
        <v>11.0</v>
      </c>
      <c r="Y209" s="312" t="s">
        <v>1430</v>
      </c>
      <c r="Z209" s="312" t="s">
        <v>1366</v>
      </c>
      <c r="AA209" s="50"/>
      <c r="AB209" s="50"/>
      <c r="AC209" s="50"/>
      <c r="AD209" s="50"/>
      <c r="AE209" s="50"/>
    </row>
    <row r="210">
      <c r="A210" s="307">
        <v>42496.794444444444</v>
      </c>
      <c r="B210" s="312" t="s">
        <v>232</v>
      </c>
      <c r="C210" s="312" t="s">
        <v>1184</v>
      </c>
      <c r="D210" s="303" t="s">
        <v>1185</v>
      </c>
      <c r="E210" s="315">
        <v>41724.0</v>
      </c>
      <c r="F210" s="312" t="s">
        <v>30</v>
      </c>
      <c r="G210" s="303" t="s">
        <v>1179</v>
      </c>
      <c r="H210" s="303" t="s">
        <v>1179</v>
      </c>
      <c r="I210" s="303" t="s">
        <v>1181</v>
      </c>
      <c r="J210" s="306">
        <v>0.8</v>
      </c>
      <c r="K210" s="312">
        <v>271.0</v>
      </c>
      <c r="L210" s="312"/>
      <c r="M210" s="312">
        <v>331.0</v>
      </c>
      <c r="N210" s="312"/>
      <c r="O210" s="312"/>
      <c r="P210" s="315">
        <v>42496.0</v>
      </c>
      <c r="Q210" s="312">
        <v>73500.0</v>
      </c>
      <c r="R210" s="312">
        <v>253.0</v>
      </c>
      <c r="S210" s="316"/>
      <c r="T210" s="317">
        <v>253.0</v>
      </c>
      <c r="U210" s="312" t="s">
        <v>1369</v>
      </c>
      <c r="V210" s="312" t="s">
        <v>1367</v>
      </c>
      <c r="W210" s="50"/>
      <c r="X210" s="50"/>
      <c r="Y210" s="50"/>
      <c r="Z210" s="312"/>
      <c r="AA210" s="50"/>
      <c r="AB210" s="50"/>
      <c r="AC210" s="50"/>
      <c r="AD210" s="50"/>
      <c r="AE210" s="50"/>
    </row>
    <row r="211">
      <c r="A211" s="307">
        <v>42552.799305555556</v>
      </c>
      <c r="B211" s="312" t="s">
        <v>232</v>
      </c>
      <c r="C211" s="312" t="s">
        <v>1184</v>
      </c>
      <c r="D211" s="303" t="s">
        <v>1185</v>
      </c>
      <c r="E211" s="315">
        <v>41724.0</v>
      </c>
      <c r="F211" s="312" t="s">
        <v>30</v>
      </c>
      <c r="G211" s="303" t="s">
        <v>1190</v>
      </c>
      <c r="H211" s="303" t="s">
        <v>1180</v>
      </c>
      <c r="I211" s="303" t="s">
        <v>1186</v>
      </c>
      <c r="J211" s="306">
        <v>0.8</v>
      </c>
      <c r="K211" s="312">
        <v>271.0</v>
      </c>
      <c r="L211" s="312"/>
      <c r="M211" s="312">
        <v>320.0</v>
      </c>
      <c r="N211" s="312"/>
      <c r="O211" s="312"/>
      <c r="P211" s="315">
        <v>42552.0</v>
      </c>
      <c r="Q211" s="312">
        <v>81000.0</v>
      </c>
      <c r="R211" s="312">
        <v>253.0</v>
      </c>
      <c r="S211" s="316"/>
      <c r="T211" s="317">
        <v>256.2</v>
      </c>
      <c r="U211" s="312" t="s">
        <v>1366</v>
      </c>
      <c r="V211" s="312" t="s">
        <v>1367</v>
      </c>
      <c r="W211" s="50"/>
      <c r="X211" s="50"/>
      <c r="Y211" s="50"/>
      <c r="Z211" s="312"/>
      <c r="AA211" s="50"/>
      <c r="AB211" s="50"/>
      <c r="AC211" s="50"/>
      <c r="AD211" s="50"/>
      <c r="AE211" s="50"/>
    </row>
    <row r="212">
      <c r="A212" s="307">
        <v>42678.81319444445</v>
      </c>
      <c r="B212" s="312" t="s">
        <v>232</v>
      </c>
      <c r="C212" s="312" t="s">
        <v>1184</v>
      </c>
      <c r="D212" s="303" t="s">
        <v>1185</v>
      </c>
      <c r="E212" s="315">
        <v>41724.0</v>
      </c>
      <c r="F212" s="312" t="s">
        <v>30</v>
      </c>
      <c r="G212" s="303" t="s">
        <v>1190</v>
      </c>
      <c r="H212" s="303" t="s">
        <v>1179</v>
      </c>
      <c r="I212" s="303" t="s">
        <v>1180</v>
      </c>
      <c r="J212" s="306">
        <v>0.8</v>
      </c>
      <c r="K212" s="312">
        <v>271.0</v>
      </c>
      <c r="L212" s="312"/>
      <c r="M212" s="312">
        <v>318.0</v>
      </c>
      <c r="N212" s="312"/>
      <c r="O212" s="312"/>
      <c r="P212" s="315">
        <v>42678.0</v>
      </c>
      <c r="Q212" s="312">
        <v>89100.0</v>
      </c>
      <c r="R212" s="312">
        <v>250.0</v>
      </c>
      <c r="S212" s="316"/>
      <c r="T212" s="317">
        <v>253.16</v>
      </c>
      <c r="U212" s="312" t="s">
        <v>1366</v>
      </c>
      <c r="V212" s="312" t="s">
        <v>1367</v>
      </c>
      <c r="W212" s="50"/>
      <c r="X212" s="50"/>
      <c r="Y212" s="50"/>
      <c r="Z212" s="312"/>
      <c r="AA212" s="50"/>
      <c r="AB212" s="50"/>
      <c r="AC212" s="50"/>
      <c r="AD212" s="50"/>
      <c r="AE212" s="50"/>
    </row>
    <row r="213">
      <c r="A213" s="307">
        <v>42685.81458333333</v>
      </c>
      <c r="B213" s="312" t="s">
        <v>232</v>
      </c>
      <c r="C213" s="312" t="s">
        <v>1184</v>
      </c>
      <c r="D213" s="303" t="s">
        <v>1185</v>
      </c>
      <c r="E213" s="315">
        <v>41724.0</v>
      </c>
      <c r="F213" s="312" t="s">
        <v>30</v>
      </c>
      <c r="G213" s="303" t="s">
        <v>1190</v>
      </c>
      <c r="H213" s="303" t="s">
        <v>1179</v>
      </c>
      <c r="I213" s="303" t="s">
        <v>1180</v>
      </c>
      <c r="J213" s="306">
        <v>0.8</v>
      </c>
      <c r="K213" s="312">
        <v>271.0</v>
      </c>
      <c r="L213" s="312"/>
      <c r="M213" s="312">
        <v>327.0</v>
      </c>
      <c r="N213" s="312"/>
      <c r="O213" s="312"/>
      <c r="P213" s="315">
        <v>42685.0</v>
      </c>
      <c r="Q213" s="312">
        <v>92600.0</v>
      </c>
      <c r="R213" s="312">
        <v>250.0</v>
      </c>
      <c r="S213" s="316"/>
      <c r="T213" s="317">
        <v>253.16</v>
      </c>
      <c r="U213" s="312" t="s">
        <v>1366</v>
      </c>
      <c r="V213" s="312" t="s">
        <v>1367</v>
      </c>
      <c r="W213" s="312">
        <v>250.0</v>
      </c>
      <c r="X213" s="312">
        <v>16.0</v>
      </c>
      <c r="Y213" s="312">
        <v>65.4</v>
      </c>
      <c r="Z213" s="312" t="s">
        <v>1369</v>
      </c>
      <c r="AA213" s="50"/>
      <c r="AB213" s="50"/>
      <c r="AC213" s="50"/>
      <c r="AD213" s="50"/>
      <c r="AE213" s="50"/>
    </row>
    <row r="214">
      <c r="A214" s="307">
        <v>42737.81875</v>
      </c>
      <c r="B214" s="312" t="s">
        <v>232</v>
      </c>
      <c r="C214" s="312" t="s">
        <v>1184</v>
      </c>
      <c r="D214" s="303" t="s">
        <v>1185</v>
      </c>
      <c r="E214" s="315">
        <v>41724.0</v>
      </c>
      <c r="F214" s="312" t="s">
        <v>30</v>
      </c>
      <c r="G214" s="303" t="s">
        <v>1190</v>
      </c>
      <c r="H214" s="303" t="s">
        <v>1180</v>
      </c>
      <c r="I214" s="303" t="s">
        <v>1180</v>
      </c>
      <c r="J214" s="306">
        <v>0.8</v>
      </c>
      <c r="K214" s="312">
        <v>271.0</v>
      </c>
      <c r="L214" s="312"/>
      <c r="M214" s="312">
        <v>322.0</v>
      </c>
      <c r="N214" s="312"/>
      <c r="O214" s="312"/>
      <c r="P214" s="315">
        <v>42737.0</v>
      </c>
      <c r="Q214" s="312">
        <v>99872.0</v>
      </c>
      <c r="R214" s="312">
        <v>250.0</v>
      </c>
      <c r="S214" s="316"/>
      <c r="T214" s="317">
        <v>253.16</v>
      </c>
      <c r="U214" s="312" t="s">
        <v>1366</v>
      </c>
      <c r="V214" s="312" t="s">
        <v>1367</v>
      </c>
      <c r="W214" s="50"/>
      <c r="X214" s="50"/>
      <c r="Y214" s="50"/>
      <c r="Z214" s="312"/>
      <c r="AA214" s="50"/>
      <c r="AB214" s="50"/>
      <c r="AC214" s="50"/>
      <c r="AD214" s="50"/>
      <c r="AE214" s="50"/>
    </row>
    <row r="215">
      <c r="A215" s="307">
        <v>42814.82152777778</v>
      </c>
      <c r="B215" s="312" t="s">
        <v>232</v>
      </c>
      <c r="C215" s="312" t="s">
        <v>1184</v>
      </c>
      <c r="D215" s="303" t="s">
        <v>1185</v>
      </c>
      <c r="E215" s="315">
        <v>41724.0</v>
      </c>
      <c r="F215" s="312" t="s">
        <v>30</v>
      </c>
      <c r="G215" s="303" t="s">
        <v>1203</v>
      </c>
      <c r="H215" s="303" t="s">
        <v>1180</v>
      </c>
      <c r="I215" s="303" t="s">
        <v>1180</v>
      </c>
      <c r="J215" s="306">
        <v>0.8</v>
      </c>
      <c r="K215" s="312">
        <v>271.0</v>
      </c>
      <c r="L215" s="312"/>
      <c r="M215" s="312">
        <v>325.0</v>
      </c>
      <c r="N215" s="312"/>
      <c r="O215" s="312"/>
      <c r="P215" s="315">
        <v>42814.0</v>
      </c>
      <c r="Q215" s="312">
        <v>111400.0</v>
      </c>
      <c r="R215" s="312">
        <v>248.0</v>
      </c>
      <c r="S215" s="316"/>
      <c r="T215" s="317">
        <v>251.14</v>
      </c>
      <c r="U215" s="312" t="s">
        <v>1366</v>
      </c>
      <c r="V215" s="312" t="s">
        <v>1367</v>
      </c>
      <c r="W215" s="50"/>
      <c r="X215" s="50"/>
      <c r="Y215" s="50"/>
      <c r="Z215" s="312"/>
      <c r="AA215" s="50"/>
      <c r="AB215" s="50"/>
      <c r="AC215" s="50"/>
      <c r="AD215" s="50"/>
      <c r="AE215" s="50"/>
    </row>
    <row r="216">
      <c r="A216" s="307">
        <v>42968.84930555556</v>
      </c>
      <c r="B216" s="312" t="s">
        <v>232</v>
      </c>
      <c r="C216" s="312" t="s">
        <v>1184</v>
      </c>
      <c r="D216" s="303" t="s">
        <v>1185</v>
      </c>
      <c r="E216" s="315">
        <v>41724.0</v>
      </c>
      <c r="F216" s="312" t="s">
        <v>30</v>
      </c>
      <c r="G216" s="303" t="s">
        <v>1203</v>
      </c>
      <c r="H216" s="303" t="s">
        <v>1179</v>
      </c>
      <c r="I216" s="303" t="s">
        <v>1190</v>
      </c>
      <c r="J216" s="306">
        <v>0.8</v>
      </c>
      <c r="K216" s="312">
        <v>270.0</v>
      </c>
      <c r="L216" s="312"/>
      <c r="M216" s="312">
        <v>326.0</v>
      </c>
      <c r="N216" s="312"/>
      <c r="O216" s="312"/>
      <c r="P216" s="315">
        <v>42968.0</v>
      </c>
      <c r="Q216" s="312">
        <v>126500.0</v>
      </c>
      <c r="R216" s="312">
        <v>247.0</v>
      </c>
      <c r="S216" s="316"/>
      <c r="T216" s="317">
        <v>250.13</v>
      </c>
      <c r="U216" s="312" t="s">
        <v>1366</v>
      </c>
      <c r="V216" s="312" t="s">
        <v>1367</v>
      </c>
      <c r="W216" s="50"/>
      <c r="X216" s="50"/>
      <c r="Y216" s="50"/>
      <c r="Z216" s="312"/>
      <c r="AA216" s="50"/>
      <c r="AB216" s="50"/>
      <c r="AC216" s="50"/>
      <c r="AD216" s="50"/>
      <c r="AE216" s="50"/>
    </row>
    <row r="217">
      <c r="A217" s="307">
        <v>43102.868055555555</v>
      </c>
      <c r="B217" s="312" t="s">
        <v>232</v>
      </c>
      <c r="C217" s="312" t="s">
        <v>1184</v>
      </c>
      <c r="D217" s="303" t="s">
        <v>1185</v>
      </c>
      <c r="E217" s="315">
        <v>41724.0</v>
      </c>
      <c r="F217" s="312" t="s">
        <v>30</v>
      </c>
      <c r="G217" s="303" t="s">
        <v>1203</v>
      </c>
      <c r="H217" s="303" t="s">
        <v>1179</v>
      </c>
      <c r="I217" s="303" t="s">
        <v>1181</v>
      </c>
      <c r="J217" s="306">
        <v>0.8</v>
      </c>
      <c r="K217" s="312">
        <v>271.0</v>
      </c>
      <c r="L217" s="312"/>
      <c r="M217" s="312">
        <v>321.0</v>
      </c>
      <c r="N217" s="312"/>
      <c r="O217" s="312"/>
      <c r="P217" s="315">
        <v>43102.0</v>
      </c>
      <c r="Q217" s="312">
        <v>142000.0</v>
      </c>
      <c r="R217" s="312">
        <v>243.0</v>
      </c>
      <c r="S217" s="316"/>
      <c r="T217" s="317">
        <v>246.08</v>
      </c>
      <c r="U217" s="312" t="s">
        <v>1366</v>
      </c>
      <c r="V217" s="312" t="s">
        <v>1367</v>
      </c>
      <c r="W217" s="50"/>
      <c r="X217" s="50"/>
      <c r="Y217" s="50"/>
      <c r="Z217" s="312"/>
      <c r="AA217" s="50"/>
      <c r="AB217" s="50"/>
      <c r="AC217" s="50"/>
      <c r="AD217" s="50"/>
      <c r="AE217" s="50"/>
    </row>
    <row r="218">
      <c r="A218" s="307">
        <v>43151.87569444445</v>
      </c>
      <c r="B218" s="312" t="s">
        <v>232</v>
      </c>
      <c r="C218" s="312" t="s">
        <v>1184</v>
      </c>
      <c r="D218" s="303" t="s">
        <v>1185</v>
      </c>
      <c r="E218" s="315">
        <v>41724.0</v>
      </c>
      <c r="F218" s="312" t="s">
        <v>30</v>
      </c>
      <c r="G218" s="303" t="s">
        <v>1190</v>
      </c>
      <c r="H218" s="303" t="s">
        <v>1179</v>
      </c>
      <c r="I218" s="303" t="s">
        <v>1181</v>
      </c>
      <c r="J218" s="306">
        <v>0.8</v>
      </c>
      <c r="K218" s="312">
        <v>271.0</v>
      </c>
      <c r="L218" s="312"/>
      <c r="M218" s="312">
        <v>322.0</v>
      </c>
      <c r="N218" s="312"/>
      <c r="O218" s="312"/>
      <c r="P218" s="315">
        <v>43151.0</v>
      </c>
      <c r="Q218" s="312">
        <v>151000.0</v>
      </c>
      <c r="R218" s="312">
        <v>242.0</v>
      </c>
      <c r="S218" s="316"/>
      <c r="T218" s="317">
        <v>245.06</v>
      </c>
      <c r="U218" s="312" t="s">
        <v>1366</v>
      </c>
      <c r="V218" s="312" t="s">
        <v>1367</v>
      </c>
      <c r="W218" s="50"/>
      <c r="X218" s="50"/>
      <c r="Y218" s="50"/>
      <c r="Z218" s="312"/>
      <c r="AA218" s="50"/>
      <c r="AB218" s="50"/>
      <c r="AC218" s="50"/>
      <c r="AD218" s="50"/>
      <c r="AE218" s="50"/>
    </row>
    <row r="219">
      <c r="A219" s="307">
        <v>42843.825694444444</v>
      </c>
      <c r="B219" s="312" t="s">
        <v>842</v>
      </c>
      <c r="C219" s="312" t="s">
        <v>1184</v>
      </c>
      <c r="D219" s="303" t="s">
        <v>1185</v>
      </c>
      <c r="E219" s="315">
        <v>42050.0</v>
      </c>
      <c r="F219" s="312" t="s">
        <v>36</v>
      </c>
      <c r="G219" s="303" t="s">
        <v>1181</v>
      </c>
      <c r="H219" s="303" t="s">
        <v>1186</v>
      </c>
      <c r="I219" s="303" t="s">
        <v>1187</v>
      </c>
      <c r="J219" s="306">
        <v>0.9</v>
      </c>
      <c r="K219" s="50"/>
      <c r="L219" s="312"/>
      <c r="M219" s="312">
        <v>287.0</v>
      </c>
      <c r="N219" s="312"/>
      <c r="O219" s="312"/>
      <c r="P219" s="315">
        <v>42843.0</v>
      </c>
      <c r="Q219" s="312">
        <v>42798.0</v>
      </c>
      <c r="R219" s="312">
        <v>261.0</v>
      </c>
      <c r="S219" s="316"/>
      <c r="T219" s="317">
        <v>264.3</v>
      </c>
      <c r="U219" s="312" t="s">
        <v>1366</v>
      </c>
      <c r="V219" s="312" t="s">
        <v>1367</v>
      </c>
      <c r="W219" s="50"/>
      <c r="X219" s="50"/>
      <c r="Y219" s="50"/>
      <c r="Z219" s="312"/>
      <c r="AA219" s="312" t="s">
        <v>1431</v>
      </c>
      <c r="AB219" s="50"/>
      <c r="AC219" s="50"/>
      <c r="AD219" s="50"/>
      <c r="AE219" s="50"/>
    </row>
    <row r="220">
      <c r="A220" s="307">
        <v>42872.83125</v>
      </c>
      <c r="B220" s="312" t="s">
        <v>871</v>
      </c>
      <c r="C220" s="312" t="s">
        <v>1184</v>
      </c>
      <c r="D220" s="303" t="s">
        <v>1185</v>
      </c>
      <c r="E220" s="315">
        <v>41893.0</v>
      </c>
      <c r="F220" s="312" t="s">
        <v>32</v>
      </c>
      <c r="G220" s="303" t="s">
        <v>1181</v>
      </c>
      <c r="H220" s="303" t="s">
        <v>1187</v>
      </c>
      <c r="I220" s="303" t="s">
        <v>1187</v>
      </c>
      <c r="J220" s="306">
        <v>0.7</v>
      </c>
      <c r="K220" s="50"/>
      <c r="L220" s="312"/>
      <c r="M220" s="312">
        <v>344.0</v>
      </c>
      <c r="N220" s="312"/>
      <c r="O220" s="312"/>
      <c r="P220" s="315">
        <v>42872.0</v>
      </c>
      <c r="Q220" s="312">
        <v>33666.0</v>
      </c>
      <c r="R220" s="312">
        <v>257.0</v>
      </c>
      <c r="S220" s="316"/>
      <c r="T220" s="317">
        <v>260.25</v>
      </c>
      <c r="U220" s="312" t="s">
        <v>1366</v>
      </c>
      <c r="V220" s="312" t="s">
        <v>1367</v>
      </c>
      <c r="W220" s="50"/>
      <c r="X220" s="50"/>
      <c r="Y220" s="50"/>
      <c r="Z220" s="312"/>
      <c r="AA220" s="312" t="s">
        <v>1432</v>
      </c>
      <c r="AB220" s="50"/>
      <c r="AC220" s="50"/>
      <c r="AD220" s="50"/>
      <c r="AE220" s="50"/>
    </row>
    <row r="221">
      <c r="A221" s="307">
        <v>42397.27916666667</v>
      </c>
      <c r="B221" s="312" t="s">
        <v>758</v>
      </c>
      <c r="C221" s="303" t="s">
        <v>1177</v>
      </c>
      <c r="D221" s="303" t="s">
        <v>1178</v>
      </c>
      <c r="E221" s="310">
        <v>41993.0</v>
      </c>
      <c r="F221" s="312" t="s">
        <v>32</v>
      </c>
      <c r="G221" s="303" t="s">
        <v>1190</v>
      </c>
      <c r="H221" s="303" t="s">
        <v>1181</v>
      </c>
      <c r="I221" s="303" t="s">
        <v>1181</v>
      </c>
      <c r="J221" s="306">
        <v>0.9</v>
      </c>
      <c r="K221" s="50"/>
      <c r="L221" s="312"/>
      <c r="M221" s="312">
        <v>261.0</v>
      </c>
      <c r="N221" s="312"/>
      <c r="O221" s="312"/>
      <c r="P221" s="315">
        <v>42397.0</v>
      </c>
      <c r="Q221" s="312">
        <v>16133.0</v>
      </c>
      <c r="R221" s="312">
        <v>391.0</v>
      </c>
      <c r="S221" s="316"/>
      <c r="T221" s="317">
        <v>391.0</v>
      </c>
      <c r="U221" s="312" t="s">
        <v>1369</v>
      </c>
      <c r="V221" s="312" t="s">
        <v>1367</v>
      </c>
      <c r="W221" s="50"/>
      <c r="X221" s="50"/>
      <c r="Y221" s="50"/>
      <c r="Z221" s="312"/>
      <c r="AA221" s="50"/>
      <c r="AB221" s="50"/>
      <c r="AC221" s="50"/>
      <c r="AD221" s="50"/>
      <c r="AE221" s="50"/>
    </row>
    <row r="222">
      <c r="A222" s="307">
        <v>42713.47222222222</v>
      </c>
      <c r="B222" s="312" t="s">
        <v>776</v>
      </c>
      <c r="C222" s="303" t="s">
        <v>1177</v>
      </c>
      <c r="D222" s="303" t="s">
        <v>1178</v>
      </c>
      <c r="E222" s="315">
        <v>42460.0</v>
      </c>
      <c r="F222" s="312" t="s">
        <v>22</v>
      </c>
      <c r="G222" s="303" t="s">
        <v>1181</v>
      </c>
      <c r="H222" s="303" t="s">
        <v>1181</v>
      </c>
      <c r="I222" s="303" t="s">
        <v>1186</v>
      </c>
      <c r="J222" s="306">
        <v>0.9</v>
      </c>
      <c r="K222" s="312">
        <v>361.0</v>
      </c>
      <c r="L222" s="312"/>
      <c r="M222" s="312">
        <v>229.0</v>
      </c>
      <c r="N222" s="312"/>
      <c r="O222" s="312"/>
      <c r="P222" s="315">
        <v>42713.0</v>
      </c>
      <c r="Q222" s="312">
        <v>17070.0</v>
      </c>
      <c r="R222" s="312">
        <v>357.0</v>
      </c>
      <c r="S222" s="316"/>
      <c r="T222" s="317">
        <v>361.52</v>
      </c>
      <c r="U222" s="312" t="s">
        <v>1366</v>
      </c>
      <c r="V222" s="312" t="s">
        <v>1367</v>
      </c>
      <c r="W222" s="50"/>
      <c r="X222" s="50"/>
      <c r="Y222" s="50"/>
      <c r="Z222" s="312"/>
      <c r="AA222" s="50"/>
      <c r="AB222" s="50"/>
      <c r="AC222" s="50"/>
      <c r="AD222" s="50"/>
      <c r="AE222" s="50"/>
    </row>
    <row r="223">
      <c r="A223" s="307">
        <v>42775.498611111114</v>
      </c>
      <c r="B223" s="50" t="s">
        <v>776</v>
      </c>
      <c r="C223" s="303" t="s">
        <v>1177</v>
      </c>
      <c r="D223" s="303" t="s">
        <v>1178</v>
      </c>
      <c r="E223" s="310">
        <v>42460.0</v>
      </c>
      <c r="F223" s="50" t="s">
        <v>22</v>
      </c>
      <c r="G223" s="303" t="s">
        <v>1181</v>
      </c>
      <c r="H223" s="303" t="s">
        <v>1181</v>
      </c>
      <c r="I223" s="303" t="s">
        <v>1186</v>
      </c>
      <c r="J223" s="311">
        <v>0.9</v>
      </c>
      <c r="K223" s="312">
        <v>361.0</v>
      </c>
      <c r="L223" s="50"/>
      <c r="M223" s="312">
        <v>232.0</v>
      </c>
      <c r="N223" s="312"/>
      <c r="O223" s="312"/>
      <c r="P223" s="310">
        <v>42775.0</v>
      </c>
      <c r="Q223" s="50">
        <v>21000.0</v>
      </c>
      <c r="R223" s="50">
        <v>358.0</v>
      </c>
      <c r="S223" s="318"/>
      <c r="T223" s="317">
        <v>362.53</v>
      </c>
      <c r="U223" s="50" t="s">
        <v>1366</v>
      </c>
      <c r="V223" s="312" t="s">
        <v>1367</v>
      </c>
      <c r="W223" s="50"/>
      <c r="X223" s="50"/>
      <c r="Y223" s="50"/>
      <c r="Z223" s="312"/>
      <c r="AA223" s="50"/>
      <c r="AB223" s="50"/>
      <c r="AC223" s="50"/>
      <c r="AD223" s="50"/>
      <c r="AE223" s="50"/>
    </row>
    <row r="224">
      <c r="A224" s="307">
        <v>42867.53333333333</v>
      </c>
      <c r="B224" s="312" t="s">
        <v>776</v>
      </c>
      <c r="C224" s="303" t="s">
        <v>1177</v>
      </c>
      <c r="D224" s="303" t="s">
        <v>1178</v>
      </c>
      <c r="E224" s="315">
        <v>42460.0</v>
      </c>
      <c r="F224" s="312" t="s">
        <v>22</v>
      </c>
      <c r="G224" s="303" t="s">
        <v>1181</v>
      </c>
      <c r="H224" s="303" t="s">
        <v>1181</v>
      </c>
      <c r="I224" s="303" t="s">
        <v>1186</v>
      </c>
      <c r="J224" s="306">
        <v>0.9</v>
      </c>
      <c r="K224" s="312">
        <v>361.0</v>
      </c>
      <c r="L224" s="312"/>
      <c r="M224" s="312">
        <v>234.0</v>
      </c>
      <c r="N224" s="312"/>
      <c r="O224" s="312"/>
      <c r="P224" s="315">
        <v>42867.0</v>
      </c>
      <c r="Q224" s="312">
        <v>27991.0</v>
      </c>
      <c r="R224" s="312">
        <v>359.0</v>
      </c>
      <c r="S224" s="316"/>
      <c r="T224" s="317">
        <v>363.54</v>
      </c>
      <c r="U224" s="312" t="s">
        <v>1366</v>
      </c>
      <c r="V224" s="312" t="s">
        <v>1367</v>
      </c>
      <c r="W224" s="50"/>
      <c r="X224" s="50"/>
      <c r="Y224" s="50"/>
      <c r="Z224" s="312"/>
      <c r="AA224" s="50"/>
      <c r="AB224" s="50"/>
      <c r="AC224" s="50"/>
      <c r="AD224" s="50"/>
      <c r="AE224" s="50"/>
    </row>
    <row r="225">
      <c r="A225" s="307">
        <v>42400.788194444445</v>
      </c>
      <c r="B225" s="312" t="s">
        <v>763</v>
      </c>
      <c r="C225" s="312" t="s">
        <v>1184</v>
      </c>
      <c r="D225" s="303" t="s">
        <v>1185</v>
      </c>
      <c r="E225" s="315">
        <v>41309.0</v>
      </c>
      <c r="F225" s="312" t="s">
        <v>12</v>
      </c>
      <c r="G225" s="303" t="s">
        <v>1180</v>
      </c>
      <c r="H225" s="303" t="s">
        <v>1181</v>
      </c>
      <c r="I225" s="303" t="s">
        <v>1186</v>
      </c>
      <c r="J225" s="306">
        <v>0.8</v>
      </c>
      <c r="K225" s="50"/>
      <c r="L225" s="312"/>
      <c r="M225" s="312">
        <v>291.0</v>
      </c>
      <c r="N225" s="312"/>
      <c r="O225" s="312"/>
      <c r="P225" s="315">
        <v>42400.0</v>
      </c>
      <c r="Q225" s="312">
        <v>67736.0</v>
      </c>
      <c r="R225" s="312">
        <v>191.0</v>
      </c>
      <c r="S225" s="316"/>
      <c r="T225" s="317">
        <v>193.42</v>
      </c>
      <c r="U225" s="312" t="s">
        <v>1366</v>
      </c>
      <c r="V225" s="312" t="s">
        <v>1367</v>
      </c>
      <c r="W225" s="312">
        <v>191.0</v>
      </c>
      <c r="X225" s="312">
        <v>20.0</v>
      </c>
      <c r="Y225" s="312">
        <v>46.6</v>
      </c>
      <c r="Z225" s="312" t="s">
        <v>1366</v>
      </c>
      <c r="AA225" s="50"/>
      <c r="AB225" s="50"/>
      <c r="AC225" s="50"/>
      <c r="AD225" s="50"/>
      <c r="AE225" s="50"/>
    </row>
    <row r="226">
      <c r="A226" s="307">
        <v>42236.17083333333</v>
      </c>
      <c r="B226" s="312" t="s">
        <v>965</v>
      </c>
      <c r="C226" s="303" t="s">
        <v>1177</v>
      </c>
      <c r="D226" s="303" t="s">
        <v>1178</v>
      </c>
      <c r="E226" s="315">
        <v>42174.0</v>
      </c>
      <c r="F226" s="312" t="s">
        <v>36</v>
      </c>
      <c r="G226" s="303" t="s">
        <v>1181</v>
      </c>
      <c r="H226" s="303" t="s">
        <v>1181</v>
      </c>
      <c r="I226" s="303" t="s">
        <v>1181</v>
      </c>
      <c r="J226" s="306">
        <v>0.9</v>
      </c>
      <c r="K226" s="50"/>
      <c r="L226" s="312"/>
      <c r="M226" s="312">
        <v>227.0</v>
      </c>
      <c r="N226" s="312"/>
      <c r="O226" s="312"/>
      <c r="P226" s="315">
        <v>42236.0</v>
      </c>
      <c r="Q226" s="312">
        <v>4761.0</v>
      </c>
      <c r="R226" s="312">
        <v>402.0</v>
      </c>
      <c r="S226" s="316"/>
      <c r="T226" s="317">
        <v>407.09</v>
      </c>
      <c r="U226" s="312" t="s">
        <v>1366</v>
      </c>
      <c r="V226" s="312" t="s">
        <v>1367</v>
      </c>
      <c r="W226" s="312">
        <v>402.0</v>
      </c>
      <c r="X226" s="312">
        <v>342.0</v>
      </c>
      <c r="Y226" s="312">
        <v>11.9</v>
      </c>
      <c r="Z226" s="312" t="s">
        <v>1366</v>
      </c>
      <c r="AA226" s="312" t="s">
        <v>1418</v>
      </c>
      <c r="AB226" s="50"/>
      <c r="AC226" s="50"/>
      <c r="AD226" s="50"/>
      <c r="AE226" s="50"/>
    </row>
    <row r="227">
      <c r="A227" s="307">
        <v>42272.18680555555</v>
      </c>
      <c r="B227" s="312" t="s">
        <v>965</v>
      </c>
      <c r="C227" s="303" t="s">
        <v>1177</v>
      </c>
      <c r="D227" s="303" t="s">
        <v>1178</v>
      </c>
      <c r="E227" s="315">
        <v>42174.0</v>
      </c>
      <c r="F227" s="312" t="s">
        <v>36</v>
      </c>
      <c r="G227" s="303" t="s">
        <v>1181</v>
      </c>
      <c r="H227" s="303" t="s">
        <v>1181</v>
      </c>
      <c r="I227" s="303" t="s">
        <v>1187</v>
      </c>
      <c r="J227" s="306">
        <v>0.9</v>
      </c>
      <c r="K227" s="50"/>
      <c r="L227" s="312"/>
      <c r="M227" s="312">
        <v>224.0</v>
      </c>
      <c r="N227" s="312"/>
      <c r="O227" s="312"/>
      <c r="P227" s="315">
        <v>42272.0</v>
      </c>
      <c r="Q227" s="312">
        <v>8414.0</v>
      </c>
      <c r="R227" s="312">
        <v>401.0</v>
      </c>
      <c r="S227" s="316"/>
      <c r="T227" s="317">
        <v>406.08</v>
      </c>
      <c r="U227" s="312" t="s">
        <v>1366</v>
      </c>
      <c r="V227" s="312" t="s">
        <v>1367</v>
      </c>
      <c r="W227" s="50"/>
      <c r="X227" s="50"/>
      <c r="Y227" s="50"/>
      <c r="Z227" s="312"/>
      <c r="AA227" s="312" t="s">
        <v>1418</v>
      </c>
      <c r="AB227" s="50"/>
      <c r="AC227" s="50"/>
      <c r="AD227" s="50"/>
      <c r="AE227" s="50"/>
    </row>
    <row r="228">
      <c r="A228" s="307">
        <v>43012.89722222222</v>
      </c>
      <c r="B228" s="312" t="s">
        <v>1023</v>
      </c>
      <c r="C228" s="312" t="s">
        <v>1292</v>
      </c>
      <c r="D228" s="303" t="s">
        <v>1185</v>
      </c>
      <c r="E228" s="315">
        <v>42064.0</v>
      </c>
      <c r="F228" s="312" t="s">
        <v>30</v>
      </c>
      <c r="G228" s="303" t="s">
        <v>1180</v>
      </c>
      <c r="H228" s="303" t="s">
        <v>1180</v>
      </c>
      <c r="I228" s="303" t="s">
        <v>1186</v>
      </c>
      <c r="J228" s="306">
        <v>0.8</v>
      </c>
      <c r="K228" s="312">
        <v>245.0</v>
      </c>
      <c r="L228" s="312"/>
      <c r="M228" s="312">
        <v>355.0</v>
      </c>
      <c r="N228" s="312"/>
      <c r="O228" s="312"/>
      <c r="P228" s="315">
        <v>43012.0</v>
      </c>
      <c r="Q228" s="312">
        <v>58633.0</v>
      </c>
      <c r="R228" s="312">
        <v>241.0</v>
      </c>
      <c r="S228" s="316"/>
      <c r="T228" s="317">
        <v>241.0</v>
      </c>
      <c r="U228" s="312" t="s">
        <v>1369</v>
      </c>
      <c r="V228" s="312" t="s">
        <v>1367</v>
      </c>
      <c r="W228" s="50"/>
      <c r="X228" s="50"/>
      <c r="Y228" s="50"/>
      <c r="Z228" s="312"/>
      <c r="AA228" s="50"/>
      <c r="AB228" s="50"/>
      <c r="AC228" s="50"/>
      <c r="AD228" s="50"/>
      <c r="AE228" s="50"/>
    </row>
    <row r="229">
      <c r="A229" s="307">
        <v>43202.720138888886</v>
      </c>
      <c r="B229" s="312" t="s">
        <v>1433</v>
      </c>
      <c r="C229" s="303" t="s">
        <v>1177</v>
      </c>
      <c r="D229" s="303" t="s">
        <v>1178</v>
      </c>
      <c r="E229" s="315">
        <v>42957.0</v>
      </c>
      <c r="F229" s="312" t="s">
        <v>28</v>
      </c>
      <c r="G229" s="303" t="s">
        <v>1181</v>
      </c>
      <c r="H229" s="303" t="s">
        <v>1179</v>
      </c>
      <c r="I229" s="303" t="s">
        <v>1187</v>
      </c>
      <c r="J229" s="306">
        <v>0.8</v>
      </c>
      <c r="K229" s="312">
        <v>397.0</v>
      </c>
      <c r="L229" s="312"/>
      <c r="M229" s="312">
        <v>215.0</v>
      </c>
      <c r="N229" s="312"/>
      <c r="O229" s="312"/>
      <c r="P229" s="315">
        <v>43202.0</v>
      </c>
      <c r="Q229" s="312">
        <v>9604.0</v>
      </c>
      <c r="R229" s="312">
        <v>393.0</v>
      </c>
      <c r="S229" s="316"/>
      <c r="T229" s="317">
        <v>397.97</v>
      </c>
      <c r="U229" s="312" t="s">
        <v>1366</v>
      </c>
      <c r="V229" s="312" t="s">
        <v>1367</v>
      </c>
      <c r="W229" s="50"/>
      <c r="X229" s="50"/>
      <c r="Y229" s="50"/>
      <c r="Z229" s="312"/>
      <c r="AA229" s="50"/>
      <c r="AB229" s="50"/>
      <c r="AC229" s="50"/>
      <c r="AD229" s="50"/>
      <c r="AE229" s="50"/>
    </row>
    <row r="230">
      <c r="A230" s="307">
        <v>42627.402083333334</v>
      </c>
      <c r="B230" s="312" t="s">
        <v>1004</v>
      </c>
      <c r="C230" s="303" t="s">
        <v>1177</v>
      </c>
      <c r="D230" s="303" t="s">
        <v>1178</v>
      </c>
      <c r="E230" s="315">
        <v>42323.0</v>
      </c>
      <c r="F230" s="312" t="s">
        <v>40</v>
      </c>
      <c r="G230" s="303" t="s">
        <v>1181</v>
      </c>
      <c r="H230" s="303" t="s">
        <v>1181</v>
      </c>
      <c r="I230" s="303" t="s">
        <v>1181</v>
      </c>
      <c r="J230" s="306">
        <v>0.8</v>
      </c>
      <c r="K230" s="312">
        <v>420.0</v>
      </c>
      <c r="L230" s="312"/>
      <c r="M230" s="312">
        <v>204.0</v>
      </c>
      <c r="N230" s="312"/>
      <c r="O230" s="312"/>
      <c r="P230" s="315">
        <v>42627.0</v>
      </c>
      <c r="Q230" s="312">
        <v>16667.0</v>
      </c>
      <c r="R230" s="312">
        <v>410.0</v>
      </c>
      <c r="S230" s="316"/>
      <c r="T230" s="317">
        <v>415.19</v>
      </c>
      <c r="U230" s="312" t="s">
        <v>1366</v>
      </c>
      <c r="V230" s="312" t="s">
        <v>1367</v>
      </c>
      <c r="W230" s="50"/>
      <c r="X230" s="50"/>
      <c r="Y230" s="50"/>
      <c r="Z230" s="312"/>
      <c r="AA230" s="50"/>
      <c r="AB230" s="50"/>
      <c r="AC230" s="50"/>
      <c r="AD230" s="50"/>
      <c r="AE230" s="50"/>
    </row>
    <row r="231">
      <c r="A231" s="307">
        <v>42298.76944444444</v>
      </c>
      <c r="B231" s="312" t="s">
        <v>1055</v>
      </c>
      <c r="C231" s="312" t="s">
        <v>1184</v>
      </c>
      <c r="D231" s="303" t="s">
        <v>1185</v>
      </c>
      <c r="E231" s="315">
        <v>41477.0</v>
      </c>
      <c r="F231" s="312" t="s">
        <v>34</v>
      </c>
      <c r="G231" s="50"/>
      <c r="H231" s="50"/>
      <c r="I231" s="50"/>
      <c r="J231" s="306"/>
      <c r="K231" s="50"/>
      <c r="L231" s="312"/>
      <c r="M231" s="312">
        <v>332.0</v>
      </c>
      <c r="N231" s="312"/>
      <c r="O231" s="312"/>
      <c r="P231" s="315">
        <v>42298.0</v>
      </c>
      <c r="Q231" s="312">
        <v>43337.0</v>
      </c>
      <c r="R231" s="312">
        <v>250.0</v>
      </c>
      <c r="S231" s="316"/>
      <c r="T231" s="317">
        <v>253.16</v>
      </c>
      <c r="U231" s="312" t="s">
        <v>1366</v>
      </c>
      <c r="V231" s="312" t="s">
        <v>1367</v>
      </c>
      <c r="W231" s="50"/>
      <c r="X231" s="50"/>
      <c r="Y231" s="50"/>
      <c r="Z231" s="312"/>
      <c r="AA231" s="50"/>
      <c r="AB231" s="50"/>
      <c r="AC231" s="50"/>
      <c r="AD231" s="50"/>
      <c r="AE231" s="50"/>
    </row>
    <row r="232">
      <c r="A232" s="307">
        <v>42019.05</v>
      </c>
      <c r="B232" s="50" t="s">
        <v>725</v>
      </c>
      <c r="C232" s="303" t="s">
        <v>1177</v>
      </c>
      <c r="D232" s="303" t="s">
        <v>1178</v>
      </c>
      <c r="E232" s="310">
        <v>42003.0</v>
      </c>
      <c r="F232" s="312" t="s">
        <v>30</v>
      </c>
      <c r="G232" s="303" t="s">
        <v>1190</v>
      </c>
      <c r="H232" s="303" t="s">
        <v>1180</v>
      </c>
      <c r="I232" s="303" t="s">
        <v>1187</v>
      </c>
      <c r="J232" s="306"/>
      <c r="K232" s="50"/>
      <c r="L232" s="50"/>
      <c r="M232" s="50">
        <v>278.0</v>
      </c>
      <c r="N232" s="50"/>
      <c r="O232" s="312"/>
      <c r="P232" s="310">
        <v>42019.0</v>
      </c>
      <c r="Q232" s="50">
        <v>980.0</v>
      </c>
      <c r="R232" s="50">
        <v>394.0</v>
      </c>
      <c r="S232" s="318"/>
      <c r="T232" s="317">
        <v>398.99</v>
      </c>
      <c r="U232" s="312" t="s">
        <v>1366</v>
      </c>
      <c r="V232" s="312" t="s">
        <v>1367</v>
      </c>
      <c r="W232" s="50"/>
      <c r="X232" s="50"/>
      <c r="Y232" s="50"/>
      <c r="Z232" s="312"/>
      <c r="AA232" s="50" t="s">
        <v>1434</v>
      </c>
      <c r="AB232" s="50"/>
      <c r="AC232" s="50"/>
      <c r="AD232" s="50"/>
      <c r="AE232" s="50"/>
    </row>
    <row r="233">
      <c r="A233" s="307">
        <v>42076.083333333336</v>
      </c>
      <c r="B233" s="312" t="s">
        <v>725</v>
      </c>
      <c r="C233" s="303" t="s">
        <v>1177</v>
      </c>
      <c r="D233" s="303" t="s">
        <v>1178</v>
      </c>
      <c r="E233" s="310">
        <v>42003.0</v>
      </c>
      <c r="F233" s="312" t="s">
        <v>30</v>
      </c>
      <c r="G233" s="303" t="s">
        <v>1190</v>
      </c>
      <c r="H233" s="303" t="s">
        <v>1180</v>
      </c>
      <c r="I233" s="303" t="s">
        <v>1187</v>
      </c>
      <c r="J233" s="306"/>
      <c r="K233" s="50"/>
      <c r="L233" s="50"/>
      <c r="M233" s="312">
        <v>256.0</v>
      </c>
      <c r="N233" s="50"/>
      <c r="O233" s="312"/>
      <c r="P233" s="315">
        <v>42076.0</v>
      </c>
      <c r="Q233" s="312">
        <v>4400.0</v>
      </c>
      <c r="R233" s="50">
        <v>394.0</v>
      </c>
      <c r="S233" s="318"/>
      <c r="T233" s="317">
        <v>398.99</v>
      </c>
      <c r="U233" s="312" t="s">
        <v>1366</v>
      </c>
      <c r="V233" s="312" t="s">
        <v>1367</v>
      </c>
      <c r="W233" s="50"/>
      <c r="X233" s="50"/>
      <c r="Y233" s="50"/>
      <c r="Z233" s="312"/>
      <c r="AA233" s="312" t="s">
        <v>1373</v>
      </c>
      <c r="AB233" s="50"/>
      <c r="AC233" s="50"/>
      <c r="AD233" s="50"/>
      <c r="AE233" s="50"/>
    </row>
    <row r="234">
      <c r="A234" s="307">
        <v>42227.15347222222</v>
      </c>
      <c r="B234" s="50" t="s">
        <v>725</v>
      </c>
      <c r="C234" s="303" t="s">
        <v>1177</v>
      </c>
      <c r="D234" s="303" t="s">
        <v>1178</v>
      </c>
      <c r="E234" s="310">
        <v>42003.0</v>
      </c>
      <c r="F234" s="312" t="s">
        <v>30</v>
      </c>
      <c r="G234" s="303" t="s">
        <v>1190</v>
      </c>
      <c r="H234" s="303" t="s">
        <v>1181</v>
      </c>
      <c r="I234" s="303" t="s">
        <v>1186</v>
      </c>
      <c r="J234" s="306">
        <v>0.7</v>
      </c>
      <c r="K234" s="312">
        <v>394.0</v>
      </c>
      <c r="L234" s="312"/>
      <c r="M234" s="312">
        <v>230.0</v>
      </c>
      <c r="N234" s="312"/>
      <c r="O234" s="312"/>
      <c r="P234" s="315">
        <v>42227.0</v>
      </c>
      <c r="Q234" s="312">
        <v>11500.0</v>
      </c>
      <c r="R234" s="312">
        <v>394.0</v>
      </c>
      <c r="S234" s="316"/>
      <c r="T234" s="317">
        <v>398.99</v>
      </c>
      <c r="U234" s="312" t="s">
        <v>1366</v>
      </c>
      <c r="V234" s="312" t="s">
        <v>1367</v>
      </c>
      <c r="W234" s="50"/>
      <c r="X234" s="50"/>
      <c r="Y234" s="50"/>
      <c r="Z234" s="312"/>
      <c r="AA234" s="312" t="s">
        <v>1435</v>
      </c>
      <c r="AB234" s="50"/>
      <c r="AC234" s="50"/>
      <c r="AD234" s="50"/>
      <c r="AE234" s="50"/>
    </row>
    <row r="235">
      <c r="A235" s="307">
        <v>42301.211805555555</v>
      </c>
      <c r="B235" s="312" t="s">
        <v>725</v>
      </c>
      <c r="C235" s="303" t="s">
        <v>1177</v>
      </c>
      <c r="D235" s="303" t="s">
        <v>1178</v>
      </c>
      <c r="E235" s="315">
        <v>42003.0</v>
      </c>
      <c r="F235" s="312" t="s">
        <v>30</v>
      </c>
      <c r="G235" s="303" t="s">
        <v>1179</v>
      </c>
      <c r="H235" s="303" t="s">
        <v>1179</v>
      </c>
      <c r="I235" s="303" t="s">
        <v>1181</v>
      </c>
      <c r="J235" s="306">
        <v>0.7</v>
      </c>
      <c r="K235" s="312">
        <v>394.0</v>
      </c>
      <c r="L235" s="312"/>
      <c r="M235" s="312">
        <v>237.0</v>
      </c>
      <c r="N235" s="312"/>
      <c r="O235" s="312"/>
      <c r="P235" s="315">
        <v>42301.0</v>
      </c>
      <c r="Q235" s="312">
        <v>14700.0</v>
      </c>
      <c r="R235" s="312">
        <v>389.0</v>
      </c>
      <c r="S235" s="316"/>
      <c r="T235" s="317">
        <v>393.92</v>
      </c>
      <c r="U235" s="312" t="s">
        <v>1366</v>
      </c>
      <c r="V235" s="312" t="s">
        <v>1367</v>
      </c>
      <c r="W235" s="312">
        <v>389.0</v>
      </c>
      <c r="X235" s="312">
        <v>52.0</v>
      </c>
      <c r="Y235" s="312">
        <v>64.1</v>
      </c>
      <c r="Z235" s="312" t="s">
        <v>1369</v>
      </c>
      <c r="AA235" s="312" t="s">
        <v>1436</v>
      </c>
      <c r="AB235" s="50"/>
      <c r="AC235" s="50"/>
      <c r="AD235" s="50"/>
      <c r="AE235" s="50"/>
    </row>
    <row r="236">
      <c r="A236" s="307">
        <v>42347.77569444444</v>
      </c>
      <c r="B236" s="312" t="s">
        <v>1102</v>
      </c>
      <c r="C236" s="312" t="s">
        <v>1184</v>
      </c>
      <c r="D236" s="303" t="s">
        <v>1185</v>
      </c>
      <c r="E236" s="315">
        <v>42055.0</v>
      </c>
      <c r="F236" s="312" t="s">
        <v>38</v>
      </c>
      <c r="G236" s="303" t="s">
        <v>1181</v>
      </c>
      <c r="H236" s="303" t="s">
        <v>1181</v>
      </c>
      <c r="I236" s="303" t="s">
        <v>1187</v>
      </c>
      <c r="J236" s="306">
        <v>0.9</v>
      </c>
      <c r="K236" s="312">
        <v>253.0</v>
      </c>
      <c r="L236" s="312"/>
      <c r="M236" s="312">
        <v>325.0</v>
      </c>
      <c r="N236" s="312"/>
      <c r="O236" s="312"/>
      <c r="P236" s="315">
        <v>42347.0</v>
      </c>
      <c r="Q236" s="312">
        <v>12800.0</v>
      </c>
      <c r="R236" s="312">
        <v>248.0</v>
      </c>
      <c r="S236" s="316"/>
      <c r="T236" s="317">
        <v>248.0</v>
      </c>
      <c r="U236" s="312" t="s">
        <v>1369</v>
      </c>
      <c r="V236" s="312" t="s">
        <v>1367</v>
      </c>
      <c r="W236" s="50"/>
      <c r="X236" s="50"/>
      <c r="Y236" s="50"/>
      <c r="Z236" s="312"/>
      <c r="AA236" s="50"/>
      <c r="AB236" s="50"/>
      <c r="AC236" s="50"/>
      <c r="AD236" s="50"/>
      <c r="AE236" s="50"/>
    </row>
    <row r="237">
      <c r="A237" s="307">
        <v>41970.04236111111</v>
      </c>
      <c r="B237" s="50" t="s">
        <v>1095</v>
      </c>
      <c r="C237" s="303" t="s">
        <v>1177</v>
      </c>
      <c r="D237" s="303" t="s">
        <v>1178</v>
      </c>
      <c r="E237" s="310">
        <v>41537.0</v>
      </c>
      <c r="F237" s="312" t="s">
        <v>1370</v>
      </c>
      <c r="G237" s="303" t="s">
        <v>1186</v>
      </c>
      <c r="H237" s="303" t="s">
        <v>1181</v>
      </c>
      <c r="I237" s="303" t="s">
        <v>1187</v>
      </c>
      <c r="J237" s="306"/>
      <c r="K237" s="50"/>
      <c r="L237" s="50"/>
      <c r="M237" s="50">
        <v>223.0</v>
      </c>
      <c r="N237" s="50"/>
      <c r="O237" s="312"/>
      <c r="P237" s="310">
        <v>41970.0</v>
      </c>
      <c r="Q237" s="50">
        <v>22507.0</v>
      </c>
      <c r="R237" s="50">
        <v>383.0</v>
      </c>
      <c r="S237" s="318"/>
      <c r="T237" s="317">
        <v>387.85</v>
      </c>
      <c r="U237" s="312" t="s">
        <v>1366</v>
      </c>
      <c r="V237" s="312" t="s">
        <v>1367</v>
      </c>
      <c r="W237" s="50"/>
      <c r="X237" s="50"/>
      <c r="Y237" s="50"/>
      <c r="Z237" s="312"/>
      <c r="AA237" s="50" t="s">
        <v>1435</v>
      </c>
      <c r="AB237" s="50"/>
      <c r="AC237" s="50"/>
      <c r="AD237" s="50"/>
      <c r="AE237" s="50"/>
    </row>
    <row r="238">
      <c r="A238" s="307">
        <v>43144.87222222222</v>
      </c>
      <c r="B238" s="312" t="s">
        <v>1437</v>
      </c>
      <c r="C238" s="312" t="s">
        <v>1184</v>
      </c>
      <c r="D238" s="303" t="s">
        <v>1185</v>
      </c>
      <c r="E238" s="315">
        <v>43076.0</v>
      </c>
      <c r="F238" s="312" t="s">
        <v>62</v>
      </c>
      <c r="G238" s="303" t="s">
        <v>1190</v>
      </c>
      <c r="H238" s="303" t="s">
        <v>1181</v>
      </c>
      <c r="I238" s="303" t="s">
        <v>1187</v>
      </c>
      <c r="J238" s="306">
        <v>0.8</v>
      </c>
      <c r="K238" s="312">
        <v>295.0</v>
      </c>
      <c r="L238" s="312"/>
      <c r="M238" s="312">
        <v>400.0</v>
      </c>
      <c r="N238" s="312"/>
      <c r="O238" s="312"/>
      <c r="P238" s="315">
        <v>43144.0</v>
      </c>
      <c r="Q238" s="312">
        <v>3405.0</v>
      </c>
      <c r="R238" s="312">
        <v>295.0</v>
      </c>
      <c r="S238" s="316"/>
      <c r="T238" s="317">
        <v>298.73</v>
      </c>
      <c r="U238" s="312" t="s">
        <v>1366</v>
      </c>
      <c r="V238" s="312" t="s">
        <v>1367</v>
      </c>
      <c r="W238" s="50"/>
      <c r="X238" s="50"/>
      <c r="Y238" s="50"/>
      <c r="Z238" s="312"/>
      <c r="AA238" s="50"/>
      <c r="AB238" s="50"/>
      <c r="AC238" s="50"/>
      <c r="AD238" s="50"/>
      <c r="AE238" s="50"/>
    </row>
    <row r="239">
      <c r="A239" s="307">
        <v>43103.876388888886</v>
      </c>
      <c r="B239" s="312" t="s">
        <v>1437</v>
      </c>
      <c r="C239" s="312" t="s">
        <v>1184</v>
      </c>
      <c r="D239" s="303" t="s">
        <v>1185</v>
      </c>
      <c r="E239" s="315">
        <v>43076.0</v>
      </c>
      <c r="F239" s="312" t="s">
        <v>62</v>
      </c>
      <c r="G239" s="303" t="s">
        <v>1203</v>
      </c>
      <c r="H239" s="303" t="s">
        <v>1181</v>
      </c>
      <c r="I239" s="303" t="s">
        <v>1187</v>
      </c>
      <c r="J239" s="306">
        <v>0.8</v>
      </c>
      <c r="K239" s="312">
        <v>295.0</v>
      </c>
      <c r="L239" s="312"/>
      <c r="M239" s="312">
        <v>400.0</v>
      </c>
      <c r="N239" s="312"/>
      <c r="O239" s="312"/>
      <c r="P239" s="315">
        <v>43103.0</v>
      </c>
      <c r="Q239" s="312">
        <v>6592.0</v>
      </c>
      <c r="R239" s="312">
        <v>295.0</v>
      </c>
      <c r="S239" s="316"/>
      <c r="T239" s="317">
        <v>298.73</v>
      </c>
      <c r="U239" s="312" t="s">
        <v>1366</v>
      </c>
      <c r="V239" s="312" t="s">
        <v>1367</v>
      </c>
      <c r="W239" s="50"/>
      <c r="X239" s="50"/>
      <c r="Y239" s="50"/>
      <c r="Z239" s="312"/>
      <c r="AA239" s="50"/>
      <c r="AB239" s="50"/>
      <c r="AC239" s="50"/>
      <c r="AD239" s="50"/>
      <c r="AE239" s="50"/>
    </row>
    <row r="240">
      <c r="A240" s="307">
        <v>42342.90555555555</v>
      </c>
      <c r="B240" s="312" t="s">
        <v>1100</v>
      </c>
      <c r="C240" s="312" t="s">
        <v>1197</v>
      </c>
      <c r="D240" s="303" t="s">
        <v>1178</v>
      </c>
      <c r="E240" s="315">
        <v>42094.0</v>
      </c>
      <c r="F240" s="312" t="s">
        <v>36</v>
      </c>
      <c r="G240" s="303" t="s">
        <v>1180</v>
      </c>
      <c r="H240" s="303" t="s">
        <v>1180</v>
      </c>
      <c r="I240" s="303" t="s">
        <v>1187</v>
      </c>
      <c r="J240" s="306">
        <v>0.9</v>
      </c>
      <c r="K240" s="312">
        <v>425.0</v>
      </c>
      <c r="L240" s="312"/>
      <c r="M240" s="312">
        <v>189.0</v>
      </c>
      <c r="N240" s="312"/>
      <c r="O240" s="312"/>
      <c r="P240" s="315">
        <v>42342.0</v>
      </c>
      <c r="Q240" s="312">
        <v>24027.0</v>
      </c>
      <c r="R240" s="312">
        <v>415.0</v>
      </c>
      <c r="S240" s="316"/>
      <c r="T240" s="317">
        <v>420.25</v>
      </c>
      <c r="U240" s="312" t="s">
        <v>1366</v>
      </c>
      <c r="V240" s="312" t="s">
        <v>1367</v>
      </c>
      <c r="W240" s="50"/>
      <c r="X240" s="50"/>
      <c r="Y240" s="50"/>
      <c r="Z240" s="312"/>
      <c r="AA240" s="50"/>
      <c r="AB240" s="50"/>
      <c r="AC240" s="50"/>
      <c r="AD240" s="50"/>
      <c r="AE240" s="50"/>
    </row>
    <row r="241">
      <c r="A241" s="307">
        <v>42983.600694444445</v>
      </c>
      <c r="B241" s="312" t="s">
        <v>987</v>
      </c>
      <c r="C241" s="303" t="s">
        <v>1177</v>
      </c>
      <c r="D241" s="303" t="s">
        <v>1178</v>
      </c>
      <c r="E241" s="315">
        <v>41579.0</v>
      </c>
      <c r="F241" s="312" t="s">
        <v>30</v>
      </c>
      <c r="G241" s="312"/>
      <c r="H241" s="312"/>
      <c r="I241" s="312"/>
      <c r="J241" s="306"/>
      <c r="K241" s="50"/>
      <c r="L241" s="312"/>
      <c r="M241" s="312">
        <v>218.0</v>
      </c>
      <c r="N241" s="312"/>
      <c r="O241" s="312"/>
      <c r="P241" s="315">
        <v>42983.0</v>
      </c>
      <c r="Q241" s="312">
        <v>113418.0</v>
      </c>
      <c r="R241" s="312">
        <v>385.0</v>
      </c>
      <c r="S241" s="316"/>
      <c r="T241" s="317">
        <v>385.0</v>
      </c>
      <c r="U241" s="312" t="s">
        <v>1369</v>
      </c>
      <c r="V241" s="312" t="s">
        <v>1367</v>
      </c>
      <c r="W241" s="50"/>
      <c r="X241" s="50"/>
      <c r="Y241" s="50"/>
      <c r="Z241" s="312"/>
      <c r="AA241" s="50"/>
      <c r="AB241" s="50"/>
      <c r="AC241" s="50"/>
      <c r="AD241" s="50"/>
      <c r="AE241" s="50"/>
    </row>
    <row r="242">
      <c r="A242" s="307">
        <v>42655.80902777778</v>
      </c>
      <c r="B242" s="312" t="s">
        <v>1037</v>
      </c>
      <c r="C242" s="312" t="s">
        <v>1184</v>
      </c>
      <c r="D242" s="303" t="s">
        <v>1185</v>
      </c>
      <c r="E242" s="315">
        <v>41506.0</v>
      </c>
      <c r="F242" s="312" t="s">
        <v>12</v>
      </c>
      <c r="G242" s="303" t="s">
        <v>1181</v>
      </c>
      <c r="H242" s="303" t="s">
        <v>1179</v>
      </c>
      <c r="I242" s="303" t="s">
        <v>1181</v>
      </c>
      <c r="J242" s="306">
        <v>0.9</v>
      </c>
      <c r="K242" s="312">
        <v>208.0</v>
      </c>
      <c r="L242" s="312"/>
      <c r="M242" s="312">
        <v>320.0</v>
      </c>
      <c r="N242" s="312"/>
      <c r="O242" s="312"/>
      <c r="P242" s="315">
        <v>42655.0</v>
      </c>
      <c r="Q242" s="312">
        <v>15240.0</v>
      </c>
      <c r="R242" s="312">
        <v>189.0</v>
      </c>
      <c r="S242" s="316"/>
      <c r="T242" s="317">
        <v>191.39</v>
      </c>
      <c r="U242" s="312" t="s">
        <v>1366</v>
      </c>
      <c r="V242" s="312" t="s">
        <v>1367</v>
      </c>
      <c r="W242" s="50"/>
      <c r="X242" s="50"/>
      <c r="Y242" s="50"/>
      <c r="Z242" s="312"/>
      <c r="AA242" s="50"/>
      <c r="AB242" s="50"/>
      <c r="AC242" s="50"/>
      <c r="AD242" s="50"/>
      <c r="AE242" s="50"/>
    </row>
    <row r="243">
      <c r="A243" s="307">
        <v>43095.65416666667</v>
      </c>
      <c r="B243" s="312" t="s">
        <v>1438</v>
      </c>
      <c r="C243" s="303" t="s">
        <v>1177</v>
      </c>
      <c r="D243" s="303" t="s">
        <v>1178</v>
      </c>
      <c r="E243" s="315">
        <v>42091.0</v>
      </c>
      <c r="F243" s="312" t="s">
        <v>38</v>
      </c>
      <c r="G243" s="303" t="s">
        <v>1203</v>
      </c>
      <c r="H243" s="303" t="s">
        <v>1181</v>
      </c>
      <c r="I243" s="303" t="s">
        <v>1180</v>
      </c>
      <c r="J243" s="306">
        <v>0.8</v>
      </c>
      <c r="K243" s="50"/>
      <c r="L243" s="312"/>
      <c r="M243" s="312">
        <v>239.0</v>
      </c>
      <c r="N243" s="312"/>
      <c r="O243" s="312"/>
      <c r="P243" s="315">
        <v>43095.0</v>
      </c>
      <c r="Q243" s="312">
        <v>37444.0</v>
      </c>
      <c r="R243" s="312">
        <v>390.0</v>
      </c>
      <c r="S243" s="316"/>
      <c r="T243" s="317">
        <v>394.94</v>
      </c>
      <c r="U243" s="312" t="s">
        <v>1366</v>
      </c>
      <c r="V243" s="312" t="s">
        <v>1367</v>
      </c>
      <c r="W243" s="312"/>
      <c r="X243" s="312"/>
      <c r="Y243" s="312"/>
      <c r="Z243" s="312"/>
      <c r="AA243" s="312" t="s">
        <v>1439</v>
      </c>
      <c r="AB243" s="50"/>
      <c r="AC243" s="50"/>
      <c r="AD243" s="50"/>
      <c r="AE243" s="50"/>
    </row>
    <row r="244">
      <c r="A244" s="307">
        <v>43167.70347222222</v>
      </c>
      <c r="B244" s="312" t="s">
        <v>1438</v>
      </c>
      <c r="C244" s="303" t="s">
        <v>1177</v>
      </c>
      <c r="D244" s="303" t="s">
        <v>1178</v>
      </c>
      <c r="E244" s="315">
        <v>42091.0</v>
      </c>
      <c r="F244" s="312" t="s">
        <v>38</v>
      </c>
      <c r="G244" s="303" t="s">
        <v>1190</v>
      </c>
      <c r="H244" s="303" t="s">
        <v>1180</v>
      </c>
      <c r="I244" s="303" t="s">
        <v>1180</v>
      </c>
      <c r="J244" s="306">
        <v>0.9</v>
      </c>
      <c r="K244" s="50"/>
      <c r="L244" s="312"/>
      <c r="M244" s="312">
        <v>245.0</v>
      </c>
      <c r="N244" s="312"/>
      <c r="O244" s="312"/>
      <c r="P244" s="315">
        <v>43167.0</v>
      </c>
      <c r="Q244" s="312">
        <v>42500.0</v>
      </c>
      <c r="R244" s="312">
        <v>385.0</v>
      </c>
      <c r="S244" s="316"/>
      <c r="T244" s="317">
        <v>389.87</v>
      </c>
      <c r="U244" s="312" t="s">
        <v>1366</v>
      </c>
      <c r="V244" s="312" t="s">
        <v>1367</v>
      </c>
      <c r="W244" s="50"/>
      <c r="X244" s="50"/>
      <c r="Y244" s="50"/>
      <c r="Z244" s="312"/>
      <c r="AA244" s="50"/>
      <c r="AB244" s="50"/>
      <c r="AC244" s="50"/>
      <c r="AD244" s="50"/>
      <c r="AE244" s="50"/>
    </row>
    <row r="245">
      <c r="A245" s="307">
        <v>42431.29861111111</v>
      </c>
      <c r="B245" s="312" t="s">
        <v>800</v>
      </c>
      <c r="C245" s="303" t="s">
        <v>1177</v>
      </c>
      <c r="D245" s="303" t="s">
        <v>1178</v>
      </c>
      <c r="E245" s="315">
        <v>42066.0</v>
      </c>
      <c r="F245" s="312" t="s">
        <v>36</v>
      </c>
      <c r="G245" s="303" t="s">
        <v>1179</v>
      </c>
      <c r="H245" s="303" t="s">
        <v>1180</v>
      </c>
      <c r="I245" s="303" t="s">
        <v>1181</v>
      </c>
      <c r="J245" s="306">
        <v>0.8</v>
      </c>
      <c r="K245" s="312">
        <v>409.0</v>
      </c>
      <c r="L245" s="312"/>
      <c r="M245" s="312">
        <v>214.0</v>
      </c>
      <c r="N245" s="312"/>
      <c r="O245" s="312"/>
      <c r="P245" s="315">
        <v>42431.0</v>
      </c>
      <c r="Q245" s="312">
        <v>36800.0</v>
      </c>
      <c r="R245" s="312">
        <v>413.0</v>
      </c>
      <c r="S245" s="316"/>
      <c r="T245" s="317">
        <v>418.23</v>
      </c>
      <c r="U245" s="312" t="s">
        <v>1366</v>
      </c>
      <c r="V245" s="312" t="s">
        <v>1367</v>
      </c>
      <c r="W245" s="50"/>
      <c r="X245" s="50"/>
      <c r="Y245" s="50"/>
      <c r="Z245" s="312"/>
      <c r="AA245" s="50"/>
      <c r="AB245" s="50"/>
      <c r="AC245" s="50"/>
      <c r="AD245" s="50"/>
      <c r="AE245" s="50"/>
    </row>
    <row r="246">
      <c r="A246" s="307">
        <v>43073.64513888889</v>
      </c>
      <c r="B246" s="312" t="s">
        <v>1440</v>
      </c>
      <c r="C246" s="303" t="s">
        <v>1177</v>
      </c>
      <c r="D246" s="303" t="s">
        <v>1178</v>
      </c>
      <c r="E246" s="315">
        <v>42592.0</v>
      </c>
      <c r="F246" s="312" t="s">
        <v>57</v>
      </c>
      <c r="G246" s="303" t="s">
        <v>1180</v>
      </c>
      <c r="H246" s="303" t="s">
        <v>1181</v>
      </c>
      <c r="I246" s="303" t="s">
        <v>1181</v>
      </c>
      <c r="J246" s="306">
        <v>0.8</v>
      </c>
      <c r="K246" s="312">
        <v>397.0</v>
      </c>
      <c r="L246" s="312"/>
      <c r="M246" s="312">
        <v>218.0</v>
      </c>
      <c r="N246" s="312"/>
      <c r="O246" s="312"/>
      <c r="P246" s="315">
        <v>43073.0</v>
      </c>
      <c r="Q246" s="312">
        <v>28937.0</v>
      </c>
      <c r="R246" s="312">
        <v>384.0</v>
      </c>
      <c r="S246" s="316"/>
      <c r="T246" s="317">
        <v>384.0</v>
      </c>
      <c r="U246" s="312" t="s">
        <v>1369</v>
      </c>
      <c r="V246" s="312" t="s">
        <v>1367</v>
      </c>
      <c r="W246" s="50"/>
      <c r="X246" s="50"/>
      <c r="Y246" s="50"/>
      <c r="Z246" s="312"/>
      <c r="AA246" s="312" t="s">
        <v>1441</v>
      </c>
      <c r="AB246" s="50"/>
      <c r="AC246" s="50"/>
      <c r="AD246" s="50"/>
      <c r="AE246" s="50"/>
    </row>
    <row r="247">
      <c r="A247" s="307">
        <v>43148.70138888889</v>
      </c>
      <c r="B247" s="50" t="s">
        <v>1440</v>
      </c>
      <c r="C247" s="303" t="s">
        <v>1177</v>
      </c>
      <c r="D247" s="303" t="s">
        <v>1178</v>
      </c>
      <c r="E247" s="310">
        <v>42592.0</v>
      </c>
      <c r="F247" s="50" t="s">
        <v>57</v>
      </c>
      <c r="G247" s="303" t="s">
        <v>1180</v>
      </c>
      <c r="H247" s="303" t="s">
        <v>1181</v>
      </c>
      <c r="I247" s="303" t="s">
        <v>1181</v>
      </c>
      <c r="J247" s="311">
        <v>0.7</v>
      </c>
      <c r="K247" s="50">
        <v>397.0</v>
      </c>
      <c r="L247" s="50"/>
      <c r="M247" s="50">
        <v>218.0</v>
      </c>
      <c r="N247" s="50"/>
      <c r="O247" s="50"/>
      <c r="P247" s="310">
        <v>43148.0</v>
      </c>
      <c r="Q247" s="50">
        <v>35116.0</v>
      </c>
      <c r="R247" s="50">
        <v>384.0</v>
      </c>
      <c r="S247" s="318"/>
      <c r="T247" s="317">
        <v>384.0</v>
      </c>
      <c r="U247" s="50" t="s">
        <v>1369</v>
      </c>
      <c r="V247" s="50" t="s">
        <v>1367</v>
      </c>
      <c r="W247" s="50"/>
      <c r="X247" s="50"/>
      <c r="Y247" s="50"/>
      <c r="Z247" s="50"/>
      <c r="AA247" s="50"/>
      <c r="AB247" s="50"/>
      <c r="AC247" s="50"/>
      <c r="AD247" s="50"/>
      <c r="AE247" s="50"/>
    </row>
    <row r="248">
      <c r="A248" s="307">
        <v>42246.754166666666</v>
      </c>
      <c r="B248" s="312" t="s">
        <v>979</v>
      </c>
      <c r="C248" s="312" t="s">
        <v>1184</v>
      </c>
      <c r="D248" s="303" t="s">
        <v>1185</v>
      </c>
      <c r="E248" s="315">
        <v>41800.0</v>
      </c>
      <c r="F248" s="312" t="s">
        <v>12</v>
      </c>
      <c r="G248" s="303" t="s">
        <v>1179</v>
      </c>
      <c r="H248" s="303" t="s">
        <v>1180</v>
      </c>
      <c r="I248" s="303" t="s">
        <v>1186</v>
      </c>
      <c r="J248" s="306">
        <v>0.8</v>
      </c>
      <c r="K248" s="50"/>
      <c r="L248" s="312"/>
      <c r="M248" s="312">
        <v>266.0</v>
      </c>
      <c r="N248" s="312"/>
      <c r="O248" s="312"/>
      <c r="P248" s="315">
        <v>42246.0</v>
      </c>
      <c r="Q248" s="312">
        <v>25500.0</v>
      </c>
      <c r="R248" s="312">
        <v>186.0</v>
      </c>
      <c r="S248" s="316"/>
      <c r="T248" s="317">
        <v>186.0</v>
      </c>
      <c r="U248" s="312" t="s">
        <v>1369</v>
      </c>
      <c r="V248" s="312" t="s">
        <v>1367</v>
      </c>
      <c r="W248" s="50"/>
      <c r="X248" s="50"/>
      <c r="Y248" s="50"/>
      <c r="Z248" s="312"/>
      <c r="AA248" s="312" t="s">
        <v>1442</v>
      </c>
      <c r="AB248" s="50"/>
      <c r="AC248" s="50"/>
      <c r="AD248" s="50"/>
      <c r="AE248" s="50"/>
    </row>
    <row r="249">
      <c r="A249" s="307">
        <v>42347.77847222222</v>
      </c>
      <c r="B249" s="312" t="s">
        <v>979</v>
      </c>
      <c r="C249" s="312" t="s">
        <v>1184</v>
      </c>
      <c r="D249" s="303" t="s">
        <v>1185</v>
      </c>
      <c r="E249" s="315">
        <v>41800.0</v>
      </c>
      <c r="F249" s="312" t="s">
        <v>12</v>
      </c>
      <c r="G249" s="303" t="s">
        <v>1190</v>
      </c>
      <c r="H249" s="303" t="s">
        <v>1181</v>
      </c>
      <c r="I249" s="303" t="s">
        <v>1186</v>
      </c>
      <c r="J249" s="306">
        <v>0.9</v>
      </c>
      <c r="K249" s="312">
        <v>208.0</v>
      </c>
      <c r="L249" s="312"/>
      <c r="M249" s="312">
        <v>259.0</v>
      </c>
      <c r="N249" s="312"/>
      <c r="O249" s="312"/>
      <c r="P249" s="315">
        <v>42347.0</v>
      </c>
      <c r="Q249" s="312">
        <v>36200.0</v>
      </c>
      <c r="R249" s="312">
        <v>182.0</v>
      </c>
      <c r="S249" s="316"/>
      <c r="T249" s="317">
        <v>182.0</v>
      </c>
      <c r="U249" s="312" t="s">
        <v>1369</v>
      </c>
      <c r="V249" s="312" t="s">
        <v>1367</v>
      </c>
      <c r="W249" s="312">
        <v>168.0</v>
      </c>
      <c r="X249" s="312">
        <v>11.0</v>
      </c>
      <c r="Y249" s="312" t="s">
        <v>1443</v>
      </c>
      <c r="Z249" s="312" t="s">
        <v>1369</v>
      </c>
      <c r="AA249" s="50"/>
      <c r="AB249" s="50"/>
      <c r="AC249" s="50"/>
      <c r="AD249" s="50"/>
      <c r="AE249" s="50"/>
    </row>
    <row r="250">
      <c r="A250" s="307">
        <v>42436.30069444444</v>
      </c>
      <c r="B250" s="312" t="s">
        <v>805</v>
      </c>
      <c r="C250" s="303" t="s">
        <v>1177</v>
      </c>
      <c r="D250" s="303" t="s">
        <v>1178</v>
      </c>
      <c r="E250" s="315">
        <v>41722.0</v>
      </c>
      <c r="F250" s="312" t="s">
        <v>30</v>
      </c>
      <c r="G250" s="303" t="s">
        <v>1180</v>
      </c>
      <c r="H250" s="303" t="s">
        <v>1186</v>
      </c>
      <c r="I250" s="303" t="s">
        <v>1186</v>
      </c>
      <c r="J250" s="306">
        <v>0.8</v>
      </c>
      <c r="K250" s="50"/>
      <c r="L250" s="312"/>
      <c r="M250" s="312">
        <v>211.0</v>
      </c>
      <c r="N250" s="312"/>
      <c r="O250" s="312"/>
      <c r="P250" s="315">
        <v>42436.0</v>
      </c>
      <c r="Q250" s="312">
        <v>65000.0</v>
      </c>
      <c r="R250" s="312">
        <v>360.0</v>
      </c>
      <c r="S250" s="316"/>
      <c r="T250" s="317">
        <v>364.56</v>
      </c>
      <c r="U250" s="312" t="s">
        <v>1366</v>
      </c>
      <c r="V250" s="312" t="s">
        <v>1367</v>
      </c>
      <c r="W250" s="50"/>
      <c r="X250" s="50"/>
      <c r="Y250" s="50"/>
      <c r="Z250" s="312"/>
      <c r="AA250" s="50"/>
      <c r="AB250" s="50"/>
      <c r="AC250" s="50"/>
      <c r="AD250" s="50"/>
      <c r="AE250" s="50"/>
    </row>
    <row r="251">
      <c r="A251" s="307">
        <v>42802.51111111111</v>
      </c>
      <c r="B251" s="312" t="s">
        <v>805</v>
      </c>
      <c r="C251" s="303" t="s">
        <v>1177</v>
      </c>
      <c r="D251" s="303" t="s">
        <v>1178</v>
      </c>
      <c r="E251" s="315">
        <v>41722.0</v>
      </c>
      <c r="F251" s="312" t="s">
        <v>30</v>
      </c>
      <c r="G251" s="303" t="s">
        <v>1180</v>
      </c>
      <c r="H251" s="303" t="s">
        <v>1181</v>
      </c>
      <c r="I251" s="303" t="s">
        <v>1186</v>
      </c>
      <c r="J251" s="306">
        <v>0.8</v>
      </c>
      <c r="K251" s="50"/>
      <c r="L251" s="312"/>
      <c r="M251" s="312">
        <v>210.0</v>
      </c>
      <c r="N251" s="312"/>
      <c r="O251" s="312"/>
      <c r="P251" s="315">
        <v>42802.0</v>
      </c>
      <c r="Q251" s="312">
        <v>100000.0</v>
      </c>
      <c r="R251" s="312">
        <v>359.0</v>
      </c>
      <c r="S251" s="316"/>
      <c r="T251" s="317">
        <v>363.54</v>
      </c>
      <c r="U251" s="312" t="s">
        <v>1366</v>
      </c>
      <c r="V251" s="312" t="s">
        <v>1367</v>
      </c>
      <c r="W251" s="50"/>
      <c r="X251" s="50"/>
      <c r="Y251" s="50"/>
      <c r="Z251" s="312"/>
      <c r="AA251" s="50"/>
      <c r="AB251" s="50"/>
      <c r="AC251" s="50"/>
      <c r="AD251" s="50"/>
      <c r="AE251" s="50"/>
    </row>
    <row r="252">
      <c r="A252" s="307">
        <v>42419.290972222225</v>
      </c>
      <c r="B252" s="312" t="s">
        <v>789</v>
      </c>
      <c r="C252" s="303" t="s">
        <v>1177</v>
      </c>
      <c r="D252" s="303" t="s">
        <v>1178</v>
      </c>
      <c r="E252" s="315">
        <v>41724.0</v>
      </c>
      <c r="F252" s="312" t="s">
        <v>30</v>
      </c>
      <c r="G252" s="303" t="s">
        <v>1190</v>
      </c>
      <c r="H252" s="303" t="s">
        <v>1180</v>
      </c>
      <c r="I252" s="303" t="s">
        <v>1187</v>
      </c>
      <c r="J252" s="306">
        <v>0.9</v>
      </c>
      <c r="K252" s="50"/>
      <c r="L252" s="312"/>
      <c r="M252" s="312">
        <v>222.0</v>
      </c>
      <c r="N252" s="312"/>
      <c r="O252" s="312"/>
      <c r="P252" s="315">
        <v>42419.0</v>
      </c>
      <c r="Q252" s="312">
        <v>54000.0</v>
      </c>
      <c r="R252" s="312">
        <v>372.0</v>
      </c>
      <c r="S252" s="316"/>
      <c r="T252" s="317">
        <v>376.71</v>
      </c>
      <c r="U252" s="312" t="s">
        <v>1366</v>
      </c>
      <c r="V252" s="312" t="s">
        <v>1367</v>
      </c>
      <c r="W252" s="50"/>
      <c r="X252" s="50"/>
      <c r="Y252" s="50"/>
      <c r="Z252" s="312"/>
      <c r="AA252" s="50"/>
      <c r="AB252" s="50"/>
      <c r="AC252" s="50"/>
      <c r="AD252" s="50"/>
      <c r="AE252" s="50"/>
    </row>
    <row r="253">
      <c r="A253" s="307">
        <v>42735.48055555556</v>
      </c>
      <c r="B253" s="312" t="s">
        <v>789</v>
      </c>
      <c r="C253" s="303" t="s">
        <v>1177</v>
      </c>
      <c r="D253" s="303" t="s">
        <v>1178</v>
      </c>
      <c r="E253" s="315">
        <v>41721.0</v>
      </c>
      <c r="F253" s="312" t="s">
        <v>30</v>
      </c>
      <c r="G253" s="312"/>
      <c r="H253" s="312"/>
      <c r="I253" s="312"/>
      <c r="J253" s="306"/>
      <c r="K253" s="50"/>
      <c r="L253" s="312"/>
      <c r="M253" s="312">
        <v>218.0</v>
      </c>
      <c r="N253" s="312"/>
      <c r="O253" s="312"/>
      <c r="P253" s="315">
        <v>42735.0</v>
      </c>
      <c r="Q253" s="312">
        <v>79950.0</v>
      </c>
      <c r="R253" s="312">
        <v>389.0</v>
      </c>
      <c r="S253" s="316"/>
      <c r="T253" s="317">
        <v>389.0</v>
      </c>
      <c r="U253" s="312" t="s">
        <v>1369</v>
      </c>
      <c r="V253" s="312" t="s">
        <v>1367</v>
      </c>
      <c r="W253" s="50"/>
      <c r="X253" s="50"/>
      <c r="Y253" s="50"/>
      <c r="Z253" s="312"/>
      <c r="AA253" s="50"/>
      <c r="AB253" s="50"/>
      <c r="AC253" s="50"/>
      <c r="AD253" s="50"/>
      <c r="AE253" s="50"/>
    </row>
    <row r="254">
      <c r="A254" s="307">
        <v>42131.10833333333</v>
      </c>
      <c r="B254" s="312" t="s">
        <v>861</v>
      </c>
      <c r="C254" s="303" t="s">
        <v>1177</v>
      </c>
      <c r="D254" s="303" t="s">
        <v>1178</v>
      </c>
      <c r="E254" s="315">
        <v>42084.0</v>
      </c>
      <c r="F254" s="312" t="s">
        <v>30</v>
      </c>
      <c r="G254" s="303" t="s">
        <v>1190</v>
      </c>
      <c r="H254" s="303" t="s">
        <v>1179</v>
      </c>
      <c r="I254" s="303" t="s">
        <v>1187</v>
      </c>
      <c r="J254" s="306">
        <v>0.9</v>
      </c>
      <c r="K254" s="50"/>
      <c r="L254" s="312"/>
      <c r="M254" s="312">
        <v>224.0</v>
      </c>
      <c r="N254" s="50"/>
      <c r="O254" s="312"/>
      <c r="P254" s="315">
        <v>42131.0</v>
      </c>
      <c r="Q254" s="312">
        <v>8192.0</v>
      </c>
      <c r="R254" s="312">
        <v>393.0</v>
      </c>
      <c r="S254" s="316"/>
      <c r="T254" s="317">
        <v>397.97</v>
      </c>
      <c r="U254" s="312" t="s">
        <v>1366</v>
      </c>
      <c r="V254" s="312" t="s">
        <v>1367</v>
      </c>
      <c r="W254" s="50"/>
      <c r="X254" s="50"/>
      <c r="Y254" s="50"/>
      <c r="Z254" s="312"/>
      <c r="AA254" s="50"/>
      <c r="AB254" s="50"/>
      <c r="AC254" s="50"/>
      <c r="AD254" s="50"/>
      <c r="AE254" s="50"/>
    </row>
    <row r="255">
      <c r="A255" s="307">
        <v>42235.17013888889</v>
      </c>
      <c r="B255" s="312" t="s">
        <v>861</v>
      </c>
      <c r="C255" s="303" t="s">
        <v>1177</v>
      </c>
      <c r="D255" s="303" t="s">
        <v>1178</v>
      </c>
      <c r="E255" s="315">
        <v>42084.0</v>
      </c>
      <c r="F255" s="312" t="s">
        <v>30</v>
      </c>
      <c r="G255" s="303" t="s">
        <v>1180</v>
      </c>
      <c r="H255" s="303" t="s">
        <v>1181</v>
      </c>
      <c r="I255" s="303" t="s">
        <v>1186</v>
      </c>
      <c r="J255" s="306">
        <v>0.9</v>
      </c>
      <c r="K255" s="312">
        <v>399.0</v>
      </c>
      <c r="L255" s="312"/>
      <c r="M255" s="312">
        <v>216.0</v>
      </c>
      <c r="N255" s="312"/>
      <c r="O255" s="312"/>
      <c r="P255" s="315">
        <v>42235.0</v>
      </c>
      <c r="Q255" s="312">
        <v>20120.0</v>
      </c>
      <c r="R255" s="312">
        <v>389.0</v>
      </c>
      <c r="S255" s="316"/>
      <c r="T255" s="317">
        <v>393.92</v>
      </c>
      <c r="U255" s="312" t="s">
        <v>1366</v>
      </c>
      <c r="V255" s="312" t="s">
        <v>1367</v>
      </c>
      <c r="W255" s="50"/>
      <c r="X255" s="50"/>
      <c r="Y255" s="50"/>
      <c r="Z255" s="312"/>
      <c r="AA255" s="50"/>
      <c r="AB255" s="50"/>
      <c r="AC255" s="50"/>
      <c r="AD255" s="50"/>
      <c r="AE255" s="50"/>
    </row>
    <row r="256">
      <c r="A256" s="307">
        <v>42830.822916666664</v>
      </c>
      <c r="B256" s="312" t="s">
        <v>457</v>
      </c>
      <c r="C256" s="312" t="s">
        <v>1184</v>
      </c>
      <c r="D256" s="303" t="s">
        <v>1185</v>
      </c>
      <c r="E256" s="315">
        <v>42532.0</v>
      </c>
      <c r="F256" s="312" t="s">
        <v>25</v>
      </c>
      <c r="G256" s="303" t="s">
        <v>1203</v>
      </c>
      <c r="H256" s="303" t="s">
        <v>1181</v>
      </c>
      <c r="I256" s="303" t="s">
        <v>1179</v>
      </c>
      <c r="J256" s="306">
        <v>0.8</v>
      </c>
      <c r="K256" s="312">
        <v>247.0</v>
      </c>
      <c r="L256" s="312"/>
      <c r="M256" s="312">
        <v>302.0</v>
      </c>
      <c r="N256" s="312"/>
      <c r="O256" s="312"/>
      <c r="P256" s="315">
        <v>42830.0</v>
      </c>
      <c r="Q256" s="312">
        <v>24846.0</v>
      </c>
      <c r="R256" s="312">
        <v>233.0</v>
      </c>
      <c r="S256" s="316"/>
      <c r="T256" s="317">
        <v>235.95</v>
      </c>
      <c r="U256" s="312" t="s">
        <v>1366</v>
      </c>
      <c r="V256" s="312" t="s">
        <v>1367</v>
      </c>
      <c r="W256" s="312"/>
      <c r="X256" s="50"/>
      <c r="Y256" s="50"/>
      <c r="Z256" s="312"/>
      <c r="AA256" s="312" t="s">
        <v>1444</v>
      </c>
      <c r="AB256" s="50"/>
      <c r="AC256" s="50"/>
      <c r="AD256" s="50"/>
      <c r="AE256" s="50"/>
    </row>
    <row r="257">
      <c r="A257" s="307">
        <v>43139.69513888889</v>
      </c>
      <c r="B257" s="312" t="s">
        <v>1445</v>
      </c>
      <c r="C257" s="303" t="s">
        <v>1177</v>
      </c>
      <c r="D257" s="303" t="s">
        <v>1178</v>
      </c>
      <c r="E257" s="315">
        <v>41662.0</v>
      </c>
      <c r="F257" s="312" t="s">
        <v>32</v>
      </c>
      <c r="G257" s="303" t="s">
        <v>1190</v>
      </c>
      <c r="H257" s="303" t="s">
        <v>1180</v>
      </c>
      <c r="I257" s="303" t="s">
        <v>1181</v>
      </c>
      <c r="J257" s="306">
        <v>0.6</v>
      </c>
      <c r="K257" s="312">
        <v>405.0</v>
      </c>
      <c r="L257" s="312"/>
      <c r="M257" s="312">
        <v>219.0</v>
      </c>
      <c r="N257" s="312"/>
      <c r="O257" s="312"/>
      <c r="P257" s="315">
        <v>43139.0</v>
      </c>
      <c r="Q257" s="312">
        <v>113204.0</v>
      </c>
      <c r="R257" s="312">
        <v>372.0</v>
      </c>
      <c r="S257" s="316"/>
      <c r="T257" s="317">
        <v>376.71</v>
      </c>
      <c r="U257" s="312" t="s">
        <v>1366</v>
      </c>
      <c r="V257" s="312" t="s">
        <v>1367</v>
      </c>
      <c r="W257" s="312"/>
      <c r="X257" s="312"/>
      <c r="Y257" s="312"/>
      <c r="Z257" s="312"/>
      <c r="AA257" s="50"/>
      <c r="AB257" s="50"/>
      <c r="AC257" s="50"/>
      <c r="AD257" s="50"/>
      <c r="AE257" s="50"/>
    </row>
    <row r="258">
      <c r="A258" s="307">
        <v>41954.03680555556</v>
      </c>
      <c r="B258" s="50" t="s">
        <v>1056</v>
      </c>
      <c r="C258" s="303" t="s">
        <v>1177</v>
      </c>
      <c r="D258" s="303" t="s">
        <v>1178</v>
      </c>
      <c r="E258" s="310">
        <v>41582.0</v>
      </c>
      <c r="F258" s="312" t="s">
        <v>32</v>
      </c>
      <c r="G258" s="303" t="s">
        <v>1180</v>
      </c>
      <c r="H258" s="303" t="s">
        <v>1181</v>
      </c>
      <c r="I258" s="303" t="s">
        <v>1187</v>
      </c>
      <c r="J258" s="306"/>
      <c r="K258" s="50"/>
      <c r="L258" s="50"/>
      <c r="M258" s="312">
        <v>218.0</v>
      </c>
      <c r="N258" s="50"/>
      <c r="O258" s="312"/>
      <c r="P258" s="310">
        <v>41954.0</v>
      </c>
      <c r="Q258" s="50">
        <v>21000.0</v>
      </c>
      <c r="R258" s="50">
        <v>379.0</v>
      </c>
      <c r="S258" s="318"/>
      <c r="T258" s="317">
        <v>383.8</v>
      </c>
      <c r="U258" s="312" t="s">
        <v>1366</v>
      </c>
      <c r="V258" s="312" t="s">
        <v>1367</v>
      </c>
      <c r="W258" s="50"/>
      <c r="X258" s="50"/>
      <c r="Y258" s="50"/>
      <c r="Z258" s="312"/>
      <c r="AA258" s="312"/>
      <c r="AB258" s="50"/>
      <c r="AC258" s="50"/>
      <c r="AD258" s="50"/>
      <c r="AE258" s="50"/>
    </row>
    <row r="259">
      <c r="A259" s="307">
        <v>42299.20763888889</v>
      </c>
      <c r="B259" s="312" t="s">
        <v>1056</v>
      </c>
      <c r="C259" s="303" t="s">
        <v>1177</v>
      </c>
      <c r="D259" s="303" t="s">
        <v>1178</v>
      </c>
      <c r="E259" s="315">
        <v>41582.0</v>
      </c>
      <c r="F259" s="312" t="s">
        <v>32</v>
      </c>
      <c r="G259" s="303" t="s">
        <v>1181</v>
      </c>
      <c r="H259" s="303" t="s">
        <v>1181</v>
      </c>
      <c r="I259" s="303" t="s">
        <v>1181</v>
      </c>
      <c r="J259" s="306">
        <v>0.8</v>
      </c>
      <c r="K259" s="50"/>
      <c r="L259" s="312"/>
      <c r="M259" s="312">
        <v>218.0</v>
      </c>
      <c r="N259" s="312"/>
      <c r="O259" s="312"/>
      <c r="P259" s="315">
        <v>42299.0</v>
      </c>
      <c r="Q259" s="312">
        <v>43500.0</v>
      </c>
      <c r="R259" s="312">
        <v>374.0</v>
      </c>
      <c r="S259" s="316"/>
      <c r="T259" s="317">
        <v>378.73</v>
      </c>
      <c r="U259" s="312" t="s">
        <v>1366</v>
      </c>
      <c r="V259" s="312" t="s">
        <v>1367</v>
      </c>
      <c r="W259" s="50"/>
      <c r="X259" s="50"/>
      <c r="Y259" s="50"/>
      <c r="Z259" s="312"/>
      <c r="AA259" s="50"/>
      <c r="AB259" s="50"/>
      <c r="AC259" s="50"/>
      <c r="AD259" s="50"/>
      <c r="AE259" s="50"/>
    </row>
    <row r="260">
      <c r="A260" s="307">
        <v>42356.25347222222</v>
      </c>
      <c r="B260" s="312" t="s">
        <v>769</v>
      </c>
      <c r="C260" s="303" t="s">
        <v>1177</v>
      </c>
      <c r="D260" s="303" t="s">
        <v>1178</v>
      </c>
      <c r="E260" s="315">
        <v>42353.0</v>
      </c>
      <c r="F260" s="312" t="s">
        <v>22</v>
      </c>
      <c r="G260" s="303" t="s">
        <v>1187</v>
      </c>
      <c r="H260" s="303" t="s">
        <v>1187</v>
      </c>
      <c r="I260" s="303" t="s">
        <v>1187</v>
      </c>
      <c r="J260" s="306">
        <v>0.9</v>
      </c>
      <c r="K260" s="312">
        <v>358.0</v>
      </c>
      <c r="L260" s="312"/>
      <c r="M260" s="312">
        <v>217.0</v>
      </c>
      <c r="N260" s="312"/>
      <c r="O260" s="312"/>
      <c r="P260" s="315">
        <v>42356.0</v>
      </c>
      <c r="Q260" s="312">
        <v>513.0</v>
      </c>
      <c r="R260" s="312">
        <v>359.0</v>
      </c>
      <c r="S260" s="316"/>
      <c r="T260" s="317">
        <v>363.54</v>
      </c>
      <c r="U260" s="312" t="s">
        <v>1366</v>
      </c>
      <c r="V260" s="312" t="s">
        <v>1367</v>
      </c>
      <c r="W260" s="312">
        <v>358.0</v>
      </c>
      <c r="X260" s="312">
        <v>200.0</v>
      </c>
      <c r="Y260" s="50"/>
      <c r="Z260" s="312"/>
      <c r="AA260" s="50"/>
      <c r="AB260" s="50"/>
      <c r="AC260" s="50"/>
      <c r="AD260" s="50"/>
      <c r="AE260" s="50"/>
    </row>
    <row r="261">
      <c r="A261" s="307">
        <v>42404.28125</v>
      </c>
      <c r="B261" s="312" t="s">
        <v>769</v>
      </c>
      <c r="C261" s="303" t="s">
        <v>1177</v>
      </c>
      <c r="D261" s="303" t="s">
        <v>1178</v>
      </c>
      <c r="E261" s="315">
        <v>42353.0</v>
      </c>
      <c r="F261" s="312" t="s">
        <v>22</v>
      </c>
      <c r="G261" s="303" t="s">
        <v>1186</v>
      </c>
      <c r="H261" s="303" t="s">
        <v>1187</v>
      </c>
      <c r="I261" s="303" t="s">
        <v>1187</v>
      </c>
      <c r="J261" s="306">
        <v>0.9</v>
      </c>
      <c r="K261" s="312">
        <v>361.0</v>
      </c>
      <c r="L261" s="312"/>
      <c r="M261" s="312">
        <v>232.0</v>
      </c>
      <c r="N261" s="312"/>
      <c r="O261" s="312"/>
      <c r="P261" s="315">
        <v>42404.0</v>
      </c>
      <c r="Q261" s="312">
        <v>3032.0</v>
      </c>
      <c r="R261" s="312">
        <v>361.0</v>
      </c>
      <c r="S261" s="316"/>
      <c r="T261" s="317">
        <v>365.57</v>
      </c>
      <c r="U261" s="312" t="s">
        <v>1366</v>
      </c>
      <c r="V261" s="312" t="s">
        <v>1367</v>
      </c>
      <c r="W261" s="50"/>
      <c r="X261" s="50"/>
      <c r="Y261" s="50"/>
      <c r="Z261" s="312"/>
      <c r="AA261" s="50"/>
      <c r="AB261" s="50"/>
      <c r="AC261" s="50"/>
      <c r="AD261" s="50"/>
      <c r="AE261" s="50"/>
    </row>
    <row r="262">
      <c r="A262" s="307">
        <v>42423.29583333333</v>
      </c>
      <c r="B262" s="312" t="s">
        <v>769</v>
      </c>
      <c r="C262" s="303" t="s">
        <v>1177</v>
      </c>
      <c r="D262" s="303" t="s">
        <v>1178</v>
      </c>
      <c r="E262" s="315">
        <v>42353.0</v>
      </c>
      <c r="F262" s="312" t="s">
        <v>22</v>
      </c>
      <c r="G262" s="312"/>
      <c r="H262" s="312"/>
      <c r="I262" s="312"/>
      <c r="J262" s="306"/>
      <c r="K262" s="50"/>
      <c r="L262" s="312"/>
      <c r="M262" s="312">
        <v>230.0</v>
      </c>
      <c r="N262" s="312"/>
      <c r="O262" s="312"/>
      <c r="P262" s="315">
        <v>42423.0</v>
      </c>
      <c r="Q262" s="312">
        <v>4093.0</v>
      </c>
      <c r="R262" s="312">
        <v>361.0</v>
      </c>
      <c r="S262" s="316"/>
      <c r="T262" s="317">
        <v>365.57</v>
      </c>
      <c r="U262" s="312" t="s">
        <v>1366</v>
      </c>
      <c r="V262" s="312" t="s">
        <v>1367</v>
      </c>
      <c r="W262" s="50"/>
      <c r="X262" s="50"/>
      <c r="Y262" s="50"/>
      <c r="Z262" s="312"/>
      <c r="AA262" s="50"/>
      <c r="AB262" s="50"/>
      <c r="AC262" s="50"/>
      <c r="AD262" s="50"/>
      <c r="AE262" s="50"/>
    </row>
    <row r="263">
      <c r="A263" s="307">
        <v>42447.30694444444</v>
      </c>
      <c r="B263" s="312" t="s">
        <v>769</v>
      </c>
      <c r="C263" s="303" t="s">
        <v>1177</v>
      </c>
      <c r="D263" s="303" t="s">
        <v>1178</v>
      </c>
      <c r="E263" s="315">
        <v>42353.0</v>
      </c>
      <c r="F263" s="312" t="s">
        <v>22</v>
      </c>
      <c r="G263" s="303" t="s">
        <v>1181</v>
      </c>
      <c r="H263" s="303" t="s">
        <v>1187</v>
      </c>
      <c r="I263" s="303" t="s">
        <v>1187</v>
      </c>
      <c r="J263" s="306">
        <v>0.9</v>
      </c>
      <c r="K263" s="312">
        <v>361.0</v>
      </c>
      <c r="L263" s="312"/>
      <c r="M263" s="312">
        <v>228.0</v>
      </c>
      <c r="N263" s="312"/>
      <c r="O263" s="312"/>
      <c r="P263" s="315">
        <v>42447.0</v>
      </c>
      <c r="Q263" s="312">
        <v>6076.0</v>
      </c>
      <c r="R263" s="312">
        <v>361.0</v>
      </c>
      <c r="S263" s="316"/>
      <c r="T263" s="317">
        <v>365.57</v>
      </c>
      <c r="U263" s="312" t="s">
        <v>1366</v>
      </c>
      <c r="V263" s="312" t="s">
        <v>1367</v>
      </c>
      <c r="W263" s="312">
        <v>325.0</v>
      </c>
      <c r="X263" s="50"/>
      <c r="Y263" s="50"/>
      <c r="Z263" s="312"/>
      <c r="AA263" s="50"/>
      <c r="AB263" s="50"/>
      <c r="AC263" s="50"/>
      <c r="AD263" s="50"/>
      <c r="AE263" s="50"/>
    </row>
    <row r="264">
      <c r="A264" s="307">
        <v>42478.32777777778</v>
      </c>
      <c r="B264" s="312" t="s">
        <v>769</v>
      </c>
      <c r="C264" s="303" t="s">
        <v>1177</v>
      </c>
      <c r="D264" s="303" t="s">
        <v>1178</v>
      </c>
      <c r="E264" s="315">
        <v>42353.0</v>
      </c>
      <c r="F264" s="312" t="s">
        <v>22</v>
      </c>
      <c r="G264" s="312"/>
      <c r="H264" s="312"/>
      <c r="I264" s="312"/>
      <c r="J264" s="306"/>
      <c r="K264" s="50"/>
      <c r="L264" s="312"/>
      <c r="M264" s="312">
        <v>220.0</v>
      </c>
      <c r="N264" s="312"/>
      <c r="O264" s="312"/>
      <c r="P264" s="315">
        <v>42478.0</v>
      </c>
      <c r="Q264" s="312">
        <v>8643.0</v>
      </c>
      <c r="R264" s="312">
        <v>361.0</v>
      </c>
      <c r="S264" s="316"/>
      <c r="T264" s="317">
        <v>365.57</v>
      </c>
      <c r="U264" s="312" t="s">
        <v>1366</v>
      </c>
      <c r="V264" s="312" t="s">
        <v>1367</v>
      </c>
      <c r="W264" s="50"/>
      <c r="X264" s="50"/>
      <c r="Y264" s="50"/>
      <c r="Z264" s="312"/>
      <c r="AA264" s="50"/>
      <c r="AB264" s="50"/>
      <c r="AC264" s="50"/>
      <c r="AD264" s="50"/>
      <c r="AE264" s="50"/>
    </row>
    <row r="265">
      <c r="A265" s="307">
        <v>42508.336805555555</v>
      </c>
      <c r="B265" s="312" t="s">
        <v>769</v>
      </c>
      <c r="C265" s="303" t="s">
        <v>1177</v>
      </c>
      <c r="D265" s="303" t="s">
        <v>1178</v>
      </c>
      <c r="E265" s="315">
        <v>42353.0</v>
      </c>
      <c r="F265" s="312" t="s">
        <v>22</v>
      </c>
      <c r="G265" s="312"/>
      <c r="H265" s="312"/>
      <c r="I265" s="312"/>
      <c r="J265" s="306"/>
      <c r="K265" s="50"/>
      <c r="L265" s="312"/>
      <c r="M265" s="312">
        <v>218.0</v>
      </c>
      <c r="N265" s="312"/>
      <c r="O265" s="312"/>
      <c r="P265" s="315">
        <v>42508.0</v>
      </c>
      <c r="Q265" s="312">
        <v>11680.0</v>
      </c>
      <c r="R265" s="312">
        <v>364.0</v>
      </c>
      <c r="S265" s="316"/>
      <c r="T265" s="317">
        <v>364.0</v>
      </c>
      <c r="U265" s="312" t="s">
        <v>1369</v>
      </c>
      <c r="V265" s="312" t="s">
        <v>1367</v>
      </c>
      <c r="W265" s="50"/>
      <c r="X265" s="50"/>
      <c r="Y265" s="50"/>
      <c r="Z265" s="312"/>
      <c r="AA265" s="50"/>
      <c r="AB265" s="50"/>
      <c r="AC265" s="50"/>
      <c r="AD265" s="50"/>
      <c r="AE265" s="50"/>
    </row>
    <row r="266">
      <c r="A266" s="307">
        <v>42567.361805555556</v>
      </c>
      <c r="B266" s="312" t="s">
        <v>769</v>
      </c>
      <c r="C266" s="303" t="s">
        <v>1177</v>
      </c>
      <c r="D266" s="303" t="s">
        <v>1178</v>
      </c>
      <c r="E266" s="315">
        <v>42353.0</v>
      </c>
      <c r="F266" s="312" t="s">
        <v>22</v>
      </c>
      <c r="G266" s="303" t="s">
        <v>1179</v>
      </c>
      <c r="H266" s="303" t="s">
        <v>1187</v>
      </c>
      <c r="I266" s="303" t="s">
        <v>1187</v>
      </c>
      <c r="J266" s="306">
        <v>0.9</v>
      </c>
      <c r="K266" s="312">
        <v>361.0</v>
      </c>
      <c r="L266" s="312"/>
      <c r="M266" s="312">
        <v>211.0</v>
      </c>
      <c r="N266" s="312"/>
      <c r="O266" s="312"/>
      <c r="P266" s="315">
        <v>42567.0</v>
      </c>
      <c r="Q266" s="312">
        <v>15300.0</v>
      </c>
      <c r="R266" s="312">
        <v>364.0</v>
      </c>
      <c r="S266" s="316"/>
      <c r="T266" s="317">
        <v>364.0</v>
      </c>
      <c r="U266" s="312" t="s">
        <v>1369</v>
      </c>
      <c r="V266" s="312" t="s">
        <v>1367</v>
      </c>
      <c r="W266" s="50"/>
      <c r="X266" s="50"/>
      <c r="Y266" s="50"/>
      <c r="Z266" s="312"/>
      <c r="AA266" s="50"/>
      <c r="AB266" s="50"/>
      <c r="AC266" s="50"/>
      <c r="AD266" s="50"/>
      <c r="AE266" s="50"/>
    </row>
    <row r="267">
      <c r="A267" s="307">
        <v>42591.37708333333</v>
      </c>
      <c r="B267" s="312" t="s">
        <v>769</v>
      </c>
      <c r="C267" s="303" t="s">
        <v>1177</v>
      </c>
      <c r="D267" s="303" t="s">
        <v>1178</v>
      </c>
      <c r="E267" s="315">
        <v>42353.0</v>
      </c>
      <c r="F267" s="312" t="s">
        <v>22</v>
      </c>
      <c r="G267" s="312"/>
      <c r="H267" s="312"/>
      <c r="I267" s="312"/>
      <c r="J267" s="306"/>
      <c r="K267" s="50"/>
      <c r="L267" s="312"/>
      <c r="M267" s="312">
        <v>210.0</v>
      </c>
      <c r="N267" s="312"/>
      <c r="O267" s="312"/>
      <c r="P267" s="315">
        <v>42591.0</v>
      </c>
      <c r="Q267" s="312">
        <v>17500.0</v>
      </c>
      <c r="R267" s="312">
        <v>361.0</v>
      </c>
      <c r="S267" s="316"/>
      <c r="T267" s="317">
        <v>365.57</v>
      </c>
      <c r="U267" s="312" t="s">
        <v>1366</v>
      </c>
      <c r="V267" s="312" t="s">
        <v>1367</v>
      </c>
      <c r="W267" s="50"/>
      <c r="X267" s="50"/>
      <c r="Y267" s="50"/>
      <c r="Z267" s="312"/>
      <c r="AA267" s="50"/>
      <c r="AB267" s="50"/>
      <c r="AC267" s="50"/>
      <c r="AD267" s="50"/>
      <c r="AE267" s="50"/>
    </row>
    <row r="268">
      <c r="A268" s="307">
        <v>42599.379166666666</v>
      </c>
      <c r="B268" s="312" t="s">
        <v>769</v>
      </c>
      <c r="C268" s="303" t="s">
        <v>1177</v>
      </c>
      <c r="D268" s="303" t="s">
        <v>1178</v>
      </c>
      <c r="E268" s="315">
        <v>42353.0</v>
      </c>
      <c r="F268" s="312" t="s">
        <v>22</v>
      </c>
      <c r="G268" s="312"/>
      <c r="H268" s="312"/>
      <c r="I268" s="312"/>
      <c r="J268" s="306"/>
      <c r="K268" s="50"/>
      <c r="L268" s="312"/>
      <c r="M268" s="312">
        <v>209.0</v>
      </c>
      <c r="N268" s="312"/>
      <c r="O268" s="312"/>
      <c r="P268" s="315">
        <v>42599.0</v>
      </c>
      <c r="Q268" s="312">
        <v>18300.0</v>
      </c>
      <c r="R268" s="312">
        <v>359.0</v>
      </c>
      <c r="S268" s="316"/>
      <c r="T268" s="317">
        <v>363.54</v>
      </c>
      <c r="U268" s="312" t="s">
        <v>1366</v>
      </c>
      <c r="V268" s="312" t="s">
        <v>1367</v>
      </c>
      <c r="W268" s="50"/>
      <c r="X268" s="50"/>
      <c r="Y268" s="50"/>
      <c r="Z268" s="312"/>
      <c r="AA268" s="50"/>
      <c r="AB268" s="50"/>
      <c r="AC268" s="50"/>
      <c r="AD268" s="50"/>
      <c r="AE268" s="50"/>
    </row>
    <row r="269">
      <c r="A269" s="307">
        <v>42618.39166666667</v>
      </c>
      <c r="B269" s="312" t="s">
        <v>769</v>
      </c>
      <c r="C269" s="303" t="s">
        <v>1177</v>
      </c>
      <c r="D269" s="303" t="s">
        <v>1178</v>
      </c>
      <c r="E269" s="315">
        <v>42353.0</v>
      </c>
      <c r="F269" s="312" t="s">
        <v>22</v>
      </c>
      <c r="G269" s="303" t="s">
        <v>1190</v>
      </c>
      <c r="H269" s="303" t="s">
        <v>1187</v>
      </c>
      <c r="I269" s="303" t="s">
        <v>1187</v>
      </c>
      <c r="J269" s="306">
        <v>0.9</v>
      </c>
      <c r="K269" s="312">
        <v>359.0</v>
      </c>
      <c r="L269" s="312"/>
      <c r="M269" s="312">
        <v>205.0</v>
      </c>
      <c r="N269" s="312"/>
      <c r="O269" s="312"/>
      <c r="P269" s="315">
        <v>42618.0</v>
      </c>
      <c r="Q269" s="312">
        <v>20300.0</v>
      </c>
      <c r="R269" s="312">
        <v>359.0</v>
      </c>
      <c r="S269" s="316"/>
      <c r="T269" s="317">
        <v>363.54</v>
      </c>
      <c r="U269" s="312" t="s">
        <v>1366</v>
      </c>
      <c r="V269" s="312" t="s">
        <v>1367</v>
      </c>
      <c r="W269" s="50"/>
      <c r="X269" s="50"/>
      <c r="Y269" s="50"/>
      <c r="Z269" s="312"/>
      <c r="AA269" s="50"/>
      <c r="AB269" s="50"/>
      <c r="AC269" s="50"/>
      <c r="AD269" s="50"/>
      <c r="AE269" s="50"/>
    </row>
    <row r="270">
      <c r="A270" s="307">
        <v>42633.40416666667</v>
      </c>
      <c r="B270" s="312" t="s">
        <v>769</v>
      </c>
      <c r="C270" s="303" t="s">
        <v>1177</v>
      </c>
      <c r="D270" s="303" t="s">
        <v>1178</v>
      </c>
      <c r="E270" s="315">
        <v>42353.0</v>
      </c>
      <c r="F270" s="312" t="s">
        <v>22</v>
      </c>
      <c r="G270" s="312"/>
      <c r="H270" s="312"/>
      <c r="I270" s="312"/>
      <c r="J270" s="306"/>
      <c r="K270" s="50"/>
      <c r="L270" s="312"/>
      <c r="M270" s="312">
        <v>202.0</v>
      </c>
      <c r="N270" s="312"/>
      <c r="O270" s="312"/>
      <c r="P270" s="315">
        <v>42633.0</v>
      </c>
      <c r="Q270" s="312">
        <v>22442.0</v>
      </c>
      <c r="R270" s="312">
        <v>361.0</v>
      </c>
      <c r="S270" s="316"/>
      <c r="T270" s="317">
        <v>365.57</v>
      </c>
      <c r="U270" s="312" t="s">
        <v>1366</v>
      </c>
      <c r="V270" s="312" t="s">
        <v>1367</v>
      </c>
      <c r="W270" s="50"/>
      <c r="X270" s="50"/>
      <c r="Y270" s="50"/>
      <c r="Z270" s="312"/>
      <c r="AA270" s="50"/>
      <c r="AB270" s="50"/>
      <c r="AC270" s="50"/>
      <c r="AD270" s="50"/>
      <c r="AE270" s="50"/>
    </row>
    <row r="271">
      <c r="A271" s="307">
        <v>42648.410416666666</v>
      </c>
      <c r="B271" s="312" t="s">
        <v>769</v>
      </c>
      <c r="C271" s="303" t="s">
        <v>1177</v>
      </c>
      <c r="D271" s="303" t="s">
        <v>1178</v>
      </c>
      <c r="E271" s="315">
        <v>42353.0</v>
      </c>
      <c r="F271" s="312" t="s">
        <v>22</v>
      </c>
      <c r="G271" s="312"/>
      <c r="H271" s="312"/>
      <c r="I271" s="312"/>
      <c r="J271" s="306"/>
      <c r="K271" s="50"/>
      <c r="L271" s="312"/>
      <c r="M271" s="312">
        <v>201.0</v>
      </c>
      <c r="N271" s="312"/>
      <c r="O271" s="312"/>
      <c r="P271" s="315">
        <v>42648.0</v>
      </c>
      <c r="Q271" s="312">
        <v>24088.0</v>
      </c>
      <c r="R271" s="312">
        <v>359.0</v>
      </c>
      <c r="S271" s="316"/>
      <c r="T271" s="317">
        <v>363.54</v>
      </c>
      <c r="U271" s="312" t="s">
        <v>1366</v>
      </c>
      <c r="V271" s="312" t="s">
        <v>1367</v>
      </c>
      <c r="W271" s="50"/>
      <c r="X271" s="50"/>
      <c r="Y271" s="50"/>
      <c r="Z271" s="312"/>
      <c r="AA271" s="312"/>
      <c r="AB271" s="50"/>
      <c r="AC271" s="50"/>
      <c r="AD271" s="50"/>
      <c r="AE271" s="50"/>
    </row>
    <row r="272">
      <c r="A272" s="307">
        <v>42691.45763888889</v>
      </c>
      <c r="B272" s="312" t="s">
        <v>769</v>
      </c>
      <c r="C272" s="303" t="s">
        <v>1177</v>
      </c>
      <c r="D272" s="303" t="s">
        <v>1178</v>
      </c>
      <c r="E272" s="315">
        <v>42353.0</v>
      </c>
      <c r="F272" s="312" t="s">
        <v>22</v>
      </c>
      <c r="G272" s="312"/>
      <c r="H272" s="312"/>
      <c r="I272" s="312"/>
      <c r="J272" s="306"/>
      <c r="K272" s="50"/>
      <c r="L272" s="312"/>
      <c r="M272" s="312">
        <v>203.0</v>
      </c>
      <c r="N272" s="312"/>
      <c r="O272" s="312"/>
      <c r="P272" s="315">
        <v>42691.0</v>
      </c>
      <c r="Q272" s="312">
        <v>28514.0</v>
      </c>
      <c r="R272" s="312">
        <v>359.0</v>
      </c>
      <c r="S272" s="316"/>
      <c r="T272" s="317">
        <v>363.54</v>
      </c>
      <c r="U272" s="312" t="s">
        <v>1366</v>
      </c>
      <c r="V272" s="312" t="s">
        <v>1367</v>
      </c>
      <c r="W272" s="50"/>
      <c r="X272" s="50"/>
      <c r="Y272" s="50"/>
      <c r="Z272" s="312"/>
      <c r="AA272" s="50"/>
      <c r="AB272" s="50"/>
      <c r="AC272" s="50"/>
      <c r="AD272" s="50"/>
      <c r="AE272" s="50"/>
    </row>
    <row r="273">
      <c r="A273" s="307">
        <v>42705.46666666667</v>
      </c>
      <c r="B273" s="312" t="s">
        <v>769</v>
      </c>
      <c r="C273" s="303" t="s">
        <v>1177</v>
      </c>
      <c r="D273" s="303" t="s">
        <v>1178</v>
      </c>
      <c r="E273" s="315">
        <v>42353.0</v>
      </c>
      <c r="F273" s="312" t="s">
        <v>22</v>
      </c>
      <c r="G273" s="312"/>
      <c r="H273" s="312"/>
      <c r="I273" s="312"/>
      <c r="J273" s="306"/>
      <c r="K273" s="50"/>
      <c r="L273" s="312"/>
      <c r="M273" s="312">
        <v>205.0</v>
      </c>
      <c r="N273" s="312"/>
      <c r="O273" s="312"/>
      <c r="P273" s="315">
        <v>42705.0</v>
      </c>
      <c r="Q273" s="312">
        <v>30000.0</v>
      </c>
      <c r="R273" s="312">
        <v>358.0</v>
      </c>
      <c r="S273" s="316"/>
      <c r="T273" s="317">
        <v>362.53</v>
      </c>
      <c r="U273" s="312" t="s">
        <v>1366</v>
      </c>
      <c r="V273" s="312" t="s">
        <v>1367</v>
      </c>
      <c r="W273" s="50"/>
      <c r="X273" s="50"/>
      <c r="Y273" s="50"/>
      <c r="Z273" s="312"/>
      <c r="AA273" s="50"/>
      <c r="AB273" s="50"/>
      <c r="AC273" s="50"/>
      <c r="AD273" s="50"/>
      <c r="AE273" s="50"/>
    </row>
    <row r="274">
      <c r="A274" s="307">
        <v>42705.47638888889</v>
      </c>
      <c r="B274" s="312" t="s">
        <v>769</v>
      </c>
      <c r="C274" s="303" t="s">
        <v>1177</v>
      </c>
      <c r="D274" s="303" t="s">
        <v>1178</v>
      </c>
      <c r="E274" s="315">
        <v>42353.0</v>
      </c>
      <c r="F274" s="312" t="s">
        <v>22</v>
      </c>
      <c r="G274" s="312"/>
      <c r="H274" s="312"/>
      <c r="I274" s="312"/>
      <c r="J274" s="306"/>
      <c r="K274" s="50"/>
      <c r="L274" s="312"/>
      <c r="M274" s="312">
        <v>207.0</v>
      </c>
      <c r="N274" s="312"/>
      <c r="O274" s="312"/>
      <c r="P274" s="315">
        <v>42705.0</v>
      </c>
      <c r="Q274" s="312">
        <v>32054.0</v>
      </c>
      <c r="R274" s="312">
        <v>358.0</v>
      </c>
      <c r="S274" s="316"/>
      <c r="T274" s="317">
        <v>362.53</v>
      </c>
      <c r="U274" s="312" t="s">
        <v>1366</v>
      </c>
      <c r="V274" s="312" t="s">
        <v>1367</v>
      </c>
      <c r="W274" s="50"/>
      <c r="X274" s="50"/>
      <c r="Y274" s="50"/>
      <c r="Z274" s="312"/>
      <c r="AA274" s="50"/>
      <c r="AB274" s="50"/>
      <c r="AC274" s="50"/>
      <c r="AD274" s="50"/>
      <c r="AE274" s="50"/>
    </row>
    <row r="275">
      <c r="A275" s="307">
        <v>43076.64166666667</v>
      </c>
      <c r="B275" s="312" t="s">
        <v>769</v>
      </c>
      <c r="C275" s="303" t="s">
        <v>1177</v>
      </c>
      <c r="D275" s="303" t="s">
        <v>1178</v>
      </c>
      <c r="E275" s="315">
        <v>42354.0</v>
      </c>
      <c r="F275" s="312" t="s">
        <v>22</v>
      </c>
      <c r="G275" s="312"/>
      <c r="H275" s="312"/>
      <c r="I275" s="312"/>
      <c r="J275" s="306"/>
      <c r="K275" s="50"/>
      <c r="L275" s="312"/>
      <c r="M275" s="312">
        <v>210.0</v>
      </c>
      <c r="N275" s="312"/>
      <c r="O275" s="312"/>
      <c r="P275" s="315">
        <v>43076.0</v>
      </c>
      <c r="Q275" s="312">
        <v>66000.0</v>
      </c>
      <c r="R275" s="312">
        <v>360.0</v>
      </c>
      <c r="S275" s="316"/>
      <c r="T275" s="317">
        <v>364.56</v>
      </c>
      <c r="U275" s="312" t="s">
        <v>1366</v>
      </c>
      <c r="V275" s="312" t="s">
        <v>1367</v>
      </c>
      <c r="W275" s="50"/>
      <c r="X275" s="50"/>
      <c r="Y275" s="50"/>
      <c r="Z275" s="312"/>
      <c r="AA275" s="50"/>
      <c r="AB275" s="50"/>
      <c r="AC275" s="50"/>
      <c r="AD275" s="50"/>
      <c r="AE275" s="50"/>
    </row>
    <row r="276">
      <c r="A276" s="307">
        <v>43112.67361111111</v>
      </c>
      <c r="B276" s="312" t="s">
        <v>1446</v>
      </c>
      <c r="C276" s="303" t="s">
        <v>1177</v>
      </c>
      <c r="D276" s="303" t="s">
        <v>1178</v>
      </c>
      <c r="E276" s="315">
        <v>42355.0</v>
      </c>
      <c r="F276" s="312" t="s">
        <v>30</v>
      </c>
      <c r="G276" s="312"/>
      <c r="H276" s="312"/>
      <c r="I276" s="312"/>
      <c r="J276" s="306">
        <v>0.8</v>
      </c>
      <c r="K276" s="50"/>
      <c r="L276" s="312"/>
      <c r="M276" s="312">
        <v>218.0</v>
      </c>
      <c r="N276" s="312"/>
      <c r="O276" s="312"/>
      <c r="P276" s="315">
        <v>43112.0</v>
      </c>
      <c r="Q276" s="312">
        <v>38500.0</v>
      </c>
      <c r="R276" s="312">
        <v>385.0</v>
      </c>
      <c r="S276" s="316"/>
      <c r="T276" s="317">
        <v>389.87</v>
      </c>
      <c r="U276" s="312" t="s">
        <v>1366</v>
      </c>
      <c r="V276" s="312" t="s">
        <v>1367</v>
      </c>
      <c r="W276" s="50"/>
      <c r="X276" s="50"/>
      <c r="Y276" s="50"/>
      <c r="Z276" s="312"/>
      <c r="AA276" s="312" t="s">
        <v>1447</v>
      </c>
      <c r="AB276" s="50"/>
      <c r="AC276" s="50"/>
      <c r="AD276" s="50"/>
      <c r="AE276" s="50"/>
    </row>
    <row r="277">
      <c r="A277" s="307">
        <v>41909.02222222222</v>
      </c>
      <c r="B277" s="50" t="s">
        <v>760</v>
      </c>
      <c r="C277" s="303" t="s">
        <v>1177</v>
      </c>
      <c r="D277" s="303" t="s">
        <v>1178</v>
      </c>
      <c r="E277" s="310">
        <v>41592.0</v>
      </c>
      <c r="F277" s="312" t="s">
        <v>30</v>
      </c>
      <c r="G277" s="303" t="s">
        <v>1180</v>
      </c>
      <c r="H277" s="303" t="s">
        <v>1181</v>
      </c>
      <c r="I277" s="303" t="s">
        <v>1187</v>
      </c>
      <c r="J277" s="306"/>
      <c r="K277" s="50"/>
      <c r="L277" s="50"/>
      <c r="M277" s="50">
        <v>235.0</v>
      </c>
      <c r="N277" s="312">
        <v>12000.0</v>
      </c>
      <c r="O277" s="303" t="s">
        <v>1323</v>
      </c>
      <c r="P277" s="310">
        <v>41909.0</v>
      </c>
      <c r="Q277" s="50">
        <v>22526.0</v>
      </c>
      <c r="R277" s="50">
        <v>391.0</v>
      </c>
      <c r="S277" s="318"/>
      <c r="T277" s="317">
        <v>394.95</v>
      </c>
      <c r="U277" s="312" t="s">
        <v>1407</v>
      </c>
      <c r="V277" s="312" t="s">
        <v>1399</v>
      </c>
      <c r="W277" s="50"/>
      <c r="X277" s="50"/>
      <c r="Y277" s="50"/>
      <c r="Z277" s="312"/>
      <c r="AA277" s="50"/>
      <c r="AB277" s="50"/>
      <c r="AC277" s="50"/>
      <c r="AD277" s="50"/>
      <c r="AE277" s="50"/>
    </row>
    <row r="278">
      <c r="A278" s="307">
        <v>42033.06736111111</v>
      </c>
      <c r="B278" s="50" t="s">
        <v>760</v>
      </c>
      <c r="C278" s="303" t="s">
        <v>1177</v>
      </c>
      <c r="D278" s="303" t="s">
        <v>1178</v>
      </c>
      <c r="E278" s="310">
        <v>41592.0</v>
      </c>
      <c r="F278" s="312" t="s">
        <v>30</v>
      </c>
      <c r="G278" s="303" t="s">
        <v>1180</v>
      </c>
      <c r="H278" s="303" t="s">
        <v>1181</v>
      </c>
      <c r="I278" s="303" t="s">
        <v>1187</v>
      </c>
      <c r="J278" s="306"/>
      <c r="K278" s="50"/>
      <c r="L278" s="50"/>
      <c r="M278" s="50">
        <v>238.0</v>
      </c>
      <c r="N278" s="50">
        <v>12000.0</v>
      </c>
      <c r="O278" s="303" t="s">
        <v>1323</v>
      </c>
      <c r="P278" s="310">
        <v>42033.0</v>
      </c>
      <c r="Q278" s="50">
        <v>32302.0</v>
      </c>
      <c r="R278" s="50">
        <v>388.0</v>
      </c>
      <c r="S278" s="318"/>
      <c r="T278" s="317">
        <v>392.91</v>
      </c>
      <c r="U278" s="312" t="s">
        <v>1366</v>
      </c>
      <c r="V278" s="312" t="s">
        <v>1399</v>
      </c>
      <c r="W278" s="50"/>
      <c r="X278" s="50"/>
      <c r="Y278" s="50"/>
      <c r="Z278" s="312"/>
      <c r="AA278" s="50" t="s">
        <v>1373</v>
      </c>
      <c r="AB278" s="50"/>
      <c r="AC278" s="50"/>
      <c r="AD278" s="50"/>
      <c r="AE278" s="50"/>
    </row>
    <row r="279">
      <c r="A279" s="307">
        <v>42103.09166666667</v>
      </c>
      <c r="B279" s="50" t="s">
        <v>760</v>
      </c>
      <c r="C279" s="303" t="s">
        <v>1177</v>
      </c>
      <c r="D279" s="303" t="s">
        <v>1178</v>
      </c>
      <c r="E279" s="310">
        <v>41592.0</v>
      </c>
      <c r="F279" s="312" t="s">
        <v>30</v>
      </c>
      <c r="G279" s="303" t="s">
        <v>1180</v>
      </c>
      <c r="H279" s="303" t="s">
        <v>1181</v>
      </c>
      <c r="I279" s="303" t="s">
        <v>1187</v>
      </c>
      <c r="J279" s="306"/>
      <c r="K279" s="50"/>
      <c r="L279" s="312"/>
      <c r="M279" s="312">
        <v>239.0</v>
      </c>
      <c r="N279" s="50">
        <v>12000.0</v>
      </c>
      <c r="O279" s="303" t="s">
        <v>1323</v>
      </c>
      <c r="P279" s="315">
        <v>42103.0</v>
      </c>
      <c r="Q279" s="312">
        <v>38867.0</v>
      </c>
      <c r="R279" s="312">
        <v>385.0</v>
      </c>
      <c r="S279" s="316"/>
      <c r="T279" s="317">
        <v>389.87</v>
      </c>
      <c r="U279" s="312" t="s">
        <v>1366</v>
      </c>
      <c r="V279" s="312" t="s">
        <v>1399</v>
      </c>
      <c r="W279" s="50"/>
      <c r="X279" s="50"/>
      <c r="Y279" s="50"/>
      <c r="Z279" s="312"/>
      <c r="AA279" s="50"/>
      <c r="AB279" s="50"/>
      <c r="AC279" s="50"/>
      <c r="AD279" s="50"/>
      <c r="AE279" s="50"/>
    </row>
    <row r="280">
      <c r="A280" s="307">
        <v>42231.169444444444</v>
      </c>
      <c r="B280" s="312" t="s">
        <v>760</v>
      </c>
      <c r="C280" s="303" t="s">
        <v>1177</v>
      </c>
      <c r="D280" s="303" t="s">
        <v>1178</v>
      </c>
      <c r="E280" s="315">
        <v>41592.0</v>
      </c>
      <c r="F280" s="312" t="s">
        <v>30</v>
      </c>
      <c r="G280" s="303" t="s">
        <v>1179</v>
      </c>
      <c r="H280" s="303" t="s">
        <v>1181</v>
      </c>
      <c r="I280" s="303" t="s">
        <v>1186</v>
      </c>
      <c r="J280" s="306">
        <v>0.9</v>
      </c>
      <c r="K280" s="312">
        <v>399.0</v>
      </c>
      <c r="L280" s="312"/>
      <c r="M280" s="312">
        <v>238.0</v>
      </c>
      <c r="N280" s="312">
        <v>12000.0</v>
      </c>
      <c r="O280" s="303" t="s">
        <v>1323</v>
      </c>
      <c r="P280" s="315">
        <v>42231.0</v>
      </c>
      <c r="Q280" s="312">
        <v>52619.0</v>
      </c>
      <c r="R280" s="312">
        <v>381.0</v>
      </c>
      <c r="S280" s="316"/>
      <c r="T280" s="317">
        <v>385.82</v>
      </c>
      <c r="U280" s="312" t="s">
        <v>1366</v>
      </c>
      <c r="V280" s="312" t="s">
        <v>1399</v>
      </c>
      <c r="W280" s="50"/>
      <c r="X280" s="50"/>
      <c r="Y280" s="50"/>
      <c r="Z280" s="312"/>
      <c r="AA280" s="312" t="s">
        <v>1448</v>
      </c>
      <c r="AB280" s="50"/>
      <c r="AC280" s="50"/>
      <c r="AD280" s="50"/>
      <c r="AE280" s="50"/>
    </row>
    <row r="281">
      <c r="A281" s="307">
        <v>42300.20694444444</v>
      </c>
      <c r="B281" s="312" t="s">
        <v>760</v>
      </c>
      <c r="C281" s="303" t="s">
        <v>1177</v>
      </c>
      <c r="D281" s="303" t="s">
        <v>1178</v>
      </c>
      <c r="E281" s="315">
        <v>41592.0</v>
      </c>
      <c r="F281" s="312" t="s">
        <v>30</v>
      </c>
      <c r="G281" s="303" t="s">
        <v>1180</v>
      </c>
      <c r="H281" s="303" t="s">
        <v>1181</v>
      </c>
      <c r="I281" s="303" t="s">
        <v>1186</v>
      </c>
      <c r="J281" s="306">
        <v>0.9</v>
      </c>
      <c r="K281" s="312">
        <v>393.0</v>
      </c>
      <c r="L281" s="312"/>
      <c r="M281" s="312">
        <v>236.0</v>
      </c>
      <c r="N281" s="312">
        <v>12000.0</v>
      </c>
      <c r="O281" s="303" t="s">
        <v>1323</v>
      </c>
      <c r="P281" s="315">
        <v>42300.0</v>
      </c>
      <c r="Q281" s="312">
        <v>59060.0</v>
      </c>
      <c r="R281" s="312">
        <v>380.0</v>
      </c>
      <c r="S281" s="316"/>
      <c r="T281" s="317">
        <v>384.81</v>
      </c>
      <c r="U281" s="312" t="s">
        <v>1366</v>
      </c>
      <c r="V281" s="312" t="s">
        <v>1399</v>
      </c>
      <c r="W281" s="312"/>
      <c r="X281" s="312"/>
      <c r="Y281" s="312"/>
      <c r="Z281" s="312"/>
      <c r="AA281" s="312"/>
      <c r="AB281" s="50"/>
      <c r="AC281" s="50"/>
      <c r="AD281" s="50"/>
      <c r="AE281" s="50"/>
    </row>
    <row r="282">
      <c r="A282" s="307">
        <v>42538.35277777778</v>
      </c>
      <c r="B282" s="312" t="s">
        <v>760</v>
      </c>
      <c r="C282" s="303" t="s">
        <v>1177</v>
      </c>
      <c r="D282" s="303" t="s">
        <v>1178</v>
      </c>
      <c r="E282" s="315">
        <v>41591.0</v>
      </c>
      <c r="F282" s="312" t="s">
        <v>30</v>
      </c>
      <c r="G282" s="312"/>
      <c r="H282" s="312"/>
      <c r="I282" s="312"/>
      <c r="J282" s="306"/>
      <c r="K282" s="50"/>
      <c r="L282" s="312"/>
      <c r="M282" s="312">
        <v>235.0</v>
      </c>
      <c r="N282" s="312">
        <v>12000.0</v>
      </c>
      <c r="O282" s="303" t="s">
        <v>1323</v>
      </c>
      <c r="P282" s="315">
        <v>42538.0</v>
      </c>
      <c r="Q282" s="312">
        <v>78956.0</v>
      </c>
      <c r="R282" s="312">
        <v>382.0</v>
      </c>
      <c r="S282" s="316"/>
      <c r="T282" s="317">
        <v>386.84</v>
      </c>
      <c r="U282" s="312" t="s">
        <v>1366</v>
      </c>
      <c r="V282" s="312" t="s">
        <v>1399</v>
      </c>
      <c r="W282" s="50"/>
      <c r="X282" s="50"/>
      <c r="Y282" s="50"/>
      <c r="Z282" s="312"/>
      <c r="AA282" s="312"/>
      <c r="AB282" s="50"/>
      <c r="AC282" s="50"/>
      <c r="AD282" s="50"/>
      <c r="AE282" s="50"/>
    </row>
    <row r="283">
      <c r="A283" s="307">
        <v>42612.38680555556</v>
      </c>
      <c r="B283" s="312" t="s">
        <v>760</v>
      </c>
      <c r="C283" s="303" t="s">
        <v>1177</v>
      </c>
      <c r="D283" s="303" t="s">
        <v>1178</v>
      </c>
      <c r="E283" s="315">
        <v>41591.0</v>
      </c>
      <c r="F283" s="312" t="s">
        <v>30</v>
      </c>
      <c r="G283" s="303" t="s">
        <v>1179</v>
      </c>
      <c r="H283" s="303" t="s">
        <v>1181</v>
      </c>
      <c r="I283" s="303" t="s">
        <v>1181</v>
      </c>
      <c r="J283" s="306">
        <v>0.9</v>
      </c>
      <c r="K283" s="50"/>
      <c r="L283" s="312"/>
      <c r="M283" s="312">
        <v>235.0</v>
      </c>
      <c r="N283" s="312">
        <v>12000.0</v>
      </c>
      <c r="O283" s="303" t="s">
        <v>1323</v>
      </c>
      <c r="P283" s="315">
        <v>42612.0</v>
      </c>
      <c r="Q283" s="312">
        <v>86532.0</v>
      </c>
      <c r="R283" s="312">
        <v>383.0</v>
      </c>
      <c r="S283" s="316"/>
      <c r="T283" s="317">
        <v>387.85</v>
      </c>
      <c r="U283" s="312" t="s">
        <v>1366</v>
      </c>
      <c r="V283" s="312" t="s">
        <v>1399</v>
      </c>
      <c r="W283" s="50"/>
      <c r="X283" s="50"/>
      <c r="Y283" s="50"/>
      <c r="Z283" s="312"/>
      <c r="AA283" s="50"/>
      <c r="AB283" s="50"/>
      <c r="AC283" s="50"/>
      <c r="AD283" s="50"/>
      <c r="AE283" s="50"/>
    </row>
    <row r="284">
      <c r="A284" s="307">
        <v>42681.43402777778</v>
      </c>
      <c r="B284" s="312" t="s">
        <v>760</v>
      </c>
      <c r="C284" s="303" t="s">
        <v>1177</v>
      </c>
      <c r="D284" s="303" t="s">
        <v>1178</v>
      </c>
      <c r="E284" s="315">
        <v>41591.0</v>
      </c>
      <c r="F284" s="312" t="s">
        <v>30</v>
      </c>
      <c r="G284" s="303" t="s">
        <v>1180</v>
      </c>
      <c r="H284" s="303" t="s">
        <v>1181</v>
      </c>
      <c r="I284" s="303" t="s">
        <v>1186</v>
      </c>
      <c r="J284" s="306">
        <v>0.9</v>
      </c>
      <c r="K284" s="50"/>
      <c r="L284" s="312"/>
      <c r="M284" s="312">
        <v>234.0</v>
      </c>
      <c r="N284" s="312">
        <v>12000.0</v>
      </c>
      <c r="O284" s="303" t="s">
        <v>1323</v>
      </c>
      <c r="P284" s="315">
        <v>42681.0</v>
      </c>
      <c r="Q284" s="312">
        <v>91921.0</v>
      </c>
      <c r="R284" s="312">
        <v>379.0</v>
      </c>
      <c r="S284" s="316"/>
      <c r="T284" s="317">
        <v>383.8</v>
      </c>
      <c r="U284" s="312" t="s">
        <v>1366</v>
      </c>
      <c r="V284" s="312" t="s">
        <v>1399</v>
      </c>
      <c r="W284" s="50"/>
      <c r="X284" s="50"/>
      <c r="Y284" s="50"/>
      <c r="Z284" s="312"/>
      <c r="AA284" s="50"/>
      <c r="AB284" s="50"/>
      <c r="AC284" s="50"/>
      <c r="AD284" s="50"/>
      <c r="AE284" s="50"/>
    </row>
    <row r="285">
      <c r="A285" s="307">
        <v>42843.524305555555</v>
      </c>
      <c r="B285" s="312" t="s">
        <v>760</v>
      </c>
      <c r="C285" s="303" t="s">
        <v>1177</v>
      </c>
      <c r="D285" s="303" t="s">
        <v>1178</v>
      </c>
      <c r="E285" s="315">
        <v>41591.0</v>
      </c>
      <c r="F285" s="312" t="s">
        <v>30</v>
      </c>
      <c r="G285" s="303" t="s">
        <v>1180</v>
      </c>
      <c r="H285" s="303" t="s">
        <v>1181</v>
      </c>
      <c r="I285" s="303" t="s">
        <v>1186</v>
      </c>
      <c r="J285" s="306">
        <v>0.9</v>
      </c>
      <c r="K285" s="312">
        <v>400.0</v>
      </c>
      <c r="L285" s="312"/>
      <c r="M285" s="312">
        <v>234.0</v>
      </c>
      <c r="N285" s="312">
        <v>12000.0</v>
      </c>
      <c r="O285" s="303" t="s">
        <v>1323</v>
      </c>
      <c r="P285" s="315">
        <v>42843.0</v>
      </c>
      <c r="Q285" s="312">
        <v>106530.0</v>
      </c>
      <c r="R285" s="312">
        <v>371.0</v>
      </c>
      <c r="S285" s="316"/>
      <c r="T285" s="317">
        <v>375.7</v>
      </c>
      <c r="U285" s="312" t="s">
        <v>1366</v>
      </c>
      <c r="V285" s="312" t="s">
        <v>1399</v>
      </c>
      <c r="W285" s="50"/>
      <c r="X285" s="50"/>
      <c r="Y285" s="50"/>
      <c r="Z285" s="312"/>
      <c r="AA285" s="312"/>
      <c r="AB285" s="50"/>
      <c r="AC285" s="50"/>
      <c r="AD285" s="50"/>
      <c r="AE285" s="50"/>
    </row>
    <row r="286">
      <c r="A286" s="307">
        <v>42843.68194444444</v>
      </c>
      <c r="B286" s="312" t="s">
        <v>872</v>
      </c>
      <c r="C286" s="303" t="s">
        <v>1177</v>
      </c>
      <c r="D286" s="303" t="s">
        <v>1178</v>
      </c>
      <c r="E286" s="315">
        <v>42843.0</v>
      </c>
      <c r="F286" s="312" t="s">
        <v>55</v>
      </c>
      <c r="G286" s="303" t="s">
        <v>1190</v>
      </c>
      <c r="H286" s="303" t="s">
        <v>1181</v>
      </c>
      <c r="I286" s="303" t="s">
        <v>1179</v>
      </c>
      <c r="J286" s="306">
        <v>0.8</v>
      </c>
      <c r="K286" s="312">
        <v>334.0</v>
      </c>
      <c r="L286" s="312"/>
      <c r="M286" s="312">
        <v>260.0</v>
      </c>
      <c r="N286" s="312"/>
      <c r="O286" s="312"/>
      <c r="P286" s="315">
        <v>42843.0</v>
      </c>
      <c r="Q286" s="312">
        <v>120.0</v>
      </c>
      <c r="R286" s="312">
        <v>336.0</v>
      </c>
      <c r="S286" s="316"/>
      <c r="T286" s="317">
        <v>336.0</v>
      </c>
      <c r="U286" s="312" t="s">
        <v>1369</v>
      </c>
      <c r="V286" s="312" t="s">
        <v>1367</v>
      </c>
      <c r="W286" s="50"/>
      <c r="X286" s="50"/>
      <c r="Y286" s="50"/>
      <c r="Z286" s="312"/>
      <c r="AA286" s="50"/>
      <c r="AB286" s="50"/>
      <c r="AC286" s="50"/>
      <c r="AD286" s="50"/>
      <c r="AE286" s="50"/>
    </row>
    <row r="287">
      <c r="A287" s="307">
        <v>42904.68263888889</v>
      </c>
      <c r="B287" s="312" t="s">
        <v>872</v>
      </c>
      <c r="C287" s="303" t="s">
        <v>1177</v>
      </c>
      <c r="D287" s="303" t="s">
        <v>1178</v>
      </c>
      <c r="E287" s="315">
        <v>42843.0</v>
      </c>
      <c r="F287" s="312" t="s">
        <v>55</v>
      </c>
      <c r="G287" s="312"/>
      <c r="H287" s="312"/>
      <c r="I287" s="312"/>
      <c r="J287" s="306"/>
      <c r="K287" s="50"/>
      <c r="L287" s="312"/>
      <c r="M287" s="312">
        <v>235.0</v>
      </c>
      <c r="N287" s="312"/>
      <c r="O287" s="312"/>
      <c r="P287" s="315">
        <v>42904.0</v>
      </c>
      <c r="Q287" s="312">
        <v>7000.0</v>
      </c>
      <c r="R287" s="312">
        <v>334.0</v>
      </c>
      <c r="S287" s="316"/>
      <c r="T287" s="317">
        <v>334.0</v>
      </c>
      <c r="U287" s="312" t="s">
        <v>1369</v>
      </c>
      <c r="V287" s="312" t="s">
        <v>1367</v>
      </c>
      <c r="W287" s="50"/>
      <c r="X287" s="50"/>
      <c r="Y287" s="50"/>
      <c r="Z287" s="312"/>
      <c r="AA287" s="50"/>
      <c r="AB287" s="50"/>
      <c r="AC287" s="50"/>
      <c r="AD287" s="50"/>
      <c r="AE287" s="50"/>
    </row>
    <row r="288">
      <c r="A288" s="307">
        <v>43081.683333333334</v>
      </c>
      <c r="B288" s="312" t="s">
        <v>872</v>
      </c>
      <c r="C288" s="303" t="s">
        <v>1177</v>
      </c>
      <c r="D288" s="303" t="s">
        <v>1178</v>
      </c>
      <c r="E288" s="315">
        <v>42843.0</v>
      </c>
      <c r="F288" s="312" t="s">
        <v>55</v>
      </c>
      <c r="G288" s="312"/>
      <c r="H288" s="312"/>
      <c r="I288" s="312"/>
      <c r="J288" s="306"/>
      <c r="K288" s="50"/>
      <c r="L288" s="312"/>
      <c r="M288" s="312">
        <v>235.0</v>
      </c>
      <c r="N288" s="312"/>
      <c r="O288" s="312"/>
      <c r="P288" s="315">
        <v>43081.0</v>
      </c>
      <c r="Q288" s="312">
        <v>29500.0</v>
      </c>
      <c r="R288" s="312">
        <v>322.0</v>
      </c>
      <c r="S288" s="316"/>
      <c r="T288" s="317">
        <v>322.0</v>
      </c>
      <c r="U288" s="312" t="s">
        <v>1369</v>
      </c>
      <c r="V288" s="312" t="s">
        <v>1367</v>
      </c>
      <c r="W288" s="50"/>
      <c r="X288" s="50"/>
      <c r="Y288" s="50"/>
      <c r="Z288" s="312"/>
      <c r="AA288" s="50"/>
      <c r="AB288" s="50"/>
      <c r="AC288" s="50"/>
      <c r="AD288" s="50"/>
      <c r="AE288" s="50"/>
    </row>
    <row r="289">
      <c r="A289" s="307">
        <v>43114.68402777778</v>
      </c>
      <c r="B289" s="312" t="s">
        <v>872</v>
      </c>
      <c r="C289" s="303" t="s">
        <v>1177</v>
      </c>
      <c r="D289" s="303" t="s">
        <v>1178</v>
      </c>
      <c r="E289" s="315">
        <v>42843.0</v>
      </c>
      <c r="F289" s="312" t="s">
        <v>55</v>
      </c>
      <c r="G289" s="312"/>
      <c r="H289" s="312"/>
      <c r="I289" s="312"/>
      <c r="J289" s="306"/>
      <c r="K289" s="50"/>
      <c r="L289" s="312"/>
      <c r="M289" s="312">
        <v>238.0</v>
      </c>
      <c r="N289" s="312"/>
      <c r="O289" s="312"/>
      <c r="P289" s="315">
        <v>43114.0</v>
      </c>
      <c r="Q289" s="312">
        <v>33400.0</v>
      </c>
      <c r="R289" s="312">
        <v>324.0</v>
      </c>
      <c r="S289" s="316"/>
      <c r="T289" s="317">
        <v>324.0</v>
      </c>
      <c r="U289" s="312" t="s">
        <v>1369</v>
      </c>
      <c r="V289" s="312" t="s">
        <v>1367</v>
      </c>
      <c r="W289" s="50"/>
      <c r="X289" s="50"/>
      <c r="Y289" s="50"/>
      <c r="Z289" s="312"/>
      <c r="AA289" s="50"/>
      <c r="AB289" s="50"/>
      <c r="AC289" s="50"/>
      <c r="AD289" s="50"/>
      <c r="AE289" s="50"/>
    </row>
    <row r="290">
      <c r="A290" s="307">
        <v>42142.12013888889</v>
      </c>
      <c r="B290" s="312" t="s">
        <v>1449</v>
      </c>
      <c r="C290" s="303" t="s">
        <v>1177</v>
      </c>
      <c r="D290" s="303" t="s">
        <v>1178</v>
      </c>
      <c r="E290" s="315">
        <v>41999.0</v>
      </c>
      <c r="F290" s="312" t="s">
        <v>32</v>
      </c>
      <c r="G290" s="303" t="s">
        <v>1203</v>
      </c>
      <c r="H290" s="303" t="s">
        <v>1181</v>
      </c>
      <c r="I290" s="303" t="s">
        <v>1179</v>
      </c>
      <c r="J290" s="306">
        <v>0.7</v>
      </c>
      <c r="K290" s="50"/>
      <c r="L290" s="312"/>
      <c r="M290" s="312">
        <v>242.0</v>
      </c>
      <c r="N290" s="50"/>
      <c r="O290" s="312"/>
      <c r="P290" s="315">
        <v>42142.0</v>
      </c>
      <c r="Q290" s="312">
        <v>18450.0</v>
      </c>
      <c r="R290" s="312">
        <v>394.0</v>
      </c>
      <c r="S290" s="316"/>
      <c r="T290" s="317">
        <v>394.0</v>
      </c>
      <c r="U290" s="312" t="s">
        <v>1369</v>
      </c>
      <c r="V290" s="312" t="s">
        <v>1367</v>
      </c>
      <c r="W290" s="50"/>
      <c r="X290" s="50"/>
      <c r="Y290" s="50"/>
      <c r="Z290" s="312"/>
      <c r="AA290" s="50"/>
      <c r="AB290" s="50"/>
      <c r="AC290" s="50"/>
      <c r="AD290" s="50"/>
      <c r="AE290" s="50"/>
    </row>
    <row r="291">
      <c r="A291" s="307">
        <v>41950.03472222222</v>
      </c>
      <c r="B291" s="50" t="s">
        <v>740</v>
      </c>
      <c r="C291" s="303" t="s">
        <v>1177</v>
      </c>
      <c r="D291" s="303" t="s">
        <v>1178</v>
      </c>
      <c r="E291" s="310">
        <v>41540.0</v>
      </c>
      <c r="F291" s="312" t="s">
        <v>32</v>
      </c>
      <c r="G291" s="303" t="s">
        <v>1179</v>
      </c>
      <c r="H291" s="303" t="s">
        <v>1181</v>
      </c>
      <c r="I291" s="303" t="s">
        <v>1187</v>
      </c>
      <c r="J291" s="306"/>
      <c r="K291" s="50"/>
      <c r="L291" s="50"/>
      <c r="M291" s="50">
        <v>220.0</v>
      </c>
      <c r="N291" s="50">
        <v>18000.0</v>
      </c>
      <c r="O291" s="303" t="s">
        <v>1323</v>
      </c>
      <c r="P291" s="310">
        <v>41950.0</v>
      </c>
      <c r="Q291" s="50">
        <v>52000.0</v>
      </c>
      <c r="R291" s="50">
        <v>381.0</v>
      </c>
      <c r="S291" s="318"/>
      <c r="T291" s="317">
        <v>384.85</v>
      </c>
      <c r="U291" s="312" t="s">
        <v>1407</v>
      </c>
      <c r="V291" s="312" t="s">
        <v>1399</v>
      </c>
      <c r="W291" s="50"/>
      <c r="X291" s="50"/>
      <c r="Y291" s="50"/>
      <c r="Z291" s="312"/>
      <c r="AA291" s="50" t="s">
        <v>1450</v>
      </c>
      <c r="AB291" s="50"/>
      <c r="AC291" s="50"/>
      <c r="AD291" s="50"/>
      <c r="AE291" s="50"/>
    </row>
    <row r="292">
      <c r="A292" s="307">
        <v>42021.05694444444</v>
      </c>
      <c r="B292" s="50" t="s">
        <v>740</v>
      </c>
      <c r="C292" s="303" t="s">
        <v>1177</v>
      </c>
      <c r="D292" s="303" t="s">
        <v>1178</v>
      </c>
      <c r="E292" s="310">
        <v>41540.0</v>
      </c>
      <c r="F292" s="312" t="s">
        <v>32</v>
      </c>
      <c r="G292" s="303" t="s">
        <v>1180</v>
      </c>
      <c r="H292" s="303" t="s">
        <v>1181</v>
      </c>
      <c r="I292" s="303" t="s">
        <v>1187</v>
      </c>
      <c r="J292" s="306"/>
      <c r="K292" s="50"/>
      <c r="L292" s="50"/>
      <c r="M292" s="50">
        <v>220.0</v>
      </c>
      <c r="N292" s="50">
        <v>18000.0</v>
      </c>
      <c r="O292" s="303" t="s">
        <v>1323</v>
      </c>
      <c r="P292" s="310">
        <v>42021.0</v>
      </c>
      <c r="Q292" s="50">
        <v>68000.0</v>
      </c>
      <c r="R292" s="50">
        <v>378.0</v>
      </c>
      <c r="S292" s="318"/>
      <c r="T292" s="317">
        <v>381.82</v>
      </c>
      <c r="U292" s="312" t="s">
        <v>1407</v>
      </c>
      <c r="V292" s="312" t="s">
        <v>1399</v>
      </c>
      <c r="W292" s="50"/>
      <c r="X292" s="50"/>
      <c r="Y292" s="50"/>
      <c r="Z292" s="312"/>
      <c r="AA292" s="50" t="s">
        <v>1450</v>
      </c>
      <c r="AB292" s="50"/>
      <c r="AC292" s="50"/>
      <c r="AD292" s="50"/>
      <c r="AE292" s="50"/>
    </row>
    <row r="293">
      <c r="A293" s="307">
        <v>42125.111805555556</v>
      </c>
      <c r="B293" s="312" t="s">
        <v>740</v>
      </c>
      <c r="C293" s="303" t="s">
        <v>1177</v>
      </c>
      <c r="D293" s="303" t="s">
        <v>1178</v>
      </c>
      <c r="E293" s="315">
        <v>41540.0</v>
      </c>
      <c r="F293" s="312" t="s">
        <v>32</v>
      </c>
      <c r="G293" s="303" t="s">
        <v>1180</v>
      </c>
      <c r="H293" s="303" t="s">
        <v>1181</v>
      </c>
      <c r="I293" s="303" t="s">
        <v>1186</v>
      </c>
      <c r="J293" s="306">
        <v>0.8</v>
      </c>
      <c r="K293" s="50"/>
      <c r="L293" s="312"/>
      <c r="M293" s="312">
        <v>224.0</v>
      </c>
      <c r="N293" s="312">
        <v>18000.0</v>
      </c>
      <c r="O293" s="303" t="s">
        <v>1323</v>
      </c>
      <c r="P293" s="315">
        <v>42125.0</v>
      </c>
      <c r="Q293" s="312">
        <v>80101.0</v>
      </c>
      <c r="R293" s="312">
        <v>378.0</v>
      </c>
      <c r="S293" s="316"/>
      <c r="T293" s="317">
        <v>382.78</v>
      </c>
      <c r="U293" s="312" t="s">
        <v>1366</v>
      </c>
      <c r="V293" s="312" t="s">
        <v>1399</v>
      </c>
      <c r="W293" s="50"/>
      <c r="X293" s="50"/>
      <c r="Y293" s="50"/>
      <c r="Z293" s="312"/>
      <c r="AA293" s="312" t="s">
        <v>1451</v>
      </c>
      <c r="AB293" s="50"/>
      <c r="AC293" s="50"/>
      <c r="AD293" s="50"/>
      <c r="AE293" s="50"/>
    </row>
    <row r="294">
      <c r="A294" s="307">
        <v>43192.71388888889</v>
      </c>
      <c r="B294" s="312" t="s">
        <v>1211</v>
      </c>
      <c r="C294" s="303" t="s">
        <v>1177</v>
      </c>
      <c r="D294" s="303" t="s">
        <v>1178</v>
      </c>
      <c r="E294" s="315">
        <v>43190.0</v>
      </c>
      <c r="F294" s="312" t="s">
        <v>49</v>
      </c>
      <c r="G294" s="303" t="s">
        <v>1203</v>
      </c>
      <c r="H294" s="303" t="s">
        <v>1181</v>
      </c>
      <c r="I294" s="303" t="s">
        <v>1181</v>
      </c>
      <c r="J294" s="306">
        <v>0.9</v>
      </c>
      <c r="K294" s="312">
        <v>488.0</v>
      </c>
      <c r="L294" s="312"/>
      <c r="M294" s="312">
        <v>320.0</v>
      </c>
      <c r="N294" s="312"/>
      <c r="O294" s="312"/>
      <c r="P294" s="315">
        <v>43192.0</v>
      </c>
      <c r="Q294" s="312">
        <v>180.0</v>
      </c>
      <c r="R294" s="312">
        <v>481.0</v>
      </c>
      <c r="S294" s="316"/>
      <c r="T294" s="317">
        <v>487.09</v>
      </c>
      <c r="U294" s="312" t="s">
        <v>1366</v>
      </c>
      <c r="V294" s="312" t="s">
        <v>1367</v>
      </c>
      <c r="W294" s="50"/>
      <c r="X294" s="50"/>
      <c r="Y294" s="50"/>
      <c r="Z294" s="312"/>
      <c r="AA294" s="312" t="s">
        <v>1452</v>
      </c>
      <c r="AB294" s="50"/>
      <c r="AC294" s="50"/>
      <c r="AD294" s="50"/>
      <c r="AE294" s="50"/>
    </row>
    <row r="295">
      <c r="A295" s="307">
        <v>43203.72152777778</v>
      </c>
      <c r="B295" s="312" t="s">
        <v>1211</v>
      </c>
      <c r="C295" s="303" t="s">
        <v>1177</v>
      </c>
      <c r="D295" s="303" t="s">
        <v>1178</v>
      </c>
      <c r="E295" s="315">
        <v>43090.0</v>
      </c>
      <c r="F295" s="312" t="s">
        <v>45</v>
      </c>
      <c r="G295" s="303" t="s">
        <v>1203</v>
      </c>
      <c r="H295" s="303" t="s">
        <v>1181</v>
      </c>
      <c r="I295" s="303" t="s">
        <v>1187</v>
      </c>
      <c r="J295" s="306">
        <v>0.8</v>
      </c>
      <c r="K295" s="312">
        <v>506.0</v>
      </c>
      <c r="L295" s="312"/>
      <c r="M295" s="312">
        <v>243.0</v>
      </c>
      <c r="N295" s="312"/>
      <c r="O295" s="312"/>
      <c r="P295" s="315">
        <v>43203.0</v>
      </c>
      <c r="Q295" s="312">
        <v>8560.0</v>
      </c>
      <c r="R295" s="312">
        <v>505.0</v>
      </c>
      <c r="S295" s="316"/>
      <c r="T295" s="317">
        <v>511.39</v>
      </c>
      <c r="U295" s="312" t="s">
        <v>1366</v>
      </c>
      <c r="V295" s="312" t="s">
        <v>1367</v>
      </c>
      <c r="W295" s="50"/>
      <c r="X295" s="50"/>
      <c r="Y295" s="50"/>
      <c r="Z295" s="312"/>
      <c r="AA295" s="50"/>
      <c r="AB295" s="50"/>
      <c r="AC295" s="50"/>
      <c r="AD295" s="50"/>
      <c r="AE295" s="50"/>
    </row>
    <row r="296">
      <c r="A296" s="307">
        <v>42216.15277777778</v>
      </c>
      <c r="B296" s="50" t="s">
        <v>940</v>
      </c>
      <c r="C296" s="303" t="s">
        <v>1177</v>
      </c>
      <c r="D296" s="303" t="s">
        <v>1178</v>
      </c>
      <c r="E296" s="315">
        <v>41950.0</v>
      </c>
      <c r="F296" s="50" t="s">
        <v>30</v>
      </c>
      <c r="G296" s="312"/>
      <c r="H296" s="312"/>
      <c r="I296" s="312"/>
      <c r="J296" s="306"/>
      <c r="K296" s="50"/>
      <c r="L296" s="312"/>
      <c r="M296" s="312">
        <v>197.0</v>
      </c>
      <c r="N296" s="312"/>
      <c r="O296" s="312"/>
      <c r="P296" s="310">
        <v>42216.0</v>
      </c>
      <c r="Q296" s="50">
        <v>13200.0</v>
      </c>
      <c r="R296" s="312">
        <v>384.0</v>
      </c>
      <c r="S296" s="316"/>
      <c r="T296" s="317">
        <v>388.86</v>
      </c>
      <c r="U296" s="312" t="s">
        <v>1366</v>
      </c>
      <c r="V296" s="312" t="s">
        <v>1367</v>
      </c>
      <c r="W296" s="50"/>
      <c r="X296" s="50"/>
      <c r="Y296" s="50"/>
      <c r="Z296" s="312"/>
      <c r="AA296" s="50"/>
      <c r="AB296" s="50"/>
      <c r="AC296" s="50"/>
      <c r="AD296" s="50"/>
      <c r="AE296" s="50"/>
    </row>
    <row r="297">
      <c r="A297" s="307">
        <v>42599.38402777778</v>
      </c>
      <c r="B297" s="312" t="s">
        <v>940</v>
      </c>
      <c r="C297" s="303" t="s">
        <v>1177</v>
      </c>
      <c r="D297" s="303" t="s">
        <v>1178</v>
      </c>
      <c r="E297" s="315">
        <v>41950.0</v>
      </c>
      <c r="F297" s="312" t="s">
        <v>30</v>
      </c>
      <c r="G297" s="303" t="s">
        <v>1181</v>
      </c>
      <c r="H297" s="303" t="s">
        <v>1186</v>
      </c>
      <c r="I297" s="303" t="s">
        <v>1187</v>
      </c>
      <c r="J297" s="306">
        <v>0.7</v>
      </c>
      <c r="K297" s="312">
        <v>384.0</v>
      </c>
      <c r="L297" s="312"/>
      <c r="M297" s="312">
        <v>193.0</v>
      </c>
      <c r="N297" s="312"/>
      <c r="O297" s="312"/>
      <c r="P297" s="315">
        <v>42599.0</v>
      </c>
      <c r="Q297" s="312">
        <v>40200.0</v>
      </c>
      <c r="R297" s="312">
        <v>389.0</v>
      </c>
      <c r="S297" s="316"/>
      <c r="T297" s="317">
        <v>389.0</v>
      </c>
      <c r="U297" s="312" t="s">
        <v>1369</v>
      </c>
      <c r="V297" s="312" t="s">
        <v>1367</v>
      </c>
      <c r="W297" s="50"/>
      <c r="X297" s="50"/>
      <c r="Y297" s="50"/>
      <c r="Z297" s="312"/>
      <c r="AA297" s="312" t="s">
        <v>1373</v>
      </c>
      <c r="AB297" s="50"/>
      <c r="AC297" s="50"/>
      <c r="AD297" s="50"/>
      <c r="AE297" s="50"/>
    </row>
    <row r="298">
      <c r="A298" s="307">
        <v>42347.77638888889</v>
      </c>
      <c r="B298" s="312" t="s">
        <v>1103</v>
      </c>
      <c r="C298" s="312" t="s">
        <v>1184</v>
      </c>
      <c r="D298" s="303" t="s">
        <v>1185</v>
      </c>
      <c r="E298" s="315">
        <v>41239.0</v>
      </c>
      <c r="F298" s="312" t="s">
        <v>30</v>
      </c>
      <c r="G298" s="303" t="s">
        <v>1181</v>
      </c>
      <c r="H298" s="303" t="s">
        <v>1179</v>
      </c>
      <c r="I298" s="303" t="s">
        <v>1186</v>
      </c>
      <c r="J298" s="306">
        <v>0.9</v>
      </c>
      <c r="K298" s="312">
        <v>272.0</v>
      </c>
      <c r="L298" s="312"/>
      <c r="M298" s="312">
        <v>305.0</v>
      </c>
      <c r="N298" s="312"/>
      <c r="O298" s="312"/>
      <c r="P298" s="315">
        <v>42347.0</v>
      </c>
      <c r="Q298" s="312">
        <v>61600.0</v>
      </c>
      <c r="R298" s="312">
        <v>251.0</v>
      </c>
      <c r="S298" s="316"/>
      <c r="T298" s="317">
        <v>251.0</v>
      </c>
      <c r="U298" s="312" t="s">
        <v>1369</v>
      </c>
      <c r="V298" s="312" t="s">
        <v>1367</v>
      </c>
      <c r="W298" s="50"/>
      <c r="X298" s="50"/>
      <c r="Y298" s="50"/>
      <c r="Z298" s="312"/>
      <c r="AA298" s="50"/>
      <c r="AB298" s="50"/>
      <c r="AC298" s="50"/>
      <c r="AD298" s="50"/>
      <c r="AE298" s="50"/>
    </row>
    <row r="299">
      <c r="A299" s="307">
        <v>42812.58819444444</v>
      </c>
      <c r="B299" s="312" t="s">
        <v>812</v>
      </c>
      <c r="C299" s="303" t="s">
        <v>1177</v>
      </c>
      <c r="D299" s="303" t="s">
        <v>1178</v>
      </c>
      <c r="E299" s="315">
        <v>41724.0</v>
      </c>
      <c r="F299" s="312" t="s">
        <v>32</v>
      </c>
      <c r="G299" s="303" t="s">
        <v>1190</v>
      </c>
      <c r="H299" s="303" t="s">
        <v>1181</v>
      </c>
      <c r="I299" s="303" t="s">
        <v>1181</v>
      </c>
      <c r="J299" s="306"/>
      <c r="K299" s="50"/>
      <c r="L299" s="312"/>
      <c r="M299" s="312">
        <v>218.0</v>
      </c>
      <c r="N299" s="312"/>
      <c r="O299" s="312"/>
      <c r="P299" s="315">
        <v>42812.0</v>
      </c>
      <c r="Q299" s="312">
        <v>52159.0</v>
      </c>
      <c r="R299" s="312">
        <v>381.0</v>
      </c>
      <c r="S299" s="316"/>
      <c r="T299" s="317">
        <v>385.82</v>
      </c>
      <c r="U299" s="312" t="s">
        <v>1366</v>
      </c>
      <c r="V299" s="312" t="s">
        <v>1367</v>
      </c>
      <c r="W299" s="50"/>
      <c r="X299" s="50"/>
      <c r="Y299" s="50"/>
      <c r="Z299" s="312"/>
      <c r="AA299" s="50"/>
      <c r="AB299" s="50"/>
      <c r="AC299" s="50"/>
      <c r="AD299" s="50"/>
      <c r="AE299" s="50"/>
    </row>
    <row r="300">
      <c r="A300" s="307">
        <v>42847.58888888889</v>
      </c>
      <c r="B300" s="312" t="s">
        <v>812</v>
      </c>
      <c r="C300" s="303" t="s">
        <v>1177</v>
      </c>
      <c r="D300" s="303" t="s">
        <v>1178</v>
      </c>
      <c r="E300" s="315">
        <v>41724.0</v>
      </c>
      <c r="F300" s="312" t="s">
        <v>32</v>
      </c>
      <c r="G300" s="303" t="s">
        <v>1190</v>
      </c>
      <c r="H300" s="303" t="s">
        <v>1181</v>
      </c>
      <c r="I300" s="303" t="s">
        <v>1181</v>
      </c>
      <c r="J300" s="306"/>
      <c r="K300" s="50"/>
      <c r="L300" s="312"/>
      <c r="M300" s="312">
        <v>218.0</v>
      </c>
      <c r="N300" s="312"/>
      <c r="O300" s="312"/>
      <c r="P300" s="315">
        <v>42847.0</v>
      </c>
      <c r="Q300" s="312">
        <v>55071.0</v>
      </c>
      <c r="R300" s="312">
        <v>381.0</v>
      </c>
      <c r="S300" s="316"/>
      <c r="T300" s="317">
        <v>385.82</v>
      </c>
      <c r="U300" s="312" t="s">
        <v>1366</v>
      </c>
      <c r="V300" s="312" t="s">
        <v>1367</v>
      </c>
      <c r="W300" s="50"/>
      <c r="X300" s="50"/>
      <c r="Y300" s="50"/>
      <c r="Z300" s="312"/>
      <c r="AA300" s="50"/>
      <c r="AB300" s="50"/>
      <c r="AC300" s="50"/>
      <c r="AD300" s="50"/>
      <c r="AE300" s="50"/>
    </row>
    <row r="301">
      <c r="A301" s="307">
        <v>42848.589583333334</v>
      </c>
      <c r="B301" s="312" t="s">
        <v>812</v>
      </c>
      <c r="C301" s="303" t="s">
        <v>1177</v>
      </c>
      <c r="D301" s="303" t="s">
        <v>1178</v>
      </c>
      <c r="E301" s="315">
        <v>41724.0</v>
      </c>
      <c r="F301" s="312" t="s">
        <v>32</v>
      </c>
      <c r="G301" s="303" t="s">
        <v>1190</v>
      </c>
      <c r="H301" s="303" t="s">
        <v>1181</v>
      </c>
      <c r="I301" s="303" t="s">
        <v>1181</v>
      </c>
      <c r="J301" s="306"/>
      <c r="K301" s="50"/>
      <c r="L301" s="312"/>
      <c r="M301" s="312">
        <v>218.0</v>
      </c>
      <c r="N301" s="312"/>
      <c r="O301" s="312"/>
      <c r="P301" s="315">
        <v>42848.0</v>
      </c>
      <c r="Q301" s="312">
        <v>55300.0</v>
      </c>
      <c r="R301" s="312">
        <v>381.0</v>
      </c>
      <c r="S301" s="316"/>
      <c r="T301" s="317">
        <v>385.82</v>
      </c>
      <c r="U301" s="312" t="s">
        <v>1366</v>
      </c>
      <c r="V301" s="312" t="s">
        <v>1367</v>
      </c>
      <c r="W301" s="50"/>
      <c r="X301" s="50"/>
      <c r="Y301" s="50"/>
      <c r="Z301" s="312"/>
      <c r="AA301" s="50"/>
      <c r="AB301" s="50"/>
      <c r="AC301" s="50"/>
      <c r="AD301" s="50"/>
      <c r="AE301" s="50"/>
    </row>
    <row r="302">
      <c r="A302" s="307">
        <v>42975.59652777778</v>
      </c>
      <c r="B302" s="312" t="s">
        <v>812</v>
      </c>
      <c r="C302" s="303" t="s">
        <v>1177</v>
      </c>
      <c r="D302" s="303" t="s">
        <v>1178</v>
      </c>
      <c r="E302" s="315">
        <v>41724.0</v>
      </c>
      <c r="F302" s="312" t="s">
        <v>32</v>
      </c>
      <c r="G302" s="303" t="s">
        <v>1190</v>
      </c>
      <c r="H302" s="303" t="s">
        <v>1181</v>
      </c>
      <c r="I302" s="303" t="s">
        <v>1181</v>
      </c>
      <c r="J302" s="306"/>
      <c r="K302" s="50"/>
      <c r="L302" s="312"/>
      <c r="M302" s="312">
        <v>218.0</v>
      </c>
      <c r="N302" s="312"/>
      <c r="O302" s="312"/>
      <c r="P302" s="315">
        <v>42975.0</v>
      </c>
      <c r="Q302" s="312">
        <v>64584.0</v>
      </c>
      <c r="R302" s="312">
        <v>380.0</v>
      </c>
      <c r="S302" s="316"/>
      <c r="T302" s="317">
        <v>384.81</v>
      </c>
      <c r="U302" s="312" t="s">
        <v>1366</v>
      </c>
      <c r="V302" s="312" t="s">
        <v>1367</v>
      </c>
      <c r="W302" s="50"/>
      <c r="X302" s="50"/>
      <c r="Y302" s="50"/>
      <c r="Z302" s="312"/>
      <c r="AA302" s="50"/>
      <c r="AB302" s="50"/>
      <c r="AC302" s="50"/>
      <c r="AD302" s="50"/>
      <c r="AE302" s="50"/>
    </row>
    <row r="303">
      <c r="A303" s="307">
        <v>43105.66111111111</v>
      </c>
      <c r="B303" s="312" t="s">
        <v>812</v>
      </c>
      <c r="C303" s="303" t="s">
        <v>1177</v>
      </c>
      <c r="D303" s="303" t="s">
        <v>1178</v>
      </c>
      <c r="E303" s="310">
        <v>41724.0</v>
      </c>
      <c r="F303" s="50" t="s">
        <v>32</v>
      </c>
      <c r="G303" s="303" t="s">
        <v>1179</v>
      </c>
      <c r="H303" s="303" t="s">
        <v>1181</v>
      </c>
      <c r="I303" s="303" t="s">
        <v>1181</v>
      </c>
      <c r="J303" s="306">
        <v>0.9</v>
      </c>
      <c r="K303" s="50"/>
      <c r="L303" s="312"/>
      <c r="M303" s="312">
        <v>218.0</v>
      </c>
      <c r="N303" s="312"/>
      <c r="O303" s="312"/>
      <c r="P303" s="315">
        <v>43105.0</v>
      </c>
      <c r="Q303" s="312">
        <v>72849.0</v>
      </c>
      <c r="R303" s="312">
        <v>377.0</v>
      </c>
      <c r="S303" s="316"/>
      <c r="T303" s="317">
        <v>381.77</v>
      </c>
      <c r="U303" s="312" t="s">
        <v>1366</v>
      </c>
      <c r="V303" s="312" t="s">
        <v>1367</v>
      </c>
      <c r="W303" s="50"/>
      <c r="X303" s="50"/>
      <c r="Y303" s="50"/>
      <c r="Z303" s="312"/>
      <c r="AA303" s="50"/>
      <c r="AB303" s="50"/>
      <c r="AC303" s="50"/>
      <c r="AD303" s="50"/>
      <c r="AE303" s="50"/>
    </row>
    <row r="304">
      <c r="A304" s="307">
        <v>43156.70208333333</v>
      </c>
      <c r="B304" s="312" t="s">
        <v>812</v>
      </c>
      <c r="C304" s="303" t="s">
        <v>1177</v>
      </c>
      <c r="D304" s="303" t="s">
        <v>1178</v>
      </c>
      <c r="E304" s="315">
        <v>41724.0</v>
      </c>
      <c r="F304" s="312" t="s">
        <v>32</v>
      </c>
      <c r="G304" s="312"/>
      <c r="H304" s="312"/>
      <c r="I304" s="312"/>
      <c r="J304" s="306"/>
      <c r="K304" s="50"/>
      <c r="L304" s="312"/>
      <c r="M304" s="312">
        <v>218.0</v>
      </c>
      <c r="N304" s="312"/>
      <c r="O304" s="312"/>
      <c r="P304" s="315">
        <v>43156.0</v>
      </c>
      <c r="Q304" s="312">
        <v>75554.0</v>
      </c>
      <c r="R304" s="312">
        <v>375.0</v>
      </c>
      <c r="S304" s="316"/>
      <c r="T304" s="317">
        <v>379.75</v>
      </c>
      <c r="U304" s="312" t="s">
        <v>1366</v>
      </c>
      <c r="V304" s="312" t="s">
        <v>1367</v>
      </c>
      <c r="W304" s="50"/>
      <c r="X304" s="50"/>
      <c r="Y304" s="50"/>
      <c r="Z304" s="312"/>
      <c r="AA304" s="50"/>
      <c r="AB304" s="50"/>
      <c r="AC304" s="50"/>
      <c r="AD304" s="50"/>
      <c r="AE304" s="50"/>
    </row>
    <row r="305">
      <c r="A305" s="307">
        <v>42933.5875</v>
      </c>
      <c r="B305" s="312" t="s">
        <v>925</v>
      </c>
      <c r="C305" s="303" t="s">
        <v>1177</v>
      </c>
      <c r="D305" s="303" t="s">
        <v>1178</v>
      </c>
      <c r="E305" s="315">
        <v>41803.0</v>
      </c>
      <c r="F305" s="312" t="s">
        <v>34</v>
      </c>
      <c r="G305" s="303" t="s">
        <v>1190</v>
      </c>
      <c r="H305" s="303" t="s">
        <v>1181</v>
      </c>
      <c r="I305" s="303" t="s">
        <v>1181</v>
      </c>
      <c r="J305" s="306"/>
      <c r="K305" s="50"/>
      <c r="L305" s="312"/>
      <c r="M305" s="312">
        <v>218.0</v>
      </c>
      <c r="N305" s="312"/>
      <c r="O305" s="312"/>
      <c r="P305" s="315">
        <v>42933.0</v>
      </c>
      <c r="Q305" s="312">
        <v>54475.0</v>
      </c>
      <c r="R305" s="312">
        <v>378.0</v>
      </c>
      <c r="S305" s="316"/>
      <c r="T305" s="317">
        <v>382.78</v>
      </c>
      <c r="U305" s="312" t="s">
        <v>1366</v>
      </c>
      <c r="V305" s="312" t="s">
        <v>1367</v>
      </c>
      <c r="W305" s="50"/>
      <c r="X305" s="50"/>
      <c r="Y305" s="50"/>
      <c r="Z305" s="312"/>
      <c r="AA305" s="50"/>
      <c r="AB305" s="50"/>
      <c r="AC305" s="50"/>
      <c r="AD305" s="50"/>
      <c r="AE305" s="50"/>
    </row>
    <row r="306">
      <c r="A306" s="307">
        <v>42937.59027777778</v>
      </c>
      <c r="B306" s="312" t="s">
        <v>925</v>
      </c>
      <c r="C306" s="303" t="s">
        <v>1177</v>
      </c>
      <c r="D306" s="303" t="s">
        <v>1178</v>
      </c>
      <c r="E306" s="315">
        <v>41803.0</v>
      </c>
      <c r="F306" s="312" t="s">
        <v>34</v>
      </c>
      <c r="G306" s="303" t="s">
        <v>1190</v>
      </c>
      <c r="H306" s="303" t="s">
        <v>1181</v>
      </c>
      <c r="I306" s="303" t="s">
        <v>1181</v>
      </c>
      <c r="J306" s="306"/>
      <c r="K306" s="50"/>
      <c r="L306" s="312"/>
      <c r="M306" s="312">
        <v>218.0</v>
      </c>
      <c r="N306" s="312"/>
      <c r="O306" s="312"/>
      <c r="P306" s="315">
        <v>42937.0</v>
      </c>
      <c r="Q306" s="312">
        <v>54757.0</v>
      </c>
      <c r="R306" s="312">
        <v>377.0</v>
      </c>
      <c r="S306" s="316"/>
      <c r="T306" s="317">
        <v>381.77</v>
      </c>
      <c r="U306" s="312" t="s">
        <v>1366</v>
      </c>
      <c r="V306" s="312" t="s">
        <v>1367</v>
      </c>
      <c r="W306" s="50"/>
      <c r="X306" s="50"/>
      <c r="Y306" s="50"/>
      <c r="Z306" s="312"/>
      <c r="AA306" s="50"/>
      <c r="AB306" s="50"/>
      <c r="AC306" s="50"/>
      <c r="AD306" s="50"/>
      <c r="AE306" s="50"/>
    </row>
    <row r="307">
      <c r="A307" s="307">
        <v>42958.59097222222</v>
      </c>
      <c r="B307" s="312" t="s">
        <v>925</v>
      </c>
      <c r="C307" s="303" t="s">
        <v>1177</v>
      </c>
      <c r="D307" s="303" t="s">
        <v>1178</v>
      </c>
      <c r="E307" s="310">
        <v>41803.0</v>
      </c>
      <c r="F307" s="50" t="s">
        <v>34</v>
      </c>
      <c r="G307" s="303" t="s">
        <v>1190</v>
      </c>
      <c r="H307" s="303" t="s">
        <v>1181</v>
      </c>
      <c r="I307" s="303" t="s">
        <v>1181</v>
      </c>
      <c r="J307" s="306"/>
      <c r="K307" s="50"/>
      <c r="L307" s="312"/>
      <c r="M307" s="312">
        <v>218.0</v>
      </c>
      <c r="N307" s="312"/>
      <c r="O307" s="312"/>
      <c r="P307" s="315">
        <v>42958.0</v>
      </c>
      <c r="Q307" s="312">
        <v>57228.0</v>
      </c>
      <c r="R307" s="312">
        <v>379.0</v>
      </c>
      <c r="S307" s="316"/>
      <c r="T307" s="317">
        <v>383.8</v>
      </c>
      <c r="U307" s="312" t="s">
        <v>1366</v>
      </c>
      <c r="V307" s="312" t="s">
        <v>1367</v>
      </c>
      <c r="W307" s="50"/>
      <c r="X307" s="50"/>
      <c r="Y307" s="50"/>
      <c r="Z307" s="312"/>
      <c r="AA307" s="50"/>
      <c r="AB307" s="50"/>
      <c r="AC307" s="50"/>
      <c r="AD307" s="50"/>
      <c r="AE307" s="50"/>
    </row>
    <row r="308">
      <c r="A308" s="307">
        <v>42974.592361111114</v>
      </c>
      <c r="B308" s="312" t="s">
        <v>925</v>
      </c>
      <c r="C308" s="303" t="s">
        <v>1177</v>
      </c>
      <c r="D308" s="303" t="s">
        <v>1178</v>
      </c>
      <c r="E308" s="310">
        <v>41803.0</v>
      </c>
      <c r="F308" s="50" t="s">
        <v>34</v>
      </c>
      <c r="G308" s="303" t="s">
        <v>1190</v>
      </c>
      <c r="H308" s="303" t="s">
        <v>1181</v>
      </c>
      <c r="I308" s="303" t="s">
        <v>1181</v>
      </c>
      <c r="J308" s="306"/>
      <c r="K308" s="50"/>
      <c r="L308" s="312"/>
      <c r="M308" s="312">
        <v>218.0</v>
      </c>
      <c r="N308" s="312"/>
      <c r="O308" s="312"/>
      <c r="P308" s="315">
        <v>42974.0</v>
      </c>
      <c r="Q308" s="312">
        <v>58191.0</v>
      </c>
      <c r="R308" s="312">
        <v>380.0</v>
      </c>
      <c r="S308" s="316"/>
      <c r="T308" s="317">
        <v>384.81</v>
      </c>
      <c r="U308" s="312" t="s">
        <v>1366</v>
      </c>
      <c r="V308" s="312" t="s">
        <v>1367</v>
      </c>
      <c r="W308" s="50"/>
      <c r="X308" s="50"/>
      <c r="Y308" s="50"/>
      <c r="Z308" s="312"/>
      <c r="AA308" s="50"/>
      <c r="AB308" s="50"/>
      <c r="AC308" s="50"/>
      <c r="AD308" s="50"/>
      <c r="AE308" s="50"/>
    </row>
    <row r="309">
      <c r="A309" s="307">
        <v>42955.57013888889</v>
      </c>
      <c r="B309" s="312" t="s">
        <v>576</v>
      </c>
      <c r="C309" s="303" t="s">
        <v>1177</v>
      </c>
      <c r="D309" s="303" t="s">
        <v>1178</v>
      </c>
      <c r="E309" s="315">
        <v>41675.0</v>
      </c>
      <c r="F309" s="312" t="s">
        <v>30</v>
      </c>
      <c r="G309" s="303" t="s">
        <v>1179</v>
      </c>
      <c r="H309" s="303" t="s">
        <v>1180</v>
      </c>
      <c r="I309" s="303" t="s">
        <v>1187</v>
      </c>
      <c r="J309" s="306">
        <v>0.7</v>
      </c>
      <c r="K309" s="312"/>
      <c r="L309" s="312"/>
      <c r="M309" s="312">
        <v>233.0</v>
      </c>
      <c r="N309" s="312"/>
      <c r="O309" s="312"/>
      <c r="P309" s="315">
        <v>42955.0</v>
      </c>
      <c r="Q309" s="312">
        <v>74181.0</v>
      </c>
      <c r="R309" s="312">
        <v>380.0</v>
      </c>
      <c r="S309" s="316"/>
      <c r="T309" s="317">
        <v>384.81</v>
      </c>
      <c r="U309" s="312" t="s">
        <v>1366</v>
      </c>
      <c r="V309" s="312" t="s">
        <v>1367</v>
      </c>
      <c r="W309" s="50"/>
      <c r="X309" s="50"/>
      <c r="Y309" s="50"/>
      <c r="Z309" s="312"/>
      <c r="AA309" s="312"/>
      <c r="AB309" s="50"/>
      <c r="AC309" s="50"/>
      <c r="AD309" s="50"/>
      <c r="AE309" s="50"/>
    </row>
    <row r="310">
      <c r="A310" s="307">
        <v>43005.615277777775</v>
      </c>
      <c r="B310" s="312" t="s">
        <v>576</v>
      </c>
      <c r="C310" s="303" t="s">
        <v>1177</v>
      </c>
      <c r="D310" s="303" t="s">
        <v>1178</v>
      </c>
      <c r="E310" s="315">
        <v>41675.0</v>
      </c>
      <c r="F310" s="312" t="s">
        <v>30</v>
      </c>
      <c r="G310" s="303" t="s">
        <v>1179</v>
      </c>
      <c r="H310" s="303" t="s">
        <v>1179</v>
      </c>
      <c r="I310" s="303" t="s">
        <v>1187</v>
      </c>
      <c r="J310" s="306">
        <v>0.7</v>
      </c>
      <c r="K310" s="50"/>
      <c r="L310" s="312"/>
      <c r="M310" s="312">
        <v>223.0</v>
      </c>
      <c r="N310" s="312"/>
      <c r="O310" s="312"/>
      <c r="P310" s="315">
        <v>43005.0</v>
      </c>
      <c r="Q310" s="312">
        <v>80240.0</v>
      </c>
      <c r="R310" s="312">
        <v>381.0</v>
      </c>
      <c r="S310" s="316"/>
      <c r="T310" s="317">
        <v>385.82</v>
      </c>
      <c r="U310" s="312" t="s">
        <v>1366</v>
      </c>
      <c r="V310" s="312" t="s">
        <v>1367</v>
      </c>
      <c r="W310" s="50"/>
      <c r="X310" s="50"/>
      <c r="Y310" s="50"/>
      <c r="Z310" s="312"/>
      <c r="AA310" s="50"/>
      <c r="AB310" s="50"/>
      <c r="AC310" s="50"/>
      <c r="AD310" s="50"/>
      <c r="AE310" s="50"/>
    </row>
    <row r="311">
      <c r="A311" s="307">
        <v>43127.686111111114</v>
      </c>
      <c r="B311" s="312" t="s">
        <v>576</v>
      </c>
      <c r="C311" s="303" t="s">
        <v>1177</v>
      </c>
      <c r="D311" s="303" t="s">
        <v>1178</v>
      </c>
      <c r="E311" s="315">
        <v>41675.0</v>
      </c>
      <c r="F311" s="312" t="s">
        <v>30</v>
      </c>
      <c r="G311" s="303" t="s">
        <v>1180</v>
      </c>
      <c r="H311" s="303" t="s">
        <v>1181</v>
      </c>
      <c r="I311" s="303" t="s">
        <v>1187</v>
      </c>
      <c r="J311" s="306">
        <v>0.6</v>
      </c>
      <c r="K311" s="50"/>
      <c r="L311" s="312"/>
      <c r="M311" s="312">
        <v>224.0</v>
      </c>
      <c r="N311" s="312"/>
      <c r="O311" s="312"/>
      <c r="P311" s="315">
        <v>43127.0</v>
      </c>
      <c r="Q311" s="312">
        <v>90048.0</v>
      </c>
      <c r="R311" s="312">
        <v>379.0</v>
      </c>
      <c r="S311" s="316"/>
      <c r="T311" s="317">
        <v>383.8</v>
      </c>
      <c r="U311" s="312" t="s">
        <v>1366</v>
      </c>
      <c r="V311" s="312" t="s">
        <v>1367</v>
      </c>
      <c r="W311" s="50"/>
      <c r="X311" s="50"/>
      <c r="Y311" s="50"/>
      <c r="Z311" s="312"/>
      <c r="AA311" s="312" t="s">
        <v>1453</v>
      </c>
      <c r="AB311" s="50"/>
      <c r="AC311" s="50"/>
      <c r="AD311" s="50"/>
      <c r="AE311" s="50"/>
    </row>
    <row r="312">
      <c r="A312" s="307">
        <v>43201.71944444445</v>
      </c>
      <c r="B312" s="312" t="s">
        <v>576</v>
      </c>
      <c r="C312" s="303" t="s">
        <v>1177</v>
      </c>
      <c r="D312" s="303" t="s">
        <v>1178</v>
      </c>
      <c r="E312" s="315">
        <v>41675.0</v>
      </c>
      <c r="F312" s="312" t="s">
        <v>30</v>
      </c>
      <c r="G312" s="303" t="s">
        <v>1181</v>
      </c>
      <c r="H312" s="303" t="s">
        <v>1181</v>
      </c>
      <c r="I312" s="303" t="s">
        <v>1187</v>
      </c>
      <c r="J312" s="306">
        <v>0.6</v>
      </c>
      <c r="K312" s="50"/>
      <c r="L312" s="312"/>
      <c r="M312" s="312">
        <v>223.0</v>
      </c>
      <c r="N312" s="312"/>
      <c r="O312" s="312"/>
      <c r="P312" s="315">
        <v>43201.0</v>
      </c>
      <c r="Q312" s="312">
        <v>94980.0</v>
      </c>
      <c r="R312" s="312">
        <v>382.0</v>
      </c>
      <c r="S312" s="316"/>
      <c r="T312" s="317">
        <v>382.0</v>
      </c>
      <c r="U312" s="312" t="s">
        <v>1369</v>
      </c>
      <c r="V312" s="312" t="s">
        <v>1367</v>
      </c>
      <c r="W312" s="50"/>
      <c r="X312" s="50"/>
      <c r="Y312" s="50"/>
      <c r="Z312" s="312"/>
      <c r="AA312" s="50"/>
      <c r="AB312" s="50"/>
      <c r="AC312" s="50"/>
      <c r="AD312" s="50"/>
      <c r="AE312" s="50"/>
    </row>
    <row r="313">
      <c r="A313" s="307">
        <v>43089.65833333333</v>
      </c>
      <c r="B313" s="312" t="s">
        <v>1454</v>
      </c>
      <c r="C313" s="303" t="s">
        <v>1177</v>
      </c>
      <c r="D313" s="303" t="s">
        <v>1178</v>
      </c>
      <c r="E313" s="315">
        <v>42817.0</v>
      </c>
      <c r="F313" s="312" t="s">
        <v>25</v>
      </c>
      <c r="G313" s="303" t="s">
        <v>1181</v>
      </c>
      <c r="H313" s="303" t="s">
        <v>1181</v>
      </c>
      <c r="I313" s="303" t="s">
        <v>1187</v>
      </c>
      <c r="J313" s="306">
        <v>0.7</v>
      </c>
      <c r="K313" s="312">
        <v>380.0</v>
      </c>
      <c r="L313" s="312"/>
      <c r="M313" s="312">
        <v>168.0</v>
      </c>
      <c r="N313" s="312"/>
      <c r="O313" s="312"/>
      <c r="P313" s="315">
        <v>43089.0</v>
      </c>
      <c r="Q313" s="312">
        <v>18800.0</v>
      </c>
      <c r="R313" s="312">
        <v>372.0</v>
      </c>
      <c r="S313" s="316"/>
      <c r="T313" s="317">
        <v>372.0</v>
      </c>
      <c r="U313" s="312" t="s">
        <v>1369</v>
      </c>
      <c r="V313" s="312" t="s">
        <v>1367</v>
      </c>
      <c r="W313" s="312">
        <v>335.0</v>
      </c>
      <c r="X313" s="312">
        <v>50.0</v>
      </c>
      <c r="Y313" s="312">
        <v>57.0</v>
      </c>
      <c r="Z313" s="312" t="s">
        <v>1369</v>
      </c>
      <c r="AA313" s="50"/>
      <c r="AB313" s="50"/>
      <c r="AC313" s="50"/>
      <c r="AD313" s="50"/>
      <c r="AE313" s="50"/>
    </row>
    <row r="314">
      <c r="A314" s="307">
        <v>42229.89027777778</v>
      </c>
      <c r="B314" s="312" t="s">
        <v>955</v>
      </c>
      <c r="C314" s="312" t="s">
        <v>1292</v>
      </c>
      <c r="D314" s="303" t="s">
        <v>1185</v>
      </c>
      <c r="E314" s="315">
        <v>42184.0</v>
      </c>
      <c r="F314" s="312" t="s">
        <v>30</v>
      </c>
      <c r="G314" s="303" t="s">
        <v>1179</v>
      </c>
      <c r="H314" s="303" t="s">
        <v>1180</v>
      </c>
      <c r="I314" s="303" t="s">
        <v>1186</v>
      </c>
      <c r="J314" s="306">
        <v>0.8</v>
      </c>
      <c r="K314" s="312">
        <v>246.0</v>
      </c>
      <c r="L314" s="312"/>
      <c r="M314" s="312">
        <v>323.0</v>
      </c>
      <c r="N314" s="312"/>
      <c r="O314" s="312"/>
      <c r="P314" s="315">
        <v>42229.0</v>
      </c>
      <c r="Q314" s="312">
        <v>2800.0</v>
      </c>
      <c r="R314" s="312">
        <v>246.0</v>
      </c>
      <c r="S314" s="316"/>
      <c r="T314" s="317">
        <v>246.0</v>
      </c>
      <c r="U314" s="312" t="s">
        <v>1369</v>
      </c>
      <c r="V314" s="312" t="s">
        <v>1367</v>
      </c>
      <c r="W314" s="50"/>
      <c r="X314" s="50"/>
      <c r="Y314" s="50"/>
      <c r="Z314" s="312"/>
      <c r="AA314" s="312" t="s">
        <v>1455</v>
      </c>
      <c r="AB314" s="50"/>
      <c r="AC314" s="50"/>
      <c r="AD314" s="50"/>
      <c r="AE314" s="50"/>
    </row>
    <row r="315">
      <c r="A315" s="307">
        <v>42663.43194444444</v>
      </c>
      <c r="B315" s="312" t="s">
        <v>1048</v>
      </c>
      <c r="C315" s="303" t="s">
        <v>1177</v>
      </c>
      <c r="D315" s="303" t="s">
        <v>1178</v>
      </c>
      <c r="E315" s="315">
        <v>42002.0</v>
      </c>
      <c r="F315" s="312" t="s">
        <v>30</v>
      </c>
      <c r="G315" s="303" t="s">
        <v>1179</v>
      </c>
      <c r="H315" s="303" t="s">
        <v>1181</v>
      </c>
      <c r="I315" s="303" t="s">
        <v>1186</v>
      </c>
      <c r="J315" s="306">
        <v>0.9</v>
      </c>
      <c r="K315" s="50"/>
      <c r="L315" s="312"/>
      <c r="M315" s="312">
        <v>215.0</v>
      </c>
      <c r="N315" s="312"/>
      <c r="O315" s="312"/>
      <c r="P315" s="315">
        <v>42663.0</v>
      </c>
      <c r="Q315" s="312">
        <v>24950.0</v>
      </c>
      <c r="R315" s="312">
        <v>396.0</v>
      </c>
      <c r="S315" s="316"/>
      <c r="T315" s="317">
        <v>401.01</v>
      </c>
      <c r="U315" s="312" t="s">
        <v>1366</v>
      </c>
      <c r="V315" s="312" t="s">
        <v>1367</v>
      </c>
      <c r="W315" s="50"/>
      <c r="X315" s="50"/>
      <c r="Y315" s="50"/>
      <c r="Z315" s="312"/>
      <c r="AA315" s="50"/>
      <c r="AB315" s="50"/>
      <c r="AC315" s="50"/>
      <c r="AD315" s="50"/>
      <c r="AE315" s="50"/>
    </row>
    <row r="316">
      <c r="A316" s="307">
        <v>41906.01180555556</v>
      </c>
      <c r="B316" s="50" t="s">
        <v>904</v>
      </c>
      <c r="C316" s="303" t="s">
        <v>1177</v>
      </c>
      <c r="D316" s="303" t="s">
        <v>1178</v>
      </c>
      <c r="E316" s="310">
        <v>41618.0</v>
      </c>
      <c r="F316" s="50" t="s">
        <v>32</v>
      </c>
      <c r="G316" s="303" t="s">
        <v>1190</v>
      </c>
      <c r="H316" s="303" t="s">
        <v>1187</v>
      </c>
      <c r="I316" s="303" t="s">
        <v>1186</v>
      </c>
      <c r="J316" s="306"/>
      <c r="K316" s="50"/>
      <c r="L316" s="50"/>
      <c r="M316" s="312">
        <v>218.0</v>
      </c>
      <c r="N316" s="50"/>
      <c r="O316" s="312"/>
      <c r="P316" s="310">
        <v>41906.0</v>
      </c>
      <c r="Q316" s="50">
        <v>73353.0</v>
      </c>
      <c r="R316" s="50">
        <v>380.0</v>
      </c>
      <c r="S316" s="318"/>
      <c r="T316" s="317">
        <v>383.84</v>
      </c>
      <c r="U316" s="312" t="s">
        <v>1407</v>
      </c>
      <c r="V316" s="312" t="s">
        <v>1367</v>
      </c>
      <c r="W316" s="50"/>
      <c r="X316" s="50"/>
      <c r="Y316" s="50"/>
      <c r="Z316" s="312"/>
      <c r="AA316" s="312"/>
      <c r="AB316" s="50"/>
      <c r="AC316" s="50"/>
      <c r="AD316" s="50"/>
      <c r="AE316" s="50"/>
    </row>
    <row r="317">
      <c r="A317" s="307">
        <v>42347.240277777775</v>
      </c>
      <c r="B317" s="312" t="s">
        <v>904</v>
      </c>
      <c r="C317" s="303" t="s">
        <v>1177</v>
      </c>
      <c r="D317" s="303" t="s">
        <v>1178</v>
      </c>
      <c r="E317" s="310">
        <v>41618.0</v>
      </c>
      <c r="F317" s="312" t="s">
        <v>32</v>
      </c>
      <c r="G317" s="303" t="s">
        <v>1190</v>
      </c>
      <c r="H317" s="303" t="s">
        <v>1203</v>
      </c>
      <c r="I317" s="303" t="s">
        <v>1180</v>
      </c>
      <c r="J317" s="306">
        <v>0.9</v>
      </c>
      <c r="K317" s="312">
        <v>399.0</v>
      </c>
      <c r="L317" s="312"/>
      <c r="M317" s="312">
        <v>232.0</v>
      </c>
      <c r="N317" s="312">
        <v>77000.0</v>
      </c>
      <c r="O317" s="303" t="s">
        <v>1456</v>
      </c>
      <c r="P317" s="315">
        <v>42347.0</v>
      </c>
      <c r="Q317" s="312">
        <v>173200.0</v>
      </c>
      <c r="R317" s="312">
        <v>371.0</v>
      </c>
      <c r="S317" s="316"/>
      <c r="T317" s="317">
        <v>371.0</v>
      </c>
      <c r="U317" s="312" t="s">
        <v>1369</v>
      </c>
      <c r="V317" s="312" t="s">
        <v>1399</v>
      </c>
      <c r="W317" s="50"/>
      <c r="X317" s="50"/>
      <c r="Y317" s="50"/>
      <c r="Z317" s="312"/>
      <c r="AA317" s="312" t="s">
        <v>1457</v>
      </c>
      <c r="AB317" s="50"/>
      <c r="AC317" s="50"/>
      <c r="AD317" s="50"/>
      <c r="AE317" s="50"/>
    </row>
    <row r="318">
      <c r="A318" s="307">
        <v>42536.354166666664</v>
      </c>
      <c r="B318" s="312" t="s">
        <v>904</v>
      </c>
      <c r="C318" s="303" t="s">
        <v>1177</v>
      </c>
      <c r="D318" s="303" t="s">
        <v>1178</v>
      </c>
      <c r="E318" s="315">
        <v>41618.0</v>
      </c>
      <c r="F318" s="312" t="s">
        <v>32</v>
      </c>
      <c r="G318" s="312"/>
      <c r="H318" s="312"/>
      <c r="I318" s="312"/>
      <c r="J318" s="306"/>
      <c r="K318" s="50"/>
      <c r="L318" s="312"/>
      <c r="M318" s="312">
        <v>228.0</v>
      </c>
      <c r="N318" s="312">
        <v>77000.0</v>
      </c>
      <c r="O318" s="303" t="s">
        <v>1456</v>
      </c>
      <c r="P318" s="315">
        <v>42536.0</v>
      </c>
      <c r="Q318" s="312">
        <v>231000.0</v>
      </c>
      <c r="R318" s="312">
        <v>370.0</v>
      </c>
      <c r="S318" s="316"/>
      <c r="T318" s="317">
        <v>370.0</v>
      </c>
      <c r="U318" s="312" t="s">
        <v>1369</v>
      </c>
      <c r="V318" s="312" t="s">
        <v>1399</v>
      </c>
      <c r="W318" s="50"/>
      <c r="X318" s="50"/>
      <c r="Y318" s="50"/>
      <c r="Z318" s="312"/>
      <c r="AA318" s="312" t="s">
        <v>1458</v>
      </c>
      <c r="AB318" s="50"/>
      <c r="AC318" s="50"/>
      <c r="AD318" s="50"/>
      <c r="AE318" s="50"/>
    </row>
    <row r="319">
      <c r="A319" s="307">
        <v>43123.677777777775</v>
      </c>
      <c r="B319" s="50" t="s">
        <v>904</v>
      </c>
      <c r="C319" s="303" t="s">
        <v>1177</v>
      </c>
      <c r="D319" s="303" t="s">
        <v>1178</v>
      </c>
      <c r="E319" s="310">
        <v>41618.0</v>
      </c>
      <c r="F319" s="50" t="s">
        <v>32</v>
      </c>
      <c r="G319" s="303" t="s">
        <v>1203</v>
      </c>
      <c r="H319" s="303" t="s">
        <v>1203</v>
      </c>
      <c r="I319" s="303" t="s">
        <v>1190</v>
      </c>
      <c r="J319" s="306">
        <v>0.9</v>
      </c>
      <c r="K319" s="312">
        <v>490.0</v>
      </c>
      <c r="L319" s="312"/>
      <c r="M319" s="312">
        <v>233.0</v>
      </c>
      <c r="N319" s="312">
        <v>77000.0</v>
      </c>
      <c r="O319" s="303" t="s">
        <v>1456</v>
      </c>
      <c r="P319" s="310">
        <v>43123.0</v>
      </c>
      <c r="Q319" s="50">
        <v>361500.0</v>
      </c>
      <c r="R319" s="312">
        <v>355.0</v>
      </c>
      <c r="S319" s="316"/>
      <c r="T319" s="317">
        <v>355.0</v>
      </c>
      <c r="U319" s="312" t="s">
        <v>1369</v>
      </c>
      <c r="V319" s="312" t="s">
        <v>1399</v>
      </c>
      <c r="W319" s="50"/>
      <c r="X319" s="50"/>
      <c r="Y319" s="50"/>
      <c r="Z319" s="312"/>
      <c r="AA319" s="50"/>
      <c r="AB319" s="50"/>
      <c r="AC319" s="50"/>
      <c r="AD319" s="50"/>
      <c r="AE319" s="50"/>
    </row>
    <row r="320">
      <c r="A320" s="307">
        <v>42132.11319444444</v>
      </c>
      <c r="B320" s="312" t="s">
        <v>863</v>
      </c>
      <c r="C320" s="303" t="s">
        <v>1177</v>
      </c>
      <c r="D320" s="303" t="s">
        <v>1178</v>
      </c>
      <c r="E320" s="315">
        <v>42090.0</v>
      </c>
      <c r="F320" s="312" t="s">
        <v>38</v>
      </c>
      <c r="G320" s="303" t="s">
        <v>1179</v>
      </c>
      <c r="H320" s="303" t="s">
        <v>1179</v>
      </c>
      <c r="I320" s="303" t="s">
        <v>1180</v>
      </c>
      <c r="J320" s="306">
        <v>0.9</v>
      </c>
      <c r="K320" s="50"/>
      <c r="L320" s="312"/>
      <c r="M320" s="312">
        <v>268.0</v>
      </c>
      <c r="N320" s="50"/>
      <c r="O320" s="312"/>
      <c r="P320" s="315">
        <v>42132.0</v>
      </c>
      <c r="Q320" s="312">
        <v>3503.0</v>
      </c>
      <c r="R320" s="312">
        <v>405.0</v>
      </c>
      <c r="S320" s="316"/>
      <c r="T320" s="317">
        <v>410.13</v>
      </c>
      <c r="U320" s="312" t="s">
        <v>1366</v>
      </c>
      <c r="V320" s="312" t="s">
        <v>1367</v>
      </c>
      <c r="W320" s="50"/>
      <c r="X320" s="50"/>
      <c r="Y320" s="50"/>
      <c r="Z320" s="312"/>
      <c r="AA320" s="312" t="s">
        <v>1373</v>
      </c>
      <c r="AB320" s="50"/>
      <c r="AC320" s="50"/>
      <c r="AD320" s="50"/>
      <c r="AE320" s="50"/>
    </row>
    <row r="321">
      <c r="A321" s="307">
        <v>42978.59583333333</v>
      </c>
      <c r="B321" s="312" t="s">
        <v>980</v>
      </c>
      <c r="C321" s="303" t="s">
        <v>1177</v>
      </c>
      <c r="D321" s="303" t="s">
        <v>1178</v>
      </c>
      <c r="E321" s="315">
        <v>42262.0</v>
      </c>
      <c r="F321" s="312" t="s">
        <v>22</v>
      </c>
      <c r="G321" s="303" t="s">
        <v>1180</v>
      </c>
      <c r="H321" s="303" t="s">
        <v>1180</v>
      </c>
      <c r="I321" s="303" t="s">
        <v>1187</v>
      </c>
      <c r="J321" s="306">
        <v>0.8</v>
      </c>
      <c r="K321" s="312">
        <v>382.0</v>
      </c>
      <c r="L321" s="312"/>
      <c r="M321" s="312">
        <v>178.0</v>
      </c>
      <c r="N321" s="312"/>
      <c r="O321" s="312"/>
      <c r="P321" s="315">
        <v>42978.0</v>
      </c>
      <c r="Q321" s="312">
        <v>91770.0</v>
      </c>
      <c r="R321" s="312">
        <v>356.0</v>
      </c>
      <c r="S321" s="316"/>
      <c r="T321" s="317">
        <v>356.0</v>
      </c>
      <c r="U321" s="312" t="s">
        <v>1369</v>
      </c>
      <c r="V321" s="312" t="s">
        <v>1367</v>
      </c>
      <c r="W321" s="312">
        <v>320.0</v>
      </c>
      <c r="X321" s="312">
        <v>120.0</v>
      </c>
      <c r="Y321" s="312">
        <v>35.6</v>
      </c>
      <c r="Z321" s="312" t="s">
        <v>1369</v>
      </c>
      <c r="AA321" s="50"/>
      <c r="AB321" s="50"/>
      <c r="AC321" s="50"/>
      <c r="AD321" s="50"/>
      <c r="AE321" s="50"/>
    </row>
    <row r="322">
      <c r="A322" s="307">
        <v>42986.60208333333</v>
      </c>
      <c r="B322" s="312" t="s">
        <v>980</v>
      </c>
      <c r="C322" s="303" t="s">
        <v>1177</v>
      </c>
      <c r="D322" s="303" t="s">
        <v>1178</v>
      </c>
      <c r="E322" s="315">
        <v>42262.0</v>
      </c>
      <c r="F322" s="312" t="s">
        <v>22</v>
      </c>
      <c r="G322" s="303" t="s">
        <v>1179</v>
      </c>
      <c r="H322" s="303" t="s">
        <v>1180</v>
      </c>
      <c r="I322" s="303" t="s">
        <v>1187</v>
      </c>
      <c r="J322" s="306">
        <v>0.8</v>
      </c>
      <c r="K322" s="312">
        <v>382.0</v>
      </c>
      <c r="L322" s="312"/>
      <c r="M322" s="312">
        <v>178.0</v>
      </c>
      <c r="N322" s="312"/>
      <c r="O322" s="312"/>
      <c r="P322" s="315">
        <v>42986.0</v>
      </c>
      <c r="Q322" s="312">
        <v>93005.0</v>
      </c>
      <c r="R322" s="312">
        <v>351.0</v>
      </c>
      <c r="S322" s="316"/>
      <c r="T322" s="317">
        <v>351.0</v>
      </c>
      <c r="U322" s="312" t="s">
        <v>1369</v>
      </c>
      <c r="V322" s="312" t="s">
        <v>1367</v>
      </c>
      <c r="W322" s="50"/>
      <c r="X322" s="50"/>
      <c r="Y322" s="50"/>
      <c r="Z322" s="312"/>
      <c r="AA322" s="50"/>
      <c r="AB322" s="50"/>
      <c r="AC322" s="50"/>
      <c r="AD322" s="50"/>
      <c r="AE322" s="50"/>
    </row>
    <row r="323">
      <c r="A323" s="307">
        <v>43058.635416666664</v>
      </c>
      <c r="B323" s="312" t="s">
        <v>980</v>
      </c>
      <c r="C323" s="303" t="s">
        <v>1177</v>
      </c>
      <c r="D323" s="303" t="s">
        <v>1178</v>
      </c>
      <c r="E323" s="315">
        <v>42262.0</v>
      </c>
      <c r="F323" s="312" t="s">
        <v>22</v>
      </c>
      <c r="G323" s="303" t="s">
        <v>1190</v>
      </c>
      <c r="H323" s="303" t="s">
        <v>1190</v>
      </c>
      <c r="I323" s="303" t="s">
        <v>1181</v>
      </c>
      <c r="J323" s="306">
        <v>0.8</v>
      </c>
      <c r="K323" s="50"/>
      <c r="L323" s="312"/>
      <c r="M323" s="312"/>
      <c r="N323" s="312"/>
      <c r="O323" s="312"/>
      <c r="P323" s="315">
        <v>43058.0</v>
      </c>
      <c r="Q323" s="312">
        <v>102748.0</v>
      </c>
      <c r="R323" s="312">
        <v>352.0</v>
      </c>
      <c r="S323" s="316"/>
      <c r="T323" s="317">
        <v>352.0</v>
      </c>
      <c r="U323" s="312" t="s">
        <v>1369</v>
      </c>
      <c r="V323" s="312" t="s">
        <v>1367</v>
      </c>
      <c r="W323" s="50"/>
      <c r="X323" s="50"/>
      <c r="Y323" s="50"/>
      <c r="Z323" s="312"/>
      <c r="AA323" s="50"/>
      <c r="AB323" s="50"/>
      <c r="AC323" s="50"/>
      <c r="AD323" s="50"/>
      <c r="AE323" s="50"/>
    </row>
    <row r="324">
      <c r="A324" s="307">
        <v>43111.66388888889</v>
      </c>
      <c r="B324" s="312" t="s">
        <v>980</v>
      </c>
      <c r="C324" s="303" t="s">
        <v>1177</v>
      </c>
      <c r="D324" s="303" t="s">
        <v>1178</v>
      </c>
      <c r="E324" s="315">
        <v>42262.0</v>
      </c>
      <c r="F324" s="312" t="s">
        <v>22</v>
      </c>
      <c r="G324" s="303" t="s">
        <v>1190</v>
      </c>
      <c r="H324" s="303" t="s">
        <v>1179</v>
      </c>
      <c r="I324" s="303" t="s">
        <v>1181</v>
      </c>
      <c r="J324" s="306">
        <v>0.8</v>
      </c>
      <c r="K324" s="312">
        <v>355.0</v>
      </c>
      <c r="L324" s="312"/>
      <c r="M324" s="312">
        <v>205.0</v>
      </c>
      <c r="N324" s="312"/>
      <c r="O324" s="312"/>
      <c r="P324" s="315">
        <v>43111.0</v>
      </c>
      <c r="Q324" s="312">
        <v>110000.0</v>
      </c>
      <c r="R324" s="312">
        <v>348.0</v>
      </c>
      <c r="S324" s="316"/>
      <c r="T324" s="317">
        <v>348.0</v>
      </c>
      <c r="U324" s="312" t="s">
        <v>1369</v>
      </c>
      <c r="V324" s="312" t="s">
        <v>1367</v>
      </c>
      <c r="W324" s="50"/>
      <c r="X324" s="50"/>
      <c r="Y324" s="50"/>
      <c r="Z324" s="312"/>
      <c r="AA324" s="312" t="s">
        <v>1459</v>
      </c>
      <c r="AB324" s="50"/>
      <c r="AC324" s="50"/>
      <c r="AD324" s="50"/>
      <c r="AE324" s="50"/>
    </row>
    <row r="325">
      <c r="A325" s="307">
        <v>43189.71319444444</v>
      </c>
      <c r="B325" s="312" t="s">
        <v>980</v>
      </c>
      <c r="C325" s="303" t="s">
        <v>1177</v>
      </c>
      <c r="D325" s="303" t="s">
        <v>1178</v>
      </c>
      <c r="E325" s="315">
        <v>42262.0</v>
      </c>
      <c r="F325" s="312" t="s">
        <v>22</v>
      </c>
      <c r="G325" s="303" t="s">
        <v>1190</v>
      </c>
      <c r="H325" s="303" t="s">
        <v>1180</v>
      </c>
      <c r="I325" s="303" t="s">
        <v>1181</v>
      </c>
      <c r="J325" s="306">
        <v>0.8</v>
      </c>
      <c r="K325" s="50"/>
      <c r="L325" s="312"/>
      <c r="M325" s="312">
        <v>205.0</v>
      </c>
      <c r="N325" s="312"/>
      <c r="O325" s="312"/>
      <c r="P325" s="315">
        <v>43189.0</v>
      </c>
      <c r="Q325" s="312">
        <v>118015.0</v>
      </c>
      <c r="R325" s="312">
        <v>346.0</v>
      </c>
      <c r="S325" s="316"/>
      <c r="T325" s="317">
        <v>346.0</v>
      </c>
      <c r="U325" s="312" t="s">
        <v>1369</v>
      </c>
      <c r="V325" s="312" t="s">
        <v>1367</v>
      </c>
      <c r="W325" s="312" t="s">
        <v>1460</v>
      </c>
      <c r="X325" s="50"/>
      <c r="Y325" s="50"/>
      <c r="Z325" s="312"/>
      <c r="AA325" s="50"/>
      <c r="AB325" s="50"/>
      <c r="AC325" s="50"/>
      <c r="AD325" s="50"/>
      <c r="AE325" s="50"/>
    </row>
    <row r="326">
      <c r="A326" s="307">
        <v>42037.069444444445</v>
      </c>
      <c r="B326" s="50" t="s">
        <v>767</v>
      </c>
      <c r="C326" s="303" t="s">
        <v>1177</v>
      </c>
      <c r="D326" s="303" t="s">
        <v>1178</v>
      </c>
      <c r="E326" s="310">
        <v>41968.0</v>
      </c>
      <c r="F326" s="312" t="s">
        <v>30</v>
      </c>
      <c r="G326" s="303" t="s">
        <v>1190</v>
      </c>
      <c r="H326" s="303" t="s">
        <v>1180</v>
      </c>
      <c r="I326" s="303" t="s">
        <v>1187</v>
      </c>
      <c r="J326" s="306"/>
      <c r="K326" s="50"/>
      <c r="L326" s="50"/>
      <c r="M326" s="50">
        <v>245.0</v>
      </c>
      <c r="N326" s="50"/>
      <c r="O326" s="312"/>
      <c r="P326" s="310">
        <v>42037.0</v>
      </c>
      <c r="Q326" s="50">
        <v>7330.0</v>
      </c>
      <c r="R326" s="50">
        <v>391.0</v>
      </c>
      <c r="S326" s="318"/>
      <c r="T326" s="317">
        <v>395.95</v>
      </c>
      <c r="U326" s="312" t="s">
        <v>1366</v>
      </c>
      <c r="V326" s="312" t="s">
        <v>1367</v>
      </c>
      <c r="W326" s="50"/>
      <c r="X326" s="50"/>
      <c r="Y326" s="50"/>
      <c r="Z326" s="312"/>
      <c r="AA326" s="50"/>
      <c r="AB326" s="50"/>
      <c r="AC326" s="50"/>
      <c r="AD326" s="50"/>
      <c r="AE326" s="50"/>
    </row>
    <row r="327">
      <c r="A327" s="307">
        <v>42420.29305555556</v>
      </c>
      <c r="B327" s="312" t="s">
        <v>767</v>
      </c>
      <c r="C327" s="303" t="s">
        <v>1177</v>
      </c>
      <c r="D327" s="303" t="s">
        <v>1178</v>
      </c>
      <c r="E327" s="315">
        <v>41968.0</v>
      </c>
      <c r="F327" s="312" t="s">
        <v>30</v>
      </c>
      <c r="G327" s="312"/>
      <c r="H327" s="312"/>
      <c r="I327" s="312"/>
      <c r="J327" s="306"/>
      <c r="K327" s="50"/>
      <c r="L327" s="312"/>
      <c r="M327" s="312">
        <v>218.0</v>
      </c>
      <c r="N327" s="312"/>
      <c r="O327" s="312"/>
      <c r="P327" s="315">
        <v>42420.0</v>
      </c>
      <c r="Q327" s="312">
        <v>40501.0</v>
      </c>
      <c r="R327" s="312">
        <v>377.0</v>
      </c>
      <c r="S327" s="316"/>
      <c r="T327" s="317">
        <v>381.77</v>
      </c>
      <c r="U327" s="312" t="s">
        <v>1366</v>
      </c>
      <c r="V327" s="312" t="s">
        <v>1367</v>
      </c>
      <c r="W327" s="50"/>
      <c r="X327" s="50"/>
      <c r="Y327" s="50"/>
      <c r="Z327" s="312"/>
      <c r="AA327" s="50"/>
      <c r="AB327" s="50"/>
      <c r="AC327" s="50"/>
      <c r="AD327" s="50"/>
      <c r="AE327" s="50"/>
    </row>
    <row r="328">
      <c r="A328" s="307">
        <v>42533.350694444445</v>
      </c>
      <c r="B328" s="312" t="s">
        <v>767</v>
      </c>
      <c r="C328" s="303" t="s">
        <v>1177</v>
      </c>
      <c r="D328" s="303" t="s">
        <v>1178</v>
      </c>
      <c r="E328" s="315">
        <v>41968.0</v>
      </c>
      <c r="F328" s="312" t="s">
        <v>30</v>
      </c>
      <c r="G328" s="303" t="s">
        <v>1180</v>
      </c>
      <c r="H328" s="303" t="s">
        <v>1181</v>
      </c>
      <c r="I328" s="303" t="s">
        <v>1186</v>
      </c>
      <c r="J328" s="306">
        <v>0.9</v>
      </c>
      <c r="K328" s="50"/>
      <c r="L328" s="312"/>
      <c r="M328" s="312">
        <v>220.0</v>
      </c>
      <c r="N328" s="312"/>
      <c r="O328" s="312"/>
      <c r="P328" s="315">
        <v>42533.0</v>
      </c>
      <c r="Q328" s="312">
        <v>54000.0</v>
      </c>
      <c r="R328" s="312">
        <v>383.0</v>
      </c>
      <c r="S328" s="316"/>
      <c r="T328" s="317">
        <v>387.85</v>
      </c>
      <c r="U328" s="312" t="s">
        <v>1366</v>
      </c>
      <c r="V328" s="312" t="s">
        <v>1367</v>
      </c>
      <c r="W328" s="50"/>
      <c r="X328" s="50"/>
      <c r="Y328" s="50"/>
      <c r="Z328" s="312"/>
      <c r="AA328" s="50"/>
      <c r="AB328" s="50"/>
      <c r="AC328" s="50"/>
      <c r="AD328" s="50"/>
      <c r="AE328" s="50"/>
    </row>
    <row r="329">
      <c r="A329" s="307">
        <v>41918.02847222222</v>
      </c>
      <c r="B329" s="50" t="s">
        <v>742</v>
      </c>
      <c r="C329" s="303" t="s">
        <v>1177</v>
      </c>
      <c r="D329" s="303" t="s">
        <v>1178</v>
      </c>
      <c r="E329" s="310">
        <v>41912.0</v>
      </c>
      <c r="F329" s="312" t="s">
        <v>30</v>
      </c>
      <c r="G329" s="303" t="s">
        <v>1190</v>
      </c>
      <c r="H329" s="303" t="s">
        <v>1179</v>
      </c>
      <c r="I329" s="303" t="s">
        <v>1187</v>
      </c>
      <c r="J329" s="306">
        <v>0.9</v>
      </c>
      <c r="K329" s="50"/>
      <c r="L329" s="50"/>
      <c r="M329" s="50">
        <v>244.0</v>
      </c>
      <c r="N329" s="50"/>
      <c r="O329" s="312"/>
      <c r="P329" s="310">
        <v>41918.0</v>
      </c>
      <c r="Q329" s="50">
        <v>1136.0</v>
      </c>
      <c r="R329" s="50">
        <v>399.0</v>
      </c>
      <c r="S329" s="318"/>
      <c r="T329" s="317">
        <v>404.05</v>
      </c>
      <c r="U329" s="312" t="s">
        <v>1366</v>
      </c>
      <c r="V329" s="312" t="s">
        <v>1367</v>
      </c>
      <c r="W329" s="50"/>
      <c r="X329" s="50"/>
      <c r="Y329" s="50"/>
      <c r="Z329" s="312"/>
      <c r="AA329" s="50"/>
      <c r="AB329" s="50"/>
      <c r="AC329" s="50"/>
      <c r="AD329" s="50"/>
      <c r="AE329" s="50"/>
    </row>
    <row r="330">
      <c r="A330" s="307">
        <v>41942.03333333333</v>
      </c>
      <c r="B330" s="50" t="s">
        <v>742</v>
      </c>
      <c r="C330" s="303" t="s">
        <v>1177</v>
      </c>
      <c r="D330" s="303" t="s">
        <v>1178</v>
      </c>
      <c r="E330" s="310">
        <v>41912.0</v>
      </c>
      <c r="F330" s="312" t="s">
        <v>30</v>
      </c>
      <c r="G330" s="303" t="s">
        <v>1203</v>
      </c>
      <c r="H330" s="303" t="s">
        <v>1190</v>
      </c>
      <c r="I330" s="303" t="s">
        <v>1187</v>
      </c>
      <c r="J330" s="306">
        <v>0.9</v>
      </c>
      <c r="K330" s="50"/>
      <c r="L330" s="50"/>
      <c r="M330" s="50">
        <v>244.0</v>
      </c>
      <c r="N330" s="50"/>
      <c r="O330" s="312"/>
      <c r="P330" s="310">
        <v>41942.0</v>
      </c>
      <c r="Q330" s="50">
        <v>4517.0</v>
      </c>
      <c r="R330" s="50">
        <v>394.0</v>
      </c>
      <c r="S330" s="318"/>
      <c r="T330" s="317">
        <v>398.99</v>
      </c>
      <c r="U330" s="312" t="s">
        <v>1366</v>
      </c>
      <c r="V330" s="312" t="s">
        <v>1367</v>
      </c>
      <c r="W330" s="50"/>
      <c r="X330" s="50"/>
      <c r="Y330" s="50"/>
      <c r="Z330" s="312"/>
      <c r="AA330" s="50"/>
      <c r="AB330" s="50"/>
      <c r="AC330" s="50"/>
      <c r="AD330" s="50"/>
      <c r="AE330" s="50"/>
    </row>
    <row r="331">
      <c r="A331" s="307">
        <v>41965.03958333333</v>
      </c>
      <c r="B331" s="50" t="s">
        <v>742</v>
      </c>
      <c r="C331" s="303" t="s">
        <v>1177</v>
      </c>
      <c r="D331" s="303" t="s">
        <v>1178</v>
      </c>
      <c r="E331" s="310">
        <v>41912.0</v>
      </c>
      <c r="F331" s="312" t="s">
        <v>30</v>
      </c>
      <c r="G331" s="303" t="s">
        <v>1190</v>
      </c>
      <c r="H331" s="303" t="s">
        <v>1179</v>
      </c>
      <c r="I331" s="303" t="s">
        <v>1187</v>
      </c>
      <c r="J331" s="306">
        <v>0.9</v>
      </c>
      <c r="K331" s="50"/>
      <c r="L331" s="50"/>
      <c r="M331" s="50">
        <v>251.0</v>
      </c>
      <c r="N331" s="50"/>
      <c r="O331" s="312"/>
      <c r="P331" s="310">
        <v>41965.0</v>
      </c>
      <c r="Q331" s="50">
        <v>7024.0</v>
      </c>
      <c r="R331" s="50">
        <v>393.0</v>
      </c>
      <c r="S331" s="318"/>
      <c r="T331" s="317">
        <v>397.97</v>
      </c>
      <c r="U331" s="312" t="s">
        <v>1366</v>
      </c>
      <c r="V331" s="312" t="s">
        <v>1367</v>
      </c>
      <c r="W331" s="50"/>
      <c r="X331" s="50"/>
      <c r="Y331" s="50"/>
      <c r="Z331" s="312"/>
      <c r="AA331" s="50"/>
      <c r="AB331" s="50"/>
      <c r="AC331" s="50"/>
      <c r="AD331" s="50"/>
      <c r="AE331" s="50"/>
    </row>
    <row r="332">
      <c r="A332" s="307">
        <v>41984.044444444444</v>
      </c>
      <c r="B332" s="50" t="s">
        <v>742</v>
      </c>
      <c r="C332" s="303" t="s">
        <v>1177</v>
      </c>
      <c r="D332" s="303" t="s">
        <v>1178</v>
      </c>
      <c r="E332" s="310">
        <v>41912.0</v>
      </c>
      <c r="F332" s="312" t="s">
        <v>30</v>
      </c>
      <c r="G332" s="303" t="s">
        <v>1179</v>
      </c>
      <c r="H332" s="303" t="s">
        <v>1179</v>
      </c>
      <c r="I332" s="303" t="s">
        <v>1187</v>
      </c>
      <c r="J332" s="306">
        <v>0.9</v>
      </c>
      <c r="K332" s="50"/>
      <c r="L332" s="50"/>
      <c r="M332" s="50">
        <v>258.0</v>
      </c>
      <c r="N332" s="50"/>
      <c r="O332" s="312"/>
      <c r="P332" s="310">
        <v>41984.0</v>
      </c>
      <c r="Q332" s="50">
        <v>9732.0</v>
      </c>
      <c r="R332" s="50">
        <v>393.0</v>
      </c>
      <c r="S332" s="318"/>
      <c r="T332" s="317">
        <v>397.97</v>
      </c>
      <c r="U332" s="312" t="s">
        <v>1366</v>
      </c>
      <c r="V332" s="312" t="s">
        <v>1367</v>
      </c>
      <c r="W332" s="50"/>
      <c r="X332" s="50"/>
      <c r="Y332" s="312"/>
      <c r="Z332" s="312"/>
      <c r="AA332" s="50"/>
      <c r="AB332" s="50"/>
      <c r="AC332" s="50"/>
      <c r="AD332" s="50"/>
      <c r="AE332" s="50"/>
    </row>
    <row r="333">
      <c r="A333" s="307">
        <v>42021.05763888889</v>
      </c>
      <c r="B333" s="50" t="s">
        <v>742</v>
      </c>
      <c r="C333" s="303" t="s">
        <v>1177</v>
      </c>
      <c r="D333" s="303" t="s">
        <v>1178</v>
      </c>
      <c r="E333" s="310">
        <v>41912.0</v>
      </c>
      <c r="F333" s="312" t="s">
        <v>30</v>
      </c>
      <c r="G333" s="303" t="s">
        <v>1179</v>
      </c>
      <c r="H333" s="303" t="s">
        <v>1179</v>
      </c>
      <c r="I333" s="303" t="s">
        <v>1187</v>
      </c>
      <c r="J333" s="306">
        <v>0.8</v>
      </c>
      <c r="K333" s="50"/>
      <c r="L333" s="50"/>
      <c r="M333" s="50">
        <v>265.0</v>
      </c>
      <c r="N333" s="50"/>
      <c r="O333" s="312"/>
      <c r="P333" s="310">
        <v>42021.0</v>
      </c>
      <c r="Q333" s="50">
        <v>12199.0</v>
      </c>
      <c r="R333" s="50">
        <v>392.0</v>
      </c>
      <c r="S333" s="318"/>
      <c r="T333" s="317">
        <v>396.96</v>
      </c>
      <c r="U333" s="312" t="s">
        <v>1366</v>
      </c>
      <c r="V333" s="312" t="s">
        <v>1367</v>
      </c>
      <c r="W333" s="50"/>
      <c r="X333" s="50"/>
      <c r="Y333" s="50"/>
      <c r="Z333" s="312"/>
      <c r="AA333" s="50"/>
      <c r="AB333" s="50"/>
      <c r="AC333" s="50"/>
      <c r="AD333" s="50"/>
      <c r="AE333" s="50"/>
    </row>
    <row r="334">
      <c r="A334" s="307">
        <v>42026.06319444445</v>
      </c>
      <c r="B334" s="50" t="s">
        <v>742</v>
      </c>
      <c r="C334" s="303" t="s">
        <v>1177</v>
      </c>
      <c r="D334" s="303" t="s">
        <v>1178</v>
      </c>
      <c r="E334" s="310">
        <v>41912.0</v>
      </c>
      <c r="F334" s="312" t="s">
        <v>30</v>
      </c>
      <c r="G334" s="303" t="s">
        <v>1179</v>
      </c>
      <c r="H334" s="303" t="s">
        <v>1179</v>
      </c>
      <c r="I334" s="303" t="s">
        <v>1187</v>
      </c>
      <c r="J334" s="306">
        <v>0.8</v>
      </c>
      <c r="K334" s="50"/>
      <c r="L334" s="50"/>
      <c r="M334" s="50">
        <v>265.0</v>
      </c>
      <c r="N334" s="50"/>
      <c r="O334" s="312"/>
      <c r="P334" s="310">
        <v>42026.0</v>
      </c>
      <c r="Q334" s="50">
        <v>13425.0</v>
      </c>
      <c r="R334" s="50">
        <v>391.0</v>
      </c>
      <c r="S334" s="318"/>
      <c r="T334" s="317">
        <v>395.95</v>
      </c>
      <c r="U334" s="312" t="s">
        <v>1366</v>
      </c>
      <c r="V334" s="312" t="s">
        <v>1367</v>
      </c>
      <c r="W334" s="50"/>
      <c r="X334" s="50"/>
      <c r="Y334" s="50"/>
      <c r="Z334" s="312"/>
      <c r="AA334" s="50"/>
      <c r="AB334" s="50"/>
      <c r="AC334" s="50"/>
      <c r="AD334" s="50"/>
      <c r="AE334" s="50"/>
    </row>
    <row r="335">
      <c r="A335" s="307">
        <v>42058.07708333333</v>
      </c>
      <c r="B335" s="312" t="s">
        <v>742</v>
      </c>
      <c r="C335" s="303" t="s">
        <v>1177</v>
      </c>
      <c r="D335" s="303" t="s">
        <v>1178</v>
      </c>
      <c r="E335" s="315">
        <v>41912.0</v>
      </c>
      <c r="F335" s="312" t="s">
        <v>30</v>
      </c>
      <c r="G335" s="303" t="s">
        <v>1179</v>
      </c>
      <c r="H335" s="303" t="s">
        <v>1179</v>
      </c>
      <c r="I335" s="303" t="s">
        <v>1187</v>
      </c>
      <c r="J335" s="306">
        <v>0.8</v>
      </c>
      <c r="K335" s="50"/>
      <c r="L335" s="312"/>
      <c r="M335" s="312">
        <v>269.0</v>
      </c>
      <c r="N335" s="50"/>
      <c r="O335" s="312"/>
      <c r="P335" s="315">
        <v>42058.0</v>
      </c>
      <c r="Q335" s="312">
        <v>15930.0</v>
      </c>
      <c r="R335" s="312">
        <v>387.0</v>
      </c>
      <c r="S335" s="316"/>
      <c r="T335" s="317">
        <v>391.9</v>
      </c>
      <c r="U335" s="312" t="s">
        <v>1366</v>
      </c>
      <c r="V335" s="312" t="s">
        <v>1367</v>
      </c>
      <c r="W335" s="50"/>
      <c r="X335" s="50"/>
      <c r="Y335" s="50"/>
      <c r="Z335" s="312"/>
      <c r="AA335" s="50"/>
      <c r="AB335" s="50"/>
      <c r="AC335" s="50"/>
      <c r="AD335" s="50"/>
      <c r="AE335" s="50"/>
    </row>
    <row r="336">
      <c r="A336" s="307">
        <v>42092.08888888889</v>
      </c>
      <c r="B336" s="312" t="s">
        <v>742</v>
      </c>
      <c r="C336" s="303" t="s">
        <v>1177</v>
      </c>
      <c r="D336" s="303" t="s">
        <v>1178</v>
      </c>
      <c r="E336" s="315">
        <v>41912.0</v>
      </c>
      <c r="F336" s="312" t="s">
        <v>30</v>
      </c>
      <c r="G336" s="303" t="s">
        <v>1179</v>
      </c>
      <c r="H336" s="303" t="s">
        <v>1179</v>
      </c>
      <c r="I336" s="303" t="s">
        <v>1187</v>
      </c>
      <c r="J336" s="306">
        <v>0.7</v>
      </c>
      <c r="K336" s="50"/>
      <c r="L336" s="312"/>
      <c r="M336" s="312">
        <v>269.0</v>
      </c>
      <c r="N336" s="50"/>
      <c r="O336" s="312"/>
      <c r="P336" s="315">
        <v>42092.0</v>
      </c>
      <c r="Q336" s="312">
        <v>20412.0</v>
      </c>
      <c r="R336" s="312">
        <v>381.0</v>
      </c>
      <c r="S336" s="316"/>
      <c r="T336" s="317">
        <v>385.82</v>
      </c>
      <c r="U336" s="312" t="s">
        <v>1366</v>
      </c>
      <c r="V336" s="312" t="s">
        <v>1367</v>
      </c>
      <c r="W336" s="50"/>
      <c r="X336" s="50"/>
      <c r="Y336" s="50"/>
      <c r="Z336" s="312"/>
      <c r="AA336" s="50"/>
      <c r="AB336" s="50"/>
      <c r="AC336" s="50"/>
      <c r="AD336" s="50"/>
      <c r="AE336" s="50"/>
    </row>
    <row r="337">
      <c r="A337" s="307">
        <v>42112.12708333333</v>
      </c>
      <c r="B337" s="312" t="s">
        <v>742</v>
      </c>
      <c r="C337" s="303" t="s">
        <v>1177</v>
      </c>
      <c r="D337" s="303" t="s">
        <v>1178</v>
      </c>
      <c r="E337" s="315">
        <v>41912.0</v>
      </c>
      <c r="F337" s="312" t="s">
        <v>30</v>
      </c>
      <c r="G337" s="303" t="s">
        <v>1181</v>
      </c>
      <c r="H337" s="303" t="s">
        <v>1179</v>
      </c>
      <c r="I337" s="303" t="s">
        <v>1187</v>
      </c>
      <c r="J337" s="306">
        <v>0.7</v>
      </c>
      <c r="K337" s="50"/>
      <c r="L337" s="312"/>
      <c r="M337" s="312">
        <v>267.0</v>
      </c>
      <c r="N337" s="50"/>
      <c r="O337" s="312"/>
      <c r="P337" s="315">
        <v>42112.0</v>
      </c>
      <c r="Q337" s="312">
        <v>21957.0</v>
      </c>
      <c r="R337" s="312">
        <v>382.0</v>
      </c>
      <c r="S337" s="316"/>
      <c r="T337" s="317">
        <v>386.84</v>
      </c>
      <c r="U337" s="312" t="s">
        <v>1366</v>
      </c>
      <c r="V337" s="312" t="s">
        <v>1367</v>
      </c>
      <c r="W337" s="50"/>
      <c r="X337" s="50"/>
      <c r="Y337" s="50"/>
      <c r="Z337" s="312"/>
      <c r="AA337" s="50"/>
      <c r="AB337" s="50"/>
      <c r="AC337" s="50"/>
      <c r="AD337" s="50"/>
      <c r="AE337" s="50"/>
    </row>
    <row r="338">
      <c r="A338" s="307">
        <v>42149.12777777778</v>
      </c>
      <c r="B338" s="312" t="s">
        <v>742</v>
      </c>
      <c r="C338" s="303" t="s">
        <v>1177</v>
      </c>
      <c r="D338" s="303" t="s">
        <v>1178</v>
      </c>
      <c r="E338" s="315">
        <v>41912.0</v>
      </c>
      <c r="F338" s="312" t="s">
        <v>30</v>
      </c>
      <c r="G338" s="303" t="s">
        <v>1181</v>
      </c>
      <c r="H338" s="303" t="s">
        <v>1179</v>
      </c>
      <c r="I338" s="303" t="s">
        <v>1187</v>
      </c>
      <c r="J338" s="306">
        <v>0.7</v>
      </c>
      <c r="K338" s="50"/>
      <c r="L338" s="312"/>
      <c r="M338" s="312">
        <v>265.0</v>
      </c>
      <c r="N338" s="50"/>
      <c r="O338" s="312"/>
      <c r="P338" s="315">
        <v>42149.0</v>
      </c>
      <c r="Q338" s="312">
        <v>25069.0</v>
      </c>
      <c r="R338" s="312">
        <v>381.0</v>
      </c>
      <c r="S338" s="316"/>
      <c r="T338" s="317">
        <v>385.82</v>
      </c>
      <c r="U338" s="312" t="s">
        <v>1366</v>
      </c>
      <c r="V338" s="312" t="s">
        <v>1367</v>
      </c>
      <c r="W338" s="312">
        <v>381.0</v>
      </c>
      <c r="X338" s="312">
        <v>94.0</v>
      </c>
      <c r="Y338" s="312" t="s">
        <v>1461</v>
      </c>
      <c r="Z338" s="312" t="s">
        <v>1366</v>
      </c>
      <c r="AA338" s="312" t="s">
        <v>1462</v>
      </c>
      <c r="AB338" s="50"/>
      <c r="AC338" s="50"/>
      <c r="AD338" s="50"/>
      <c r="AE338" s="50"/>
    </row>
    <row r="339">
      <c r="A339" s="307">
        <v>42227.15833333333</v>
      </c>
      <c r="B339" s="312" t="s">
        <v>742</v>
      </c>
      <c r="C339" s="303" t="s">
        <v>1177</v>
      </c>
      <c r="D339" s="303" t="s">
        <v>1178</v>
      </c>
      <c r="E339" s="315">
        <v>41912.0</v>
      </c>
      <c r="F339" s="312" t="s">
        <v>30</v>
      </c>
      <c r="G339" s="303" t="s">
        <v>1180</v>
      </c>
      <c r="H339" s="303" t="s">
        <v>1179</v>
      </c>
      <c r="I339" s="303" t="s">
        <v>1186</v>
      </c>
      <c r="J339" s="306">
        <v>0.8</v>
      </c>
      <c r="K339" s="312">
        <v>399.0</v>
      </c>
      <c r="L339" s="312"/>
      <c r="M339" s="312">
        <v>262.0</v>
      </c>
      <c r="N339" s="312"/>
      <c r="O339" s="312"/>
      <c r="P339" s="315">
        <v>42227.0</v>
      </c>
      <c r="Q339" s="312">
        <v>31500.0</v>
      </c>
      <c r="R339" s="312">
        <v>376.0</v>
      </c>
      <c r="S339" s="316"/>
      <c r="T339" s="317">
        <v>380.76</v>
      </c>
      <c r="U339" s="312" t="s">
        <v>1366</v>
      </c>
      <c r="V339" s="312" t="s">
        <v>1367</v>
      </c>
      <c r="W339" s="312">
        <v>376.0</v>
      </c>
      <c r="X339" s="312">
        <v>243.0</v>
      </c>
      <c r="Y339" s="312">
        <v>26.0</v>
      </c>
      <c r="Z339" s="312" t="s">
        <v>1366</v>
      </c>
      <c r="AA339" s="312" t="s">
        <v>1373</v>
      </c>
      <c r="AB339" s="50"/>
      <c r="AC339" s="50"/>
      <c r="AD339" s="50"/>
      <c r="AE339" s="50"/>
    </row>
    <row r="340">
      <c r="A340" s="307">
        <v>42280.19097222222</v>
      </c>
      <c r="B340" s="312" t="s">
        <v>742</v>
      </c>
      <c r="C340" s="303" t="s">
        <v>1177</v>
      </c>
      <c r="D340" s="303" t="s">
        <v>1178</v>
      </c>
      <c r="E340" s="315">
        <v>41912.0</v>
      </c>
      <c r="F340" s="312" t="s">
        <v>30</v>
      </c>
      <c r="G340" s="303" t="s">
        <v>1181</v>
      </c>
      <c r="H340" s="303" t="s">
        <v>1180</v>
      </c>
      <c r="I340" s="303" t="s">
        <v>1187</v>
      </c>
      <c r="J340" s="306">
        <v>0.8</v>
      </c>
      <c r="K340" s="312">
        <v>399.0</v>
      </c>
      <c r="L340" s="312"/>
      <c r="M340" s="312">
        <v>259.0</v>
      </c>
      <c r="N340" s="312"/>
      <c r="O340" s="312"/>
      <c r="P340" s="315">
        <v>42280.0</v>
      </c>
      <c r="Q340" s="312">
        <v>35580.0</v>
      </c>
      <c r="R340" s="312">
        <v>371.0</v>
      </c>
      <c r="S340" s="316"/>
      <c r="T340" s="317">
        <v>375.7</v>
      </c>
      <c r="U340" s="312" t="s">
        <v>1366</v>
      </c>
      <c r="V340" s="312" t="s">
        <v>1367</v>
      </c>
      <c r="W340" s="312">
        <v>371.0</v>
      </c>
      <c r="X340" s="312">
        <v>79.0</v>
      </c>
      <c r="Y340" s="312">
        <v>56.5</v>
      </c>
      <c r="Z340" s="312" t="s">
        <v>1366</v>
      </c>
      <c r="AA340" s="312" t="s">
        <v>1405</v>
      </c>
      <c r="AB340" s="50"/>
      <c r="AC340" s="50"/>
      <c r="AD340" s="50"/>
      <c r="AE340" s="50"/>
    </row>
    <row r="341">
      <c r="A341" s="307">
        <v>42338.256944444445</v>
      </c>
      <c r="B341" s="312" t="s">
        <v>742</v>
      </c>
      <c r="C341" s="303" t="s">
        <v>1177</v>
      </c>
      <c r="D341" s="303" t="s">
        <v>1178</v>
      </c>
      <c r="E341" s="315">
        <v>41912.0</v>
      </c>
      <c r="F341" s="312" t="s">
        <v>30</v>
      </c>
      <c r="G341" s="303" t="s">
        <v>1181</v>
      </c>
      <c r="H341" s="303" t="s">
        <v>1180</v>
      </c>
      <c r="I341" s="303" t="s">
        <v>1187</v>
      </c>
      <c r="J341" s="306">
        <v>0.8</v>
      </c>
      <c r="K341" s="50"/>
      <c r="L341" s="312"/>
      <c r="M341" s="312">
        <v>258.0</v>
      </c>
      <c r="N341" s="312"/>
      <c r="O341" s="312"/>
      <c r="P341" s="315">
        <v>42338.0</v>
      </c>
      <c r="Q341" s="312">
        <v>40592.0</v>
      </c>
      <c r="R341" s="312">
        <v>372.0</v>
      </c>
      <c r="S341" s="316"/>
      <c r="T341" s="317">
        <v>376.71</v>
      </c>
      <c r="U341" s="312" t="s">
        <v>1366</v>
      </c>
      <c r="V341" s="312" t="s">
        <v>1367</v>
      </c>
      <c r="W341" s="50"/>
      <c r="X341" s="50"/>
      <c r="Y341" s="50"/>
      <c r="Z341" s="312"/>
      <c r="AA341" s="50"/>
      <c r="AB341" s="50"/>
      <c r="AC341" s="50"/>
      <c r="AD341" s="50"/>
      <c r="AE341" s="50"/>
    </row>
    <row r="342">
      <c r="A342" s="307">
        <v>42357.25763888889</v>
      </c>
      <c r="B342" s="312" t="s">
        <v>742</v>
      </c>
      <c r="C342" s="303" t="s">
        <v>1177</v>
      </c>
      <c r="D342" s="303" t="s">
        <v>1178</v>
      </c>
      <c r="E342" s="315">
        <v>41912.0</v>
      </c>
      <c r="F342" s="312" t="s">
        <v>30</v>
      </c>
      <c r="G342" s="303" t="s">
        <v>1181</v>
      </c>
      <c r="H342" s="303" t="s">
        <v>1180</v>
      </c>
      <c r="I342" s="303" t="s">
        <v>1187</v>
      </c>
      <c r="J342" s="306">
        <v>0.8</v>
      </c>
      <c r="K342" s="50"/>
      <c r="L342" s="312"/>
      <c r="M342" s="312">
        <v>258.0</v>
      </c>
      <c r="N342" s="312"/>
      <c r="O342" s="312"/>
      <c r="P342" s="315">
        <v>42357.0</v>
      </c>
      <c r="Q342" s="312">
        <v>42700.0</v>
      </c>
      <c r="R342" s="312">
        <v>376.0</v>
      </c>
      <c r="S342" s="316"/>
      <c r="T342" s="317">
        <v>380.76</v>
      </c>
      <c r="U342" s="312" t="s">
        <v>1366</v>
      </c>
      <c r="V342" s="312" t="s">
        <v>1367</v>
      </c>
      <c r="W342" s="312">
        <v>376.0</v>
      </c>
      <c r="X342" s="312">
        <v>233.0</v>
      </c>
      <c r="Y342" s="312">
        <v>24.9</v>
      </c>
      <c r="Z342" s="312" t="s">
        <v>1366</v>
      </c>
      <c r="AA342" s="50"/>
      <c r="AB342" s="50"/>
      <c r="AC342" s="50"/>
      <c r="AD342" s="50"/>
      <c r="AE342" s="50"/>
    </row>
    <row r="343">
      <c r="A343" s="307">
        <v>42427.29722222222</v>
      </c>
      <c r="B343" s="312" t="s">
        <v>742</v>
      </c>
      <c r="C343" s="303" t="s">
        <v>1177</v>
      </c>
      <c r="D343" s="303" t="s">
        <v>1178</v>
      </c>
      <c r="E343" s="315">
        <v>41912.0</v>
      </c>
      <c r="F343" s="312" t="s">
        <v>30</v>
      </c>
      <c r="G343" s="303" t="s">
        <v>1181</v>
      </c>
      <c r="H343" s="303" t="s">
        <v>1180</v>
      </c>
      <c r="I343" s="303" t="s">
        <v>1187</v>
      </c>
      <c r="J343" s="306">
        <v>0.8</v>
      </c>
      <c r="K343" s="50"/>
      <c r="L343" s="312"/>
      <c r="M343" s="312">
        <v>258.0</v>
      </c>
      <c r="N343" s="312"/>
      <c r="O343" s="312"/>
      <c r="P343" s="315">
        <v>42427.0</v>
      </c>
      <c r="Q343" s="312">
        <v>48277.0</v>
      </c>
      <c r="R343" s="312">
        <v>366.0</v>
      </c>
      <c r="S343" s="316"/>
      <c r="T343" s="317">
        <v>370.63</v>
      </c>
      <c r="U343" s="312" t="s">
        <v>1366</v>
      </c>
      <c r="V343" s="312" t="s">
        <v>1367</v>
      </c>
      <c r="W343" s="312">
        <v>366.0</v>
      </c>
      <c r="X343" s="312">
        <v>50.0</v>
      </c>
      <c r="Y343" s="312">
        <v>60.3</v>
      </c>
      <c r="Z343" s="312" t="s">
        <v>1366</v>
      </c>
      <c r="AA343" s="50"/>
      <c r="AB343" s="50"/>
      <c r="AC343" s="50"/>
      <c r="AD343" s="50"/>
      <c r="AE343" s="50"/>
    </row>
    <row r="344">
      <c r="A344" s="307">
        <v>42428.29791666667</v>
      </c>
      <c r="B344" s="312" t="s">
        <v>742</v>
      </c>
      <c r="C344" s="303" t="s">
        <v>1177</v>
      </c>
      <c r="D344" s="303" t="s">
        <v>1178</v>
      </c>
      <c r="E344" s="315">
        <v>41912.0</v>
      </c>
      <c r="F344" s="312" t="s">
        <v>30</v>
      </c>
      <c r="G344" s="303" t="s">
        <v>1181</v>
      </c>
      <c r="H344" s="303" t="s">
        <v>1180</v>
      </c>
      <c r="I344" s="303" t="s">
        <v>1187</v>
      </c>
      <c r="J344" s="306">
        <v>0.8</v>
      </c>
      <c r="K344" s="50"/>
      <c r="L344" s="312"/>
      <c r="M344" s="312">
        <v>258.0</v>
      </c>
      <c r="N344" s="312"/>
      <c r="O344" s="312"/>
      <c r="P344" s="315">
        <v>42428.0</v>
      </c>
      <c r="Q344" s="312">
        <v>48521.0</v>
      </c>
      <c r="R344" s="312">
        <v>367.0</v>
      </c>
      <c r="S344" s="316"/>
      <c r="T344" s="317">
        <v>371.65</v>
      </c>
      <c r="U344" s="312" t="s">
        <v>1366</v>
      </c>
      <c r="V344" s="312" t="s">
        <v>1367</v>
      </c>
      <c r="W344" s="312">
        <v>367.0</v>
      </c>
      <c r="X344" s="312">
        <v>218.0</v>
      </c>
      <c r="Y344" s="312">
        <v>27.7</v>
      </c>
      <c r="Z344" s="312" t="s">
        <v>1366</v>
      </c>
      <c r="AA344" s="50"/>
      <c r="AB344" s="50"/>
      <c r="AC344" s="50"/>
      <c r="AD344" s="50"/>
      <c r="AE344" s="50"/>
    </row>
    <row r="345">
      <c r="A345" s="307">
        <v>42500.3875</v>
      </c>
      <c r="B345" s="312" t="s">
        <v>742</v>
      </c>
      <c r="C345" s="303" t="s">
        <v>1177</v>
      </c>
      <c r="D345" s="303" t="s">
        <v>1178</v>
      </c>
      <c r="E345" s="315">
        <v>41912.0</v>
      </c>
      <c r="F345" s="312" t="s">
        <v>30</v>
      </c>
      <c r="G345" s="312"/>
      <c r="H345" s="312"/>
      <c r="I345" s="312"/>
      <c r="J345" s="306"/>
      <c r="K345" s="50"/>
      <c r="L345" s="312"/>
      <c r="M345" s="312">
        <v>258.0</v>
      </c>
      <c r="N345" s="312"/>
      <c r="O345" s="312"/>
      <c r="P345" s="315">
        <v>42500.0</v>
      </c>
      <c r="Q345" s="312">
        <v>55421.0</v>
      </c>
      <c r="R345" s="312">
        <v>367.0</v>
      </c>
      <c r="S345" s="316"/>
      <c r="T345" s="317">
        <v>371.65</v>
      </c>
      <c r="U345" s="312" t="s">
        <v>1366</v>
      </c>
      <c r="V345" s="312" t="s">
        <v>1367</v>
      </c>
      <c r="W345" s="50"/>
      <c r="X345" s="50"/>
      <c r="Y345" s="50"/>
      <c r="Z345" s="312"/>
      <c r="AA345" s="50"/>
      <c r="AB345" s="50"/>
      <c r="AC345" s="50"/>
      <c r="AD345" s="50"/>
      <c r="AE345" s="50"/>
    </row>
    <row r="346">
      <c r="A346" s="307">
        <v>42607.388194444444</v>
      </c>
      <c r="B346" s="312" t="s">
        <v>742</v>
      </c>
      <c r="C346" s="303" t="s">
        <v>1177</v>
      </c>
      <c r="D346" s="303" t="s">
        <v>1178</v>
      </c>
      <c r="E346" s="315">
        <v>41912.0</v>
      </c>
      <c r="F346" s="312" t="s">
        <v>30</v>
      </c>
      <c r="G346" s="312"/>
      <c r="H346" s="312"/>
      <c r="I346" s="312"/>
      <c r="J346" s="306"/>
      <c r="K346" s="50"/>
      <c r="L346" s="312"/>
      <c r="M346" s="312">
        <v>253.0</v>
      </c>
      <c r="N346" s="312"/>
      <c r="O346" s="312"/>
      <c r="P346" s="315">
        <v>42607.0</v>
      </c>
      <c r="Q346" s="312">
        <v>65833.0</v>
      </c>
      <c r="R346" s="312">
        <v>373.0</v>
      </c>
      <c r="S346" s="316"/>
      <c r="T346" s="317">
        <v>377.72</v>
      </c>
      <c r="U346" s="312" t="s">
        <v>1366</v>
      </c>
      <c r="V346" s="312" t="s">
        <v>1367</v>
      </c>
      <c r="W346" s="50"/>
      <c r="X346" s="50"/>
      <c r="Y346" s="50"/>
      <c r="Z346" s="312"/>
      <c r="AA346" s="50"/>
      <c r="AB346" s="50"/>
      <c r="AC346" s="50"/>
      <c r="AD346" s="50"/>
      <c r="AE346" s="50"/>
    </row>
    <row r="347">
      <c r="A347" s="307">
        <v>42332.23263888889</v>
      </c>
      <c r="B347" s="312" t="s">
        <v>720</v>
      </c>
      <c r="C347" s="303" t="s">
        <v>1177</v>
      </c>
      <c r="D347" s="303" t="s">
        <v>1178</v>
      </c>
      <c r="E347" s="315">
        <v>41902.0</v>
      </c>
      <c r="F347" s="312" t="s">
        <v>30</v>
      </c>
      <c r="G347" s="303" t="s">
        <v>1181</v>
      </c>
      <c r="H347" s="303" t="s">
        <v>1181</v>
      </c>
      <c r="I347" s="303" t="s">
        <v>1181</v>
      </c>
      <c r="J347" s="306">
        <v>0.8</v>
      </c>
      <c r="K347" s="50"/>
      <c r="L347" s="312"/>
      <c r="M347" s="312">
        <v>246.0</v>
      </c>
      <c r="N347" s="312"/>
      <c r="O347" s="312"/>
      <c r="P347" s="315">
        <v>42332.0</v>
      </c>
      <c r="Q347" s="312">
        <v>26550.0</v>
      </c>
      <c r="R347" s="312">
        <v>375.0</v>
      </c>
      <c r="S347" s="316"/>
      <c r="T347" s="317">
        <v>379.75</v>
      </c>
      <c r="U347" s="312" t="s">
        <v>1366</v>
      </c>
      <c r="V347" s="312" t="s">
        <v>1367</v>
      </c>
      <c r="W347" s="50"/>
      <c r="X347" s="50"/>
      <c r="Y347" s="50"/>
      <c r="Z347" s="312"/>
      <c r="AA347" s="50"/>
      <c r="AB347" s="50"/>
      <c r="AC347" s="50"/>
      <c r="AD347" s="50"/>
      <c r="AE347" s="50"/>
    </row>
    <row r="348">
      <c r="A348" s="307">
        <v>42382.275</v>
      </c>
      <c r="B348" s="312" t="s">
        <v>720</v>
      </c>
      <c r="C348" s="303" t="s">
        <v>1177</v>
      </c>
      <c r="D348" s="303" t="s">
        <v>1178</v>
      </c>
      <c r="E348" s="310">
        <v>41902.0</v>
      </c>
      <c r="F348" s="312" t="s">
        <v>30</v>
      </c>
      <c r="G348" s="303" t="s">
        <v>1180</v>
      </c>
      <c r="H348" s="303" t="s">
        <v>1181</v>
      </c>
      <c r="I348" s="303" t="s">
        <v>1181</v>
      </c>
      <c r="J348" s="306">
        <v>0.8</v>
      </c>
      <c r="K348" s="50"/>
      <c r="L348" s="312"/>
      <c r="M348" s="312">
        <v>247.0</v>
      </c>
      <c r="N348" s="312"/>
      <c r="O348" s="312"/>
      <c r="P348" s="315">
        <v>42382.0</v>
      </c>
      <c r="Q348" s="312">
        <v>31300.0</v>
      </c>
      <c r="R348" s="312">
        <v>372.0</v>
      </c>
      <c r="S348" s="316"/>
      <c r="T348" s="317">
        <v>376.71</v>
      </c>
      <c r="U348" s="312" t="s">
        <v>1366</v>
      </c>
      <c r="V348" s="312" t="s">
        <v>1367</v>
      </c>
      <c r="W348" s="50"/>
      <c r="X348" s="50"/>
      <c r="Y348" s="50"/>
      <c r="Z348" s="312"/>
      <c r="AA348" s="50"/>
      <c r="AB348" s="50"/>
      <c r="AC348" s="50"/>
      <c r="AD348" s="50"/>
      <c r="AE348" s="50"/>
    </row>
    <row r="349">
      <c r="A349" s="307">
        <v>42948.57986111111</v>
      </c>
      <c r="B349" s="312" t="s">
        <v>942</v>
      </c>
      <c r="C349" s="303" t="s">
        <v>1177</v>
      </c>
      <c r="D349" s="303" t="s">
        <v>1178</v>
      </c>
      <c r="E349" s="315">
        <v>42853.0</v>
      </c>
      <c r="F349" s="312" t="s">
        <v>43</v>
      </c>
      <c r="G349" s="303" t="s">
        <v>1179</v>
      </c>
      <c r="H349" s="303" t="s">
        <v>1181</v>
      </c>
      <c r="I349" s="303" t="s">
        <v>1187</v>
      </c>
      <c r="J349" s="306">
        <v>0.8</v>
      </c>
      <c r="K349" s="312">
        <v>452.0</v>
      </c>
      <c r="L349" s="312"/>
      <c r="M349" s="312">
        <v>190.0</v>
      </c>
      <c r="N349" s="312"/>
      <c r="O349" s="312"/>
      <c r="P349" s="315">
        <v>42948.0</v>
      </c>
      <c r="Q349" s="312">
        <v>4501.0</v>
      </c>
      <c r="R349" s="312">
        <v>452.0</v>
      </c>
      <c r="S349" s="316"/>
      <c r="T349" s="317">
        <v>457.72</v>
      </c>
      <c r="U349" s="312" t="s">
        <v>1366</v>
      </c>
      <c r="V349" s="312" t="s">
        <v>1367</v>
      </c>
      <c r="W349" s="50"/>
      <c r="X349" s="50"/>
      <c r="Y349" s="50"/>
      <c r="Z349" s="312"/>
      <c r="AA349" s="312" t="s">
        <v>1373</v>
      </c>
      <c r="AB349" s="50"/>
      <c r="AC349" s="50"/>
      <c r="AD349" s="50"/>
      <c r="AE349" s="50"/>
    </row>
    <row r="350">
      <c r="A350" s="307">
        <v>43083.66875</v>
      </c>
      <c r="B350" s="312" t="s">
        <v>1463</v>
      </c>
      <c r="C350" s="303" t="s">
        <v>1177</v>
      </c>
      <c r="D350" s="303" t="s">
        <v>1178</v>
      </c>
      <c r="E350" s="315">
        <v>42145.0</v>
      </c>
      <c r="F350" s="312" t="s">
        <v>36</v>
      </c>
      <c r="G350" s="303" t="s">
        <v>1179</v>
      </c>
      <c r="H350" s="303" t="s">
        <v>1181</v>
      </c>
      <c r="I350" s="303" t="s">
        <v>1181</v>
      </c>
      <c r="J350" s="306"/>
      <c r="K350" s="50"/>
      <c r="L350" s="312"/>
      <c r="M350" s="312">
        <v>235.0</v>
      </c>
      <c r="N350" s="312"/>
      <c r="O350" s="312"/>
      <c r="P350" s="315">
        <v>43083.0</v>
      </c>
      <c r="Q350" s="312">
        <v>73450.0</v>
      </c>
      <c r="R350" s="312">
        <v>409.0</v>
      </c>
      <c r="S350" s="316"/>
      <c r="T350" s="317">
        <v>414.18</v>
      </c>
      <c r="U350" s="312" t="s">
        <v>1366</v>
      </c>
      <c r="V350" s="312" t="s">
        <v>1367</v>
      </c>
      <c r="W350" s="50"/>
      <c r="X350" s="50"/>
      <c r="Y350" s="50"/>
      <c r="Z350" s="312"/>
      <c r="AA350" s="50"/>
      <c r="AB350" s="50"/>
      <c r="AC350" s="50"/>
      <c r="AD350" s="50"/>
      <c r="AE350" s="50"/>
    </row>
    <row r="351">
      <c r="A351" s="307">
        <v>42384.669444444444</v>
      </c>
      <c r="B351" s="312" t="s">
        <v>1463</v>
      </c>
      <c r="C351" s="303" t="s">
        <v>1177</v>
      </c>
      <c r="D351" s="303" t="s">
        <v>1178</v>
      </c>
      <c r="E351" s="315">
        <v>42145.0</v>
      </c>
      <c r="F351" s="312" t="s">
        <v>36</v>
      </c>
      <c r="G351" s="303" t="s">
        <v>1179</v>
      </c>
      <c r="H351" s="303" t="s">
        <v>1181</v>
      </c>
      <c r="I351" s="303" t="s">
        <v>1181</v>
      </c>
      <c r="J351" s="306">
        <v>0.9</v>
      </c>
      <c r="K351" s="50"/>
      <c r="L351" s="312"/>
      <c r="M351" s="312">
        <v>230.0</v>
      </c>
      <c r="N351" s="312"/>
      <c r="O351" s="312"/>
      <c r="P351" s="315">
        <v>42384.0</v>
      </c>
      <c r="Q351" s="312">
        <v>20800.0</v>
      </c>
      <c r="R351" s="312">
        <v>414.0</v>
      </c>
      <c r="S351" s="316"/>
      <c r="T351" s="317">
        <v>419.24</v>
      </c>
      <c r="U351" s="312" t="s">
        <v>1366</v>
      </c>
      <c r="V351" s="312" t="s">
        <v>1367</v>
      </c>
      <c r="W351" s="50"/>
      <c r="X351" s="50"/>
      <c r="Y351" s="50"/>
      <c r="Z351" s="312"/>
      <c r="AA351" s="50"/>
      <c r="AB351" s="50"/>
      <c r="AC351" s="50"/>
      <c r="AD351" s="50"/>
      <c r="AE351" s="50"/>
    </row>
    <row r="352">
      <c r="A352" s="307">
        <v>43125.68541666667</v>
      </c>
      <c r="B352" s="312" t="s">
        <v>1463</v>
      </c>
      <c r="C352" s="303" t="s">
        <v>1177</v>
      </c>
      <c r="D352" s="303" t="s">
        <v>1178</v>
      </c>
      <c r="E352" s="315">
        <v>42145.0</v>
      </c>
      <c r="F352" s="312" t="s">
        <v>36</v>
      </c>
      <c r="G352" s="312"/>
      <c r="H352" s="312"/>
      <c r="I352" s="312"/>
      <c r="J352" s="306"/>
      <c r="K352" s="50"/>
      <c r="L352" s="312"/>
      <c r="M352" s="312">
        <v>228.0</v>
      </c>
      <c r="N352" s="312"/>
      <c r="O352" s="312"/>
      <c r="P352" s="315">
        <v>43125.0</v>
      </c>
      <c r="Q352" s="312">
        <v>74909.0</v>
      </c>
      <c r="R352" s="312">
        <v>410.0</v>
      </c>
      <c r="S352" s="316"/>
      <c r="T352" s="317">
        <v>415.19</v>
      </c>
      <c r="U352" s="312" t="s">
        <v>1366</v>
      </c>
      <c r="V352" s="312" t="s">
        <v>1367</v>
      </c>
      <c r="W352" s="50"/>
      <c r="X352" s="50"/>
      <c r="Y352" s="50"/>
      <c r="Z352" s="312"/>
      <c r="AA352" s="50"/>
      <c r="AB352" s="50"/>
      <c r="AC352" s="50"/>
      <c r="AD352" s="50"/>
      <c r="AE352" s="50"/>
    </row>
    <row r="353">
      <c r="A353" s="307">
        <v>43186.72777777778</v>
      </c>
      <c r="B353" s="312" t="s">
        <v>1463</v>
      </c>
      <c r="C353" s="303" t="s">
        <v>1177</v>
      </c>
      <c r="D353" s="303" t="s">
        <v>1178</v>
      </c>
      <c r="E353" s="315">
        <v>42145.0</v>
      </c>
      <c r="F353" s="312" t="s">
        <v>36</v>
      </c>
      <c r="G353" s="303" t="s">
        <v>1179</v>
      </c>
      <c r="H353" s="303" t="s">
        <v>1181</v>
      </c>
      <c r="I353" s="303" t="s">
        <v>1180</v>
      </c>
      <c r="J353" s="306">
        <v>0.9</v>
      </c>
      <c r="K353" s="50"/>
      <c r="L353" s="312"/>
      <c r="M353" s="312"/>
      <c r="N353" s="312"/>
      <c r="O353" s="312"/>
      <c r="P353" s="315">
        <v>43186.0</v>
      </c>
      <c r="Q353" s="312">
        <v>81631.0</v>
      </c>
      <c r="R353" s="312">
        <v>408.0</v>
      </c>
      <c r="S353" s="316"/>
      <c r="T353" s="317">
        <v>413.16</v>
      </c>
      <c r="U353" s="312" t="s">
        <v>1366</v>
      </c>
      <c r="V353" s="312" t="s">
        <v>1367</v>
      </c>
      <c r="W353" s="50"/>
      <c r="X353" s="50"/>
      <c r="Y353" s="50"/>
      <c r="Z353" s="312"/>
      <c r="AA353" s="50"/>
      <c r="AB353" s="50"/>
      <c r="AC353" s="50"/>
      <c r="AD353" s="50"/>
      <c r="AE353" s="50"/>
    </row>
    <row r="354">
      <c r="A354" s="307">
        <v>43220.73541666667</v>
      </c>
      <c r="B354" s="312" t="s">
        <v>1463</v>
      </c>
      <c r="C354" s="303" t="s">
        <v>1177</v>
      </c>
      <c r="D354" s="303" t="s">
        <v>1178</v>
      </c>
      <c r="E354" s="315">
        <v>42145.0</v>
      </c>
      <c r="F354" s="312" t="s">
        <v>36</v>
      </c>
      <c r="G354" s="303" t="s">
        <v>1179</v>
      </c>
      <c r="H354" s="303" t="s">
        <v>1180</v>
      </c>
      <c r="I354" s="303" t="s">
        <v>1180</v>
      </c>
      <c r="J354" s="306">
        <v>0.9</v>
      </c>
      <c r="K354" s="50"/>
      <c r="L354" s="312"/>
      <c r="M354" s="312">
        <v>225.0</v>
      </c>
      <c r="N354" s="312"/>
      <c r="O354" s="312"/>
      <c r="P354" s="315">
        <v>43220.0</v>
      </c>
      <c r="Q354" s="312">
        <v>86489.0</v>
      </c>
      <c r="R354" s="312">
        <v>407.0</v>
      </c>
      <c r="S354" s="316"/>
      <c r="T354" s="319">
        <v>412.15</v>
      </c>
      <c r="U354" s="312" t="s">
        <v>1366</v>
      </c>
      <c r="V354" s="312" t="s">
        <v>1367</v>
      </c>
      <c r="W354" s="50"/>
      <c r="X354" s="50"/>
      <c r="Y354" s="50"/>
      <c r="Z354" s="312"/>
      <c r="AA354" s="50"/>
      <c r="AB354" s="50"/>
      <c r="AC354" s="50"/>
      <c r="AD354" s="50"/>
      <c r="AE354" s="50"/>
    </row>
    <row r="355">
      <c r="A355" s="307">
        <v>42157.74166666667</v>
      </c>
      <c r="B355" s="50" t="s">
        <v>891</v>
      </c>
      <c r="C355" s="50" t="s">
        <v>1184</v>
      </c>
      <c r="D355" s="303" t="s">
        <v>1185</v>
      </c>
      <c r="E355" s="310">
        <v>42156.0</v>
      </c>
      <c r="F355" s="50" t="s">
        <v>22</v>
      </c>
      <c r="G355" s="303" t="s">
        <v>1181</v>
      </c>
      <c r="H355" s="303" t="s">
        <v>1186</v>
      </c>
      <c r="I355" s="303" t="s">
        <v>1186</v>
      </c>
      <c r="J355" s="306"/>
      <c r="K355" s="50"/>
      <c r="L355" s="50"/>
      <c r="M355" s="312">
        <v>335.0</v>
      </c>
      <c r="N355" s="312"/>
      <c r="O355" s="312"/>
      <c r="P355" s="310">
        <v>42157.0</v>
      </c>
      <c r="Q355" s="50">
        <v>50.0</v>
      </c>
      <c r="R355" s="312">
        <v>240.0</v>
      </c>
      <c r="S355" s="316"/>
      <c r="T355" s="317">
        <v>243.04</v>
      </c>
      <c r="U355" s="312" t="s">
        <v>1366</v>
      </c>
      <c r="V355" s="312" t="s">
        <v>1367</v>
      </c>
      <c r="W355" s="50"/>
      <c r="X355" s="50"/>
      <c r="Y355" s="50"/>
      <c r="Z355" s="312"/>
      <c r="AA355" s="50"/>
      <c r="AB355" s="50"/>
      <c r="AC355" s="50"/>
      <c r="AD355" s="50"/>
      <c r="AE355" s="50"/>
    </row>
    <row r="356">
      <c r="A356" s="307">
        <v>42320.22777777778</v>
      </c>
      <c r="B356" s="312" t="s">
        <v>1084</v>
      </c>
      <c r="C356" s="303" t="s">
        <v>1177</v>
      </c>
      <c r="D356" s="303" t="s">
        <v>1178</v>
      </c>
      <c r="E356" s="315">
        <v>41791.0</v>
      </c>
      <c r="F356" s="312" t="s">
        <v>30</v>
      </c>
      <c r="G356" s="303" t="s">
        <v>1190</v>
      </c>
      <c r="H356" s="303" t="s">
        <v>1180</v>
      </c>
      <c r="I356" s="303" t="s">
        <v>1186</v>
      </c>
      <c r="J356" s="306">
        <v>0.8</v>
      </c>
      <c r="K356" s="50"/>
      <c r="L356" s="312"/>
      <c r="M356" s="312">
        <v>209.0</v>
      </c>
      <c r="N356" s="312"/>
      <c r="O356" s="312"/>
      <c r="P356" s="315">
        <v>42320.0</v>
      </c>
      <c r="Q356" s="312">
        <v>22000.0</v>
      </c>
      <c r="R356" s="312">
        <v>383.0</v>
      </c>
      <c r="S356" s="316"/>
      <c r="T356" s="317">
        <v>387.85</v>
      </c>
      <c r="U356" s="312" t="s">
        <v>1366</v>
      </c>
      <c r="V356" s="312" t="s">
        <v>1367</v>
      </c>
      <c r="W356" s="50"/>
      <c r="X356" s="50"/>
      <c r="Y356" s="50"/>
      <c r="Z356" s="312"/>
      <c r="AA356" s="50"/>
      <c r="AB356" s="50"/>
      <c r="AC356" s="50"/>
      <c r="AD356" s="50"/>
      <c r="AE356" s="50"/>
    </row>
    <row r="357">
      <c r="A357" s="307">
        <v>43113.66458333333</v>
      </c>
      <c r="B357" s="312" t="s">
        <v>1464</v>
      </c>
      <c r="C357" s="303" t="s">
        <v>1177</v>
      </c>
      <c r="D357" s="303" t="s">
        <v>1178</v>
      </c>
      <c r="E357" s="315">
        <v>42345.0</v>
      </c>
      <c r="F357" s="312" t="s">
        <v>43</v>
      </c>
      <c r="G357" s="303" t="s">
        <v>1179</v>
      </c>
      <c r="H357" s="303" t="s">
        <v>1179</v>
      </c>
      <c r="I357" s="303" t="s">
        <v>1179</v>
      </c>
      <c r="J357" s="306">
        <v>0.8</v>
      </c>
      <c r="K357" s="50"/>
      <c r="L357" s="312"/>
      <c r="M357" s="312">
        <v>225.0</v>
      </c>
      <c r="N357" s="312"/>
      <c r="O357" s="312"/>
      <c r="P357" s="315">
        <v>43113.0</v>
      </c>
      <c r="Q357" s="312">
        <v>77257.0</v>
      </c>
      <c r="R357" s="312">
        <v>423.0</v>
      </c>
      <c r="S357" s="316"/>
      <c r="T357" s="317">
        <v>428.35</v>
      </c>
      <c r="U357" s="312" t="s">
        <v>1366</v>
      </c>
      <c r="V357" s="312" t="s">
        <v>1367</v>
      </c>
      <c r="W357" s="50"/>
      <c r="X357" s="50"/>
      <c r="Y357" s="50"/>
      <c r="Z357" s="312"/>
      <c r="AA357" s="312" t="s">
        <v>1465</v>
      </c>
      <c r="AB357" s="50"/>
      <c r="AC357" s="50"/>
      <c r="AD357" s="50"/>
      <c r="AE357" s="50"/>
    </row>
    <row r="358">
      <c r="A358" s="307">
        <v>42636.43263888889</v>
      </c>
      <c r="B358" s="312" t="s">
        <v>1013</v>
      </c>
      <c r="C358" s="303" t="s">
        <v>1177</v>
      </c>
      <c r="D358" s="303" t="s">
        <v>1178</v>
      </c>
      <c r="E358" s="315">
        <v>41807.0</v>
      </c>
      <c r="F358" s="312" t="s">
        <v>32</v>
      </c>
      <c r="G358" s="303" t="s">
        <v>1179</v>
      </c>
      <c r="H358" s="303" t="s">
        <v>1181</v>
      </c>
      <c r="I358" s="303" t="s">
        <v>1186</v>
      </c>
      <c r="J358" s="306">
        <v>0.9</v>
      </c>
      <c r="K358" s="50"/>
      <c r="L358" s="312"/>
      <c r="M358" s="312">
        <v>169.0</v>
      </c>
      <c r="N358" s="312"/>
      <c r="O358" s="312"/>
      <c r="P358" s="315">
        <v>42636.0</v>
      </c>
      <c r="Q358" s="312">
        <v>115834.0</v>
      </c>
      <c r="R358" s="312">
        <v>384.0</v>
      </c>
      <c r="S358" s="316"/>
      <c r="T358" s="317">
        <v>384.0</v>
      </c>
      <c r="U358" s="312" t="s">
        <v>1369</v>
      </c>
      <c r="V358" s="312" t="s">
        <v>1367</v>
      </c>
      <c r="W358" s="50"/>
      <c r="X358" s="50"/>
      <c r="Y358" s="50"/>
      <c r="Z358" s="312"/>
      <c r="AA358" s="312" t="s">
        <v>1466</v>
      </c>
      <c r="AB358" s="50"/>
      <c r="AC358" s="50"/>
      <c r="AD358" s="50"/>
      <c r="AE358" s="50"/>
    </row>
    <row r="359">
      <c r="A359" s="307">
        <v>43210.729166666664</v>
      </c>
      <c r="B359" s="312" t="s">
        <v>1290</v>
      </c>
      <c r="C359" s="303" t="s">
        <v>1177</v>
      </c>
      <c r="D359" s="303" t="s">
        <v>1178</v>
      </c>
      <c r="E359" s="315">
        <v>42080.0</v>
      </c>
      <c r="F359" s="312" t="s">
        <v>38</v>
      </c>
      <c r="G359" s="303" t="s">
        <v>1179</v>
      </c>
      <c r="H359" s="303" t="s">
        <v>1180</v>
      </c>
      <c r="I359" s="303" t="s">
        <v>1181</v>
      </c>
      <c r="J359" s="306">
        <v>0.7</v>
      </c>
      <c r="K359" s="50"/>
      <c r="L359" s="312"/>
      <c r="M359" s="312">
        <v>218.0</v>
      </c>
      <c r="N359" s="312"/>
      <c r="O359" s="312"/>
      <c r="P359" s="315">
        <v>43210.0</v>
      </c>
      <c r="Q359" s="312">
        <v>71049.0</v>
      </c>
      <c r="R359" s="312">
        <v>385.0</v>
      </c>
      <c r="S359" s="316"/>
      <c r="T359" s="317">
        <v>385.0</v>
      </c>
      <c r="U359" s="312" t="s">
        <v>1369</v>
      </c>
      <c r="V359" s="312" t="s">
        <v>1367</v>
      </c>
      <c r="W359" s="312"/>
      <c r="X359" s="312"/>
      <c r="Y359" s="312"/>
      <c r="Z359" s="312"/>
      <c r="AA359" s="312"/>
      <c r="AB359" s="50"/>
      <c r="AC359" s="50"/>
      <c r="AD359" s="50"/>
      <c r="AE359" s="50"/>
    </row>
    <row r="360">
      <c r="A360" s="307">
        <v>42313.22222222222</v>
      </c>
      <c r="B360" s="312" t="s">
        <v>1072</v>
      </c>
      <c r="C360" s="303" t="s">
        <v>1177</v>
      </c>
      <c r="D360" s="303" t="s">
        <v>1178</v>
      </c>
      <c r="E360" s="315">
        <v>41591.0</v>
      </c>
      <c r="F360" s="312" t="s">
        <v>30</v>
      </c>
      <c r="G360" s="303" t="s">
        <v>1180</v>
      </c>
      <c r="H360" s="303" t="s">
        <v>1186</v>
      </c>
      <c r="I360" s="303" t="s">
        <v>1187</v>
      </c>
      <c r="J360" s="306">
        <v>0.9</v>
      </c>
      <c r="K360" s="312">
        <v>393.0</v>
      </c>
      <c r="L360" s="312"/>
      <c r="M360" s="312">
        <v>216.0</v>
      </c>
      <c r="N360" s="312">
        <v>49000.0</v>
      </c>
      <c r="O360" s="303" t="s">
        <v>1467</v>
      </c>
      <c r="P360" s="315">
        <v>42313.0</v>
      </c>
      <c r="Q360" s="312">
        <v>60000.0</v>
      </c>
      <c r="R360" s="312">
        <v>393.0</v>
      </c>
      <c r="S360" s="316"/>
      <c r="T360" s="317">
        <v>393.0</v>
      </c>
      <c r="U360" s="312" t="s">
        <v>1369</v>
      </c>
      <c r="V360" s="312" t="s">
        <v>1399</v>
      </c>
      <c r="W360" s="50"/>
      <c r="X360" s="50"/>
      <c r="Y360" s="50"/>
      <c r="Z360" s="312"/>
      <c r="AA360" s="312" t="s">
        <v>1468</v>
      </c>
      <c r="AB360" s="50"/>
      <c r="AC360" s="50"/>
      <c r="AD360" s="50"/>
      <c r="AE360" s="50"/>
    </row>
    <row r="361">
      <c r="A361" s="307">
        <v>42678.91388888889</v>
      </c>
      <c r="B361" s="312" t="s">
        <v>788</v>
      </c>
      <c r="C361" s="312" t="s">
        <v>1197</v>
      </c>
      <c r="D361" s="303" t="s">
        <v>1178</v>
      </c>
      <c r="E361" s="315">
        <v>41540.0</v>
      </c>
      <c r="F361" s="312" t="s">
        <v>32</v>
      </c>
      <c r="G361" s="303" t="s">
        <v>1179</v>
      </c>
      <c r="H361" s="303" t="s">
        <v>1181</v>
      </c>
      <c r="I361" s="303" t="s">
        <v>1186</v>
      </c>
      <c r="J361" s="306">
        <v>0.8</v>
      </c>
      <c r="K361" s="312">
        <v>425.0</v>
      </c>
      <c r="L361" s="312"/>
      <c r="M361" s="312">
        <v>212.0</v>
      </c>
      <c r="N361" s="312"/>
      <c r="O361" s="312"/>
      <c r="P361" s="315">
        <v>42678.0</v>
      </c>
      <c r="Q361" s="312">
        <v>111001.0</v>
      </c>
      <c r="R361" s="312">
        <v>398.0</v>
      </c>
      <c r="S361" s="316"/>
      <c r="T361" s="317">
        <v>403.04</v>
      </c>
      <c r="U361" s="312" t="s">
        <v>1366</v>
      </c>
      <c r="V361" s="312" t="s">
        <v>1367</v>
      </c>
      <c r="W361" s="50"/>
      <c r="X361" s="50"/>
      <c r="Y361" s="50"/>
      <c r="Z361" s="312"/>
      <c r="AA361" s="312" t="s">
        <v>1469</v>
      </c>
      <c r="AB361" s="50"/>
      <c r="AC361" s="50"/>
      <c r="AD361" s="50"/>
      <c r="AE361" s="50"/>
    </row>
    <row r="362">
      <c r="A362" s="307">
        <v>42783.916666666664</v>
      </c>
      <c r="B362" s="312" t="s">
        <v>788</v>
      </c>
      <c r="C362" s="312" t="s">
        <v>1197</v>
      </c>
      <c r="D362" s="303" t="s">
        <v>1178</v>
      </c>
      <c r="E362" s="315">
        <v>41540.0</v>
      </c>
      <c r="F362" s="312" t="s">
        <v>32</v>
      </c>
      <c r="G362" s="303" t="s">
        <v>1179</v>
      </c>
      <c r="H362" s="303" t="s">
        <v>1181</v>
      </c>
      <c r="I362" s="303" t="s">
        <v>1186</v>
      </c>
      <c r="J362" s="306">
        <v>0.8</v>
      </c>
      <c r="K362" s="312">
        <v>425.0</v>
      </c>
      <c r="L362" s="312"/>
      <c r="M362" s="312">
        <v>214.58</v>
      </c>
      <c r="N362" s="312"/>
      <c r="O362" s="312"/>
      <c r="P362" s="315">
        <v>42783.0</v>
      </c>
      <c r="Q362" s="312">
        <v>120000.0</v>
      </c>
      <c r="R362" s="312">
        <v>403.0</v>
      </c>
      <c r="S362" s="316"/>
      <c r="T362" s="317">
        <v>408.1</v>
      </c>
      <c r="U362" s="312" t="s">
        <v>1366</v>
      </c>
      <c r="V362" s="312" t="s">
        <v>1367</v>
      </c>
      <c r="W362" s="50"/>
      <c r="X362" s="50"/>
      <c r="Y362" s="50"/>
      <c r="Z362" s="312"/>
      <c r="AA362" s="50"/>
      <c r="AB362" s="50"/>
      <c r="AC362" s="50"/>
      <c r="AD362" s="50"/>
      <c r="AE362" s="50"/>
    </row>
    <row r="363">
      <c r="A363" s="307">
        <v>42181.14375</v>
      </c>
      <c r="B363" s="312" t="s">
        <v>913</v>
      </c>
      <c r="C363" s="303" t="s">
        <v>1177</v>
      </c>
      <c r="D363" s="303" t="s">
        <v>1178</v>
      </c>
      <c r="E363" s="315">
        <v>42143.0</v>
      </c>
      <c r="F363" s="312" t="s">
        <v>12</v>
      </c>
      <c r="G363" s="303" t="s">
        <v>1180</v>
      </c>
      <c r="H363" s="303" t="s">
        <v>1180</v>
      </c>
      <c r="I363" s="303" t="s">
        <v>1187</v>
      </c>
      <c r="J363" s="306">
        <v>0.8</v>
      </c>
      <c r="K363" s="50"/>
      <c r="L363" s="312"/>
      <c r="M363" s="312">
        <v>200.0</v>
      </c>
      <c r="N363" s="312"/>
      <c r="O363" s="312"/>
      <c r="P363" s="315">
        <v>42181.0</v>
      </c>
      <c r="Q363" s="312">
        <v>2300.0</v>
      </c>
      <c r="R363" s="312">
        <v>286.0</v>
      </c>
      <c r="S363" s="316"/>
      <c r="T363" s="317">
        <v>289.62</v>
      </c>
      <c r="U363" s="312" t="s">
        <v>1366</v>
      </c>
      <c r="V363" s="312" t="s">
        <v>1367</v>
      </c>
      <c r="W363" s="50"/>
      <c r="X363" s="50"/>
      <c r="Y363" s="50"/>
      <c r="Z363" s="312"/>
      <c r="AA363" s="50"/>
      <c r="AB363" s="50"/>
      <c r="AC363" s="50"/>
      <c r="AD363" s="50"/>
      <c r="AE363" s="50"/>
    </row>
    <row r="364">
      <c r="A364" s="307">
        <v>43200.88958333333</v>
      </c>
      <c r="B364" s="312" t="s">
        <v>1470</v>
      </c>
      <c r="C364" s="312" t="s">
        <v>1184</v>
      </c>
      <c r="D364" s="303" t="s">
        <v>1185</v>
      </c>
      <c r="E364" s="315">
        <v>43192.0</v>
      </c>
      <c r="F364" s="312" t="s">
        <v>1221</v>
      </c>
      <c r="G364" s="303" t="s">
        <v>1187</v>
      </c>
      <c r="H364" s="303" t="s">
        <v>1181</v>
      </c>
      <c r="I364" s="303" t="s">
        <v>1187</v>
      </c>
      <c r="J364" s="306">
        <v>0.8</v>
      </c>
      <c r="K364" s="312">
        <v>311.0</v>
      </c>
      <c r="L364" s="312"/>
      <c r="M364" s="312">
        <v>250.0</v>
      </c>
      <c r="N364" s="312"/>
      <c r="O364" s="312"/>
      <c r="P364" s="315">
        <v>43200.0</v>
      </c>
      <c r="Q364" s="312">
        <v>6.0</v>
      </c>
      <c r="R364" s="312">
        <v>311.0</v>
      </c>
      <c r="S364" s="316"/>
      <c r="T364" s="317">
        <v>314.94</v>
      </c>
      <c r="U364" s="312" t="s">
        <v>1366</v>
      </c>
      <c r="V364" s="312" t="s">
        <v>1367</v>
      </c>
      <c r="W364" s="50"/>
      <c r="X364" s="50"/>
      <c r="Y364" s="50"/>
      <c r="Z364" s="312"/>
      <c r="AA364" s="50"/>
      <c r="AB364" s="50"/>
      <c r="AC364" s="50"/>
      <c r="AD364" s="50"/>
      <c r="AE364" s="50"/>
    </row>
    <row r="365">
      <c r="A365" s="307">
        <v>43040.86041666667</v>
      </c>
      <c r="B365" s="312" t="s">
        <v>1065</v>
      </c>
      <c r="C365" s="312" t="s">
        <v>1184</v>
      </c>
      <c r="D365" s="303" t="s">
        <v>1185</v>
      </c>
      <c r="E365" s="315">
        <v>42839.0</v>
      </c>
      <c r="F365" s="312" t="s">
        <v>28</v>
      </c>
      <c r="G365" s="303" t="s">
        <v>1181</v>
      </c>
      <c r="H365" s="303" t="s">
        <v>1181</v>
      </c>
      <c r="I365" s="303" t="s">
        <v>1187</v>
      </c>
      <c r="J365" s="306">
        <v>0.7</v>
      </c>
      <c r="K365" s="312">
        <v>259.0</v>
      </c>
      <c r="L365" s="312"/>
      <c r="M365" s="312">
        <v>273.0</v>
      </c>
      <c r="N365" s="312"/>
      <c r="O365" s="312"/>
      <c r="P365" s="315">
        <v>43040.0</v>
      </c>
      <c r="Q365" s="312">
        <v>5451.0</v>
      </c>
      <c r="R365" s="312">
        <v>256.0</v>
      </c>
      <c r="S365" s="316"/>
      <c r="T365" s="317">
        <v>259.24</v>
      </c>
      <c r="U365" s="312" t="s">
        <v>1366</v>
      </c>
      <c r="V365" s="312" t="s">
        <v>1367</v>
      </c>
      <c r="W365" s="50"/>
      <c r="X365" s="50"/>
      <c r="Y365" s="50"/>
      <c r="Z365" s="312"/>
      <c r="AA365" s="50"/>
      <c r="AB365" s="50"/>
      <c r="AC365" s="50"/>
      <c r="AD365" s="50"/>
      <c r="AE365" s="50"/>
    </row>
    <row r="366">
      <c r="A366" s="307">
        <v>43125.680555555555</v>
      </c>
      <c r="B366" s="312" t="s">
        <v>1276</v>
      </c>
      <c r="C366" s="303" t="s">
        <v>1177</v>
      </c>
      <c r="D366" s="303" t="s">
        <v>1178</v>
      </c>
      <c r="E366" s="315">
        <v>42643.0</v>
      </c>
      <c r="F366" s="312" t="s">
        <v>57</v>
      </c>
      <c r="G366" s="303" t="s">
        <v>1181</v>
      </c>
      <c r="H366" s="303" t="s">
        <v>1181</v>
      </c>
      <c r="I366" s="303" t="s">
        <v>1180</v>
      </c>
      <c r="J366" s="306">
        <v>0.8</v>
      </c>
      <c r="K366" s="312">
        <v>399.0</v>
      </c>
      <c r="L366" s="312"/>
      <c r="M366" s="312">
        <v>257.0</v>
      </c>
      <c r="N366" s="312"/>
      <c r="O366" s="312"/>
      <c r="P366" s="315">
        <v>43125.0</v>
      </c>
      <c r="Q366" s="312">
        <v>81000.0</v>
      </c>
      <c r="R366" s="312">
        <v>380.0</v>
      </c>
      <c r="S366" s="316"/>
      <c r="T366" s="317">
        <v>380.0</v>
      </c>
      <c r="U366" s="312" t="s">
        <v>1369</v>
      </c>
      <c r="V366" s="312" t="s">
        <v>1367</v>
      </c>
      <c r="W366" s="50"/>
      <c r="X366" s="50"/>
      <c r="Y366" s="50"/>
      <c r="Z366" s="312"/>
      <c r="AA366" s="50"/>
      <c r="AB366" s="50"/>
      <c r="AC366" s="50"/>
      <c r="AD366" s="50"/>
      <c r="AE366" s="50"/>
    </row>
    <row r="367">
      <c r="A367" s="307">
        <v>42639.479166666664</v>
      </c>
      <c r="B367" s="312" t="s">
        <v>771</v>
      </c>
      <c r="C367" s="303" t="s">
        <v>1177</v>
      </c>
      <c r="D367" s="303" t="s">
        <v>1178</v>
      </c>
      <c r="E367" s="315">
        <v>42547.0</v>
      </c>
      <c r="F367" s="312" t="s">
        <v>43</v>
      </c>
      <c r="G367" s="303" t="s">
        <v>1190</v>
      </c>
      <c r="H367" s="303" t="s">
        <v>1181</v>
      </c>
      <c r="I367" s="303" t="s">
        <v>1181</v>
      </c>
      <c r="J367" s="306"/>
      <c r="K367" s="312">
        <v>457.0</v>
      </c>
      <c r="L367" s="312"/>
      <c r="M367" s="312">
        <v>220.0</v>
      </c>
      <c r="N367" s="312"/>
      <c r="O367" s="312"/>
      <c r="P367" s="315">
        <v>42639.0</v>
      </c>
      <c r="Q367" s="312">
        <v>8000.0</v>
      </c>
      <c r="R367" s="312">
        <v>444.0</v>
      </c>
      <c r="S367" s="316"/>
      <c r="T367" s="317">
        <v>444.0</v>
      </c>
      <c r="U367" s="312" t="s">
        <v>1369</v>
      </c>
      <c r="V367" s="312" t="s">
        <v>1367</v>
      </c>
      <c r="W367" s="50"/>
      <c r="X367" s="50"/>
      <c r="Y367" s="50"/>
      <c r="Z367" s="312"/>
      <c r="AA367" s="312" t="s">
        <v>1471</v>
      </c>
      <c r="AB367" s="50"/>
      <c r="AC367" s="50"/>
      <c r="AD367" s="50"/>
      <c r="AE367" s="50"/>
    </row>
    <row r="368">
      <c r="A368" s="307">
        <v>42734.47986111111</v>
      </c>
      <c r="B368" s="312" t="s">
        <v>771</v>
      </c>
      <c r="C368" s="303" t="s">
        <v>1177</v>
      </c>
      <c r="D368" s="303" t="s">
        <v>1178</v>
      </c>
      <c r="E368" s="315">
        <v>42547.0</v>
      </c>
      <c r="F368" s="312" t="s">
        <v>43</v>
      </c>
      <c r="G368" s="303" t="s">
        <v>1190</v>
      </c>
      <c r="H368" s="303" t="s">
        <v>1181</v>
      </c>
      <c r="I368" s="303" t="s">
        <v>1181</v>
      </c>
      <c r="J368" s="306"/>
      <c r="K368" s="312">
        <v>457.0</v>
      </c>
      <c r="L368" s="312"/>
      <c r="M368" s="312">
        <v>220.0</v>
      </c>
      <c r="N368" s="312"/>
      <c r="O368" s="312"/>
      <c r="P368" s="315">
        <v>42734.0</v>
      </c>
      <c r="Q368" s="312">
        <v>13500.0</v>
      </c>
      <c r="R368" s="312">
        <v>436.0</v>
      </c>
      <c r="S368" s="316"/>
      <c r="T368" s="317">
        <v>436.0</v>
      </c>
      <c r="U368" s="312" t="s">
        <v>1369</v>
      </c>
      <c r="V368" s="312" t="s">
        <v>1367</v>
      </c>
      <c r="W368" s="50"/>
      <c r="X368" s="50"/>
      <c r="Y368" s="50"/>
      <c r="Z368" s="312"/>
      <c r="AA368" s="312" t="s">
        <v>1472</v>
      </c>
      <c r="AB368" s="50"/>
      <c r="AC368" s="50"/>
      <c r="AD368" s="50"/>
      <c r="AE368" s="50"/>
    </row>
    <row r="369">
      <c r="A369" s="307">
        <v>42771.49722222222</v>
      </c>
      <c r="B369" s="312" t="s">
        <v>771</v>
      </c>
      <c r="C369" s="303" t="s">
        <v>1177</v>
      </c>
      <c r="D369" s="303" t="s">
        <v>1178</v>
      </c>
      <c r="E369" s="315">
        <v>42547.0</v>
      </c>
      <c r="F369" s="312" t="s">
        <v>43</v>
      </c>
      <c r="G369" s="303" t="s">
        <v>1190</v>
      </c>
      <c r="H369" s="303" t="s">
        <v>1181</v>
      </c>
      <c r="I369" s="303" t="s">
        <v>1180</v>
      </c>
      <c r="J369" s="306">
        <v>0.9</v>
      </c>
      <c r="K369" s="312">
        <v>457.0</v>
      </c>
      <c r="L369" s="312"/>
      <c r="M369" s="312">
        <v>240.0</v>
      </c>
      <c r="N369" s="312"/>
      <c r="O369" s="312"/>
      <c r="P369" s="315">
        <v>42771.0</v>
      </c>
      <c r="Q369" s="312">
        <v>15000.0</v>
      </c>
      <c r="R369" s="312">
        <v>433.0</v>
      </c>
      <c r="S369" s="316"/>
      <c r="T369" s="317">
        <v>433.0</v>
      </c>
      <c r="U369" s="312" t="s">
        <v>1369</v>
      </c>
      <c r="V369" s="312" t="s">
        <v>1367</v>
      </c>
      <c r="W369" s="50"/>
      <c r="X369" s="50"/>
      <c r="Y369" s="50"/>
      <c r="Z369" s="312"/>
      <c r="AA369" s="50"/>
      <c r="AB369" s="50"/>
      <c r="AC369" s="50"/>
      <c r="AD369" s="50"/>
      <c r="AE369" s="50"/>
    </row>
    <row r="370">
      <c r="A370" s="307">
        <v>43004.6125</v>
      </c>
      <c r="B370" s="312" t="s">
        <v>771</v>
      </c>
      <c r="C370" s="303" t="s">
        <v>1177</v>
      </c>
      <c r="D370" s="303" t="s">
        <v>1178</v>
      </c>
      <c r="E370" s="315">
        <v>42547.0</v>
      </c>
      <c r="F370" s="312" t="s">
        <v>43</v>
      </c>
      <c r="G370" s="303" t="s">
        <v>1179</v>
      </c>
      <c r="H370" s="303" t="s">
        <v>1180</v>
      </c>
      <c r="I370" s="303" t="s">
        <v>1181</v>
      </c>
      <c r="J370" s="306">
        <v>0.8</v>
      </c>
      <c r="K370" s="312">
        <v>457.0</v>
      </c>
      <c r="L370" s="312"/>
      <c r="M370" s="312">
        <v>204.0</v>
      </c>
      <c r="N370" s="312"/>
      <c r="O370" s="312"/>
      <c r="P370" s="315">
        <v>43004.0</v>
      </c>
      <c r="Q370" s="312">
        <v>37500.0</v>
      </c>
      <c r="R370" s="312">
        <v>427.0</v>
      </c>
      <c r="S370" s="316"/>
      <c r="T370" s="317">
        <v>427.0</v>
      </c>
      <c r="U370" s="312" t="s">
        <v>1369</v>
      </c>
      <c r="V370" s="312" t="s">
        <v>1367</v>
      </c>
      <c r="W370" s="312">
        <v>370.0</v>
      </c>
      <c r="X370" s="312">
        <v>70.0</v>
      </c>
      <c r="Y370" s="312">
        <v>94.0</v>
      </c>
      <c r="Z370" s="312" t="s">
        <v>1366</v>
      </c>
      <c r="AA370" s="50"/>
      <c r="AB370" s="50"/>
      <c r="AC370" s="50"/>
      <c r="AD370" s="50"/>
      <c r="AE370" s="50"/>
    </row>
    <row r="371">
      <c r="A371" s="307">
        <v>43081.645833333336</v>
      </c>
      <c r="B371" s="312" t="s">
        <v>771</v>
      </c>
      <c r="C371" s="303" t="s">
        <v>1177</v>
      </c>
      <c r="D371" s="303" t="s">
        <v>1178</v>
      </c>
      <c r="E371" s="315">
        <v>42547.0</v>
      </c>
      <c r="F371" s="312" t="s">
        <v>43</v>
      </c>
      <c r="G371" s="303" t="s">
        <v>1180</v>
      </c>
      <c r="H371" s="303" t="s">
        <v>1181</v>
      </c>
      <c r="I371" s="303" t="s">
        <v>1181</v>
      </c>
      <c r="J371" s="306">
        <v>0.9</v>
      </c>
      <c r="K371" s="312">
        <v>457.0</v>
      </c>
      <c r="L371" s="312"/>
      <c r="M371" s="312">
        <v>224.0</v>
      </c>
      <c r="N371" s="312"/>
      <c r="O371" s="312"/>
      <c r="P371" s="315">
        <v>43081.0</v>
      </c>
      <c r="Q371" s="312">
        <v>46000.0</v>
      </c>
      <c r="R371" s="312">
        <v>422.0</v>
      </c>
      <c r="S371" s="316"/>
      <c r="T371" s="317">
        <v>422.0</v>
      </c>
      <c r="U371" s="312" t="s">
        <v>1369</v>
      </c>
      <c r="V371" s="312" t="s">
        <v>1367</v>
      </c>
      <c r="W371" s="50"/>
      <c r="X371" s="50"/>
      <c r="Y371" s="50"/>
      <c r="Z371" s="312" t="s">
        <v>1366</v>
      </c>
      <c r="AA371" s="50"/>
      <c r="AB371" s="50"/>
      <c r="AC371" s="50"/>
      <c r="AD371" s="50"/>
      <c r="AE371" s="50"/>
    </row>
    <row r="372">
      <c r="A372" s="307">
        <v>43192.71527777778</v>
      </c>
      <c r="B372" s="312" t="s">
        <v>771</v>
      </c>
      <c r="C372" s="303" t="s">
        <v>1177</v>
      </c>
      <c r="D372" s="303" t="s">
        <v>1178</v>
      </c>
      <c r="E372" s="315">
        <v>42547.0</v>
      </c>
      <c r="F372" s="312" t="s">
        <v>43</v>
      </c>
      <c r="G372" s="303" t="s">
        <v>1179</v>
      </c>
      <c r="H372" s="303" t="s">
        <v>1181</v>
      </c>
      <c r="I372" s="303" t="s">
        <v>1186</v>
      </c>
      <c r="J372" s="306">
        <v>0.8</v>
      </c>
      <c r="K372" s="312">
        <v>457.0</v>
      </c>
      <c r="L372" s="312"/>
      <c r="M372" s="312">
        <v>220.0</v>
      </c>
      <c r="N372" s="312"/>
      <c r="O372" s="312"/>
      <c r="P372" s="315">
        <v>43192.0</v>
      </c>
      <c r="Q372" s="312">
        <v>50000.0</v>
      </c>
      <c r="R372" s="312">
        <v>420.0</v>
      </c>
      <c r="S372" s="316"/>
      <c r="T372" s="317">
        <v>425.32</v>
      </c>
      <c r="U372" s="312" t="s">
        <v>1366</v>
      </c>
      <c r="V372" s="312" t="s">
        <v>1367</v>
      </c>
      <c r="W372" s="312">
        <v>380.0</v>
      </c>
      <c r="X372" s="312">
        <v>80.0</v>
      </c>
      <c r="Y372" s="312">
        <v>50.0</v>
      </c>
      <c r="Z372" s="312" t="s">
        <v>1366</v>
      </c>
      <c r="AA372" s="312" t="s">
        <v>1473</v>
      </c>
      <c r="AB372" s="50"/>
      <c r="AC372" s="50"/>
      <c r="AD372" s="50"/>
      <c r="AE372" s="50"/>
    </row>
    <row r="373">
      <c r="A373" s="307">
        <v>42256.907638888886</v>
      </c>
      <c r="B373" s="312" t="s">
        <v>318</v>
      </c>
      <c r="C373" s="312" t="s">
        <v>1197</v>
      </c>
      <c r="D373" s="303" t="s">
        <v>1178</v>
      </c>
      <c r="E373" s="315">
        <v>41348.0</v>
      </c>
      <c r="F373" s="312" t="s">
        <v>30</v>
      </c>
      <c r="G373" s="303" t="s">
        <v>1190</v>
      </c>
      <c r="H373" s="50"/>
      <c r="I373" s="50"/>
      <c r="J373" s="306"/>
      <c r="K373" s="50"/>
      <c r="L373" s="312"/>
      <c r="M373" s="312">
        <v>227.0</v>
      </c>
      <c r="N373" s="312"/>
      <c r="O373" s="312"/>
      <c r="P373" s="315">
        <v>42256.0</v>
      </c>
      <c r="Q373" s="312">
        <v>100000.0</v>
      </c>
      <c r="R373" s="312">
        <v>406.0</v>
      </c>
      <c r="S373" s="316"/>
      <c r="T373" s="317">
        <v>411.14</v>
      </c>
      <c r="U373" s="312" t="s">
        <v>1366</v>
      </c>
      <c r="V373" s="312" t="s">
        <v>1367</v>
      </c>
      <c r="W373" s="50"/>
      <c r="X373" s="50"/>
      <c r="Y373" s="50"/>
      <c r="Z373" s="312"/>
      <c r="AA373" s="50"/>
      <c r="AB373" s="50"/>
      <c r="AC373" s="50"/>
      <c r="AD373" s="50"/>
      <c r="AE373" s="50"/>
    </row>
    <row r="374">
      <c r="A374" s="307">
        <v>42370.90833333333</v>
      </c>
      <c r="B374" s="312" t="s">
        <v>318</v>
      </c>
      <c r="C374" s="312" t="s">
        <v>1197</v>
      </c>
      <c r="D374" s="303" t="s">
        <v>1178</v>
      </c>
      <c r="E374" s="315">
        <v>41348.0</v>
      </c>
      <c r="F374" s="312" t="s">
        <v>30</v>
      </c>
      <c r="G374" s="303" t="s">
        <v>1186</v>
      </c>
      <c r="H374" s="303" t="s">
        <v>1181</v>
      </c>
      <c r="I374" s="303" t="s">
        <v>1181</v>
      </c>
      <c r="J374" s="306">
        <v>0.9</v>
      </c>
      <c r="K374" s="50"/>
      <c r="L374" s="312"/>
      <c r="M374" s="312">
        <v>227.0</v>
      </c>
      <c r="N374" s="312"/>
      <c r="O374" s="312"/>
      <c r="P374" s="315">
        <v>42370.0</v>
      </c>
      <c r="Q374" s="312">
        <v>109350.0</v>
      </c>
      <c r="R374" s="312">
        <v>396.0</v>
      </c>
      <c r="S374" s="316"/>
      <c r="T374" s="317">
        <v>401.01</v>
      </c>
      <c r="U374" s="312" t="s">
        <v>1366</v>
      </c>
      <c r="V374" s="312" t="s">
        <v>1367</v>
      </c>
      <c r="W374" s="50"/>
      <c r="X374" s="50"/>
      <c r="Y374" s="50"/>
      <c r="Z374" s="312"/>
      <c r="AA374" s="50"/>
      <c r="AB374" s="50"/>
      <c r="AC374" s="50"/>
      <c r="AD374" s="50"/>
      <c r="AE374" s="50"/>
    </row>
    <row r="375">
      <c r="A375" s="307">
        <v>42482.90972222222</v>
      </c>
      <c r="B375" s="312" t="s">
        <v>318</v>
      </c>
      <c r="C375" s="312" t="s">
        <v>1197</v>
      </c>
      <c r="D375" s="303" t="s">
        <v>1178</v>
      </c>
      <c r="E375" s="315">
        <v>41348.0</v>
      </c>
      <c r="F375" s="312" t="s">
        <v>30</v>
      </c>
      <c r="G375" s="303" t="s">
        <v>1186</v>
      </c>
      <c r="H375" s="303" t="s">
        <v>1181</v>
      </c>
      <c r="I375" s="303" t="s">
        <v>1181</v>
      </c>
      <c r="J375" s="306">
        <v>0.9</v>
      </c>
      <c r="K375" s="50"/>
      <c r="L375" s="312"/>
      <c r="M375" s="312">
        <v>243.0</v>
      </c>
      <c r="N375" s="312"/>
      <c r="O375" s="312"/>
      <c r="P375" s="315">
        <v>42482.0</v>
      </c>
      <c r="Q375" s="312">
        <v>117272.0</v>
      </c>
      <c r="R375" s="312">
        <v>401.0</v>
      </c>
      <c r="S375" s="316"/>
      <c r="T375" s="317">
        <v>406.08</v>
      </c>
      <c r="U375" s="312" t="s">
        <v>1366</v>
      </c>
      <c r="V375" s="312" t="s">
        <v>1367</v>
      </c>
      <c r="W375" s="50"/>
      <c r="X375" s="50"/>
      <c r="Y375" s="50"/>
      <c r="Z375" s="312"/>
      <c r="AA375" s="312"/>
      <c r="AB375" s="50"/>
      <c r="AC375" s="50"/>
      <c r="AD375" s="50"/>
      <c r="AE375" s="50"/>
    </row>
    <row r="376">
      <c r="A376" s="307">
        <v>42621.910416666666</v>
      </c>
      <c r="B376" s="312" t="s">
        <v>318</v>
      </c>
      <c r="C376" s="312" t="s">
        <v>1197</v>
      </c>
      <c r="D376" s="303" t="s">
        <v>1178</v>
      </c>
      <c r="E376" s="315">
        <v>41348.0</v>
      </c>
      <c r="F376" s="312" t="s">
        <v>30</v>
      </c>
      <c r="G376" s="303" t="s">
        <v>1180</v>
      </c>
      <c r="H376" s="303" t="s">
        <v>1181</v>
      </c>
      <c r="I376" s="303" t="s">
        <v>1181</v>
      </c>
      <c r="J376" s="306">
        <v>0.9</v>
      </c>
      <c r="K376" s="50"/>
      <c r="L376" s="312"/>
      <c r="M376" s="312">
        <v>215.12</v>
      </c>
      <c r="N376" s="312"/>
      <c r="O376" s="312"/>
      <c r="P376" s="315">
        <v>42621.0</v>
      </c>
      <c r="Q376" s="312">
        <v>132000.0</v>
      </c>
      <c r="R376" s="312">
        <v>400.0</v>
      </c>
      <c r="S376" s="316"/>
      <c r="T376" s="317">
        <v>405.06</v>
      </c>
      <c r="U376" s="312" t="s">
        <v>1366</v>
      </c>
      <c r="V376" s="312" t="s">
        <v>1367</v>
      </c>
      <c r="W376" s="312"/>
      <c r="X376" s="312"/>
      <c r="Y376" s="50"/>
      <c r="Z376" s="312"/>
      <c r="AA376" s="50"/>
      <c r="AB376" s="50"/>
      <c r="AC376" s="50"/>
      <c r="AD376" s="50"/>
      <c r="AE376" s="50"/>
    </row>
    <row r="377">
      <c r="A377" s="307">
        <v>42702.91458333333</v>
      </c>
      <c r="B377" s="312" t="s">
        <v>318</v>
      </c>
      <c r="C377" s="312" t="s">
        <v>1197</v>
      </c>
      <c r="D377" s="303" t="s">
        <v>1178</v>
      </c>
      <c r="E377" s="315">
        <v>41348.0</v>
      </c>
      <c r="F377" s="312" t="s">
        <v>30</v>
      </c>
      <c r="G377" s="303" t="s">
        <v>1180</v>
      </c>
      <c r="H377" s="303" t="s">
        <v>1181</v>
      </c>
      <c r="I377" s="303" t="s">
        <v>1181</v>
      </c>
      <c r="J377" s="306">
        <v>0.9</v>
      </c>
      <c r="K377" s="50"/>
      <c r="L377" s="312"/>
      <c r="M377" s="312">
        <v>243.0</v>
      </c>
      <c r="N377" s="312"/>
      <c r="O377" s="312"/>
      <c r="P377" s="315">
        <v>42702.0</v>
      </c>
      <c r="Q377" s="312">
        <v>139000.0</v>
      </c>
      <c r="R377" s="312">
        <v>388.0</v>
      </c>
      <c r="S377" s="316"/>
      <c r="T377" s="317">
        <v>392.91</v>
      </c>
      <c r="U377" s="312" t="s">
        <v>1366</v>
      </c>
      <c r="V377" s="312" t="s">
        <v>1367</v>
      </c>
      <c r="W377" s="50"/>
      <c r="X377" s="50"/>
      <c r="Y377" s="50"/>
      <c r="Z377" s="312"/>
      <c r="AA377" s="50"/>
      <c r="AB377" s="50"/>
      <c r="AC377" s="50"/>
      <c r="AD377" s="50"/>
      <c r="AE377" s="50"/>
    </row>
    <row r="378">
      <c r="A378" s="307">
        <v>42721.91527777778</v>
      </c>
      <c r="B378" s="312" t="s">
        <v>318</v>
      </c>
      <c r="C378" s="312" t="s">
        <v>1197</v>
      </c>
      <c r="D378" s="303" t="s">
        <v>1178</v>
      </c>
      <c r="E378" s="315">
        <v>41348.0</v>
      </c>
      <c r="F378" s="312" t="s">
        <v>30</v>
      </c>
      <c r="G378" s="303" t="s">
        <v>1180</v>
      </c>
      <c r="H378" s="303" t="s">
        <v>1181</v>
      </c>
      <c r="I378" s="303" t="s">
        <v>1181</v>
      </c>
      <c r="J378" s="306">
        <v>0.9</v>
      </c>
      <c r="K378" s="50"/>
      <c r="L378" s="312"/>
      <c r="M378" s="312">
        <v>214.0</v>
      </c>
      <c r="N378" s="312"/>
      <c r="O378" s="312"/>
      <c r="P378" s="315">
        <v>42721.0</v>
      </c>
      <c r="Q378" s="312">
        <v>140626.0</v>
      </c>
      <c r="R378" s="312">
        <v>398.0</v>
      </c>
      <c r="S378" s="316"/>
      <c r="T378" s="317">
        <v>403.04</v>
      </c>
      <c r="U378" s="312" t="s">
        <v>1366</v>
      </c>
      <c r="V378" s="312" t="s">
        <v>1367</v>
      </c>
      <c r="W378" s="50"/>
      <c r="X378" s="50"/>
      <c r="Y378" s="50"/>
      <c r="Z378" s="312"/>
      <c r="AA378" s="50"/>
      <c r="AB378" s="50"/>
      <c r="AC378" s="50"/>
      <c r="AD378" s="50"/>
      <c r="AE378" s="50"/>
    </row>
    <row r="379">
      <c r="A379" s="307">
        <v>42812.91736111111</v>
      </c>
      <c r="B379" s="312" t="s">
        <v>318</v>
      </c>
      <c r="C379" s="312" t="s">
        <v>1197</v>
      </c>
      <c r="D379" s="303" t="s">
        <v>1178</v>
      </c>
      <c r="E379" s="315">
        <v>41348.0</v>
      </c>
      <c r="F379" s="312" t="s">
        <v>30</v>
      </c>
      <c r="G379" s="303" t="s">
        <v>1180</v>
      </c>
      <c r="H379" s="303" t="s">
        <v>1181</v>
      </c>
      <c r="I379" s="303" t="s">
        <v>1181</v>
      </c>
      <c r="J379" s="306">
        <v>0.9</v>
      </c>
      <c r="K379" s="50"/>
      <c r="L379" s="312"/>
      <c r="M379" s="312">
        <v>214.0</v>
      </c>
      <c r="N379" s="312"/>
      <c r="O379" s="312"/>
      <c r="P379" s="315">
        <v>42812.0</v>
      </c>
      <c r="Q379" s="312">
        <v>147433.0</v>
      </c>
      <c r="R379" s="312">
        <v>382.0</v>
      </c>
      <c r="S379" s="316"/>
      <c r="T379" s="317">
        <v>386.84</v>
      </c>
      <c r="U379" s="312" t="s">
        <v>1366</v>
      </c>
      <c r="V379" s="312" t="s">
        <v>1367</v>
      </c>
      <c r="W379" s="50"/>
      <c r="X379" s="50"/>
      <c r="Y379" s="50"/>
      <c r="Z379" s="312"/>
      <c r="AA379" s="50"/>
      <c r="AB379" s="50"/>
      <c r="AC379" s="50"/>
      <c r="AD379" s="50"/>
      <c r="AE379" s="50"/>
    </row>
    <row r="380">
      <c r="A380" s="307">
        <v>42819.92013888889</v>
      </c>
      <c r="B380" s="312" t="s">
        <v>318</v>
      </c>
      <c r="C380" s="312" t="s">
        <v>1197</v>
      </c>
      <c r="D380" s="303" t="s">
        <v>1178</v>
      </c>
      <c r="E380" s="315">
        <v>41348.0</v>
      </c>
      <c r="F380" s="312" t="s">
        <v>30</v>
      </c>
      <c r="G380" s="303" t="s">
        <v>1180</v>
      </c>
      <c r="H380" s="303" t="s">
        <v>1181</v>
      </c>
      <c r="I380" s="303" t="s">
        <v>1181</v>
      </c>
      <c r="J380" s="306">
        <v>0.9</v>
      </c>
      <c r="K380" s="50"/>
      <c r="L380" s="312"/>
      <c r="M380" s="312">
        <v>215.0</v>
      </c>
      <c r="N380" s="312"/>
      <c r="O380" s="312"/>
      <c r="P380" s="315">
        <v>42819.0</v>
      </c>
      <c r="Q380" s="312">
        <v>147694.0</v>
      </c>
      <c r="R380" s="312">
        <v>398.0</v>
      </c>
      <c r="S380" s="316"/>
      <c r="T380" s="317">
        <v>403.04</v>
      </c>
      <c r="U380" s="312" t="s">
        <v>1366</v>
      </c>
      <c r="V380" s="312" t="s">
        <v>1367</v>
      </c>
      <c r="W380" s="50"/>
      <c r="X380" s="50"/>
      <c r="Y380" s="50"/>
      <c r="Z380" s="312"/>
      <c r="AA380" s="312" t="s">
        <v>1474</v>
      </c>
      <c r="AB380" s="50"/>
      <c r="AC380" s="50"/>
      <c r="AD380" s="50"/>
      <c r="AE380" s="50"/>
    </row>
    <row r="381">
      <c r="A381" s="307">
        <v>42920.92222222222</v>
      </c>
      <c r="B381" s="312" t="s">
        <v>318</v>
      </c>
      <c r="C381" s="312" t="s">
        <v>1197</v>
      </c>
      <c r="D381" s="303" t="s">
        <v>1178</v>
      </c>
      <c r="E381" s="315">
        <v>41348.0</v>
      </c>
      <c r="F381" s="312" t="s">
        <v>30</v>
      </c>
      <c r="G381" s="303" t="s">
        <v>1180</v>
      </c>
      <c r="H381" s="303" t="s">
        <v>1180</v>
      </c>
      <c r="I381" s="303" t="s">
        <v>1181</v>
      </c>
      <c r="J381" s="306">
        <v>0.9</v>
      </c>
      <c r="K381" s="50"/>
      <c r="L381" s="312"/>
      <c r="M381" s="312">
        <v>220.0</v>
      </c>
      <c r="N381" s="312"/>
      <c r="O381" s="312"/>
      <c r="P381" s="315">
        <v>42920.0</v>
      </c>
      <c r="Q381" s="312">
        <v>159750.0</v>
      </c>
      <c r="R381" s="312">
        <v>400.0</v>
      </c>
      <c r="S381" s="316"/>
      <c r="T381" s="317">
        <v>405.06</v>
      </c>
      <c r="U381" s="312" t="s">
        <v>1366</v>
      </c>
      <c r="V381" s="312" t="s">
        <v>1367</v>
      </c>
      <c r="W381" s="50"/>
      <c r="X381" s="50"/>
      <c r="Y381" s="50"/>
      <c r="Z381" s="312"/>
      <c r="AA381" s="50"/>
      <c r="AB381" s="50"/>
      <c r="AC381" s="50"/>
      <c r="AD381" s="50"/>
      <c r="AE381" s="50"/>
    </row>
    <row r="382">
      <c r="A382" s="307">
        <v>43141.92986111111</v>
      </c>
      <c r="B382" s="312" t="s">
        <v>318</v>
      </c>
      <c r="C382" s="312" t="s">
        <v>1197</v>
      </c>
      <c r="D382" s="303" t="s">
        <v>1178</v>
      </c>
      <c r="E382" s="315">
        <v>41348.0</v>
      </c>
      <c r="F382" s="312" t="s">
        <v>30</v>
      </c>
      <c r="G382" s="303" t="s">
        <v>1190</v>
      </c>
      <c r="H382" s="303" t="s">
        <v>1180</v>
      </c>
      <c r="I382" s="303" t="s">
        <v>1181</v>
      </c>
      <c r="J382" s="306">
        <v>0.9</v>
      </c>
      <c r="K382" s="50"/>
      <c r="L382" s="312"/>
      <c r="M382" s="312">
        <v>221.0</v>
      </c>
      <c r="N382" s="312"/>
      <c r="O382" s="312"/>
      <c r="P382" s="315">
        <v>43141.0</v>
      </c>
      <c r="Q382" s="312">
        <v>178200.0</v>
      </c>
      <c r="R382" s="312">
        <v>387.0</v>
      </c>
      <c r="S382" s="316"/>
      <c r="T382" s="317">
        <v>391.9</v>
      </c>
      <c r="U382" s="312" t="s">
        <v>1366</v>
      </c>
      <c r="V382" s="312" t="s">
        <v>1367</v>
      </c>
      <c r="W382" s="50"/>
      <c r="X382" s="50"/>
      <c r="Y382" s="50"/>
      <c r="Z382" s="312"/>
      <c r="AA382" s="50"/>
      <c r="AB382" s="50"/>
      <c r="AC382" s="50"/>
      <c r="AD382" s="50"/>
      <c r="AE382" s="50"/>
    </row>
    <row r="383">
      <c r="A383" s="307">
        <v>42279.18958333333</v>
      </c>
      <c r="B383" s="312" t="s">
        <v>902</v>
      </c>
      <c r="C383" s="303" t="s">
        <v>1177</v>
      </c>
      <c r="D383" s="303" t="s">
        <v>1178</v>
      </c>
      <c r="E383" s="315">
        <v>41992.0</v>
      </c>
      <c r="F383" s="312" t="s">
        <v>30</v>
      </c>
      <c r="G383" s="303" t="s">
        <v>1180</v>
      </c>
      <c r="H383" s="303" t="s">
        <v>1181</v>
      </c>
      <c r="I383" s="303" t="s">
        <v>1186</v>
      </c>
      <c r="J383" s="306">
        <v>0.9</v>
      </c>
      <c r="K383" s="50"/>
      <c r="L383" s="312"/>
      <c r="M383" s="312">
        <v>222.0</v>
      </c>
      <c r="N383" s="312"/>
      <c r="O383" s="312"/>
      <c r="P383" s="315">
        <v>42279.0</v>
      </c>
      <c r="Q383" s="312">
        <v>9934.0</v>
      </c>
      <c r="R383" s="312">
        <v>395.0</v>
      </c>
      <c r="S383" s="316"/>
      <c r="T383" s="317">
        <v>395.0</v>
      </c>
      <c r="U383" s="312" t="s">
        <v>1369</v>
      </c>
      <c r="V383" s="312" t="s">
        <v>1367</v>
      </c>
      <c r="W383" s="50"/>
      <c r="X383" s="50"/>
      <c r="Y383" s="50"/>
      <c r="Z383" s="312"/>
      <c r="AA383" s="312" t="s">
        <v>1405</v>
      </c>
      <c r="AB383" s="50"/>
      <c r="AC383" s="50"/>
      <c r="AD383" s="50"/>
      <c r="AE383" s="50"/>
    </row>
    <row r="384">
      <c r="A384" s="307">
        <v>42667.41805555556</v>
      </c>
      <c r="B384" s="312" t="s">
        <v>902</v>
      </c>
      <c r="C384" s="303" t="s">
        <v>1177</v>
      </c>
      <c r="D384" s="303" t="s">
        <v>1178</v>
      </c>
      <c r="E384" s="315">
        <v>41992.0</v>
      </c>
      <c r="F384" s="312" t="s">
        <v>30</v>
      </c>
      <c r="G384" s="303" t="s">
        <v>1180</v>
      </c>
      <c r="H384" s="303" t="s">
        <v>1181</v>
      </c>
      <c r="I384" s="303" t="s">
        <v>1187</v>
      </c>
      <c r="J384" s="306">
        <v>0.9</v>
      </c>
      <c r="K384" s="50"/>
      <c r="L384" s="312"/>
      <c r="M384" s="312">
        <v>222.0</v>
      </c>
      <c r="N384" s="312"/>
      <c r="O384" s="312"/>
      <c r="P384" s="315">
        <v>42667.0</v>
      </c>
      <c r="Q384" s="312">
        <v>24183.0</v>
      </c>
      <c r="R384" s="312">
        <v>383.0</v>
      </c>
      <c r="S384" s="316"/>
      <c r="T384" s="317">
        <v>387.85</v>
      </c>
      <c r="U384" s="312" t="s">
        <v>1366</v>
      </c>
      <c r="V384" s="312" t="s">
        <v>1367</v>
      </c>
      <c r="W384" s="50"/>
      <c r="X384" s="50"/>
      <c r="Y384" s="50"/>
      <c r="Z384" s="312"/>
      <c r="AA384" s="50"/>
      <c r="AB384" s="50"/>
      <c r="AC384" s="50"/>
      <c r="AD384" s="50"/>
      <c r="AE384" s="50"/>
    </row>
    <row r="385">
      <c r="A385" s="307">
        <v>42899.54722222222</v>
      </c>
      <c r="B385" s="312" t="s">
        <v>902</v>
      </c>
      <c r="C385" s="303" t="s">
        <v>1177</v>
      </c>
      <c r="D385" s="303" t="s">
        <v>1178</v>
      </c>
      <c r="E385" s="315">
        <v>41986.0</v>
      </c>
      <c r="F385" s="312" t="s">
        <v>30</v>
      </c>
      <c r="G385" s="303" t="s">
        <v>1181</v>
      </c>
      <c r="H385" s="303" t="s">
        <v>1186</v>
      </c>
      <c r="I385" s="303" t="s">
        <v>1181</v>
      </c>
      <c r="J385" s="306">
        <v>0.8</v>
      </c>
      <c r="K385" s="50"/>
      <c r="L385" s="312"/>
      <c r="M385" s="312">
        <v>224.0</v>
      </c>
      <c r="N385" s="312"/>
      <c r="O385" s="312"/>
      <c r="P385" s="315">
        <v>42899.0</v>
      </c>
      <c r="Q385" s="312">
        <v>30287.0</v>
      </c>
      <c r="R385" s="312">
        <v>378.0</v>
      </c>
      <c r="S385" s="316"/>
      <c r="T385" s="317">
        <v>382.78</v>
      </c>
      <c r="U385" s="312" t="s">
        <v>1366</v>
      </c>
      <c r="V385" s="312" t="s">
        <v>1367</v>
      </c>
      <c r="W385" s="50"/>
      <c r="X385" s="50"/>
      <c r="Y385" s="50"/>
      <c r="Z385" s="312"/>
      <c r="AA385" s="50"/>
      <c r="AB385" s="50"/>
      <c r="AC385" s="50"/>
      <c r="AD385" s="50"/>
      <c r="AE385" s="50"/>
    </row>
    <row r="386">
      <c r="A386" s="307">
        <v>41917.02777777778</v>
      </c>
      <c r="B386" s="50" t="s">
        <v>766</v>
      </c>
      <c r="C386" s="303" t="s">
        <v>1177</v>
      </c>
      <c r="D386" s="303" t="s">
        <v>1178</v>
      </c>
      <c r="E386" s="310">
        <v>41598.0</v>
      </c>
      <c r="F386" s="312" t="s">
        <v>30</v>
      </c>
      <c r="G386" s="303" t="s">
        <v>1180</v>
      </c>
      <c r="H386" s="303" t="s">
        <v>1181</v>
      </c>
      <c r="I386" s="303" t="s">
        <v>1181</v>
      </c>
      <c r="J386" s="306"/>
      <c r="K386" s="50"/>
      <c r="L386" s="50"/>
      <c r="M386" s="50">
        <v>209.0</v>
      </c>
      <c r="N386" s="50"/>
      <c r="O386" s="312"/>
      <c r="P386" s="310">
        <v>41917.0</v>
      </c>
      <c r="Q386" s="50">
        <v>27000.0</v>
      </c>
      <c r="R386" s="50">
        <v>382.0</v>
      </c>
      <c r="S386" s="318"/>
      <c r="T386" s="317">
        <v>385.86</v>
      </c>
      <c r="U386" s="312" t="s">
        <v>1407</v>
      </c>
      <c r="V386" s="312" t="s">
        <v>1367</v>
      </c>
      <c r="W386" s="50"/>
      <c r="X386" s="50"/>
      <c r="Y386" s="50"/>
      <c r="Z386" s="312"/>
      <c r="AA386" s="50" t="s">
        <v>1475</v>
      </c>
      <c r="AB386" s="50"/>
      <c r="AC386" s="50"/>
      <c r="AD386" s="50"/>
      <c r="AE386" s="50"/>
    </row>
    <row r="387">
      <c r="A387" s="307">
        <v>42125.11111111111</v>
      </c>
      <c r="B387" s="312" t="s">
        <v>766</v>
      </c>
      <c r="C387" s="303" t="s">
        <v>1177</v>
      </c>
      <c r="D387" s="303" t="s">
        <v>1178</v>
      </c>
      <c r="E387" s="315">
        <v>41599.0</v>
      </c>
      <c r="F387" s="312" t="s">
        <v>30</v>
      </c>
      <c r="G387" s="303" t="s">
        <v>1180</v>
      </c>
      <c r="H387" s="303" t="s">
        <v>1186</v>
      </c>
      <c r="I387" s="303" t="s">
        <v>1186</v>
      </c>
      <c r="J387" s="306">
        <v>0.8</v>
      </c>
      <c r="K387" s="50"/>
      <c r="L387" s="312"/>
      <c r="M387" s="312">
        <v>211.0</v>
      </c>
      <c r="N387" s="50"/>
      <c r="O387" s="312"/>
      <c r="P387" s="315">
        <v>42125.0</v>
      </c>
      <c r="Q387" s="312">
        <v>36800.0</v>
      </c>
      <c r="R387" s="312">
        <v>380.0</v>
      </c>
      <c r="S387" s="316"/>
      <c r="T387" s="317">
        <v>384.81</v>
      </c>
      <c r="U387" s="312" t="s">
        <v>1366</v>
      </c>
      <c r="V387" s="312" t="s">
        <v>1367</v>
      </c>
      <c r="W387" s="50"/>
      <c r="X387" s="50"/>
      <c r="Y387" s="50"/>
      <c r="Z387" s="312"/>
      <c r="AA387" s="312" t="s">
        <v>1476</v>
      </c>
      <c r="AB387" s="50"/>
      <c r="AC387" s="50"/>
      <c r="AD387" s="50"/>
      <c r="AE387" s="50"/>
    </row>
    <row r="388">
      <c r="A388" s="307">
        <v>42350.24375</v>
      </c>
      <c r="B388" s="312" t="s">
        <v>766</v>
      </c>
      <c r="C388" s="303" t="s">
        <v>1177</v>
      </c>
      <c r="D388" s="303" t="s">
        <v>1178</v>
      </c>
      <c r="E388" s="315">
        <v>41534.0</v>
      </c>
      <c r="F388" s="312" t="s">
        <v>30</v>
      </c>
      <c r="G388" s="303" t="s">
        <v>1181</v>
      </c>
      <c r="H388" s="303" t="s">
        <v>1186</v>
      </c>
      <c r="I388" s="303" t="s">
        <v>1181</v>
      </c>
      <c r="J388" s="306">
        <v>0.8</v>
      </c>
      <c r="K388" s="312">
        <v>390.0</v>
      </c>
      <c r="L388" s="312"/>
      <c r="M388" s="312">
        <v>210.0</v>
      </c>
      <c r="N388" s="312"/>
      <c r="O388" s="312"/>
      <c r="P388" s="315">
        <v>42350.0</v>
      </c>
      <c r="Q388" s="312">
        <v>52850.0</v>
      </c>
      <c r="R388" s="312">
        <v>366.0</v>
      </c>
      <c r="S388" s="316"/>
      <c r="T388" s="317">
        <v>370.63</v>
      </c>
      <c r="U388" s="312" t="s">
        <v>1366</v>
      </c>
      <c r="V388" s="312" t="s">
        <v>1367</v>
      </c>
      <c r="W388" s="312"/>
      <c r="X388" s="50"/>
      <c r="Y388" s="50"/>
      <c r="Z388" s="312"/>
      <c r="AA388" s="50"/>
      <c r="AB388" s="50"/>
      <c r="AC388" s="50"/>
      <c r="AD388" s="50"/>
      <c r="AE388" s="50"/>
    </row>
    <row r="389">
      <c r="A389" s="307">
        <v>42402.28055555555</v>
      </c>
      <c r="B389" s="312" t="s">
        <v>766</v>
      </c>
      <c r="C389" s="303" t="s">
        <v>1177</v>
      </c>
      <c r="D389" s="303" t="s">
        <v>1178</v>
      </c>
      <c r="E389" s="315">
        <v>41598.0</v>
      </c>
      <c r="F389" s="312" t="s">
        <v>30</v>
      </c>
      <c r="G389" s="303" t="s">
        <v>1181</v>
      </c>
      <c r="H389" s="303" t="s">
        <v>1181</v>
      </c>
      <c r="I389" s="303" t="s">
        <v>1186</v>
      </c>
      <c r="J389" s="306">
        <v>0.8</v>
      </c>
      <c r="K389" s="312">
        <v>387.0</v>
      </c>
      <c r="L389" s="312"/>
      <c r="M389" s="312">
        <v>211.0</v>
      </c>
      <c r="N389" s="312"/>
      <c r="O389" s="312"/>
      <c r="P389" s="315">
        <v>42402.0</v>
      </c>
      <c r="Q389" s="312">
        <v>58000.0</v>
      </c>
      <c r="R389" s="312">
        <v>374.0</v>
      </c>
      <c r="S389" s="316"/>
      <c r="T389" s="317">
        <v>378.73</v>
      </c>
      <c r="U389" s="312" t="s">
        <v>1366</v>
      </c>
      <c r="V389" s="312" t="s">
        <v>1367</v>
      </c>
      <c r="W389" s="50"/>
      <c r="X389" s="50"/>
      <c r="Y389" s="50"/>
      <c r="Z389" s="312"/>
      <c r="AA389" s="312" t="s">
        <v>1477</v>
      </c>
      <c r="AB389" s="50"/>
      <c r="AC389" s="50"/>
      <c r="AD389" s="50"/>
      <c r="AE389" s="50"/>
    </row>
    <row r="390">
      <c r="A390" s="307">
        <v>42604.384722222225</v>
      </c>
      <c r="B390" s="312" t="s">
        <v>766</v>
      </c>
      <c r="C390" s="303" t="s">
        <v>1177</v>
      </c>
      <c r="D390" s="303" t="s">
        <v>1178</v>
      </c>
      <c r="E390" s="310">
        <v>41598.0</v>
      </c>
      <c r="F390" s="312" t="s">
        <v>30</v>
      </c>
      <c r="G390" s="303" t="s">
        <v>1179</v>
      </c>
      <c r="H390" s="303" t="s">
        <v>1181</v>
      </c>
      <c r="I390" s="303" t="s">
        <v>1186</v>
      </c>
      <c r="J390" s="306">
        <v>0.8</v>
      </c>
      <c r="K390" s="312">
        <v>392.0</v>
      </c>
      <c r="L390" s="312"/>
      <c r="M390" s="312">
        <v>210.0</v>
      </c>
      <c r="N390" s="312"/>
      <c r="O390" s="312"/>
      <c r="P390" s="315">
        <v>42604.0</v>
      </c>
      <c r="Q390" s="312">
        <v>74000.0</v>
      </c>
      <c r="R390" s="312">
        <v>381.0</v>
      </c>
      <c r="S390" s="316"/>
      <c r="T390" s="317">
        <v>381.0</v>
      </c>
      <c r="U390" s="312" t="s">
        <v>1369</v>
      </c>
      <c r="V390" s="312" t="s">
        <v>1367</v>
      </c>
      <c r="W390" s="50"/>
      <c r="X390" s="50"/>
      <c r="Y390" s="50"/>
      <c r="Z390" s="312"/>
      <c r="AA390" s="50"/>
      <c r="AB390" s="50"/>
      <c r="AC390" s="50"/>
      <c r="AD390" s="50"/>
      <c r="AE390" s="50"/>
    </row>
    <row r="391">
      <c r="A391" s="307">
        <v>42793.506944444445</v>
      </c>
      <c r="B391" s="312" t="s">
        <v>766</v>
      </c>
      <c r="C391" s="303" t="s">
        <v>1177</v>
      </c>
      <c r="D391" s="303" t="s">
        <v>1178</v>
      </c>
      <c r="E391" s="315">
        <v>41534.0</v>
      </c>
      <c r="F391" s="312" t="s">
        <v>30</v>
      </c>
      <c r="G391" s="303" t="s">
        <v>1180</v>
      </c>
      <c r="H391" s="303" t="s">
        <v>1181</v>
      </c>
      <c r="I391" s="303" t="s">
        <v>1186</v>
      </c>
      <c r="J391" s="306">
        <v>0.8</v>
      </c>
      <c r="K391" s="312">
        <v>387.0</v>
      </c>
      <c r="L391" s="312"/>
      <c r="M391" s="312">
        <v>212.0</v>
      </c>
      <c r="N391" s="312"/>
      <c r="O391" s="312"/>
      <c r="P391" s="315">
        <v>42793.0</v>
      </c>
      <c r="Q391" s="312">
        <v>85000.0</v>
      </c>
      <c r="R391" s="312">
        <v>369.0</v>
      </c>
      <c r="S391" s="316"/>
      <c r="T391" s="317">
        <v>369.0</v>
      </c>
      <c r="U391" s="312" t="s">
        <v>1369</v>
      </c>
      <c r="V391" s="312" t="s">
        <v>1367</v>
      </c>
      <c r="W391" s="50"/>
      <c r="X391" s="50"/>
      <c r="Y391" s="50"/>
      <c r="Z391" s="312"/>
      <c r="AA391" s="50"/>
      <c r="AB391" s="50"/>
      <c r="AC391" s="50"/>
      <c r="AD391" s="50"/>
      <c r="AE391" s="50"/>
    </row>
    <row r="392">
      <c r="A392" s="307">
        <v>42997.60763888889</v>
      </c>
      <c r="B392" s="312" t="s">
        <v>766</v>
      </c>
      <c r="C392" s="303" t="s">
        <v>1177</v>
      </c>
      <c r="D392" s="303" t="s">
        <v>1178</v>
      </c>
      <c r="E392" s="315">
        <v>41598.0</v>
      </c>
      <c r="F392" s="312" t="s">
        <v>30</v>
      </c>
      <c r="G392" s="303" t="s">
        <v>1180</v>
      </c>
      <c r="H392" s="303" t="s">
        <v>1180</v>
      </c>
      <c r="I392" s="303" t="s">
        <v>1186</v>
      </c>
      <c r="J392" s="306">
        <v>0.8</v>
      </c>
      <c r="K392" s="312">
        <v>391.0</v>
      </c>
      <c r="L392" s="312"/>
      <c r="M392" s="312">
        <v>209.0</v>
      </c>
      <c r="N392" s="312"/>
      <c r="O392" s="312"/>
      <c r="P392" s="315">
        <v>42997.0</v>
      </c>
      <c r="Q392" s="312">
        <v>98400.0</v>
      </c>
      <c r="R392" s="312">
        <v>371.0</v>
      </c>
      <c r="S392" s="316"/>
      <c r="T392" s="317">
        <v>371.0</v>
      </c>
      <c r="U392" s="312" t="s">
        <v>1369</v>
      </c>
      <c r="V392" s="312" t="s">
        <v>1367</v>
      </c>
      <c r="W392" s="50"/>
      <c r="X392" s="50"/>
      <c r="Y392" s="50"/>
      <c r="Z392" s="312"/>
      <c r="AA392" s="50"/>
      <c r="AB392" s="50"/>
      <c r="AC392" s="50"/>
      <c r="AD392" s="50"/>
      <c r="AE392" s="50"/>
    </row>
    <row r="393">
      <c r="A393" s="307">
        <v>43174.70763888889</v>
      </c>
      <c r="B393" s="312" t="s">
        <v>766</v>
      </c>
      <c r="C393" s="303" t="s">
        <v>1177</v>
      </c>
      <c r="D393" s="303" t="s">
        <v>1178</v>
      </c>
      <c r="E393" s="315">
        <v>41601.0</v>
      </c>
      <c r="F393" s="312" t="s">
        <v>30</v>
      </c>
      <c r="G393" s="303" t="s">
        <v>1181</v>
      </c>
      <c r="H393" s="303" t="s">
        <v>1181</v>
      </c>
      <c r="I393" s="303" t="s">
        <v>1186</v>
      </c>
      <c r="J393" s="306">
        <v>0.8</v>
      </c>
      <c r="K393" s="312">
        <v>398.0</v>
      </c>
      <c r="L393" s="312"/>
      <c r="M393" s="312">
        <v>209.0</v>
      </c>
      <c r="N393" s="312"/>
      <c r="O393" s="312"/>
      <c r="P393" s="315">
        <v>43174.0</v>
      </c>
      <c r="Q393" s="312">
        <v>113500.0</v>
      </c>
      <c r="R393" s="312">
        <v>373.0</v>
      </c>
      <c r="S393" s="316"/>
      <c r="T393" s="317">
        <v>373.0</v>
      </c>
      <c r="U393" s="312" t="s">
        <v>1369</v>
      </c>
      <c r="V393" s="312" t="s">
        <v>1367</v>
      </c>
      <c r="W393" s="50"/>
      <c r="X393" s="50"/>
      <c r="Y393" s="50"/>
      <c r="Z393" s="312"/>
      <c r="AA393" s="50"/>
      <c r="AB393" s="50"/>
      <c r="AC393" s="50"/>
      <c r="AD393" s="50"/>
      <c r="AE393" s="50"/>
    </row>
    <row r="394">
      <c r="A394" s="307">
        <v>42930.84375</v>
      </c>
      <c r="B394" s="312" t="s">
        <v>518</v>
      </c>
      <c r="C394" s="312" t="s">
        <v>1184</v>
      </c>
      <c r="D394" s="303" t="s">
        <v>1185</v>
      </c>
      <c r="E394" s="315">
        <v>42548.0</v>
      </c>
      <c r="F394" s="312" t="s">
        <v>25</v>
      </c>
      <c r="G394" s="303" t="s">
        <v>1190</v>
      </c>
      <c r="H394" s="303" t="s">
        <v>1180</v>
      </c>
      <c r="I394" s="303" t="s">
        <v>1186</v>
      </c>
      <c r="J394" s="306">
        <v>0.8</v>
      </c>
      <c r="K394" s="50"/>
      <c r="L394" s="312"/>
      <c r="M394" s="312">
        <v>286.0</v>
      </c>
      <c r="N394" s="312"/>
      <c r="O394" s="312"/>
      <c r="P394" s="315">
        <v>42930.0</v>
      </c>
      <c r="Q394" s="312">
        <v>13711.0</v>
      </c>
      <c r="R394" s="312">
        <v>241.0</v>
      </c>
      <c r="S394" s="316"/>
      <c r="T394" s="317">
        <v>244.05</v>
      </c>
      <c r="U394" s="312" t="s">
        <v>1366</v>
      </c>
      <c r="V394" s="312" t="s">
        <v>1367</v>
      </c>
      <c r="W394" s="50"/>
      <c r="X394" s="50"/>
      <c r="Y394" s="50"/>
      <c r="Z394" s="312"/>
      <c r="AA394" s="312" t="s">
        <v>1478</v>
      </c>
      <c r="AB394" s="50"/>
      <c r="AC394" s="50"/>
      <c r="AD394" s="50"/>
      <c r="AE394" s="50"/>
    </row>
    <row r="395">
      <c r="A395" s="307">
        <v>42676.42291666667</v>
      </c>
      <c r="B395" s="312" t="s">
        <v>1067</v>
      </c>
      <c r="C395" s="303" t="s">
        <v>1177</v>
      </c>
      <c r="D395" s="303" t="s">
        <v>1178</v>
      </c>
      <c r="E395" s="315">
        <v>42088.0</v>
      </c>
      <c r="F395" s="312" t="s">
        <v>38</v>
      </c>
      <c r="G395" s="303" t="s">
        <v>1179</v>
      </c>
      <c r="H395" s="303" t="s">
        <v>1181</v>
      </c>
      <c r="I395" s="303" t="s">
        <v>1186</v>
      </c>
      <c r="J395" s="306">
        <v>0.9</v>
      </c>
      <c r="K395" s="312">
        <v>406.0</v>
      </c>
      <c r="L395" s="312"/>
      <c r="M395" s="312">
        <v>185.0</v>
      </c>
      <c r="N395" s="312"/>
      <c r="O395" s="312"/>
      <c r="P395" s="315">
        <v>42676.0</v>
      </c>
      <c r="Q395" s="312">
        <v>50105.0</v>
      </c>
      <c r="R395" s="312">
        <v>387.0</v>
      </c>
      <c r="S395" s="316"/>
      <c r="T395" s="317">
        <v>391.9</v>
      </c>
      <c r="U395" s="312" t="s">
        <v>1366</v>
      </c>
      <c r="V395" s="312" t="s">
        <v>1367</v>
      </c>
      <c r="W395" s="50"/>
      <c r="X395" s="50"/>
      <c r="Y395" s="50"/>
      <c r="Z395" s="312"/>
      <c r="AA395" s="50"/>
      <c r="AB395" s="50"/>
      <c r="AC395" s="50"/>
      <c r="AD395" s="50"/>
      <c r="AE395" s="50"/>
    </row>
    <row r="396">
      <c r="A396" s="307">
        <v>42847.895833333336</v>
      </c>
      <c r="B396" s="312" t="s">
        <v>846</v>
      </c>
      <c r="C396" s="312" t="s">
        <v>1292</v>
      </c>
      <c r="D396" s="303" t="s">
        <v>1185</v>
      </c>
      <c r="E396" s="315">
        <v>42811.0</v>
      </c>
      <c r="F396" s="312" t="s">
        <v>16</v>
      </c>
      <c r="G396" s="50"/>
      <c r="H396" s="50"/>
      <c r="I396" s="50"/>
      <c r="J396" s="306"/>
      <c r="K396" s="50"/>
      <c r="L396" s="312"/>
      <c r="M396" s="50"/>
      <c r="N396" s="312"/>
      <c r="O396" s="312"/>
      <c r="P396" s="315">
        <v>42847.0</v>
      </c>
      <c r="Q396" s="312">
        <v>2271.0</v>
      </c>
      <c r="R396" s="312">
        <v>205.0</v>
      </c>
      <c r="S396" s="316"/>
      <c r="T396" s="317">
        <v>207.59</v>
      </c>
      <c r="U396" s="312" t="s">
        <v>1366</v>
      </c>
      <c r="V396" s="312" t="s">
        <v>1367</v>
      </c>
      <c r="W396" s="50"/>
      <c r="X396" s="50"/>
      <c r="Y396" s="50"/>
      <c r="Z396" s="312"/>
      <c r="AA396" s="50"/>
      <c r="AB396" s="50"/>
      <c r="AC396" s="50"/>
      <c r="AD396" s="50"/>
      <c r="AE396" s="50"/>
    </row>
    <row r="397">
      <c r="A397" s="307">
        <v>42352.24722222222</v>
      </c>
      <c r="B397" s="312" t="s">
        <v>918</v>
      </c>
      <c r="C397" s="303" t="s">
        <v>1177</v>
      </c>
      <c r="D397" s="303" t="s">
        <v>1178</v>
      </c>
      <c r="E397" s="315">
        <v>41563.0</v>
      </c>
      <c r="F397" s="312" t="s">
        <v>34</v>
      </c>
      <c r="G397" s="303" t="s">
        <v>1181</v>
      </c>
      <c r="H397" s="303" t="s">
        <v>1181</v>
      </c>
      <c r="I397" s="303" t="s">
        <v>1187</v>
      </c>
      <c r="J397" s="306">
        <v>0.6</v>
      </c>
      <c r="K397" s="312">
        <v>400.0</v>
      </c>
      <c r="L397" s="312"/>
      <c r="M397" s="312">
        <v>225.0</v>
      </c>
      <c r="N397" s="312"/>
      <c r="O397" s="312"/>
      <c r="P397" s="315">
        <v>42352.0</v>
      </c>
      <c r="Q397" s="312">
        <v>41868.0</v>
      </c>
      <c r="R397" s="312">
        <v>357.0</v>
      </c>
      <c r="S397" s="316"/>
      <c r="T397" s="317">
        <v>361.52</v>
      </c>
      <c r="U397" s="312" t="s">
        <v>1366</v>
      </c>
      <c r="V397" s="312" t="s">
        <v>1367</v>
      </c>
      <c r="W397" s="50"/>
      <c r="X397" s="50"/>
      <c r="Y397" s="50"/>
      <c r="Z397" s="312"/>
      <c r="AA397" s="312" t="s">
        <v>1393</v>
      </c>
      <c r="AB397" s="50"/>
      <c r="AC397" s="50"/>
      <c r="AD397" s="50"/>
      <c r="AE397" s="50"/>
    </row>
    <row r="398">
      <c r="A398" s="307">
        <v>42553.35902777778</v>
      </c>
      <c r="B398" s="312" t="s">
        <v>918</v>
      </c>
      <c r="C398" s="303" t="s">
        <v>1177</v>
      </c>
      <c r="D398" s="303" t="s">
        <v>1178</v>
      </c>
      <c r="E398" s="315">
        <v>41563.0</v>
      </c>
      <c r="F398" s="312" t="s">
        <v>34</v>
      </c>
      <c r="G398" s="303" t="s">
        <v>1186</v>
      </c>
      <c r="H398" s="303" t="s">
        <v>1186</v>
      </c>
      <c r="I398" s="303" t="s">
        <v>1187</v>
      </c>
      <c r="J398" s="306">
        <v>0.8</v>
      </c>
      <c r="K398" s="312">
        <v>400.0</v>
      </c>
      <c r="L398" s="312"/>
      <c r="M398" s="312">
        <v>225.0</v>
      </c>
      <c r="N398" s="312"/>
      <c r="O398" s="312"/>
      <c r="P398" s="315">
        <v>42553.0</v>
      </c>
      <c r="Q398" s="312">
        <v>52500.0</v>
      </c>
      <c r="R398" s="312">
        <v>380.0</v>
      </c>
      <c r="S398" s="316"/>
      <c r="T398" s="317">
        <v>384.81</v>
      </c>
      <c r="U398" s="312" t="s">
        <v>1366</v>
      </c>
      <c r="V398" s="312" t="s">
        <v>1367</v>
      </c>
      <c r="W398" s="50"/>
      <c r="X398" s="50"/>
      <c r="Y398" s="50"/>
      <c r="Z398" s="312"/>
      <c r="AA398" s="50"/>
      <c r="AB398" s="50"/>
      <c r="AC398" s="50"/>
      <c r="AD398" s="50"/>
      <c r="AE398" s="50"/>
    </row>
    <row r="399">
      <c r="A399" s="307">
        <v>42678.42986111111</v>
      </c>
      <c r="B399" s="312" t="s">
        <v>918</v>
      </c>
      <c r="C399" s="303" t="s">
        <v>1177</v>
      </c>
      <c r="D399" s="303" t="s">
        <v>1178</v>
      </c>
      <c r="E399" s="315">
        <v>41563.0</v>
      </c>
      <c r="F399" s="312" t="s">
        <v>34</v>
      </c>
      <c r="G399" s="303" t="s">
        <v>1186</v>
      </c>
      <c r="H399" s="303" t="s">
        <v>1181</v>
      </c>
      <c r="I399" s="303" t="s">
        <v>1187</v>
      </c>
      <c r="J399" s="306">
        <v>0.7</v>
      </c>
      <c r="K399" s="312">
        <v>400.0</v>
      </c>
      <c r="L399" s="312"/>
      <c r="M399" s="312">
        <v>225.0</v>
      </c>
      <c r="N399" s="312"/>
      <c r="O399" s="312"/>
      <c r="P399" s="315">
        <v>42678.0</v>
      </c>
      <c r="Q399" s="312">
        <v>59750.0</v>
      </c>
      <c r="R399" s="312">
        <v>380.0</v>
      </c>
      <c r="S399" s="316"/>
      <c r="T399" s="317">
        <v>384.81</v>
      </c>
      <c r="U399" s="312" t="s">
        <v>1366</v>
      </c>
      <c r="V399" s="312" t="s">
        <v>1367</v>
      </c>
      <c r="W399" s="50"/>
      <c r="X399" s="50"/>
      <c r="Y399" s="50"/>
      <c r="Z399" s="312"/>
      <c r="AA399" s="50"/>
      <c r="AB399" s="50"/>
      <c r="AC399" s="50"/>
      <c r="AD399" s="50"/>
      <c r="AE399" s="50"/>
    </row>
    <row r="400">
      <c r="A400" s="307">
        <v>42950.56805555556</v>
      </c>
      <c r="B400" s="312" t="s">
        <v>918</v>
      </c>
      <c r="C400" s="303" t="s">
        <v>1177</v>
      </c>
      <c r="D400" s="303" t="s">
        <v>1178</v>
      </c>
      <c r="E400" s="315">
        <v>41563.0</v>
      </c>
      <c r="F400" s="312" t="s">
        <v>34</v>
      </c>
      <c r="G400" s="303" t="s">
        <v>1186</v>
      </c>
      <c r="H400" s="303" t="s">
        <v>1186</v>
      </c>
      <c r="I400" s="303" t="s">
        <v>1186</v>
      </c>
      <c r="J400" s="306">
        <v>0.7</v>
      </c>
      <c r="K400" s="312">
        <v>400.0</v>
      </c>
      <c r="L400" s="312"/>
      <c r="M400" s="312">
        <v>227.0</v>
      </c>
      <c r="N400" s="312"/>
      <c r="O400" s="312"/>
      <c r="P400" s="315">
        <v>42950.0</v>
      </c>
      <c r="Q400" s="312">
        <v>68900.0</v>
      </c>
      <c r="R400" s="312">
        <v>380.0</v>
      </c>
      <c r="S400" s="316"/>
      <c r="T400" s="317">
        <v>384.81</v>
      </c>
      <c r="U400" s="312" t="s">
        <v>1366</v>
      </c>
      <c r="V400" s="312" t="s">
        <v>1367</v>
      </c>
      <c r="W400" s="50"/>
      <c r="X400" s="50"/>
      <c r="Y400" s="50"/>
      <c r="Z400" s="312"/>
      <c r="AA400" s="50"/>
      <c r="AB400" s="50"/>
      <c r="AC400" s="50"/>
      <c r="AD400" s="50"/>
      <c r="AE400" s="50"/>
    </row>
    <row r="401">
      <c r="A401" s="307">
        <v>43095.65347222222</v>
      </c>
      <c r="B401" s="312" t="s">
        <v>918</v>
      </c>
      <c r="C401" s="303" t="s">
        <v>1177</v>
      </c>
      <c r="D401" s="303" t="s">
        <v>1178</v>
      </c>
      <c r="E401" s="315">
        <v>41563.0</v>
      </c>
      <c r="F401" s="312" t="s">
        <v>34</v>
      </c>
      <c r="G401" s="303" t="s">
        <v>1186</v>
      </c>
      <c r="H401" s="303" t="s">
        <v>1186</v>
      </c>
      <c r="I401" s="303" t="s">
        <v>1186</v>
      </c>
      <c r="J401" s="306">
        <v>0.7</v>
      </c>
      <c r="K401" s="312">
        <v>400.0</v>
      </c>
      <c r="L401" s="312"/>
      <c r="M401" s="312">
        <v>226.0</v>
      </c>
      <c r="N401" s="312"/>
      <c r="O401" s="312"/>
      <c r="P401" s="315">
        <v>43095.0</v>
      </c>
      <c r="Q401" s="312">
        <v>78126.0</v>
      </c>
      <c r="R401" s="312">
        <v>382.0</v>
      </c>
      <c r="S401" s="316"/>
      <c r="T401" s="317">
        <v>386.84</v>
      </c>
      <c r="U401" s="312" t="s">
        <v>1366</v>
      </c>
      <c r="V401" s="312" t="s">
        <v>1367</v>
      </c>
      <c r="W401" s="50"/>
      <c r="X401" s="50"/>
      <c r="Y401" s="50"/>
      <c r="Z401" s="312"/>
      <c r="AA401" s="50"/>
      <c r="AB401" s="50"/>
      <c r="AC401" s="50"/>
      <c r="AD401" s="50"/>
      <c r="AE401" s="50"/>
    </row>
    <row r="402">
      <c r="A402" s="307">
        <v>42853.52777777778</v>
      </c>
      <c r="B402" s="312" t="s">
        <v>851</v>
      </c>
      <c r="C402" s="303" t="s">
        <v>1177</v>
      </c>
      <c r="D402" s="303" t="s">
        <v>1178</v>
      </c>
      <c r="E402" s="315">
        <v>41977.0</v>
      </c>
      <c r="F402" s="312" t="s">
        <v>30</v>
      </c>
      <c r="G402" s="303" t="s">
        <v>1181</v>
      </c>
      <c r="H402" s="303" t="s">
        <v>1181</v>
      </c>
      <c r="I402" s="303" t="s">
        <v>1186</v>
      </c>
      <c r="J402" s="306">
        <v>0.8</v>
      </c>
      <c r="K402" s="50"/>
      <c r="L402" s="312"/>
      <c r="M402" s="312"/>
      <c r="N402" s="312"/>
      <c r="O402" s="312"/>
      <c r="P402" s="315">
        <v>42853.0</v>
      </c>
      <c r="Q402" s="312">
        <v>34485.0</v>
      </c>
      <c r="R402" s="312">
        <v>384.0</v>
      </c>
      <c r="S402" s="316"/>
      <c r="T402" s="317">
        <v>388.86</v>
      </c>
      <c r="U402" s="312" t="s">
        <v>1366</v>
      </c>
      <c r="V402" s="312" t="s">
        <v>1367</v>
      </c>
      <c r="W402" s="50"/>
      <c r="X402" s="50"/>
      <c r="Y402" s="50"/>
      <c r="Z402" s="312"/>
      <c r="AA402" s="50"/>
      <c r="AB402" s="50"/>
      <c r="AC402" s="50"/>
      <c r="AD402" s="50"/>
      <c r="AE402" s="50"/>
    </row>
    <row r="403">
      <c r="A403" s="307">
        <v>42945.572916666664</v>
      </c>
      <c r="B403" s="312" t="s">
        <v>851</v>
      </c>
      <c r="C403" s="303" t="s">
        <v>1177</v>
      </c>
      <c r="D403" s="303" t="s">
        <v>1178</v>
      </c>
      <c r="E403" s="315">
        <v>41977.0</v>
      </c>
      <c r="F403" s="312" t="s">
        <v>30</v>
      </c>
      <c r="G403" s="303" t="s">
        <v>1180</v>
      </c>
      <c r="H403" s="303" t="s">
        <v>1181</v>
      </c>
      <c r="I403" s="303" t="s">
        <v>1181</v>
      </c>
      <c r="J403" s="306">
        <v>0.9</v>
      </c>
      <c r="K403" s="50"/>
      <c r="L403" s="312"/>
      <c r="M403" s="312">
        <v>218.0</v>
      </c>
      <c r="N403" s="312"/>
      <c r="O403" s="312"/>
      <c r="P403" s="315">
        <v>42945.0</v>
      </c>
      <c r="Q403" s="312">
        <v>37970.0</v>
      </c>
      <c r="R403" s="312">
        <v>386.0</v>
      </c>
      <c r="S403" s="316"/>
      <c r="T403" s="317">
        <v>390.89</v>
      </c>
      <c r="U403" s="312" t="s">
        <v>1366</v>
      </c>
      <c r="V403" s="312" t="s">
        <v>1367</v>
      </c>
      <c r="W403" s="50"/>
      <c r="X403" s="50"/>
      <c r="Y403" s="50"/>
      <c r="Z403" s="312"/>
      <c r="AA403" s="50"/>
      <c r="AB403" s="50"/>
      <c r="AC403" s="50"/>
      <c r="AD403" s="50"/>
      <c r="AE403" s="50"/>
    </row>
    <row r="404">
      <c r="A404" s="307">
        <v>42958.57361111111</v>
      </c>
      <c r="B404" s="312" t="s">
        <v>851</v>
      </c>
      <c r="C404" s="303" t="s">
        <v>1177</v>
      </c>
      <c r="D404" s="303" t="s">
        <v>1178</v>
      </c>
      <c r="E404" s="315">
        <v>41977.0</v>
      </c>
      <c r="F404" s="312" t="s">
        <v>30</v>
      </c>
      <c r="G404" s="312"/>
      <c r="H404" s="312"/>
      <c r="I404" s="312"/>
      <c r="J404" s="306"/>
      <c r="K404" s="50"/>
      <c r="L404" s="312"/>
      <c r="M404" s="312"/>
      <c r="N404" s="312"/>
      <c r="O404" s="312"/>
      <c r="P404" s="315">
        <v>42958.0</v>
      </c>
      <c r="Q404" s="312">
        <v>39951.0</v>
      </c>
      <c r="R404" s="312">
        <v>384.0</v>
      </c>
      <c r="S404" s="316"/>
      <c r="T404" s="317">
        <v>388.86</v>
      </c>
      <c r="U404" s="312" t="s">
        <v>1366</v>
      </c>
      <c r="V404" s="312" t="s">
        <v>1367</v>
      </c>
      <c r="W404" s="50"/>
      <c r="X404" s="50"/>
      <c r="Y404" s="50"/>
      <c r="Z404" s="312"/>
      <c r="AA404" s="50"/>
      <c r="AB404" s="50"/>
      <c r="AC404" s="50"/>
      <c r="AD404" s="50"/>
      <c r="AE404" s="50"/>
    </row>
    <row r="405">
      <c r="A405" s="307">
        <v>41918.02916666667</v>
      </c>
      <c r="B405" s="50" t="s">
        <v>821</v>
      </c>
      <c r="C405" s="303" t="s">
        <v>1177</v>
      </c>
      <c r="D405" s="303" t="s">
        <v>1178</v>
      </c>
      <c r="E405" s="310">
        <v>41612.0</v>
      </c>
      <c r="F405" s="312" t="s">
        <v>32</v>
      </c>
      <c r="G405" s="303" t="s">
        <v>1190</v>
      </c>
      <c r="H405" s="303" t="s">
        <v>1179</v>
      </c>
      <c r="I405" s="303" t="s">
        <v>1187</v>
      </c>
      <c r="J405" s="306"/>
      <c r="K405" s="50"/>
      <c r="L405" s="50"/>
      <c r="M405" s="50">
        <v>230.0</v>
      </c>
      <c r="N405" s="50"/>
      <c r="O405" s="312"/>
      <c r="P405" s="310">
        <v>41918.0</v>
      </c>
      <c r="Q405" s="50">
        <v>21500.0</v>
      </c>
      <c r="R405" s="50">
        <v>380.0</v>
      </c>
      <c r="S405" s="318"/>
      <c r="T405" s="317">
        <v>383.84</v>
      </c>
      <c r="U405" s="312" t="s">
        <v>1407</v>
      </c>
      <c r="V405" s="312" t="s">
        <v>1367</v>
      </c>
      <c r="W405" s="50"/>
      <c r="X405" s="50"/>
      <c r="Y405" s="50"/>
      <c r="Z405" s="312"/>
      <c r="AA405" s="50" t="s">
        <v>1479</v>
      </c>
      <c r="AB405" s="50"/>
      <c r="AC405" s="50"/>
      <c r="AD405" s="50"/>
      <c r="AE405" s="50"/>
    </row>
    <row r="406">
      <c r="A406" s="307">
        <v>42457.31458333333</v>
      </c>
      <c r="B406" s="312" t="s">
        <v>821</v>
      </c>
      <c r="C406" s="303" t="s">
        <v>1177</v>
      </c>
      <c r="D406" s="303" t="s">
        <v>1178</v>
      </c>
      <c r="E406" s="315">
        <v>41613.0</v>
      </c>
      <c r="F406" s="312" t="s">
        <v>32</v>
      </c>
      <c r="G406" s="303" t="s">
        <v>1190</v>
      </c>
      <c r="H406" s="303" t="s">
        <v>1186</v>
      </c>
      <c r="I406" s="303" t="s">
        <v>1181</v>
      </c>
      <c r="J406" s="306"/>
      <c r="K406" s="50"/>
      <c r="L406" s="312"/>
      <c r="M406" s="312">
        <v>230.0</v>
      </c>
      <c r="N406" s="312"/>
      <c r="O406" s="312"/>
      <c r="P406" s="315">
        <v>42457.0</v>
      </c>
      <c r="Q406" s="312">
        <v>69000.0</v>
      </c>
      <c r="R406" s="312">
        <v>373.0</v>
      </c>
      <c r="S406" s="316"/>
      <c r="T406" s="317">
        <v>377.72</v>
      </c>
      <c r="U406" s="312" t="s">
        <v>1366</v>
      </c>
      <c r="V406" s="312" t="s">
        <v>1367</v>
      </c>
      <c r="W406" s="50"/>
      <c r="X406" s="50"/>
      <c r="Y406" s="50"/>
      <c r="Z406" s="312"/>
      <c r="AA406" s="50"/>
      <c r="AB406" s="50"/>
      <c r="AC406" s="50"/>
      <c r="AD406" s="50"/>
      <c r="AE406" s="50"/>
    </row>
    <row r="407">
      <c r="A407" s="307">
        <v>42317.222916666666</v>
      </c>
      <c r="B407" s="312" t="s">
        <v>1079</v>
      </c>
      <c r="C407" s="303" t="s">
        <v>1177</v>
      </c>
      <c r="D407" s="303" t="s">
        <v>1178</v>
      </c>
      <c r="E407" s="315">
        <v>42040.0</v>
      </c>
      <c r="F407" s="312" t="s">
        <v>36</v>
      </c>
      <c r="G407" s="303" t="s">
        <v>1179</v>
      </c>
      <c r="H407" s="303" t="s">
        <v>1181</v>
      </c>
      <c r="I407" s="303" t="s">
        <v>1187</v>
      </c>
      <c r="J407" s="306">
        <v>0.8</v>
      </c>
      <c r="K407" s="312">
        <v>404.0</v>
      </c>
      <c r="L407" s="312"/>
      <c r="M407" s="312">
        <v>206.0</v>
      </c>
      <c r="N407" s="312"/>
      <c r="O407" s="312"/>
      <c r="P407" s="315">
        <v>42317.0</v>
      </c>
      <c r="Q407" s="312">
        <v>32161.0</v>
      </c>
      <c r="R407" s="312">
        <v>393.0</v>
      </c>
      <c r="S407" s="316"/>
      <c r="T407" s="317">
        <v>397.97</v>
      </c>
      <c r="U407" s="312" t="s">
        <v>1366</v>
      </c>
      <c r="V407" s="312" t="s">
        <v>1367</v>
      </c>
      <c r="W407" s="50"/>
      <c r="X407" s="50"/>
      <c r="Y407" s="50"/>
      <c r="Z407" s="312"/>
      <c r="AA407" s="312" t="s">
        <v>1416</v>
      </c>
      <c r="AB407" s="50"/>
      <c r="AC407" s="50"/>
      <c r="AD407" s="50"/>
      <c r="AE407" s="50"/>
    </row>
    <row r="408">
      <c r="A408" s="307">
        <v>41918.029861111114</v>
      </c>
      <c r="B408" s="50" t="s">
        <v>770</v>
      </c>
      <c r="C408" s="303" t="s">
        <v>1177</v>
      </c>
      <c r="D408" s="303" t="s">
        <v>1178</v>
      </c>
      <c r="E408" s="310">
        <v>41607.0</v>
      </c>
      <c r="F408" s="312" t="s">
        <v>30</v>
      </c>
      <c r="G408" s="303" t="s">
        <v>1181</v>
      </c>
      <c r="H408" s="303" t="s">
        <v>1186</v>
      </c>
      <c r="I408" s="303" t="s">
        <v>1186</v>
      </c>
      <c r="J408" s="306"/>
      <c r="K408" s="50"/>
      <c r="L408" s="50"/>
      <c r="M408" s="50">
        <v>263.0</v>
      </c>
      <c r="N408" s="50">
        <v>26000.0</v>
      </c>
      <c r="O408" s="303" t="s">
        <v>1323</v>
      </c>
      <c r="P408" s="310">
        <v>41918.0</v>
      </c>
      <c r="Q408" s="50">
        <v>29700.0</v>
      </c>
      <c r="R408" s="50">
        <v>387.0</v>
      </c>
      <c r="S408" s="318"/>
      <c r="T408" s="317">
        <v>390.91</v>
      </c>
      <c r="U408" s="312" t="s">
        <v>1407</v>
      </c>
      <c r="V408" s="312" t="s">
        <v>1399</v>
      </c>
      <c r="W408" s="50"/>
      <c r="X408" s="50"/>
      <c r="Y408" s="50"/>
      <c r="Z408" s="312"/>
      <c r="AA408" s="50" t="s">
        <v>1480</v>
      </c>
      <c r="AB408" s="50"/>
      <c r="AC408" s="50"/>
      <c r="AD408" s="50"/>
      <c r="AE408" s="50"/>
    </row>
    <row r="409">
      <c r="A409" s="307">
        <v>42039.07083333333</v>
      </c>
      <c r="B409" s="50" t="s">
        <v>770</v>
      </c>
      <c r="C409" s="303" t="s">
        <v>1177</v>
      </c>
      <c r="D409" s="303" t="s">
        <v>1178</v>
      </c>
      <c r="E409" s="310">
        <v>41607.0</v>
      </c>
      <c r="F409" s="312" t="s">
        <v>30</v>
      </c>
      <c r="G409" s="303" t="s">
        <v>1181</v>
      </c>
      <c r="H409" s="303" t="s">
        <v>1186</v>
      </c>
      <c r="I409" s="303" t="s">
        <v>1186</v>
      </c>
      <c r="J409" s="306"/>
      <c r="K409" s="50"/>
      <c r="L409" s="50"/>
      <c r="M409" s="50">
        <v>266.0</v>
      </c>
      <c r="N409" s="50">
        <v>26000.0</v>
      </c>
      <c r="O409" s="303" t="s">
        <v>1323</v>
      </c>
      <c r="P409" s="310">
        <v>42039.0</v>
      </c>
      <c r="Q409" s="50">
        <v>41000.0</v>
      </c>
      <c r="R409" s="50">
        <v>375.0</v>
      </c>
      <c r="S409" s="318"/>
      <c r="T409" s="317">
        <v>379.75</v>
      </c>
      <c r="U409" s="312" t="s">
        <v>1366</v>
      </c>
      <c r="V409" s="312" t="s">
        <v>1399</v>
      </c>
      <c r="W409" s="50"/>
      <c r="X409" s="50"/>
      <c r="Y409" s="50"/>
      <c r="Z409" s="312"/>
      <c r="AA409" s="50" t="s">
        <v>1480</v>
      </c>
      <c r="AB409" s="50"/>
      <c r="AC409" s="50"/>
      <c r="AD409" s="50"/>
      <c r="AE409" s="50"/>
    </row>
    <row r="410">
      <c r="A410" s="307">
        <v>42114.10208333333</v>
      </c>
      <c r="B410" s="50" t="s">
        <v>770</v>
      </c>
      <c r="C410" s="303" t="s">
        <v>1177</v>
      </c>
      <c r="D410" s="303" t="s">
        <v>1178</v>
      </c>
      <c r="E410" s="310">
        <v>41607.0</v>
      </c>
      <c r="F410" s="312" t="s">
        <v>30</v>
      </c>
      <c r="G410" s="303" t="s">
        <v>1180</v>
      </c>
      <c r="H410" s="303" t="s">
        <v>1181</v>
      </c>
      <c r="I410" s="303" t="s">
        <v>1181</v>
      </c>
      <c r="J410" s="306"/>
      <c r="K410" s="50"/>
      <c r="L410" s="312"/>
      <c r="M410" s="50">
        <v>266.0</v>
      </c>
      <c r="N410" s="50">
        <v>26000.0</v>
      </c>
      <c r="O410" s="303" t="s">
        <v>1323</v>
      </c>
      <c r="P410" s="315">
        <v>42114.0</v>
      </c>
      <c r="Q410" s="312">
        <v>46000.0</v>
      </c>
      <c r="R410" s="312">
        <v>378.0</v>
      </c>
      <c r="S410" s="316"/>
      <c r="T410" s="317">
        <v>382.78</v>
      </c>
      <c r="U410" s="312" t="s">
        <v>1366</v>
      </c>
      <c r="V410" s="312" t="s">
        <v>1399</v>
      </c>
      <c r="W410" s="50"/>
      <c r="X410" s="50"/>
      <c r="Y410" s="50"/>
      <c r="Z410" s="312"/>
      <c r="AA410" s="50" t="s">
        <v>1480</v>
      </c>
      <c r="AB410" s="50"/>
      <c r="AC410" s="50"/>
      <c r="AD410" s="50"/>
      <c r="AE410" s="50"/>
    </row>
    <row r="411">
      <c r="A411" s="307">
        <v>42234.16736111111</v>
      </c>
      <c r="B411" s="312" t="s">
        <v>770</v>
      </c>
      <c r="C411" s="303" t="s">
        <v>1177</v>
      </c>
      <c r="D411" s="303" t="s">
        <v>1178</v>
      </c>
      <c r="E411" s="315">
        <v>41608.0</v>
      </c>
      <c r="F411" s="312" t="s">
        <v>30</v>
      </c>
      <c r="G411" s="303" t="s">
        <v>1179</v>
      </c>
      <c r="H411" s="303" t="s">
        <v>1181</v>
      </c>
      <c r="I411" s="303" t="s">
        <v>1181</v>
      </c>
      <c r="J411" s="306">
        <v>0.9</v>
      </c>
      <c r="K411" s="312">
        <v>399.0</v>
      </c>
      <c r="L411" s="312"/>
      <c r="M411" s="312">
        <v>265.0</v>
      </c>
      <c r="N411" s="312">
        <v>25000.0</v>
      </c>
      <c r="O411" s="303" t="s">
        <v>1481</v>
      </c>
      <c r="P411" s="315">
        <v>42234.0</v>
      </c>
      <c r="Q411" s="312">
        <v>54500.0</v>
      </c>
      <c r="R411" s="312">
        <v>371.0</v>
      </c>
      <c r="S411" s="316"/>
      <c r="T411" s="317">
        <v>375.7</v>
      </c>
      <c r="U411" s="312" t="s">
        <v>1366</v>
      </c>
      <c r="V411" s="312" t="s">
        <v>1399</v>
      </c>
      <c r="W411" s="312">
        <v>371.0</v>
      </c>
      <c r="X411" s="312">
        <v>0.0</v>
      </c>
      <c r="Y411" s="312">
        <v>68.2</v>
      </c>
      <c r="Z411" s="312" t="s">
        <v>1366</v>
      </c>
      <c r="AA411" s="312" t="s">
        <v>1482</v>
      </c>
      <c r="AB411" s="50"/>
      <c r="AC411" s="50"/>
      <c r="AD411" s="50"/>
      <c r="AE411" s="50"/>
    </row>
    <row r="412">
      <c r="A412" s="307">
        <v>42582.37152777778</v>
      </c>
      <c r="B412" s="312" t="s">
        <v>770</v>
      </c>
      <c r="C412" s="303" t="s">
        <v>1177</v>
      </c>
      <c r="D412" s="303" t="s">
        <v>1178</v>
      </c>
      <c r="E412" s="315">
        <v>41603.0</v>
      </c>
      <c r="F412" s="312" t="s">
        <v>30</v>
      </c>
      <c r="G412" s="303" t="s">
        <v>1180</v>
      </c>
      <c r="H412" s="303" t="s">
        <v>1181</v>
      </c>
      <c r="I412" s="303" t="s">
        <v>1181</v>
      </c>
      <c r="J412" s="306">
        <v>0.9</v>
      </c>
      <c r="K412" s="312">
        <v>400.0</v>
      </c>
      <c r="L412" s="312"/>
      <c r="M412" s="312">
        <v>266.0</v>
      </c>
      <c r="N412" s="312">
        <v>26000.0</v>
      </c>
      <c r="O412" s="303" t="s">
        <v>1323</v>
      </c>
      <c r="P412" s="315">
        <v>42582.0</v>
      </c>
      <c r="Q412" s="312">
        <v>71000.0</v>
      </c>
      <c r="R412" s="312">
        <v>373.0</v>
      </c>
      <c r="S412" s="316"/>
      <c r="T412" s="317">
        <v>377.72</v>
      </c>
      <c r="U412" s="312" t="s">
        <v>1366</v>
      </c>
      <c r="V412" s="312" t="s">
        <v>1399</v>
      </c>
      <c r="W412" s="50"/>
      <c r="X412" s="50"/>
      <c r="Y412" s="50"/>
      <c r="Z412" s="312"/>
      <c r="AA412" s="50"/>
      <c r="AB412" s="50"/>
      <c r="AC412" s="50"/>
      <c r="AD412" s="50"/>
      <c r="AE412" s="50"/>
    </row>
    <row r="413">
      <c r="A413" s="307">
        <v>41926.032638888886</v>
      </c>
      <c r="B413" s="50" t="s">
        <v>813</v>
      </c>
      <c r="C413" s="303" t="s">
        <v>1177</v>
      </c>
      <c r="D413" s="303" t="s">
        <v>1178</v>
      </c>
      <c r="E413" s="310">
        <v>41612.0</v>
      </c>
      <c r="F413" s="312" t="s">
        <v>32</v>
      </c>
      <c r="G413" s="303" t="s">
        <v>1180</v>
      </c>
      <c r="H413" s="303" t="s">
        <v>1179</v>
      </c>
      <c r="I413" s="303" t="s">
        <v>1186</v>
      </c>
      <c r="J413" s="306"/>
      <c r="K413" s="50"/>
      <c r="L413" s="50"/>
      <c r="M413" s="50">
        <v>234.0</v>
      </c>
      <c r="N413" s="50"/>
      <c r="O413" s="312"/>
      <c r="P413" s="310">
        <v>41926.0</v>
      </c>
      <c r="Q413" s="50">
        <v>34000.0</v>
      </c>
      <c r="R413" s="50">
        <v>381.0</v>
      </c>
      <c r="S413" s="318"/>
      <c r="T413" s="317">
        <v>384.85</v>
      </c>
      <c r="U413" s="312" t="s">
        <v>1407</v>
      </c>
      <c r="V413" s="312" t="s">
        <v>1367</v>
      </c>
      <c r="W413" s="50"/>
      <c r="X413" s="50"/>
      <c r="Y413" s="50"/>
      <c r="Z413" s="312"/>
      <c r="AA413" s="50" t="s">
        <v>1483</v>
      </c>
      <c r="AB413" s="50"/>
      <c r="AC413" s="50"/>
      <c r="AD413" s="50"/>
      <c r="AE413" s="50"/>
    </row>
    <row r="414">
      <c r="A414" s="307">
        <v>42081.08472222222</v>
      </c>
      <c r="B414" s="312" t="s">
        <v>813</v>
      </c>
      <c r="C414" s="303" t="s">
        <v>1177</v>
      </c>
      <c r="D414" s="303" t="s">
        <v>1178</v>
      </c>
      <c r="E414" s="315">
        <v>41612.0</v>
      </c>
      <c r="F414" s="312" t="s">
        <v>32</v>
      </c>
      <c r="G414" s="303" t="s">
        <v>1180</v>
      </c>
      <c r="H414" s="303" t="s">
        <v>1179</v>
      </c>
      <c r="I414" s="303" t="s">
        <v>1181</v>
      </c>
      <c r="J414" s="306"/>
      <c r="K414" s="50"/>
      <c r="L414" s="312"/>
      <c r="M414" s="312">
        <v>237.0</v>
      </c>
      <c r="N414" s="50"/>
      <c r="O414" s="312"/>
      <c r="P414" s="315">
        <v>42081.0</v>
      </c>
      <c r="Q414" s="312">
        <v>50000.0</v>
      </c>
      <c r="R414" s="312">
        <v>383.0</v>
      </c>
      <c r="S414" s="316"/>
      <c r="T414" s="317">
        <v>383.0</v>
      </c>
      <c r="U414" s="312" t="s">
        <v>1369</v>
      </c>
      <c r="V414" s="312" t="s">
        <v>1367</v>
      </c>
      <c r="W414" s="50"/>
      <c r="X414" s="50"/>
      <c r="Y414" s="50"/>
      <c r="Z414" s="312"/>
      <c r="AA414" s="312" t="s">
        <v>1484</v>
      </c>
      <c r="AB414" s="50"/>
      <c r="AC414" s="50"/>
      <c r="AD414" s="50"/>
      <c r="AE414" s="50"/>
    </row>
    <row r="415">
      <c r="A415" s="307">
        <v>42049.07430555556</v>
      </c>
      <c r="B415" s="50" t="s">
        <v>783</v>
      </c>
      <c r="C415" s="303" t="s">
        <v>1177</v>
      </c>
      <c r="D415" s="303" t="s">
        <v>1178</v>
      </c>
      <c r="E415" s="310">
        <v>41621.0</v>
      </c>
      <c r="F415" s="50" t="s">
        <v>30</v>
      </c>
      <c r="G415" s="303" t="s">
        <v>1179</v>
      </c>
      <c r="H415" s="303" t="s">
        <v>1180</v>
      </c>
      <c r="I415" s="303" t="s">
        <v>1181</v>
      </c>
      <c r="J415" s="306"/>
      <c r="K415" s="50"/>
      <c r="L415" s="50"/>
      <c r="M415" s="312">
        <v>218.0</v>
      </c>
      <c r="N415" s="50"/>
      <c r="O415" s="312"/>
      <c r="P415" s="310">
        <v>42049.0</v>
      </c>
      <c r="Q415" s="50">
        <v>27000.0</v>
      </c>
      <c r="R415" s="50">
        <v>373.0</v>
      </c>
      <c r="S415" s="318"/>
      <c r="T415" s="317">
        <v>377.72</v>
      </c>
      <c r="U415" s="312" t="s">
        <v>1366</v>
      </c>
      <c r="V415" s="312" t="s">
        <v>1367</v>
      </c>
      <c r="W415" s="50"/>
      <c r="X415" s="50"/>
      <c r="Y415" s="50"/>
      <c r="Z415" s="312"/>
      <c r="AA415" s="312" t="s">
        <v>1485</v>
      </c>
      <c r="AB415" s="50"/>
      <c r="AC415" s="50"/>
      <c r="AD415" s="50"/>
      <c r="AE415" s="50"/>
    </row>
    <row r="416">
      <c r="A416" s="307">
        <v>42128.11041666667</v>
      </c>
      <c r="B416" s="312" t="s">
        <v>783</v>
      </c>
      <c r="C416" s="303" t="s">
        <v>1177</v>
      </c>
      <c r="D416" s="303" t="s">
        <v>1178</v>
      </c>
      <c r="E416" s="310">
        <v>41621.0</v>
      </c>
      <c r="F416" s="312" t="s">
        <v>30</v>
      </c>
      <c r="G416" s="303" t="s">
        <v>1179</v>
      </c>
      <c r="H416" s="303" t="s">
        <v>1180</v>
      </c>
      <c r="I416" s="303" t="s">
        <v>1181</v>
      </c>
      <c r="J416" s="306">
        <v>0.8</v>
      </c>
      <c r="K416" s="50"/>
      <c r="L416" s="312"/>
      <c r="M416" s="312">
        <v>218.0</v>
      </c>
      <c r="N416" s="50"/>
      <c r="O416" s="312"/>
      <c r="P416" s="315">
        <v>42128.0</v>
      </c>
      <c r="Q416" s="312">
        <v>34786.0</v>
      </c>
      <c r="R416" s="312">
        <v>382.0</v>
      </c>
      <c r="S416" s="316"/>
      <c r="T416" s="317">
        <v>386.84</v>
      </c>
      <c r="U416" s="312" t="s">
        <v>1366</v>
      </c>
      <c r="V416" s="312" t="s">
        <v>1367</v>
      </c>
      <c r="W416" s="50"/>
      <c r="X416" s="50"/>
      <c r="Y416" s="50"/>
      <c r="Z416" s="312"/>
      <c r="AA416" s="312" t="s">
        <v>1486</v>
      </c>
      <c r="AB416" s="50"/>
      <c r="AC416" s="50"/>
      <c r="AD416" s="50"/>
      <c r="AE416" s="50"/>
    </row>
    <row r="417">
      <c r="A417" s="307">
        <v>42982.59861111111</v>
      </c>
      <c r="B417" s="312" t="s">
        <v>984</v>
      </c>
      <c r="C417" s="303" t="s">
        <v>1177</v>
      </c>
      <c r="D417" s="303" t="s">
        <v>1178</v>
      </c>
      <c r="E417" s="315">
        <v>41557.0</v>
      </c>
      <c r="F417" s="312" t="s">
        <v>30</v>
      </c>
      <c r="G417" s="303" t="s">
        <v>1181</v>
      </c>
      <c r="H417" s="303" t="s">
        <v>1190</v>
      </c>
      <c r="I417" s="303" t="s">
        <v>1181</v>
      </c>
      <c r="J417" s="306">
        <v>0.9</v>
      </c>
      <c r="K417" s="50"/>
      <c r="L417" s="312"/>
      <c r="M417" s="312">
        <v>244.0</v>
      </c>
      <c r="N417" s="312"/>
      <c r="O417" s="312"/>
      <c r="P417" s="315">
        <v>42982.0</v>
      </c>
      <c r="Q417" s="312">
        <v>95422.0</v>
      </c>
      <c r="R417" s="312">
        <v>379.0</v>
      </c>
      <c r="S417" s="316"/>
      <c r="T417" s="317">
        <v>383.8</v>
      </c>
      <c r="U417" s="312" t="s">
        <v>1366</v>
      </c>
      <c r="V417" s="312" t="s">
        <v>1367</v>
      </c>
      <c r="W417" s="50"/>
      <c r="X417" s="50"/>
      <c r="Y417" s="50"/>
      <c r="Z417" s="312"/>
      <c r="AA417" s="50"/>
      <c r="AB417" s="50"/>
      <c r="AC417" s="50"/>
      <c r="AD417" s="50"/>
      <c r="AE417" s="50"/>
    </row>
    <row r="418">
      <c r="A418" s="307">
        <v>42135.7375</v>
      </c>
      <c r="B418" s="50" t="s">
        <v>734</v>
      </c>
      <c r="C418" s="50" t="s">
        <v>1184</v>
      </c>
      <c r="D418" s="303" t="s">
        <v>1185</v>
      </c>
      <c r="E418" s="310">
        <v>41432.0</v>
      </c>
      <c r="F418" s="50" t="s">
        <v>32</v>
      </c>
      <c r="G418" s="303" t="s">
        <v>1190</v>
      </c>
      <c r="H418" s="303" t="s">
        <v>1181</v>
      </c>
      <c r="I418" s="303" t="s">
        <v>1186</v>
      </c>
      <c r="J418" s="306">
        <v>0.9</v>
      </c>
      <c r="K418" s="312">
        <v>260.0</v>
      </c>
      <c r="L418" s="50"/>
      <c r="M418" s="312">
        <v>304.0</v>
      </c>
      <c r="N418" s="312"/>
      <c r="O418" s="312"/>
      <c r="P418" s="310">
        <v>42135.0</v>
      </c>
      <c r="Q418" s="50">
        <v>43715.0</v>
      </c>
      <c r="R418" s="312">
        <v>251.0</v>
      </c>
      <c r="S418" s="316"/>
      <c r="T418" s="317">
        <v>254.18</v>
      </c>
      <c r="U418" s="312" t="s">
        <v>1366</v>
      </c>
      <c r="V418" s="312" t="s">
        <v>1367</v>
      </c>
      <c r="W418" s="50"/>
      <c r="X418" s="50"/>
      <c r="Y418" s="50"/>
      <c r="Z418" s="312"/>
      <c r="AA418" s="312"/>
      <c r="AB418" s="50"/>
      <c r="AC418" s="50"/>
      <c r="AD418" s="50"/>
      <c r="AE418" s="50"/>
    </row>
    <row r="419">
      <c r="A419" s="307">
        <v>42267.76180555556</v>
      </c>
      <c r="B419" s="312" t="s">
        <v>734</v>
      </c>
      <c r="C419" s="312" t="s">
        <v>1184</v>
      </c>
      <c r="D419" s="303" t="s">
        <v>1185</v>
      </c>
      <c r="E419" s="315">
        <v>41432.0</v>
      </c>
      <c r="F419" s="312" t="s">
        <v>32</v>
      </c>
      <c r="G419" s="303" t="s">
        <v>1190</v>
      </c>
      <c r="H419" s="303" t="s">
        <v>1181</v>
      </c>
      <c r="I419" s="303" t="s">
        <v>1186</v>
      </c>
      <c r="J419" s="306">
        <v>0.9</v>
      </c>
      <c r="K419" s="312">
        <v>260.0</v>
      </c>
      <c r="L419" s="312"/>
      <c r="M419" s="312">
        <v>304.0</v>
      </c>
      <c r="N419" s="312"/>
      <c r="O419" s="312"/>
      <c r="P419" s="315">
        <v>42267.0</v>
      </c>
      <c r="Q419" s="312">
        <v>51123.0</v>
      </c>
      <c r="R419" s="312">
        <v>250.0</v>
      </c>
      <c r="S419" s="316"/>
      <c r="T419" s="317">
        <v>253.16</v>
      </c>
      <c r="U419" s="312" t="s">
        <v>1366</v>
      </c>
      <c r="V419" s="312" t="s">
        <v>1367</v>
      </c>
      <c r="W419" s="50"/>
      <c r="X419" s="50"/>
      <c r="Y419" s="50"/>
      <c r="Z419" s="312"/>
      <c r="AA419" s="50"/>
      <c r="AB419" s="50"/>
      <c r="AC419" s="50"/>
      <c r="AD419" s="50"/>
      <c r="AE419" s="50"/>
    </row>
    <row r="420">
      <c r="A420" s="307">
        <v>42338.775</v>
      </c>
      <c r="B420" s="312" t="s">
        <v>734</v>
      </c>
      <c r="C420" s="312" t="s">
        <v>1184</v>
      </c>
      <c r="D420" s="303" t="s">
        <v>1185</v>
      </c>
      <c r="E420" s="315">
        <v>41432.0</v>
      </c>
      <c r="F420" s="312" t="s">
        <v>32</v>
      </c>
      <c r="G420" s="303" t="s">
        <v>1190</v>
      </c>
      <c r="H420" s="303" t="s">
        <v>1181</v>
      </c>
      <c r="I420" s="303" t="s">
        <v>1186</v>
      </c>
      <c r="J420" s="306">
        <v>0.9</v>
      </c>
      <c r="K420" s="312">
        <v>260.0</v>
      </c>
      <c r="L420" s="312"/>
      <c r="M420" s="312">
        <v>302.0</v>
      </c>
      <c r="N420" s="312"/>
      <c r="O420" s="312"/>
      <c r="P420" s="315">
        <v>42338.0</v>
      </c>
      <c r="Q420" s="312">
        <v>56544.0</v>
      </c>
      <c r="R420" s="312">
        <v>251.0</v>
      </c>
      <c r="S420" s="316"/>
      <c r="T420" s="317">
        <v>254.18</v>
      </c>
      <c r="U420" s="312" t="s">
        <v>1366</v>
      </c>
      <c r="V420" s="312" t="s">
        <v>1367</v>
      </c>
      <c r="W420" s="50"/>
      <c r="X420" s="50"/>
      <c r="Y420" s="50"/>
      <c r="Z420" s="312"/>
      <c r="AA420" s="50"/>
      <c r="AB420" s="50"/>
      <c r="AC420" s="50"/>
      <c r="AD420" s="50"/>
      <c r="AE420" s="50"/>
    </row>
    <row r="421">
      <c r="A421" s="307">
        <v>42507.79652777778</v>
      </c>
      <c r="B421" s="312" t="s">
        <v>734</v>
      </c>
      <c r="C421" s="312" t="s">
        <v>1184</v>
      </c>
      <c r="D421" s="303" t="s">
        <v>1185</v>
      </c>
      <c r="E421" s="315">
        <v>41432.0</v>
      </c>
      <c r="F421" s="312" t="s">
        <v>32</v>
      </c>
      <c r="G421" s="303" t="s">
        <v>1190</v>
      </c>
      <c r="H421" s="303" t="s">
        <v>1181</v>
      </c>
      <c r="I421" s="303" t="s">
        <v>1186</v>
      </c>
      <c r="J421" s="306">
        <v>0.9</v>
      </c>
      <c r="K421" s="312">
        <v>260.0</v>
      </c>
      <c r="L421" s="312"/>
      <c r="M421" s="312">
        <v>322.0</v>
      </c>
      <c r="N421" s="312"/>
      <c r="O421" s="312"/>
      <c r="P421" s="315">
        <v>42507.0</v>
      </c>
      <c r="Q421" s="312">
        <v>66281.0</v>
      </c>
      <c r="R421" s="312">
        <v>249.0</v>
      </c>
      <c r="S421" s="316"/>
      <c r="T421" s="317">
        <v>252.15</v>
      </c>
      <c r="U421" s="312" t="s">
        <v>1366</v>
      </c>
      <c r="V421" s="312" t="s">
        <v>1367</v>
      </c>
      <c r="W421" s="50"/>
      <c r="X421" s="50"/>
      <c r="Y421" s="50"/>
      <c r="Z421" s="312"/>
      <c r="AA421" s="50"/>
      <c r="AB421" s="50"/>
      <c r="AC421" s="50"/>
      <c r="AD421" s="50"/>
      <c r="AE421" s="50"/>
    </row>
    <row r="422">
      <c r="A422" s="307">
        <v>42606.80486111111</v>
      </c>
      <c r="B422" s="312" t="s">
        <v>734</v>
      </c>
      <c r="C422" s="312" t="s">
        <v>1184</v>
      </c>
      <c r="D422" s="303" t="s">
        <v>1185</v>
      </c>
      <c r="E422" s="315">
        <v>41432.0</v>
      </c>
      <c r="F422" s="312" t="s">
        <v>32</v>
      </c>
      <c r="G422" s="303" t="s">
        <v>1203</v>
      </c>
      <c r="H422" s="303" t="s">
        <v>1181</v>
      </c>
      <c r="I422" s="303" t="s">
        <v>1186</v>
      </c>
      <c r="J422" s="306">
        <v>0.9</v>
      </c>
      <c r="K422" s="312">
        <v>260.0</v>
      </c>
      <c r="L422" s="312"/>
      <c r="M422" s="312">
        <v>316.0</v>
      </c>
      <c r="N422" s="312"/>
      <c r="O422" s="312"/>
      <c r="P422" s="315">
        <v>42606.0</v>
      </c>
      <c r="Q422" s="312">
        <v>72029.0</v>
      </c>
      <c r="R422" s="312">
        <v>249.0</v>
      </c>
      <c r="S422" s="316"/>
      <c r="T422" s="317">
        <v>252.15</v>
      </c>
      <c r="U422" s="312" t="s">
        <v>1366</v>
      </c>
      <c r="V422" s="312" t="s">
        <v>1367</v>
      </c>
      <c r="W422" s="50"/>
      <c r="X422" s="50"/>
      <c r="Y422" s="50"/>
      <c r="Z422" s="312"/>
      <c r="AA422" s="50"/>
      <c r="AB422" s="50"/>
      <c r="AC422" s="50"/>
      <c r="AD422" s="50"/>
      <c r="AE422" s="50"/>
    </row>
    <row r="423">
      <c r="A423" s="307">
        <v>42751.819444444445</v>
      </c>
      <c r="B423" s="312" t="s">
        <v>734</v>
      </c>
      <c r="C423" s="312" t="s">
        <v>1184</v>
      </c>
      <c r="D423" s="303" t="s">
        <v>1185</v>
      </c>
      <c r="E423" s="315">
        <v>41432.0</v>
      </c>
      <c r="F423" s="312" t="s">
        <v>32</v>
      </c>
      <c r="G423" s="303" t="s">
        <v>1203</v>
      </c>
      <c r="H423" s="303" t="s">
        <v>1181</v>
      </c>
      <c r="I423" s="303" t="s">
        <v>1186</v>
      </c>
      <c r="J423" s="306">
        <v>0.9</v>
      </c>
      <c r="K423" s="312">
        <v>260.0</v>
      </c>
      <c r="L423" s="312"/>
      <c r="M423" s="312">
        <v>306.0</v>
      </c>
      <c r="N423" s="312"/>
      <c r="O423" s="312"/>
      <c r="P423" s="315">
        <v>42751.0</v>
      </c>
      <c r="Q423" s="312">
        <v>79971.0</v>
      </c>
      <c r="R423" s="312">
        <v>248.0</v>
      </c>
      <c r="S423" s="316"/>
      <c r="T423" s="317">
        <v>251.14</v>
      </c>
      <c r="U423" s="312" t="s">
        <v>1366</v>
      </c>
      <c r="V423" s="312" t="s">
        <v>1367</v>
      </c>
      <c r="W423" s="50"/>
      <c r="X423" s="50"/>
      <c r="Y423" s="50"/>
      <c r="Z423" s="312"/>
      <c r="AA423" s="50"/>
      <c r="AB423" s="50"/>
      <c r="AC423" s="50"/>
      <c r="AD423" s="50"/>
      <c r="AE423" s="50"/>
    </row>
    <row r="424">
      <c r="A424" s="307">
        <v>42865.830555555556</v>
      </c>
      <c r="B424" s="312" t="s">
        <v>734</v>
      </c>
      <c r="C424" s="312" t="s">
        <v>1184</v>
      </c>
      <c r="D424" s="303" t="s">
        <v>1185</v>
      </c>
      <c r="E424" s="315">
        <v>41432.0</v>
      </c>
      <c r="F424" s="312" t="s">
        <v>32</v>
      </c>
      <c r="G424" s="303" t="s">
        <v>1203</v>
      </c>
      <c r="H424" s="303" t="s">
        <v>1181</v>
      </c>
      <c r="I424" s="303" t="s">
        <v>1186</v>
      </c>
      <c r="J424" s="306">
        <v>0.9</v>
      </c>
      <c r="K424" s="312">
        <v>260.0</v>
      </c>
      <c r="L424" s="312"/>
      <c r="M424" s="312">
        <v>307.0</v>
      </c>
      <c r="N424" s="312"/>
      <c r="O424" s="312"/>
      <c r="P424" s="315">
        <v>42865.0</v>
      </c>
      <c r="Q424" s="312">
        <v>85063.0</v>
      </c>
      <c r="R424" s="312">
        <v>247.0</v>
      </c>
      <c r="S424" s="316"/>
      <c r="T424" s="317">
        <v>250.13</v>
      </c>
      <c r="U424" s="312" t="s">
        <v>1366</v>
      </c>
      <c r="V424" s="312" t="s">
        <v>1367</v>
      </c>
      <c r="W424" s="50"/>
      <c r="X424" s="50"/>
      <c r="Y424" s="50"/>
      <c r="Z424" s="312"/>
      <c r="AA424" s="50"/>
      <c r="AB424" s="50"/>
      <c r="AC424" s="50"/>
      <c r="AD424" s="50"/>
      <c r="AE424" s="50"/>
    </row>
    <row r="425">
      <c r="A425" s="307">
        <v>42981.85208333333</v>
      </c>
      <c r="B425" s="312" t="s">
        <v>734</v>
      </c>
      <c r="C425" s="312" t="s">
        <v>1184</v>
      </c>
      <c r="D425" s="303" t="s">
        <v>1185</v>
      </c>
      <c r="E425" s="315">
        <v>41432.0</v>
      </c>
      <c r="F425" s="312" t="s">
        <v>32</v>
      </c>
      <c r="G425" s="303" t="s">
        <v>1190</v>
      </c>
      <c r="H425" s="303" t="s">
        <v>1181</v>
      </c>
      <c r="I425" s="303" t="s">
        <v>1186</v>
      </c>
      <c r="J425" s="306">
        <v>0.9</v>
      </c>
      <c r="K425" s="312">
        <v>260.0</v>
      </c>
      <c r="L425" s="312"/>
      <c r="M425" s="312">
        <v>307.0</v>
      </c>
      <c r="N425" s="312"/>
      <c r="O425" s="312"/>
      <c r="P425" s="315">
        <v>42981.0</v>
      </c>
      <c r="Q425" s="312">
        <v>91282.0</v>
      </c>
      <c r="R425" s="312">
        <v>245.0</v>
      </c>
      <c r="S425" s="316"/>
      <c r="T425" s="317">
        <v>248.1</v>
      </c>
      <c r="U425" s="312" t="s">
        <v>1366</v>
      </c>
      <c r="V425" s="312" t="s">
        <v>1367</v>
      </c>
      <c r="W425" s="50"/>
      <c r="X425" s="50"/>
      <c r="Y425" s="50"/>
      <c r="Z425" s="312"/>
      <c r="AA425" s="50"/>
      <c r="AB425" s="50"/>
      <c r="AC425" s="50"/>
      <c r="AD425" s="50"/>
      <c r="AE425" s="50"/>
    </row>
    <row r="426">
      <c r="A426" s="307">
        <v>43103.86875</v>
      </c>
      <c r="B426" s="312" t="s">
        <v>734</v>
      </c>
      <c r="C426" s="312" t="s">
        <v>1184</v>
      </c>
      <c r="D426" s="303" t="s">
        <v>1185</v>
      </c>
      <c r="E426" s="315">
        <v>41432.0</v>
      </c>
      <c r="F426" s="312" t="s">
        <v>32</v>
      </c>
      <c r="G426" s="303" t="s">
        <v>1190</v>
      </c>
      <c r="H426" s="303" t="s">
        <v>1181</v>
      </c>
      <c r="I426" s="303" t="s">
        <v>1186</v>
      </c>
      <c r="J426" s="306">
        <v>0.9</v>
      </c>
      <c r="K426" s="312">
        <v>260.0</v>
      </c>
      <c r="L426" s="312"/>
      <c r="M426" s="312">
        <v>307.0</v>
      </c>
      <c r="N426" s="312"/>
      <c r="O426" s="312"/>
      <c r="P426" s="315">
        <v>43103.0</v>
      </c>
      <c r="Q426" s="312">
        <v>96003.0</v>
      </c>
      <c r="R426" s="312">
        <v>244.0</v>
      </c>
      <c r="S426" s="316"/>
      <c r="T426" s="317">
        <v>247.09</v>
      </c>
      <c r="U426" s="312" t="s">
        <v>1366</v>
      </c>
      <c r="V426" s="312" t="s">
        <v>1367</v>
      </c>
      <c r="W426" s="50"/>
      <c r="X426" s="50"/>
      <c r="Y426" s="50"/>
      <c r="Z426" s="312"/>
      <c r="AA426" s="50"/>
      <c r="AB426" s="50"/>
      <c r="AC426" s="50"/>
      <c r="AD426" s="50"/>
      <c r="AE426" s="50"/>
    </row>
    <row r="427">
      <c r="A427" s="307">
        <v>43187.881944444445</v>
      </c>
      <c r="B427" s="312" t="s">
        <v>734</v>
      </c>
      <c r="C427" s="312" t="s">
        <v>1184</v>
      </c>
      <c r="D427" s="303" t="s">
        <v>1185</v>
      </c>
      <c r="E427" s="315">
        <v>41432.0</v>
      </c>
      <c r="F427" s="312" t="s">
        <v>32</v>
      </c>
      <c r="G427" s="303" t="s">
        <v>1190</v>
      </c>
      <c r="H427" s="303" t="s">
        <v>1181</v>
      </c>
      <c r="I427" s="303" t="s">
        <v>1186</v>
      </c>
      <c r="J427" s="306">
        <v>0.9</v>
      </c>
      <c r="K427" s="312">
        <v>260.0</v>
      </c>
      <c r="L427" s="312"/>
      <c r="M427" s="312">
        <v>307.0</v>
      </c>
      <c r="N427" s="312"/>
      <c r="O427" s="312"/>
      <c r="P427" s="315">
        <v>43187.0</v>
      </c>
      <c r="Q427" s="312">
        <v>100112.0</v>
      </c>
      <c r="R427" s="312">
        <v>243.0</v>
      </c>
      <c r="S427" s="316"/>
      <c r="T427" s="317">
        <v>246.08</v>
      </c>
      <c r="U427" s="312" t="s">
        <v>1366</v>
      </c>
      <c r="V427" s="312" t="s">
        <v>1367</v>
      </c>
      <c r="W427" s="50"/>
      <c r="X427" s="50"/>
      <c r="Y427" s="50"/>
      <c r="Z427" s="312"/>
      <c r="AA427" s="50"/>
      <c r="AB427" s="50"/>
      <c r="AC427" s="50"/>
      <c r="AD427" s="50"/>
      <c r="AE427" s="50"/>
    </row>
    <row r="428">
      <c r="A428" s="307">
        <v>41901.00555555556</v>
      </c>
      <c r="B428" s="50" t="s">
        <v>427</v>
      </c>
      <c r="C428" s="303" t="s">
        <v>1177</v>
      </c>
      <c r="D428" s="303" t="s">
        <v>1178</v>
      </c>
      <c r="E428" s="310">
        <v>41527.0</v>
      </c>
      <c r="F428" s="312" t="s">
        <v>32</v>
      </c>
      <c r="G428" s="303" t="s">
        <v>1179</v>
      </c>
      <c r="H428" s="303" t="s">
        <v>1205</v>
      </c>
      <c r="I428" s="303" t="s">
        <v>1186</v>
      </c>
      <c r="J428" s="306">
        <v>1.0</v>
      </c>
      <c r="K428" s="50"/>
      <c r="L428" s="50"/>
      <c r="M428" s="50">
        <v>220.0</v>
      </c>
      <c r="N428" s="50"/>
      <c r="O428" s="312"/>
      <c r="P428" s="310">
        <v>41901.0</v>
      </c>
      <c r="Q428" s="50">
        <v>67000.0</v>
      </c>
      <c r="R428" s="50">
        <v>385.0</v>
      </c>
      <c r="S428" s="318"/>
      <c r="T428" s="317">
        <v>385.0</v>
      </c>
      <c r="U428" s="312" t="s">
        <v>1369</v>
      </c>
      <c r="V428" s="312" t="s">
        <v>1367</v>
      </c>
      <c r="W428" s="50"/>
      <c r="X428" s="50"/>
      <c r="Y428" s="312"/>
      <c r="Z428" s="312"/>
      <c r="AA428" s="50" t="s">
        <v>1487</v>
      </c>
      <c r="AB428" s="50"/>
      <c r="AC428" s="50"/>
      <c r="AD428" s="50"/>
      <c r="AE428" s="50"/>
    </row>
    <row r="429">
      <c r="A429" s="307">
        <v>41953.03611111111</v>
      </c>
      <c r="B429" s="50" t="s">
        <v>427</v>
      </c>
      <c r="C429" s="303" t="s">
        <v>1177</v>
      </c>
      <c r="D429" s="303" t="s">
        <v>1178</v>
      </c>
      <c r="E429" s="310">
        <v>41527.0</v>
      </c>
      <c r="F429" s="312" t="s">
        <v>32</v>
      </c>
      <c r="G429" s="303" t="s">
        <v>1179</v>
      </c>
      <c r="H429" s="303" t="s">
        <v>1205</v>
      </c>
      <c r="I429" s="303" t="s">
        <v>1186</v>
      </c>
      <c r="J429" s="306">
        <v>1.0</v>
      </c>
      <c r="K429" s="50"/>
      <c r="L429" s="50"/>
      <c r="M429" s="50">
        <v>218.0</v>
      </c>
      <c r="N429" s="50"/>
      <c r="O429" s="312"/>
      <c r="P429" s="310">
        <v>41953.0</v>
      </c>
      <c r="Q429" s="50">
        <v>73000.0</v>
      </c>
      <c r="R429" s="50">
        <v>379.0</v>
      </c>
      <c r="S429" s="318"/>
      <c r="T429" s="317">
        <v>379.0</v>
      </c>
      <c r="U429" s="312" t="s">
        <v>1369</v>
      </c>
      <c r="V429" s="312" t="s">
        <v>1367</v>
      </c>
      <c r="W429" s="50"/>
      <c r="X429" s="50"/>
      <c r="Y429" s="50"/>
      <c r="Z429" s="312"/>
      <c r="AA429" s="50" t="s">
        <v>1487</v>
      </c>
      <c r="AB429" s="50"/>
      <c r="AC429" s="50"/>
      <c r="AD429" s="50"/>
      <c r="AE429" s="50"/>
    </row>
    <row r="430">
      <c r="A430" s="307">
        <v>41968.040972222225</v>
      </c>
      <c r="B430" s="50" t="s">
        <v>427</v>
      </c>
      <c r="C430" s="303" t="s">
        <v>1177</v>
      </c>
      <c r="D430" s="303" t="s">
        <v>1178</v>
      </c>
      <c r="E430" s="310">
        <v>41527.0</v>
      </c>
      <c r="F430" s="312" t="s">
        <v>32</v>
      </c>
      <c r="G430" s="303" t="s">
        <v>1179</v>
      </c>
      <c r="H430" s="303" t="s">
        <v>1205</v>
      </c>
      <c r="I430" s="303" t="s">
        <v>1186</v>
      </c>
      <c r="J430" s="306">
        <v>1.0</v>
      </c>
      <c r="K430" s="50"/>
      <c r="L430" s="50"/>
      <c r="M430" s="50">
        <v>220.0</v>
      </c>
      <c r="N430" s="50"/>
      <c r="O430" s="312"/>
      <c r="P430" s="310">
        <v>41968.0</v>
      </c>
      <c r="Q430" s="50">
        <v>74500.0</v>
      </c>
      <c r="R430" s="50">
        <v>380.0</v>
      </c>
      <c r="S430" s="318"/>
      <c r="T430" s="317">
        <v>380.0</v>
      </c>
      <c r="U430" s="312" t="s">
        <v>1369</v>
      </c>
      <c r="V430" s="312" t="s">
        <v>1367</v>
      </c>
      <c r="W430" s="50"/>
      <c r="X430" s="50"/>
      <c r="Y430" s="50"/>
      <c r="Z430" s="312"/>
      <c r="AA430" s="50" t="s">
        <v>1487</v>
      </c>
      <c r="AB430" s="50"/>
      <c r="AC430" s="50"/>
      <c r="AD430" s="50"/>
      <c r="AE430" s="50"/>
    </row>
    <row r="431">
      <c r="A431" s="307">
        <v>42020.05486111111</v>
      </c>
      <c r="B431" s="50" t="s">
        <v>427</v>
      </c>
      <c r="C431" s="303" t="s">
        <v>1177</v>
      </c>
      <c r="D431" s="303" t="s">
        <v>1178</v>
      </c>
      <c r="E431" s="310">
        <v>41527.0</v>
      </c>
      <c r="F431" s="312" t="s">
        <v>32</v>
      </c>
      <c r="G431" s="303" t="s">
        <v>1179</v>
      </c>
      <c r="H431" s="303" t="s">
        <v>1205</v>
      </c>
      <c r="I431" s="303" t="s">
        <v>1186</v>
      </c>
      <c r="J431" s="306">
        <v>1.0</v>
      </c>
      <c r="K431" s="50"/>
      <c r="L431" s="50"/>
      <c r="M431" s="50">
        <v>220.0</v>
      </c>
      <c r="N431" s="50"/>
      <c r="O431" s="312"/>
      <c r="P431" s="310">
        <v>42020.0</v>
      </c>
      <c r="Q431" s="50">
        <v>84000.0</v>
      </c>
      <c r="R431" s="50">
        <v>375.0</v>
      </c>
      <c r="S431" s="318"/>
      <c r="T431" s="317">
        <v>375.0</v>
      </c>
      <c r="U431" s="312" t="s">
        <v>1369</v>
      </c>
      <c r="V431" s="312" t="s">
        <v>1367</v>
      </c>
      <c r="W431" s="50"/>
      <c r="X431" s="50"/>
      <c r="Y431" s="50"/>
      <c r="Z431" s="312"/>
      <c r="AA431" s="50" t="s">
        <v>1487</v>
      </c>
      <c r="AB431" s="50"/>
      <c r="AC431" s="50"/>
      <c r="AD431" s="50"/>
      <c r="AE431" s="50"/>
    </row>
    <row r="432">
      <c r="A432" s="307">
        <v>42048.072916666664</v>
      </c>
      <c r="B432" s="50" t="s">
        <v>427</v>
      </c>
      <c r="C432" s="303" t="s">
        <v>1177</v>
      </c>
      <c r="D432" s="303" t="s">
        <v>1178</v>
      </c>
      <c r="E432" s="310">
        <v>41527.0</v>
      </c>
      <c r="F432" s="312" t="s">
        <v>32</v>
      </c>
      <c r="G432" s="303" t="s">
        <v>1179</v>
      </c>
      <c r="H432" s="303" t="s">
        <v>1205</v>
      </c>
      <c r="I432" s="303" t="s">
        <v>1186</v>
      </c>
      <c r="J432" s="306">
        <v>1.0</v>
      </c>
      <c r="K432" s="50"/>
      <c r="L432" s="50"/>
      <c r="M432" s="50">
        <v>220.0</v>
      </c>
      <c r="N432" s="50"/>
      <c r="O432" s="312"/>
      <c r="P432" s="310">
        <v>42048.0</v>
      </c>
      <c r="Q432" s="50">
        <v>90000.0</v>
      </c>
      <c r="R432" s="50">
        <v>379.0</v>
      </c>
      <c r="S432" s="318"/>
      <c r="T432" s="317">
        <v>383.8</v>
      </c>
      <c r="U432" s="312" t="s">
        <v>1366</v>
      </c>
      <c r="V432" s="312" t="s">
        <v>1367</v>
      </c>
      <c r="W432" s="50"/>
      <c r="X432" s="50"/>
      <c r="Y432" s="50"/>
      <c r="Z432" s="312"/>
      <c r="AA432" s="50" t="s">
        <v>1487</v>
      </c>
      <c r="AB432" s="50"/>
      <c r="AC432" s="50"/>
      <c r="AD432" s="50"/>
      <c r="AE432" s="50"/>
    </row>
    <row r="433">
      <c r="A433" s="307">
        <v>42108.095138888886</v>
      </c>
      <c r="B433" s="50" t="s">
        <v>427</v>
      </c>
      <c r="C433" s="303" t="s">
        <v>1177</v>
      </c>
      <c r="D433" s="303" t="s">
        <v>1178</v>
      </c>
      <c r="E433" s="310">
        <v>41527.0</v>
      </c>
      <c r="F433" s="312" t="s">
        <v>32</v>
      </c>
      <c r="G433" s="303" t="s">
        <v>1179</v>
      </c>
      <c r="H433" s="303" t="s">
        <v>1205</v>
      </c>
      <c r="I433" s="303" t="s">
        <v>1186</v>
      </c>
      <c r="J433" s="306">
        <v>1.0</v>
      </c>
      <c r="K433" s="50"/>
      <c r="L433" s="312"/>
      <c r="M433" s="312">
        <v>218.0</v>
      </c>
      <c r="N433" s="50"/>
      <c r="O433" s="312"/>
      <c r="P433" s="315">
        <v>42108.0</v>
      </c>
      <c r="Q433" s="312">
        <v>100000.0</v>
      </c>
      <c r="R433" s="312">
        <v>380.0</v>
      </c>
      <c r="S433" s="316"/>
      <c r="T433" s="317">
        <v>384.81</v>
      </c>
      <c r="U433" s="312" t="s">
        <v>1366</v>
      </c>
      <c r="V433" s="312" t="s">
        <v>1367</v>
      </c>
      <c r="W433" s="50"/>
      <c r="X433" s="50"/>
      <c r="Y433" s="50"/>
      <c r="Z433" s="312"/>
      <c r="AA433" s="50" t="s">
        <v>1487</v>
      </c>
      <c r="AB433" s="50"/>
      <c r="AC433" s="50"/>
      <c r="AD433" s="50"/>
      <c r="AE433" s="50"/>
    </row>
    <row r="434">
      <c r="A434" s="307">
        <v>42146.120833333334</v>
      </c>
      <c r="B434" s="312" t="s">
        <v>427</v>
      </c>
      <c r="C434" s="303" t="s">
        <v>1177</v>
      </c>
      <c r="D434" s="303" t="s">
        <v>1178</v>
      </c>
      <c r="E434" s="310">
        <v>41527.0</v>
      </c>
      <c r="F434" s="312" t="s">
        <v>32</v>
      </c>
      <c r="G434" s="303" t="s">
        <v>1179</v>
      </c>
      <c r="H434" s="303" t="s">
        <v>1205</v>
      </c>
      <c r="I434" s="303" t="s">
        <v>1186</v>
      </c>
      <c r="J434" s="306">
        <v>1.0</v>
      </c>
      <c r="K434" s="50"/>
      <c r="L434" s="312"/>
      <c r="M434" s="312">
        <v>218.0</v>
      </c>
      <c r="N434" s="50"/>
      <c r="O434" s="312"/>
      <c r="P434" s="315">
        <v>42146.0</v>
      </c>
      <c r="Q434" s="312">
        <v>105000.0</v>
      </c>
      <c r="R434" s="312">
        <v>376.0</v>
      </c>
      <c r="S434" s="316"/>
      <c r="T434" s="317">
        <v>380.76</v>
      </c>
      <c r="U434" s="312" t="s">
        <v>1366</v>
      </c>
      <c r="V434" s="312" t="s">
        <v>1367</v>
      </c>
      <c r="W434" s="50"/>
      <c r="X434" s="50"/>
      <c r="Y434" s="50"/>
      <c r="Z434" s="312"/>
      <c r="AA434" s="50" t="s">
        <v>1487</v>
      </c>
      <c r="AB434" s="50"/>
      <c r="AC434" s="50"/>
      <c r="AD434" s="50"/>
      <c r="AE434" s="50"/>
    </row>
    <row r="435">
      <c r="A435" s="307">
        <v>42184.143055555556</v>
      </c>
      <c r="B435" s="312" t="s">
        <v>427</v>
      </c>
      <c r="C435" s="303" t="s">
        <v>1177</v>
      </c>
      <c r="D435" s="303" t="s">
        <v>1178</v>
      </c>
      <c r="E435" s="310">
        <v>41527.0</v>
      </c>
      <c r="F435" s="312" t="s">
        <v>32</v>
      </c>
      <c r="G435" s="303" t="s">
        <v>1179</v>
      </c>
      <c r="H435" s="303" t="s">
        <v>1205</v>
      </c>
      <c r="I435" s="303" t="s">
        <v>1186</v>
      </c>
      <c r="J435" s="306">
        <v>1.0</v>
      </c>
      <c r="K435" s="312">
        <v>400.0</v>
      </c>
      <c r="L435" s="312"/>
      <c r="M435" s="312">
        <v>218.0</v>
      </c>
      <c r="N435" s="312"/>
      <c r="O435" s="312"/>
      <c r="P435" s="315">
        <v>42184.0</v>
      </c>
      <c r="Q435" s="312">
        <v>111000.0</v>
      </c>
      <c r="R435" s="312">
        <v>372.0</v>
      </c>
      <c r="S435" s="316"/>
      <c r="T435" s="317">
        <v>376.71</v>
      </c>
      <c r="U435" s="312" t="s">
        <v>1366</v>
      </c>
      <c r="V435" s="312" t="s">
        <v>1367</v>
      </c>
      <c r="W435" s="312">
        <v>372.0</v>
      </c>
      <c r="X435" s="312">
        <v>281.0</v>
      </c>
      <c r="Y435" s="312">
        <v>17.1</v>
      </c>
      <c r="Z435" s="312" t="s">
        <v>1366</v>
      </c>
      <c r="AA435" s="50" t="s">
        <v>1487</v>
      </c>
      <c r="AB435" s="50"/>
      <c r="AC435" s="50"/>
      <c r="AD435" s="50"/>
      <c r="AE435" s="50"/>
    </row>
    <row r="436">
      <c r="A436" s="307">
        <v>42214.146527777775</v>
      </c>
      <c r="B436" s="312" t="s">
        <v>427</v>
      </c>
      <c r="C436" s="303" t="s">
        <v>1177</v>
      </c>
      <c r="D436" s="303" t="s">
        <v>1178</v>
      </c>
      <c r="E436" s="310">
        <v>41527.0</v>
      </c>
      <c r="F436" s="312" t="s">
        <v>32</v>
      </c>
      <c r="G436" s="303" t="s">
        <v>1179</v>
      </c>
      <c r="H436" s="303" t="s">
        <v>1205</v>
      </c>
      <c r="I436" s="303" t="s">
        <v>1186</v>
      </c>
      <c r="J436" s="306">
        <v>1.0</v>
      </c>
      <c r="K436" s="312">
        <v>400.0</v>
      </c>
      <c r="L436" s="312"/>
      <c r="M436" s="312">
        <v>218.0</v>
      </c>
      <c r="N436" s="312"/>
      <c r="O436" s="312"/>
      <c r="P436" s="315">
        <v>42214.0</v>
      </c>
      <c r="Q436" s="312">
        <v>120000.0</v>
      </c>
      <c r="R436" s="312">
        <v>372.0</v>
      </c>
      <c r="S436" s="316"/>
      <c r="T436" s="317">
        <v>376.71</v>
      </c>
      <c r="U436" s="312" t="s">
        <v>1366</v>
      </c>
      <c r="V436" s="312" t="s">
        <v>1367</v>
      </c>
      <c r="W436" s="312">
        <v>370.0</v>
      </c>
      <c r="X436" s="312">
        <v>270.0</v>
      </c>
      <c r="Y436" s="312">
        <v>18.7</v>
      </c>
      <c r="Z436" s="312" t="s">
        <v>1366</v>
      </c>
      <c r="AA436" s="50" t="s">
        <v>1487</v>
      </c>
      <c r="AB436" s="50"/>
      <c r="AC436" s="50"/>
      <c r="AD436" s="50"/>
      <c r="AE436" s="50"/>
    </row>
    <row r="437">
      <c r="A437" s="307">
        <v>42277.188888888886</v>
      </c>
      <c r="B437" s="312" t="s">
        <v>427</v>
      </c>
      <c r="C437" s="303" t="s">
        <v>1177</v>
      </c>
      <c r="D437" s="303" t="s">
        <v>1178</v>
      </c>
      <c r="E437" s="315">
        <v>41527.0</v>
      </c>
      <c r="F437" s="312" t="s">
        <v>32</v>
      </c>
      <c r="G437" s="303" t="s">
        <v>1179</v>
      </c>
      <c r="H437" s="303" t="s">
        <v>1205</v>
      </c>
      <c r="I437" s="303" t="s">
        <v>1181</v>
      </c>
      <c r="J437" s="306">
        <v>1.0</v>
      </c>
      <c r="K437" s="312">
        <v>400.0</v>
      </c>
      <c r="L437" s="312"/>
      <c r="M437" s="312">
        <v>215.0</v>
      </c>
      <c r="N437" s="312"/>
      <c r="O437" s="312"/>
      <c r="P437" s="315">
        <v>42277.0</v>
      </c>
      <c r="Q437" s="312">
        <v>131000.0</v>
      </c>
      <c r="R437" s="312">
        <v>366.0</v>
      </c>
      <c r="S437" s="316"/>
      <c r="T437" s="317">
        <v>370.63</v>
      </c>
      <c r="U437" s="312" t="s">
        <v>1366</v>
      </c>
      <c r="V437" s="312" t="s">
        <v>1367</v>
      </c>
      <c r="W437" s="312">
        <v>366.0</v>
      </c>
      <c r="X437" s="312">
        <v>277.0</v>
      </c>
      <c r="Y437" s="312">
        <v>17.1</v>
      </c>
      <c r="Z437" s="312" t="s">
        <v>1366</v>
      </c>
      <c r="AA437" s="50"/>
      <c r="AB437" s="50"/>
      <c r="AC437" s="50"/>
      <c r="AD437" s="50"/>
      <c r="AE437" s="50"/>
    </row>
    <row r="438">
      <c r="A438" s="307">
        <v>42352.245833333334</v>
      </c>
      <c r="B438" s="312" t="s">
        <v>427</v>
      </c>
      <c r="C438" s="303" t="s">
        <v>1177</v>
      </c>
      <c r="D438" s="303" t="s">
        <v>1178</v>
      </c>
      <c r="E438" s="315">
        <v>41527.0</v>
      </c>
      <c r="F438" s="312" t="s">
        <v>32</v>
      </c>
      <c r="G438" s="303" t="s">
        <v>1179</v>
      </c>
      <c r="H438" s="303" t="s">
        <v>1205</v>
      </c>
      <c r="I438" s="303" t="s">
        <v>1181</v>
      </c>
      <c r="J438" s="306">
        <v>1.0</v>
      </c>
      <c r="K438" s="312">
        <v>400.0</v>
      </c>
      <c r="L438" s="312"/>
      <c r="M438" s="312">
        <v>214.0</v>
      </c>
      <c r="N438" s="312"/>
      <c r="O438" s="312"/>
      <c r="P438" s="315">
        <v>42352.0</v>
      </c>
      <c r="Q438" s="312">
        <v>144000.0</v>
      </c>
      <c r="R438" s="312">
        <v>366.0</v>
      </c>
      <c r="S438" s="316"/>
      <c r="T438" s="317">
        <v>370.63</v>
      </c>
      <c r="U438" s="312" t="s">
        <v>1366</v>
      </c>
      <c r="V438" s="312" t="s">
        <v>1367</v>
      </c>
      <c r="W438" s="312">
        <v>366.0</v>
      </c>
      <c r="X438" s="312">
        <v>274.0</v>
      </c>
      <c r="Y438" s="312">
        <v>17.6</v>
      </c>
      <c r="Z438" s="312" t="s">
        <v>1366</v>
      </c>
      <c r="AA438" s="50"/>
      <c r="AB438" s="50"/>
      <c r="AC438" s="50"/>
      <c r="AD438" s="50"/>
      <c r="AE438" s="50"/>
    </row>
    <row r="439">
      <c r="A439" s="307">
        <v>42389.27569444444</v>
      </c>
      <c r="B439" s="312" t="s">
        <v>427</v>
      </c>
      <c r="C439" s="303" t="s">
        <v>1177</v>
      </c>
      <c r="D439" s="303" t="s">
        <v>1178</v>
      </c>
      <c r="E439" s="310">
        <v>41527.0</v>
      </c>
      <c r="F439" s="312" t="s">
        <v>32</v>
      </c>
      <c r="G439" s="303" t="s">
        <v>1179</v>
      </c>
      <c r="H439" s="303" t="s">
        <v>1205</v>
      </c>
      <c r="I439" s="303" t="s">
        <v>1181</v>
      </c>
      <c r="J439" s="306">
        <v>1.0</v>
      </c>
      <c r="K439" s="312">
        <v>400.0</v>
      </c>
      <c r="L439" s="312"/>
      <c r="M439" s="312">
        <v>214.0</v>
      </c>
      <c r="N439" s="312"/>
      <c r="O439" s="312"/>
      <c r="P439" s="315">
        <v>42389.0</v>
      </c>
      <c r="Q439" s="312">
        <v>150000.0</v>
      </c>
      <c r="R439" s="312">
        <v>356.0</v>
      </c>
      <c r="S439" s="316"/>
      <c r="T439" s="317">
        <v>360.51</v>
      </c>
      <c r="U439" s="312" t="s">
        <v>1366</v>
      </c>
      <c r="V439" s="312" t="s">
        <v>1367</v>
      </c>
      <c r="W439" s="312"/>
      <c r="X439" s="312"/>
      <c r="Y439" s="312"/>
      <c r="Z439" s="312"/>
      <c r="AA439" s="312" t="s">
        <v>1487</v>
      </c>
      <c r="AB439" s="50"/>
      <c r="AC439" s="50"/>
      <c r="AD439" s="50"/>
      <c r="AE439" s="50"/>
    </row>
    <row r="440">
      <c r="A440" s="307">
        <v>42416.29027777778</v>
      </c>
      <c r="B440" s="312" t="s">
        <v>427</v>
      </c>
      <c r="C440" s="303" t="s">
        <v>1177</v>
      </c>
      <c r="D440" s="303" t="s">
        <v>1178</v>
      </c>
      <c r="E440" s="315">
        <v>41527.0</v>
      </c>
      <c r="F440" s="312" t="s">
        <v>32</v>
      </c>
      <c r="G440" s="303" t="s">
        <v>1179</v>
      </c>
      <c r="H440" s="303" t="s">
        <v>1205</v>
      </c>
      <c r="I440" s="303" t="s">
        <v>1181</v>
      </c>
      <c r="J440" s="306">
        <v>1.0</v>
      </c>
      <c r="K440" s="312">
        <v>400.0</v>
      </c>
      <c r="L440" s="312"/>
      <c r="M440" s="312">
        <v>211.0</v>
      </c>
      <c r="N440" s="312"/>
      <c r="O440" s="312"/>
      <c r="P440" s="315">
        <v>42416.0</v>
      </c>
      <c r="Q440" s="312">
        <v>155000.0</v>
      </c>
      <c r="R440" s="312">
        <v>357.0</v>
      </c>
      <c r="S440" s="316"/>
      <c r="T440" s="317">
        <v>361.52</v>
      </c>
      <c r="U440" s="312" t="s">
        <v>1366</v>
      </c>
      <c r="V440" s="312" t="s">
        <v>1367</v>
      </c>
      <c r="W440" s="312">
        <v>357.0</v>
      </c>
      <c r="X440" s="312">
        <v>257.0</v>
      </c>
      <c r="Y440" s="312">
        <v>18.2</v>
      </c>
      <c r="Z440" s="312" t="s">
        <v>1366</v>
      </c>
      <c r="AA440" s="312" t="s">
        <v>1487</v>
      </c>
      <c r="AB440" s="50"/>
      <c r="AC440" s="50"/>
      <c r="AD440" s="50"/>
      <c r="AE440" s="50"/>
    </row>
    <row r="441">
      <c r="A441" s="307">
        <v>42465.32152777778</v>
      </c>
      <c r="B441" s="312" t="s">
        <v>427</v>
      </c>
      <c r="C441" s="303" t="s">
        <v>1177</v>
      </c>
      <c r="D441" s="303" t="s">
        <v>1178</v>
      </c>
      <c r="E441" s="315">
        <v>41527.0</v>
      </c>
      <c r="F441" s="312" t="s">
        <v>32</v>
      </c>
      <c r="G441" s="303" t="s">
        <v>1179</v>
      </c>
      <c r="H441" s="303" t="s">
        <v>1205</v>
      </c>
      <c r="I441" s="303" t="s">
        <v>1181</v>
      </c>
      <c r="J441" s="306">
        <v>1.0</v>
      </c>
      <c r="K441" s="312">
        <v>400.0</v>
      </c>
      <c r="L441" s="312"/>
      <c r="M441" s="312">
        <v>211.0</v>
      </c>
      <c r="N441" s="312"/>
      <c r="O441" s="312"/>
      <c r="P441" s="315">
        <v>42465.0</v>
      </c>
      <c r="Q441" s="312">
        <v>165000.0</v>
      </c>
      <c r="R441" s="312">
        <v>366.0</v>
      </c>
      <c r="S441" s="316"/>
      <c r="T441" s="317">
        <v>370.63</v>
      </c>
      <c r="U441" s="312" t="s">
        <v>1366</v>
      </c>
      <c r="V441" s="312" t="s">
        <v>1367</v>
      </c>
      <c r="W441" s="312">
        <v>365.0</v>
      </c>
      <c r="X441" s="312">
        <v>274.0</v>
      </c>
      <c r="Y441" s="312">
        <v>17.4</v>
      </c>
      <c r="Z441" s="312" t="s">
        <v>1366</v>
      </c>
      <c r="AA441" s="312" t="s">
        <v>1487</v>
      </c>
      <c r="AB441" s="50"/>
      <c r="AC441" s="50"/>
      <c r="AD441" s="50"/>
      <c r="AE441" s="50"/>
    </row>
    <row r="442">
      <c r="A442" s="307">
        <v>42508.3375</v>
      </c>
      <c r="B442" s="312" t="s">
        <v>427</v>
      </c>
      <c r="C442" s="303" t="s">
        <v>1177</v>
      </c>
      <c r="D442" s="303" t="s">
        <v>1178</v>
      </c>
      <c r="E442" s="315">
        <v>41527.0</v>
      </c>
      <c r="F442" s="312" t="s">
        <v>32</v>
      </c>
      <c r="G442" s="303" t="s">
        <v>1179</v>
      </c>
      <c r="H442" s="303" t="s">
        <v>1205</v>
      </c>
      <c r="I442" s="303" t="s">
        <v>1181</v>
      </c>
      <c r="J442" s="306">
        <v>1.0</v>
      </c>
      <c r="K442" s="312">
        <v>400.0</v>
      </c>
      <c r="L442" s="312"/>
      <c r="M442" s="312">
        <v>211.0</v>
      </c>
      <c r="N442" s="312"/>
      <c r="O442" s="312"/>
      <c r="P442" s="315">
        <v>42508.0</v>
      </c>
      <c r="Q442" s="312">
        <v>172000.0</v>
      </c>
      <c r="R442" s="312">
        <v>365.0</v>
      </c>
      <c r="S442" s="316"/>
      <c r="T442" s="317">
        <v>369.62</v>
      </c>
      <c r="U442" s="312" t="s">
        <v>1366</v>
      </c>
      <c r="V442" s="312" t="s">
        <v>1367</v>
      </c>
      <c r="W442" s="312">
        <v>365.0</v>
      </c>
      <c r="X442" s="312">
        <v>273.0</v>
      </c>
      <c r="Y442" s="312">
        <v>17.2</v>
      </c>
      <c r="Z442" s="312" t="s">
        <v>1366</v>
      </c>
      <c r="AA442" s="312" t="s">
        <v>1487</v>
      </c>
      <c r="AB442" s="50"/>
      <c r="AC442" s="50"/>
      <c r="AD442" s="50"/>
      <c r="AE442" s="50"/>
    </row>
    <row r="443">
      <c r="A443" s="307">
        <v>42562.36111111111</v>
      </c>
      <c r="B443" s="312" t="s">
        <v>427</v>
      </c>
      <c r="C443" s="303" t="s">
        <v>1177</v>
      </c>
      <c r="D443" s="303" t="s">
        <v>1178</v>
      </c>
      <c r="E443" s="315">
        <v>41527.0</v>
      </c>
      <c r="F443" s="312" t="s">
        <v>32</v>
      </c>
      <c r="G443" s="303" t="s">
        <v>1179</v>
      </c>
      <c r="H443" s="303" t="s">
        <v>1205</v>
      </c>
      <c r="I443" s="303" t="s">
        <v>1181</v>
      </c>
      <c r="J443" s="306">
        <v>1.0</v>
      </c>
      <c r="K443" s="312">
        <v>400.0</v>
      </c>
      <c r="L443" s="312"/>
      <c r="M443" s="312">
        <v>215.0</v>
      </c>
      <c r="N443" s="312"/>
      <c r="O443" s="312"/>
      <c r="P443" s="315">
        <v>42562.0</v>
      </c>
      <c r="Q443" s="312">
        <v>183000.0</v>
      </c>
      <c r="R443" s="312">
        <v>366.0</v>
      </c>
      <c r="S443" s="316"/>
      <c r="T443" s="317">
        <v>370.63</v>
      </c>
      <c r="U443" s="312" t="s">
        <v>1366</v>
      </c>
      <c r="V443" s="312" t="s">
        <v>1367</v>
      </c>
      <c r="W443" s="312">
        <v>366.0</v>
      </c>
      <c r="X443" s="312">
        <v>275.0</v>
      </c>
      <c r="Y443" s="312">
        <v>17.5</v>
      </c>
      <c r="Z443" s="312" t="s">
        <v>1366</v>
      </c>
      <c r="AA443" s="312" t="s">
        <v>1488</v>
      </c>
      <c r="AB443" s="50"/>
      <c r="AC443" s="50"/>
      <c r="AD443" s="50"/>
      <c r="AE443" s="50"/>
    </row>
    <row r="444">
      <c r="A444" s="307">
        <v>42628.40277777778</v>
      </c>
      <c r="B444" s="312" t="s">
        <v>427</v>
      </c>
      <c r="C444" s="303" t="s">
        <v>1177</v>
      </c>
      <c r="D444" s="303" t="s">
        <v>1178</v>
      </c>
      <c r="E444" s="315">
        <v>41527.0</v>
      </c>
      <c r="F444" s="312" t="s">
        <v>32</v>
      </c>
      <c r="G444" s="303" t="s">
        <v>1179</v>
      </c>
      <c r="H444" s="303" t="s">
        <v>1205</v>
      </c>
      <c r="I444" s="303" t="s">
        <v>1181</v>
      </c>
      <c r="J444" s="306">
        <v>1.0</v>
      </c>
      <c r="K444" s="312">
        <v>400.0</v>
      </c>
      <c r="L444" s="312"/>
      <c r="M444" s="312">
        <v>212.0</v>
      </c>
      <c r="N444" s="312"/>
      <c r="O444" s="312"/>
      <c r="P444" s="315">
        <v>42628.0</v>
      </c>
      <c r="Q444" s="312">
        <v>200000.0</v>
      </c>
      <c r="R444" s="312">
        <v>366.0</v>
      </c>
      <c r="S444" s="316"/>
      <c r="T444" s="317">
        <v>370.63</v>
      </c>
      <c r="U444" s="312" t="s">
        <v>1366</v>
      </c>
      <c r="V444" s="312" t="s">
        <v>1367</v>
      </c>
      <c r="W444" s="312">
        <v>366.0</v>
      </c>
      <c r="X444" s="312">
        <v>275.0</v>
      </c>
      <c r="Y444" s="312">
        <v>17.1</v>
      </c>
      <c r="Z444" s="312" t="s">
        <v>1366</v>
      </c>
      <c r="AA444" s="50"/>
      <c r="AB444" s="50"/>
      <c r="AC444" s="50"/>
      <c r="AD444" s="50"/>
      <c r="AE444" s="50"/>
    </row>
    <row r="445">
      <c r="A445" s="307">
        <v>42702.464583333334</v>
      </c>
      <c r="B445" s="312" t="s">
        <v>427</v>
      </c>
      <c r="C445" s="303" t="s">
        <v>1177</v>
      </c>
      <c r="D445" s="303" t="s">
        <v>1178</v>
      </c>
      <c r="E445" s="315">
        <v>41527.0</v>
      </c>
      <c r="F445" s="312" t="s">
        <v>32</v>
      </c>
      <c r="G445" s="303" t="s">
        <v>1179</v>
      </c>
      <c r="H445" s="303" t="s">
        <v>1205</v>
      </c>
      <c r="I445" s="303" t="s">
        <v>1181</v>
      </c>
      <c r="J445" s="306">
        <v>1.0</v>
      </c>
      <c r="K445" s="312">
        <v>400.0</v>
      </c>
      <c r="L445" s="312"/>
      <c r="M445" s="312">
        <v>212.0</v>
      </c>
      <c r="N445" s="312"/>
      <c r="O445" s="312"/>
      <c r="P445" s="315">
        <v>42702.0</v>
      </c>
      <c r="Q445" s="312">
        <v>211500.0</v>
      </c>
      <c r="R445" s="312">
        <v>358.0</v>
      </c>
      <c r="S445" s="316"/>
      <c r="T445" s="317">
        <v>362.53</v>
      </c>
      <c r="U445" s="312" t="s">
        <v>1366</v>
      </c>
      <c r="V445" s="312" t="s">
        <v>1367</v>
      </c>
      <c r="W445" s="312">
        <v>358.0</v>
      </c>
      <c r="X445" s="312">
        <v>259.0</v>
      </c>
      <c r="Y445" s="312">
        <v>18.5</v>
      </c>
      <c r="Z445" s="312" t="s">
        <v>1366</v>
      </c>
      <c r="AA445" s="312" t="s">
        <v>1489</v>
      </c>
      <c r="AB445" s="50"/>
      <c r="AC445" s="50"/>
      <c r="AD445" s="50"/>
      <c r="AE445" s="50"/>
    </row>
    <row r="446">
      <c r="A446" s="307">
        <v>42752.49166666667</v>
      </c>
      <c r="B446" s="312" t="s">
        <v>427</v>
      </c>
      <c r="C446" s="303" t="s">
        <v>1177</v>
      </c>
      <c r="D446" s="303" t="s">
        <v>1178</v>
      </c>
      <c r="E446" s="315">
        <v>41527.0</v>
      </c>
      <c r="F446" s="312" t="s">
        <v>32</v>
      </c>
      <c r="G446" s="303" t="s">
        <v>1203</v>
      </c>
      <c r="H446" s="303" t="s">
        <v>1205</v>
      </c>
      <c r="I446" s="303" t="s">
        <v>1180</v>
      </c>
      <c r="J446" s="306">
        <v>1.0</v>
      </c>
      <c r="K446" s="312">
        <v>400.0</v>
      </c>
      <c r="L446" s="312"/>
      <c r="M446" s="312">
        <v>212.0</v>
      </c>
      <c r="N446" s="312"/>
      <c r="O446" s="312"/>
      <c r="P446" s="315">
        <v>42752.0</v>
      </c>
      <c r="Q446" s="312">
        <v>222000.0</v>
      </c>
      <c r="R446" s="312">
        <v>361.0</v>
      </c>
      <c r="S446" s="316"/>
      <c r="T446" s="317">
        <v>361.0</v>
      </c>
      <c r="U446" s="312" t="s">
        <v>1369</v>
      </c>
      <c r="V446" s="312" t="s">
        <v>1367</v>
      </c>
      <c r="W446" s="312">
        <v>361.0</v>
      </c>
      <c r="X446" s="312">
        <v>255.0</v>
      </c>
      <c r="Y446" s="312">
        <v>19.6</v>
      </c>
      <c r="Z446" s="312" t="s">
        <v>1366</v>
      </c>
      <c r="AA446" s="312" t="s">
        <v>1490</v>
      </c>
      <c r="AB446" s="50"/>
      <c r="AC446" s="50"/>
      <c r="AD446" s="50"/>
      <c r="AE446" s="50"/>
    </row>
    <row r="447">
      <c r="A447" s="307">
        <v>42795.50555555556</v>
      </c>
      <c r="B447" s="312" t="s">
        <v>427</v>
      </c>
      <c r="C447" s="303" t="s">
        <v>1177</v>
      </c>
      <c r="D447" s="303" t="s">
        <v>1178</v>
      </c>
      <c r="E447" s="315">
        <v>41527.0</v>
      </c>
      <c r="F447" s="312" t="s">
        <v>32</v>
      </c>
      <c r="G447" s="303" t="s">
        <v>1179</v>
      </c>
      <c r="H447" s="303" t="s">
        <v>1205</v>
      </c>
      <c r="I447" s="303" t="s">
        <v>1181</v>
      </c>
      <c r="J447" s="306">
        <v>1.0</v>
      </c>
      <c r="K447" s="312">
        <v>400.0</v>
      </c>
      <c r="L447" s="312"/>
      <c r="M447" s="312">
        <v>212.0</v>
      </c>
      <c r="N447" s="312"/>
      <c r="O447" s="312"/>
      <c r="P447" s="315">
        <v>42795.0</v>
      </c>
      <c r="Q447" s="312">
        <v>230000.0</v>
      </c>
      <c r="R447" s="312">
        <v>360.0</v>
      </c>
      <c r="S447" s="316"/>
      <c r="T447" s="317">
        <v>364.56</v>
      </c>
      <c r="U447" s="312" t="s">
        <v>1366</v>
      </c>
      <c r="V447" s="312" t="s">
        <v>1367</v>
      </c>
      <c r="W447" s="312">
        <v>361.0</v>
      </c>
      <c r="X447" s="312">
        <v>250.0</v>
      </c>
      <c r="Y447" s="312">
        <v>20.0</v>
      </c>
      <c r="Z447" s="312" t="s">
        <v>1366</v>
      </c>
      <c r="AA447" s="312" t="s">
        <v>1491</v>
      </c>
      <c r="AB447" s="50"/>
      <c r="AC447" s="50"/>
      <c r="AD447" s="50"/>
      <c r="AE447" s="50"/>
    </row>
    <row r="448">
      <c r="A448" s="307">
        <v>42817.51527777778</v>
      </c>
      <c r="B448" s="312" t="s">
        <v>427</v>
      </c>
      <c r="C448" s="303" t="s">
        <v>1177</v>
      </c>
      <c r="D448" s="303" t="s">
        <v>1178</v>
      </c>
      <c r="E448" s="315">
        <v>41527.0</v>
      </c>
      <c r="F448" s="312" t="s">
        <v>32</v>
      </c>
      <c r="G448" s="303" t="s">
        <v>1179</v>
      </c>
      <c r="H448" s="303" t="s">
        <v>1205</v>
      </c>
      <c r="I448" s="303" t="s">
        <v>1181</v>
      </c>
      <c r="J448" s="306">
        <v>1.0</v>
      </c>
      <c r="K448" s="312">
        <v>400.0</v>
      </c>
      <c r="L448" s="312"/>
      <c r="M448" s="312">
        <v>212.0</v>
      </c>
      <c r="N448" s="312"/>
      <c r="O448" s="312"/>
      <c r="P448" s="315">
        <v>42817.0</v>
      </c>
      <c r="Q448" s="312">
        <v>235000.0</v>
      </c>
      <c r="R448" s="312">
        <v>362.0</v>
      </c>
      <c r="S448" s="316"/>
      <c r="T448" s="317">
        <v>366.58</v>
      </c>
      <c r="U448" s="312" t="s">
        <v>1366</v>
      </c>
      <c r="V448" s="312" t="s">
        <v>1367</v>
      </c>
      <c r="W448" s="312">
        <v>362.0</v>
      </c>
      <c r="X448" s="312">
        <v>242.0</v>
      </c>
      <c r="Y448" s="312">
        <v>22.4</v>
      </c>
      <c r="Z448" s="312" t="s">
        <v>1366</v>
      </c>
      <c r="AA448" s="312" t="s">
        <v>1492</v>
      </c>
      <c r="AB448" s="50"/>
      <c r="AC448" s="50"/>
      <c r="AD448" s="50"/>
      <c r="AE448" s="50"/>
    </row>
    <row r="449">
      <c r="A449" s="307">
        <v>42864.53194444445</v>
      </c>
      <c r="B449" s="312" t="s">
        <v>427</v>
      </c>
      <c r="C449" s="303" t="s">
        <v>1177</v>
      </c>
      <c r="D449" s="303" t="s">
        <v>1178</v>
      </c>
      <c r="E449" s="315">
        <v>41527.0</v>
      </c>
      <c r="F449" s="312" t="s">
        <v>32</v>
      </c>
      <c r="G449" s="303" t="s">
        <v>1179</v>
      </c>
      <c r="H449" s="303" t="s">
        <v>1205</v>
      </c>
      <c r="I449" s="303" t="s">
        <v>1181</v>
      </c>
      <c r="J449" s="306">
        <v>1.0</v>
      </c>
      <c r="K449" s="312">
        <v>400.0</v>
      </c>
      <c r="L449" s="312"/>
      <c r="M449" s="312">
        <v>212.0</v>
      </c>
      <c r="N449" s="312"/>
      <c r="O449" s="312"/>
      <c r="P449" s="315">
        <v>42864.0</v>
      </c>
      <c r="Q449" s="312">
        <v>240000.0</v>
      </c>
      <c r="R449" s="312">
        <v>366.0</v>
      </c>
      <c r="S449" s="316"/>
      <c r="T449" s="317">
        <v>370.63</v>
      </c>
      <c r="U449" s="312" t="s">
        <v>1366</v>
      </c>
      <c r="V449" s="312" t="s">
        <v>1367</v>
      </c>
      <c r="W449" s="312">
        <v>366.0</v>
      </c>
      <c r="X449" s="312">
        <v>263.0</v>
      </c>
      <c r="Y449" s="312">
        <v>18.3</v>
      </c>
      <c r="Z449" s="312" t="s">
        <v>1366</v>
      </c>
      <c r="AA449" s="312" t="s">
        <v>1492</v>
      </c>
      <c r="AB449" s="50"/>
      <c r="AC449" s="50"/>
      <c r="AD449" s="50"/>
      <c r="AE449" s="50"/>
    </row>
    <row r="450">
      <c r="A450" s="307">
        <v>42895.54513888889</v>
      </c>
      <c r="B450" s="312" t="s">
        <v>427</v>
      </c>
      <c r="C450" s="303" t="s">
        <v>1177</v>
      </c>
      <c r="D450" s="303" t="s">
        <v>1178</v>
      </c>
      <c r="E450" s="315">
        <v>41527.0</v>
      </c>
      <c r="F450" s="312" t="s">
        <v>32</v>
      </c>
      <c r="G450" s="303" t="s">
        <v>1179</v>
      </c>
      <c r="H450" s="303" t="s">
        <v>1205</v>
      </c>
      <c r="I450" s="303" t="s">
        <v>1181</v>
      </c>
      <c r="J450" s="306">
        <v>1.0</v>
      </c>
      <c r="K450" s="312">
        <v>400.0</v>
      </c>
      <c r="L450" s="312"/>
      <c r="M450" s="312">
        <v>212.0</v>
      </c>
      <c r="N450" s="312"/>
      <c r="O450" s="312"/>
      <c r="P450" s="315">
        <v>42895.0</v>
      </c>
      <c r="Q450" s="312">
        <v>246000.0</v>
      </c>
      <c r="R450" s="312">
        <v>367.0</v>
      </c>
      <c r="S450" s="316"/>
      <c r="T450" s="317">
        <v>371.65</v>
      </c>
      <c r="U450" s="312" t="s">
        <v>1366</v>
      </c>
      <c r="V450" s="312" t="s">
        <v>1367</v>
      </c>
      <c r="W450" s="312">
        <v>365.0</v>
      </c>
      <c r="X450" s="312">
        <v>265.0</v>
      </c>
      <c r="Y450" s="312">
        <v>18.8</v>
      </c>
      <c r="Z450" s="312" t="s">
        <v>1366</v>
      </c>
      <c r="AA450" s="312" t="s">
        <v>1493</v>
      </c>
      <c r="AB450" s="50"/>
      <c r="AC450" s="50"/>
      <c r="AD450" s="50"/>
      <c r="AE450" s="50"/>
    </row>
    <row r="451">
      <c r="A451" s="307">
        <v>42928.55763888889</v>
      </c>
      <c r="B451" s="312" t="s">
        <v>427</v>
      </c>
      <c r="C451" s="303" t="s">
        <v>1177</v>
      </c>
      <c r="D451" s="303" t="s">
        <v>1178</v>
      </c>
      <c r="E451" s="315">
        <v>41527.0</v>
      </c>
      <c r="F451" s="312" t="s">
        <v>32</v>
      </c>
      <c r="G451" s="303" t="s">
        <v>1179</v>
      </c>
      <c r="H451" s="303" t="s">
        <v>1205</v>
      </c>
      <c r="I451" s="303" t="s">
        <v>1181</v>
      </c>
      <c r="J451" s="306">
        <v>1.0</v>
      </c>
      <c r="K451" s="312">
        <v>400.0</v>
      </c>
      <c r="L451" s="312"/>
      <c r="M451" s="312">
        <v>212.0</v>
      </c>
      <c r="N451" s="312"/>
      <c r="O451" s="312"/>
      <c r="P451" s="315">
        <v>42928.0</v>
      </c>
      <c r="Q451" s="312">
        <v>251000.0</v>
      </c>
      <c r="R451" s="312">
        <v>369.0</v>
      </c>
      <c r="S451" s="316"/>
      <c r="T451" s="317">
        <v>373.67</v>
      </c>
      <c r="U451" s="312" t="s">
        <v>1366</v>
      </c>
      <c r="V451" s="312" t="s">
        <v>1367</v>
      </c>
      <c r="W451" s="312">
        <v>369.0</v>
      </c>
      <c r="X451" s="312">
        <v>269.0</v>
      </c>
      <c r="Y451" s="312">
        <v>18.1</v>
      </c>
      <c r="Z451" s="312" t="s">
        <v>1366</v>
      </c>
      <c r="AA451" s="312" t="s">
        <v>1494</v>
      </c>
      <c r="AB451" s="50"/>
      <c r="AC451" s="50"/>
      <c r="AD451" s="50"/>
      <c r="AE451" s="50"/>
    </row>
    <row r="452">
      <c r="A452" s="307">
        <v>42929.558333333334</v>
      </c>
      <c r="B452" s="312" t="s">
        <v>427</v>
      </c>
      <c r="C452" s="303" t="s">
        <v>1177</v>
      </c>
      <c r="D452" s="303" t="s">
        <v>1178</v>
      </c>
      <c r="E452" s="315">
        <v>41527.0</v>
      </c>
      <c r="F452" s="312" t="s">
        <v>32</v>
      </c>
      <c r="G452" s="303" t="s">
        <v>1179</v>
      </c>
      <c r="H452" s="303" t="s">
        <v>1205</v>
      </c>
      <c r="I452" s="303" t="s">
        <v>1181</v>
      </c>
      <c r="J452" s="306">
        <v>1.0</v>
      </c>
      <c r="K452" s="312">
        <v>400.0</v>
      </c>
      <c r="L452" s="312"/>
      <c r="M452" s="312">
        <v>212.0</v>
      </c>
      <c r="N452" s="312"/>
      <c r="O452" s="312"/>
      <c r="P452" s="315">
        <v>42929.0</v>
      </c>
      <c r="Q452" s="312">
        <v>251200.0</v>
      </c>
      <c r="R452" s="312">
        <v>369.0</v>
      </c>
      <c r="S452" s="316"/>
      <c r="T452" s="317">
        <v>373.67</v>
      </c>
      <c r="U452" s="312" t="s">
        <v>1366</v>
      </c>
      <c r="V452" s="312" t="s">
        <v>1367</v>
      </c>
      <c r="W452" s="312">
        <v>364.0</v>
      </c>
      <c r="X452" s="312">
        <v>269.0</v>
      </c>
      <c r="Y452" s="312">
        <v>18.1</v>
      </c>
      <c r="Z452" s="312" t="s">
        <v>1366</v>
      </c>
      <c r="AA452" s="312" t="s">
        <v>1495</v>
      </c>
      <c r="AB452" s="50"/>
      <c r="AC452" s="50"/>
      <c r="AD452" s="50"/>
      <c r="AE452" s="50"/>
    </row>
    <row r="453">
      <c r="A453" s="307">
        <v>42975.59305555555</v>
      </c>
      <c r="B453" s="312" t="s">
        <v>427</v>
      </c>
      <c r="C453" s="303" t="s">
        <v>1177</v>
      </c>
      <c r="D453" s="303" t="s">
        <v>1178</v>
      </c>
      <c r="E453" s="315">
        <v>41527.0</v>
      </c>
      <c r="F453" s="312" t="s">
        <v>32</v>
      </c>
      <c r="G453" s="303" t="s">
        <v>1179</v>
      </c>
      <c r="H453" s="303" t="s">
        <v>1205</v>
      </c>
      <c r="I453" s="303" t="s">
        <v>1181</v>
      </c>
      <c r="J453" s="306">
        <v>1.0</v>
      </c>
      <c r="K453" s="312">
        <v>400.0</v>
      </c>
      <c r="L453" s="312"/>
      <c r="M453" s="312">
        <v>212.0</v>
      </c>
      <c r="N453" s="312"/>
      <c r="O453" s="312"/>
      <c r="P453" s="315">
        <v>42975.0</v>
      </c>
      <c r="Q453" s="312">
        <v>269000.0</v>
      </c>
      <c r="R453" s="312">
        <v>363.0</v>
      </c>
      <c r="S453" s="316"/>
      <c r="T453" s="317">
        <v>367.59</v>
      </c>
      <c r="U453" s="312" t="s">
        <v>1366</v>
      </c>
      <c r="V453" s="312" t="s">
        <v>1367</v>
      </c>
      <c r="W453" s="312">
        <v>363.0</v>
      </c>
      <c r="X453" s="312">
        <v>269.0</v>
      </c>
      <c r="Y453" s="312">
        <v>17.6</v>
      </c>
      <c r="Z453" s="312" t="s">
        <v>1366</v>
      </c>
      <c r="AA453" s="312" t="s">
        <v>1496</v>
      </c>
      <c r="AB453" s="50"/>
      <c r="AC453" s="50"/>
      <c r="AD453" s="50"/>
      <c r="AE453" s="50"/>
    </row>
    <row r="454">
      <c r="A454" s="307">
        <v>43048.63263888889</v>
      </c>
      <c r="B454" s="312" t="s">
        <v>427</v>
      </c>
      <c r="C454" s="303" t="s">
        <v>1177</v>
      </c>
      <c r="D454" s="303" t="s">
        <v>1178</v>
      </c>
      <c r="E454" s="315">
        <v>41527.0</v>
      </c>
      <c r="F454" s="312" t="s">
        <v>32</v>
      </c>
      <c r="G454" s="303" t="s">
        <v>1179</v>
      </c>
      <c r="H454" s="303" t="s">
        <v>1205</v>
      </c>
      <c r="I454" s="303" t="s">
        <v>1181</v>
      </c>
      <c r="J454" s="306">
        <v>1.0</v>
      </c>
      <c r="K454" s="312">
        <v>400.0</v>
      </c>
      <c r="L454" s="312"/>
      <c r="M454" s="312">
        <v>212.0</v>
      </c>
      <c r="N454" s="312"/>
      <c r="O454" s="312"/>
      <c r="P454" s="315">
        <v>43048.0</v>
      </c>
      <c r="Q454" s="312">
        <v>276500.0</v>
      </c>
      <c r="R454" s="312">
        <v>355.0</v>
      </c>
      <c r="S454" s="316"/>
      <c r="T454" s="317">
        <v>359.49</v>
      </c>
      <c r="U454" s="312" t="s">
        <v>1366</v>
      </c>
      <c r="V454" s="312" t="s">
        <v>1367</v>
      </c>
      <c r="W454" s="312">
        <v>354.0</v>
      </c>
      <c r="X454" s="312">
        <v>257.0</v>
      </c>
      <c r="Y454" s="312">
        <v>18.1</v>
      </c>
      <c r="Z454" s="312" t="s">
        <v>1366</v>
      </c>
      <c r="AA454" s="312" t="s">
        <v>1497</v>
      </c>
      <c r="AB454" s="50"/>
      <c r="AC454" s="50"/>
      <c r="AD454" s="50"/>
      <c r="AE454" s="50"/>
    </row>
    <row r="455">
      <c r="A455" s="307">
        <v>43186.72361111111</v>
      </c>
      <c r="B455" s="312" t="s">
        <v>1498</v>
      </c>
      <c r="C455" s="303" t="s">
        <v>1177</v>
      </c>
      <c r="D455" s="303" t="s">
        <v>1178</v>
      </c>
      <c r="E455" s="315">
        <v>42460.0</v>
      </c>
      <c r="F455" s="312" t="s">
        <v>43</v>
      </c>
      <c r="G455" s="303" t="s">
        <v>1180</v>
      </c>
      <c r="H455" s="303" t="s">
        <v>1180</v>
      </c>
      <c r="I455" s="303" t="s">
        <v>1181</v>
      </c>
      <c r="J455" s="306">
        <v>0.9</v>
      </c>
      <c r="K455" s="50"/>
      <c r="L455" s="312"/>
      <c r="M455" s="312">
        <v>214.0</v>
      </c>
      <c r="N455" s="312"/>
      <c r="O455" s="312"/>
      <c r="P455" s="315">
        <v>43186.0</v>
      </c>
      <c r="Q455" s="312">
        <v>37740.0</v>
      </c>
      <c r="R455" s="312">
        <v>432.0</v>
      </c>
      <c r="S455" s="316"/>
      <c r="T455" s="317">
        <v>437.47</v>
      </c>
      <c r="U455" s="312" t="s">
        <v>1366</v>
      </c>
      <c r="V455" s="312" t="s">
        <v>1367</v>
      </c>
      <c r="W455" s="50"/>
      <c r="X455" s="50"/>
      <c r="Y455" s="312">
        <v>219.0</v>
      </c>
      <c r="Z455" s="312" t="s">
        <v>1366</v>
      </c>
      <c r="AA455" s="312" t="s">
        <v>1499</v>
      </c>
      <c r="AB455" s="50"/>
      <c r="AC455" s="50"/>
      <c r="AD455" s="50"/>
      <c r="AE455" s="50"/>
    </row>
    <row r="456">
      <c r="A456" s="307">
        <v>42251.194444444445</v>
      </c>
      <c r="B456" s="312" t="s">
        <v>985</v>
      </c>
      <c r="C456" s="303" t="s">
        <v>1177</v>
      </c>
      <c r="D456" s="303" t="s">
        <v>1178</v>
      </c>
      <c r="E456" s="315">
        <v>41757.0</v>
      </c>
      <c r="F456" s="312" t="s">
        <v>30</v>
      </c>
      <c r="G456" s="303" t="s">
        <v>1181</v>
      </c>
      <c r="H456" s="303" t="s">
        <v>1181</v>
      </c>
      <c r="I456" s="303" t="s">
        <v>1186</v>
      </c>
      <c r="J456" s="306">
        <v>0.8</v>
      </c>
      <c r="K456" s="312">
        <v>395.0</v>
      </c>
      <c r="L456" s="312"/>
      <c r="M456" s="312">
        <v>195.0</v>
      </c>
      <c r="N456" s="312"/>
      <c r="O456" s="312"/>
      <c r="P456" s="315">
        <v>42251.0</v>
      </c>
      <c r="Q456" s="312">
        <v>19000.0</v>
      </c>
      <c r="R456" s="312">
        <v>388.0</v>
      </c>
      <c r="S456" s="316"/>
      <c r="T456" s="317">
        <v>388.0</v>
      </c>
      <c r="U456" s="312" t="s">
        <v>1369</v>
      </c>
      <c r="V456" s="312" t="s">
        <v>1367</v>
      </c>
      <c r="W456" s="50"/>
      <c r="X456" s="50"/>
      <c r="Y456" s="50"/>
      <c r="Z456" s="312"/>
      <c r="AA456" s="50"/>
      <c r="AB456" s="50"/>
      <c r="AC456" s="50"/>
      <c r="AD456" s="50"/>
      <c r="AE456" s="50"/>
    </row>
    <row r="457">
      <c r="A457" s="307">
        <v>42842.52361111111</v>
      </c>
      <c r="B457" s="312" t="s">
        <v>839</v>
      </c>
      <c r="C457" s="303" t="s">
        <v>1177</v>
      </c>
      <c r="D457" s="303" t="s">
        <v>1178</v>
      </c>
      <c r="E457" s="315">
        <v>42323.0</v>
      </c>
      <c r="F457" s="312" t="s">
        <v>43</v>
      </c>
      <c r="G457" s="303" t="s">
        <v>1179</v>
      </c>
      <c r="H457" s="303" t="s">
        <v>1180</v>
      </c>
      <c r="I457" s="303" t="s">
        <v>1180</v>
      </c>
      <c r="J457" s="306">
        <v>0.8</v>
      </c>
      <c r="K457" s="312">
        <v>446.0</v>
      </c>
      <c r="L457" s="312"/>
      <c r="M457" s="312">
        <v>218.0</v>
      </c>
      <c r="N457" s="312"/>
      <c r="O457" s="312"/>
      <c r="P457" s="315">
        <v>42842.0</v>
      </c>
      <c r="Q457" s="312">
        <v>51342.0</v>
      </c>
      <c r="R457" s="312">
        <v>431.0</v>
      </c>
      <c r="S457" s="316"/>
      <c r="T457" s="317">
        <v>436.46</v>
      </c>
      <c r="U457" s="312" t="s">
        <v>1366</v>
      </c>
      <c r="V457" s="312" t="s">
        <v>1367</v>
      </c>
      <c r="W457" s="50"/>
      <c r="X457" s="50"/>
      <c r="Y457" s="50"/>
      <c r="Z457" s="312"/>
      <c r="AA457" s="50"/>
      <c r="AB457" s="50"/>
      <c r="AC457" s="50"/>
      <c r="AD457" s="50"/>
      <c r="AE457" s="50"/>
    </row>
    <row r="458">
      <c r="A458" s="307">
        <v>42167.43680555555</v>
      </c>
      <c r="B458" s="312" t="s">
        <v>808</v>
      </c>
      <c r="C458" s="303" t="s">
        <v>1177</v>
      </c>
      <c r="D458" s="303" t="s">
        <v>1178</v>
      </c>
      <c r="E458" s="315">
        <v>42165.0</v>
      </c>
      <c r="F458" s="312" t="s">
        <v>36</v>
      </c>
      <c r="G458" s="303" t="s">
        <v>1179</v>
      </c>
      <c r="H458" s="303" t="s">
        <v>1180</v>
      </c>
      <c r="I458" s="303" t="s">
        <v>1186</v>
      </c>
      <c r="J458" s="306">
        <v>0.9</v>
      </c>
      <c r="K458" s="50"/>
      <c r="L458" s="312"/>
      <c r="M458" s="312">
        <v>205.0</v>
      </c>
      <c r="N458" s="312"/>
      <c r="O458" s="312"/>
      <c r="P458" s="315">
        <v>42167.0</v>
      </c>
      <c r="Q458" s="312">
        <v>744.0</v>
      </c>
      <c r="R458" s="312">
        <v>406.0</v>
      </c>
      <c r="S458" s="316"/>
      <c r="T458" s="317">
        <v>411.14</v>
      </c>
      <c r="U458" s="312" t="s">
        <v>1366</v>
      </c>
      <c r="V458" s="312" t="s">
        <v>1367</v>
      </c>
      <c r="W458" s="50"/>
      <c r="X458" s="50"/>
      <c r="Y458" s="50"/>
      <c r="Z458" s="312"/>
      <c r="AA458" s="50"/>
      <c r="AB458" s="50"/>
      <c r="AC458" s="50"/>
      <c r="AD458" s="50"/>
      <c r="AE458" s="50"/>
    </row>
    <row r="459">
      <c r="A459" s="307">
        <v>42180.4375</v>
      </c>
      <c r="B459" s="312" t="s">
        <v>808</v>
      </c>
      <c r="C459" s="303" t="s">
        <v>1177</v>
      </c>
      <c r="D459" s="303" t="s">
        <v>1178</v>
      </c>
      <c r="E459" s="315">
        <v>42165.0</v>
      </c>
      <c r="F459" s="312" t="s">
        <v>36</v>
      </c>
      <c r="G459" s="303" t="s">
        <v>1179</v>
      </c>
      <c r="H459" s="303" t="s">
        <v>1180</v>
      </c>
      <c r="I459" s="303" t="s">
        <v>1186</v>
      </c>
      <c r="J459" s="306">
        <v>0.9</v>
      </c>
      <c r="K459" s="50"/>
      <c r="L459" s="312"/>
      <c r="M459" s="312">
        <v>205.0</v>
      </c>
      <c r="N459" s="312"/>
      <c r="O459" s="312"/>
      <c r="P459" s="315">
        <v>42180.0</v>
      </c>
      <c r="Q459" s="312">
        <v>2908.0</v>
      </c>
      <c r="R459" s="312">
        <v>406.0</v>
      </c>
      <c r="S459" s="316"/>
      <c r="T459" s="317">
        <v>411.14</v>
      </c>
      <c r="U459" s="312" t="s">
        <v>1366</v>
      </c>
      <c r="V459" s="312" t="s">
        <v>1367</v>
      </c>
      <c r="W459" s="50"/>
      <c r="X459" s="50"/>
      <c r="Y459" s="50"/>
      <c r="Z459" s="312"/>
      <c r="AA459" s="50"/>
      <c r="AB459" s="50"/>
      <c r="AC459" s="50"/>
      <c r="AD459" s="50"/>
      <c r="AE459" s="50"/>
    </row>
    <row r="460">
      <c r="A460" s="307">
        <v>42185.43819444445</v>
      </c>
      <c r="B460" s="312" t="s">
        <v>808</v>
      </c>
      <c r="C460" s="303" t="s">
        <v>1177</v>
      </c>
      <c r="D460" s="303" t="s">
        <v>1178</v>
      </c>
      <c r="E460" s="315">
        <v>42165.0</v>
      </c>
      <c r="F460" s="312" t="s">
        <v>36</v>
      </c>
      <c r="G460" s="303" t="s">
        <v>1179</v>
      </c>
      <c r="H460" s="303" t="s">
        <v>1180</v>
      </c>
      <c r="I460" s="303" t="s">
        <v>1186</v>
      </c>
      <c r="J460" s="306">
        <v>0.9</v>
      </c>
      <c r="K460" s="50"/>
      <c r="L460" s="312"/>
      <c r="M460" s="312">
        <v>205.0</v>
      </c>
      <c r="N460" s="312"/>
      <c r="O460" s="312"/>
      <c r="P460" s="315">
        <v>42185.0</v>
      </c>
      <c r="Q460" s="312">
        <v>4021.0</v>
      </c>
      <c r="R460" s="312">
        <v>407.0</v>
      </c>
      <c r="S460" s="316"/>
      <c r="T460" s="317">
        <v>412.15</v>
      </c>
      <c r="U460" s="312" t="s">
        <v>1366</v>
      </c>
      <c r="V460" s="312" t="s">
        <v>1367</v>
      </c>
      <c r="W460" s="50"/>
      <c r="X460" s="50"/>
      <c r="Y460" s="50"/>
      <c r="Z460" s="312"/>
      <c r="AA460" s="50"/>
      <c r="AB460" s="50"/>
      <c r="AC460" s="50"/>
      <c r="AD460" s="50"/>
      <c r="AE460" s="50"/>
    </row>
    <row r="461">
      <c r="A461" s="307">
        <v>42194.438888888886</v>
      </c>
      <c r="B461" s="312" t="s">
        <v>808</v>
      </c>
      <c r="C461" s="303" t="s">
        <v>1177</v>
      </c>
      <c r="D461" s="303" t="s">
        <v>1178</v>
      </c>
      <c r="E461" s="315">
        <v>42165.0</v>
      </c>
      <c r="F461" s="312" t="s">
        <v>36</v>
      </c>
      <c r="G461" s="303" t="s">
        <v>1179</v>
      </c>
      <c r="H461" s="303" t="s">
        <v>1180</v>
      </c>
      <c r="I461" s="303" t="s">
        <v>1186</v>
      </c>
      <c r="J461" s="306">
        <v>0.9</v>
      </c>
      <c r="K461" s="50"/>
      <c r="L461" s="312"/>
      <c r="M461" s="312">
        <v>205.0</v>
      </c>
      <c r="N461" s="312"/>
      <c r="O461" s="312"/>
      <c r="P461" s="315">
        <v>42194.0</v>
      </c>
      <c r="Q461" s="312">
        <v>5488.0</v>
      </c>
      <c r="R461" s="312">
        <v>405.0</v>
      </c>
      <c r="S461" s="316"/>
      <c r="T461" s="317">
        <v>410.13</v>
      </c>
      <c r="U461" s="312" t="s">
        <v>1366</v>
      </c>
      <c r="V461" s="312" t="s">
        <v>1367</v>
      </c>
      <c r="W461" s="50"/>
      <c r="X461" s="50"/>
      <c r="Y461" s="50"/>
      <c r="Z461" s="312"/>
      <c r="AA461" s="50"/>
      <c r="AB461" s="50"/>
      <c r="AC461" s="50"/>
      <c r="AD461" s="50"/>
      <c r="AE461" s="50"/>
    </row>
    <row r="462">
      <c r="A462" s="307">
        <v>42199.43958333333</v>
      </c>
      <c r="B462" s="312" t="s">
        <v>808</v>
      </c>
      <c r="C462" s="303" t="s">
        <v>1177</v>
      </c>
      <c r="D462" s="303" t="s">
        <v>1178</v>
      </c>
      <c r="E462" s="315">
        <v>42165.0</v>
      </c>
      <c r="F462" s="312" t="s">
        <v>36</v>
      </c>
      <c r="G462" s="303" t="s">
        <v>1179</v>
      </c>
      <c r="H462" s="303" t="s">
        <v>1180</v>
      </c>
      <c r="I462" s="303" t="s">
        <v>1186</v>
      </c>
      <c r="J462" s="306">
        <v>0.9</v>
      </c>
      <c r="K462" s="50"/>
      <c r="L462" s="312"/>
      <c r="M462" s="312">
        <v>205.0</v>
      </c>
      <c r="N462" s="312"/>
      <c r="O462" s="312"/>
      <c r="P462" s="315">
        <v>42199.0</v>
      </c>
      <c r="Q462" s="312">
        <v>6204.0</v>
      </c>
      <c r="R462" s="312">
        <v>404.0</v>
      </c>
      <c r="S462" s="316"/>
      <c r="T462" s="317">
        <v>409.11</v>
      </c>
      <c r="U462" s="312" t="s">
        <v>1366</v>
      </c>
      <c r="V462" s="312" t="s">
        <v>1367</v>
      </c>
      <c r="W462" s="50"/>
      <c r="X462" s="50"/>
      <c r="Y462" s="50"/>
      <c r="Z462" s="312"/>
      <c r="AA462" s="50"/>
      <c r="AB462" s="50"/>
      <c r="AC462" s="50"/>
      <c r="AD462" s="50"/>
      <c r="AE462" s="50"/>
    </row>
    <row r="463">
      <c r="A463" s="307">
        <v>42225.44027777778</v>
      </c>
      <c r="B463" s="312" t="s">
        <v>808</v>
      </c>
      <c r="C463" s="303" t="s">
        <v>1177</v>
      </c>
      <c r="D463" s="303" t="s">
        <v>1178</v>
      </c>
      <c r="E463" s="315">
        <v>42165.0</v>
      </c>
      <c r="F463" s="312" t="s">
        <v>36</v>
      </c>
      <c r="G463" s="303" t="s">
        <v>1179</v>
      </c>
      <c r="H463" s="303" t="s">
        <v>1180</v>
      </c>
      <c r="I463" s="303" t="s">
        <v>1186</v>
      </c>
      <c r="J463" s="306">
        <v>0.9</v>
      </c>
      <c r="K463" s="50"/>
      <c r="L463" s="312"/>
      <c r="M463" s="312">
        <v>205.0</v>
      </c>
      <c r="N463" s="312"/>
      <c r="O463" s="312"/>
      <c r="P463" s="315">
        <v>42225.0</v>
      </c>
      <c r="Q463" s="312">
        <v>8626.0</v>
      </c>
      <c r="R463" s="312">
        <v>404.0</v>
      </c>
      <c r="S463" s="316"/>
      <c r="T463" s="317">
        <v>409.11</v>
      </c>
      <c r="U463" s="312" t="s">
        <v>1366</v>
      </c>
      <c r="V463" s="312" t="s">
        <v>1367</v>
      </c>
      <c r="W463" s="50"/>
      <c r="X463" s="50"/>
      <c r="Y463" s="50"/>
      <c r="Z463" s="312"/>
      <c r="AA463" s="50"/>
      <c r="AB463" s="50"/>
      <c r="AC463" s="50"/>
      <c r="AD463" s="50"/>
      <c r="AE463" s="50"/>
    </row>
    <row r="464">
      <c r="A464" s="307">
        <v>42233.44097222222</v>
      </c>
      <c r="B464" s="312" t="s">
        <v>808</v>
      </c>
      <c r="C464" s="303" t="s">
        <v>1177</v>
      </c>
      <c r="D464" s="303" t="s">
        <v>1178</v>
      </c>
      <c r="E464" s="315">
        <v>42165.0</v>
      </c>
      <c r="F464" s="312" t="s">
        <v>36</v>
      </c>
      <c r="G464" s="303" t="s">
        <v>1179</v>
      </c>
      <c r="H464" s="303" t="s">
        <v>1180</v>
      </c>
      <c r="I464" s="303" t="s">
        <v>1186</v>
      </c>
      <c r="J464" s="306">
        <v>0.9</v>
      </c>
      <c r="K464" s="50"/>
      <c r="L464" s="312"/>
      <c r="M464" s="312">
        <v>205.0</v>
      </c>
      <c r="N464" s="312"/>
      <c r="O464" s="312"/>
      <c r="P464" s="315">
        <v>42233.0</v>
      </c>
      <c r="Q464" s="312">
        <v>10762.0</v>
      </c>
      <c r="R464" s="312">
        <v>403.0</v>
      </c>
      <c r="S464" s="316"/>
      <c r="T464" s="317">
        <v>408.1</v>
      </c>
      <c r="U464" s="312" t="s">
        <v>1366</v>
      </c>
      <c r="V464" s="312" t="s">
        <v>1367</v>
      </c>
      <c r="W464" s="50"/>
      <c r="X464" s="50"/>
      <c r="Y464" s="50"/>
      <c r="Z464" s="312"/>
      <c r="AA464" s="50"/>
      <c r="AB464" s="50"/>
      <c r="AC464" s="50"/>
      <c r="AD464" s="50"/>
      <c r="AE464" s="50"/>
    </row>
    <row r="465">
      <c r="A465" s="307">
        <v>42297.441666666666</v>
      </c>
      <c r="B465" s="312" t="s">
        <v>808</v>
      </c>
      <c r="C465" s="303" t="s">
        <v>1177</v>
      </c>
      <c r="D465" s="303" t="s">
        <v>1178</v>
      </c>
      <c r="E465" s="315">
        <v>42165.0</v>
      </c>
      <c r="F465" s="312" t="s">
        <v>36</v>
      </c>
      <c r="G465" s="303" t="s">
        <v>1179</v>
      </c>
      <c r="H465" s="303" t="s">
        <v>1180</v>
      </c>
      <c r="I465" s="303" t="s">
        <v>1186</v>
      </c>
      <c r="J465" s="306">
        <v>0.8</v>
      </c>
      <c r="K465" s="50"/>
      <c r="L465" s="312"/>
      <c r="M465" s="312">
        <v>205.0</v>
      </c>
      <c r="N465" s="312"/>
      <c r="O465" s="312"/>
      <c r="P465" s="315">
        <v>42297.0</v>
      </c>
      <c r="Q465" s="312">
        <v>18650.0</v>
      </c>
      <c r="R465" s="312">
        <v>393.0</v>
      </c>
      <c r="S465" s="316"/>
      <c r="T465" s="317">
        <v>397.97</v>
      </c>
      <c r="U465" s="312" t="s">
        <v>1366</v>
      </c>
      <c r="V465" s="312" t="s">
        <v>1367</v>
      </c>
      <c r="W465" s="50"/>
      <c r="X465" s="50"/>
      <c r="Y465" s="50"/>
      <c r="Z465" s="312"/>
      <c r="AA465" s="50"/>
      <c r="AB465" s="50"/>
      <c r="AC465" s="50"/>
      <c r="AD465" s="50"/>
      <c r="AE465" s="50"/>
    </row>
    <row r="466">
      <c r="A466" s="307">
        <v>42307.44236111111</v>
      </c>
      <c r="B466" s="312" t="s">
        <v>808</v>
      </c>
      <c r="C466" s="303" t="s">
        <v>1177</v>
      </c>
      <c r="D466" s="303" t="s">
        <v>1178</v>
      </c>
      <c r="E466" s="315">
        <v>42165.0</v>
      </c>
      <c r="F466" s="312" t="s">
        <v>36</v>
      </c>
      <c r="G466" s="303" t="s">
        <v>1179</v>
      </c>
      <c r="H466" s="303" t="s">
        <v>1180</v>
      </c>
      <c r="I466" s="303" t="s">
        <v>1186</v>
      </c>
      <c r="J466" s="306">
        <v>0.8</v>
      </c>
      <c r="K466" s="50"/>
      <c r="L466" s="312"/>
      <c r="M466" s="312">
        <v>205.0</v>
      </c>
      <c r="N466" s="312"/>
      <c r="O466" s="312"/>
      <c r="P466" s="315">
        <v>42307.0</v>
      </c>
      <c r="Q466" s="312">
        <v>26279.0</v>
      </c>
      <c r="R466" s="312">
        <v>391.0</v>
      </c>
      <c r="S466" s="316"/>
      <c r="T466" s="317">
        <v>395.95</v>
      </c>
      <c r="U466" s="312" t="s">
        <v>1366</v>
      </c>
      <c r="V466" s="312" t="s">
        <v>1367</v>
      </c>
      <c r="W466" s="50"/>
      <c r="X466" s="50"/>
      <c r="Y466" s="50"/>
      <c r="Z466" s="312"/>
      <c r="AA466" s="50"/>
      <c r="AB466" s="50"/>
      <c r="AC466" s="50"/>
      <c r="AD466" s="50"/>
      <c r="AE466" s="50"/>
    </row>
    <row r="467">
      <c r="A467" s="307">
        <v>42438.44305555556</v>
      </c>
      <c r="B467" s="312" t="s">
        <v>808</v>
      </c>
      <c r="C467" s="303" t="s">
        <v>1177</v>
      </c>
      <c r="D467" s="303" t="s">
        <v>1178</v>
      </c>
      <c r="E467" s="315">
        <v>42165.0</v>
      </c>
      <c r="F467" s="312" t="s">
        <v>36</v>
      </c>
      <c r="G467" s="303" t="s">
        <v>1179</v>
      </c>
      <c r="H467" s="303" t="s">
        <v>1180</v>
      </c>
      <c r="I467" s="303" t="s">
        <v>1186</v>
      </c>
      <c r="J467" s="306">
        <v>0.8</v>
      </c>
      <c r="K467" s="50"/>
      <c r="L467" s="312"/>
      <c r="M467" s="312">
        <v>205.0</v>
      </c>
      <c r="N467" s="312"/>
      <c r="O467" s="312"/>
      <c r="P467" s="315">
        <v>42438.0</v>
      </c>
      <c r="Q467" s="312">
        <v>35030.0</v>
      </c>
      <c r="R467" s="312">
        <v>401.0</v>
      </c>
      <c r="S467" s="316"/>
      <c r="T467" s="317">
        <v>406.08</v>
      </c>
      <c r="U467" s="312" t="s">
        <v>1366</v>
      </c>
      <c r="V467" s="312" t="s">
        <v>1367</v>
      </c>
      <c r="W467" s="50"/>
      <c r="X467" s="50"/>
      <c r="Y467" s="50"/>
      <c r="Z467" s="312"/>
      <c r="AA467" s="50"/>
      <c r="AB467" s="50"/>
      <c r="AC467" s="50"/>
      <c r="AD467" s="50"/>
      <c r="AE467" s="50"/>
    </row>
    <row r="468">
      <c r="A468" s="307">
        <v>42472.44375</v>
      </c>
      <c r="B468" s="312" t="s">
        <v>808</v>
      </c>
      <c r="C468" s="303" t="s">
        <v>1177</v>
      </c>
      <c r="D468" s="303" t="s">
        <v>1178</v>
      </c>
      <c r="E468" s="315">
        <v>42165.0</v>
      </c>
      <c r="F468" s="312" t="s">
        <v>36</v>
      </c>
      <c r="G468" s="303" t="s">
        <v>1179</v>
      </c>
      <c r="H468" s="303" t="s">
        <v>1180</v>
      </c>
      <c r="I468" s="303" t="s">
        <v>1186</v>
      </c>
      <c r="J468" s="306">
        <v>0.8</v>
      </c>
      <c r="K468" s="50"/>
      <c r="L468" s="312"/>
      <c r="M468" s="312">
        <v>205.0</v>
      </c>
      <c r="N468" s="312"/>
      <c r="O468" s="312"/>
      <c r="P468" s="315">
        <v>42472.0</v>
      </c>
      <c r="Q468" s="312">
        <v>39966.0</v>
      </c>
      <c r="R468" s="312">
        <v>405.0</v>
      </c>
      <c r="S468" s="316"/>
      <c r="T468" s="317">
        <v>410.13</v>
      </c>
      <c r="U468" s="312" t="s">
        <v>1366</v>
      </c>
      <c r="V468" s="312" t="s">
        <v>1367</v>
      </c>
      <c r="W468" s="50"/>
      <c r="X468" s="50"/>
      <c r="Y468" s="50"/>
      <c r="Z468" s="312"/>
      <c r="AA468" s="50"/>
      <c r="AB468" s="50"/>
      <c r="AC468" s="50"/>
      <c r="AD468" s="50"/>
      <c r="AE468" s="50"/>
    </row>
    <row r="469">
      <c r="A469" s="307">
        <v>42488.444444444445</v>
      </c>
      <c r="B469" s="312" t="s">
        <v>808</v>
      </c>
      <c r="C469" s="303" t="s">
        <v>1177</v>
      </c>
      <c r="D469" s="303" t="s">
        <v>1178</v>
      </c>
      <c r="E469" s="315">
        <v>42165.0</v>
      </c>
      <c r="F469" s="312" t="s">
        <v>36</v>
      </c>
      <c r="G469" s="303" t="s">
        <v>1179</v>
      </c>
      <c r="H469" s="303" t="s">
        <v>1180</v>
      </c>
      <c r="I469" s="303" t="s">
        <v>1186</v>
      </c>
      <c r="J469" s="306">
        <v>0.8</v>
      </c>
      <c r="K469" s="50"/>
      <c r="L469" s="312"/>
      <c r="M469" s="312">
        <v>205.0</v>
      </c>
      <c r="N469" s="312"/>
      <c r="O469" s="312"/>
      <c r="P469" s="315">
        <v>42488.0</v>
      </c>
      <c r="Q469" s="312">
        <v>42641.0</v>
      </c>
      <c r="R469" s="312">
        <v>404.0</v>
      </c>
      <c r="S469" s="316"/>
      <c r="T469" s="317">
        <v>409.11</v>
      </c>
      <c r="U469" s="312" t="s">
        <v>1366</v>
      </c>
      <c r="V469" s="312" t="s">
        <v>1367</v>
      </c>
      <c r="W469" s="50"/>
      <c r="X469" s="50"/>
      <c r="Y469" s="50"/>
      <c r="Z469" s="312"/>
      <c r="AA469" s="50"/>
      <c r="AB469" s="50"/>
      <c r="AC469" s="50"/>
      <c r="AD469" s="50"/>
      <c r="AE469" s="50"/>
    </row>
    <row r="470">
      <c r="A470" s="307">
        <v>42502.44513888889</v>
      </c>
      <c r="B470" s="312" t="s">
        <v>808</v>
      </c>
      <c r="C470" s="303" t="s">
        <v>1177</v>
      </c>
      <c r="D470" s="303" t="s">
        <v>1178</v>
      </c>
      <c r="E470" s="315">
        <v>42165.0</v>
      </c>
      <c r="F470" s="312" t="s">
        <v>36</v>
      </c>
      <c r="G470" s="303" t="s">
        <v>1179</v>
      </c>
      <c r="H470" s="303" t="s">
        <v>1180</v>
      </c>
      <c r="I470" s="303" t="s">
        <v>1186</v>
      </c>
      <c r="J470" s="306">
        <v>0.8</v>
      </c>
      <c r="K470" s="50"/>
      <c r="L470" s="312"/>
      <c r="M470" s="312">
        <v>205.0</v>
      </c>
      <c r="N470" s="312"/>
      <c r="O470" s="312"/>
      <c r="P470" s="315">
        <v>42502.0</v>
      </c>
      <c r="Q470" s="312">
        <v>44051.0</v>
      </c>
      <c r="R470" s="312">
        <v>408.0</v>
      </c>
      <c r="S470" s="316"/>
      <c r="T470" s="317">
        <v>413.16</v>
      </c>
      <c r="U470" s="312" t="s">
        <v>1366</v>
      </c>
      <c r="V470" s="312" t="s">
        <v>1367</v>
      </c>
      <c r="W470" s="50"/>
      <c r="X470" s="50"/>
      <c r="Y470" s="50"/>
      <c r="Z470" s="312"/>
      <c r="AA470" s="50"/>
      <c r="AB470" s="50"/>
      <c r="AC470" s="50"/>
      <c r="AD470" s="50"/>
      <c r="AE470" s="50"/>
    </row>
    <row r="471">
      <c r="A471" s="307">
        <v>42510.44583333333</v>
      </c>
      <c r="B471" s="312" t="s">
        <v>808</v>
      </c>
      <c r="C471" s="303" t="s">
        <v>1177</v>
      </c>
      <c r="D471" s="303" t="s">
        <v>1178</v>
      </c>
      <c r="E471" s="315">
        <v>42165.0</v>
      </c>
      <c r="F471" s="312" t="s">
        <v>36</v>
      </c>
      <c r="G471" s="303" t="s">
        <v>1179</v>
      </c>
      <c r="H471" s="303" t="s">
        <v>1180</v>
      </c>
      <c r="I471" s="303" t="s">
        <v>1186</v>
      </c>
      <c r="J471" s="306">
        <v>0.8</v>
      </c>
      <c r="K471" s="50"/>
      <c r="L471" s="312"/>
      <c r="M471" s="312">
        <v>206.0</v>
      </c>
      <c r="N471" s="312"/>
      <c r="O471" s="312"/>
      <c r="P471" s="315">
        <v>42510.0</v>
      </c>
      <c r="Q471" s="312">
        <v>45490.0</v>
      </c>
      <c r="R471" s="312">
        <v>407.0</v>
      </c>
      <c r="S471" s="316"/>
      <c r="T471" s="317">
        <v>412.15</v>
      </c>
      <c r="U471" s="312" t="s">
        <v>1366</v>
      </c>
      <c r="V471" s="312" t="s">
        <v>1367</v>
      </c>
      <c r="W471" s="50"/>
      <c r="X471" s="50"/>
      <c r="Y471" s="50"/>
      <c r="Z471" s="312"/>
      <c r="AA471" s="50"/>
      <c r="AB471" s="50"/>
      <c r="AC471" s="50"/>
      <c r="AD471" s="50"/>
      <c r="AE471" s="50"/>
    </row>
    <row r="472">
      <c r="A472" s="307">
        <v>42542.44652777778</v>
      </c>
      <c r="B472" s="312" t="s">
        <v>808</v>
      </c>
      <c r="C472" s="303" t="s">
        <v>1177</v>
      </c>
      <c r="D472" s="303" t="s">
        <v>1178</v>
      </c>
      <c r="E472" s="315">
        <v>42165.0</v>
      </c>
      <c r="F472" s="312" t="s">
        <v>36</v>
      </c>
      <c r="G472" s="303" t="s">
        <v>1179</v>
      </c>
      <c r="H472" s="303" t="s">
        <v>1180</v>
      </c>
      <c r="I472" s="303" t="s">
        <v>1186</v>
      </c>
      <c r="J472" s="306">
        <v>0.8</v>
      </c>
      <c r="K472" s="50"/>
      <c r="L472" s="312"/>
      <c r="M472" s="312">
        <v>206.0</v>
      </c>
      <c r="N472" s="312"/>
      <c r="O472" s="312"/>
      <c r="P472" s="315">
        <v>42542.0</v>
      </c>
      <c r="Q472" s="312">
        <v>49489.0</v>
      </c>
      <c r="R472" s="312">
        <v>408.0</v>
      </c>
      <c r="S472" s="316"/>
      <c r="T472" s="317">
        <v>413.16</v>
      </c>
      <c r="U472" s="312" t="s">
        <v>1366</v>
      </c>
      <c r="V472" s="312" t="s">
        <v>1367</v>
      </c>
      <c r="W472" s="50"/>
      <c r="X472" s="50"/>
      <c r="Y472" s="50"/>
      <c r="Z472" s="312"/>
      <c r="AA472" s="50"/>
      <c r="AB472" s="50"/>
      <c r="AC472" s="50"/>
      <c r="AD472" s="50"/>
      <c r="AE472" s="50"/>
    </row>
    <row r="473">
      <c r="A473" s="307">
        <v>42549.447222222225</v>
      </c>
      <c r="B473" s="312" t="s">
        <v>808</v>
      </c>
      <c r="C473" s="303" t="s">
        <v>1177</v>
      </c>
      <c r="D473" s="303" t="s">
        <v>1178</v>
      </c>
      <c r="E473" s="315">
        <v>42165.0</v>
      </c>
      <c r="F473" s="312" t="s">
        <v>36</v>
      </c>
      <c r="G473" s="303" t="s">
        <v>1179</v>
      </c>
      <c r="H473" s="303" t="s">
        <v>1180</v>
      </c>
      <c r="I473" s="303" t="s">
        <v>1186</v>
      </c>
      <c r="J473" s="306">
        <v>0.8</v>
      </c>
      <c r="K473" s="50"/>
      <c r="L473" s="312"/>
      <c r="M473" s="312">
        <v>206.0</v>
      </c>
      <c r="N473" s="312"/>
      <c r="O473" s="312"/>
      <c r="P473" s="315">
        <v>42549.0</v>
      </c>
      <c r="Q473" s="312">
        <v>50600.0</v>
      </c>
      <c r="R473" s="312">
        <v>409.0</v>
      </c>
      <c r="S473" s="316"/>
      <c r="T473" s="317">
        <v>414.18</v>
      </c>
      <c r="U473" s="312" t="s">
        <v>1366</v>
      </c>
      <c r="V473" s="312" t="s">
        <v>1367</v>
      </c>
      <c r="W473" s="50"/>
      <c r="X473" s="50"/>
      <c r="Y473" s="50"/>
      <c r="Z473" s="312"/>
      <c r="AA473" s="50"/>
      <c r="AB473" s="50"/>
      <c r="AC473" s="50"/>
      <c r="AD473" s="50"/>
      <c r="AE473" s="50"/>
    </row>
    <row r="474">
      <c r="A474" s="307">
        <v>42582.447916666664</v>
      </c>
      <c r="B474" s="312" t="s">
        <v>808</v>
      </c>
      <c r="C474" s="303" t="s">
        <v>1177</v>
      </c>
      <c r="D474" s="303" t="s">
        <v>1178</v>
      </c>
      <c r="E474" s="315">
        <v>42165.0</v>
      </c>
      <c r="F474" s="312" t="s">
        <v>36</v>
      </c>
      <c r="G474" s="303" t="s">
        <v>1179</v>
      </c>
      <c r="H474" s="303" t="s">
        <v>1180</v>
      </c>
      <c r="I474" s="303" t="s">
        <v>1186</v>
      </c>
      <c r="J474" s="306">
        <v>0.8</v>
      </c>
      <c r="K474" s="50"/>
      <c r="L474" s="312"/>
      <c r="M474" s="312">
        <v>206.0</v>
      </c>
      <c r="N474" s="312"/>
      <c r="O474" s="312"/>
      <c r="P474" s="315">
        <v>42582.0</v>
      </c>
      <c r="Q474" s="312">
        <v>53720.0</v>
      </c>
      <c r="R474" s="312">
        <v>411.0</v>
      </c>
      <c r="S474" s="316"/>
      <c r="T474" s="317">
        <v>416.2</v>
      </c>
      <c r="U474" s="312" t="s">
        <v>1366</v>
      </c>
      <c r="V474" s="312" t="s">
        <v>1367</v>
      </c>
      <c r="W474" s="50"/>
      <c r="X474" s="50"/>
      <c r="Y474" s="50"/>
      <c r="Z474" s="312"/>
      <c r="AA474" s="50"/>
      <c r="AB474" s="50"/>
      <c r="AC474" s="50"/>
      <c r="AD474" s="50"/>
      <c r="AE474" s="50"/>
    </row>
    <row r="475">
      <c r="A475" s="307">
        <v>42596.44861111111</v>
      </c>
      <c r="B475" s="312" t="s">
        <v>808</v>
      </c>
      <c r="C475" s="303" t="s">
        <v>1177</v>
      </c>
      <c r="D475" s="303" t="s">
        <v>1178</v>
      </c>
      <c r="E475" s="315">
        <v>42165.0</v>
      </c>
      <c r="F475" s="312" t="s">
        <v>36</v>
      </c>
      <c r="G475" s="303" t="s">
        <v>1179</v>
      </c>
      <c r="H475" s="303" t="s">
        <v>1180</v>
      </c>
      <c r="I475" s="303" t="s">
        <v>1186</v>
      </c>
      <c r="J475" s="306">
        <v>0.8</v>
      </c>
      <c r="K475" s="50"/>
      <c r="L475" s="312"/>
      <c r="M475" s="312">
        <v>206.0</v>
      </c>
      <c r="N475" s="312"/>
      <c r="O475" s="312"/>
      <c r="P475" s="315">
        <v>42596.0</v>
      </c>
      <c r="Q475" s="312">
        <v>56320.0</v>
      </c>
      <c r="R475" s="312">
        <v>411.0</v>
      </c>
      <c r="S475" s="316"/>
      <c r="T475" s="317">
        <v>416.2</v>
      </c>
      <c r="U475" s="312" t="s">
        <v>1366</v>
      </c>
      <c r="V475" s="312" t="s">
        <v>1367</v>
      </c>
      <c r="W475" s="50"/>
      <c r="X475" s="50"/>
      <c r="Y475" s="50"/>
      <c r="Z475" s="312"/>
      <c r="AA475" s="50"/>
      <c r="AB475" s="50"/>
      <c r="AC475" s="50"/>
      <c r="AD475" s="50"/>
      <c r="AE475" s="50"/>
    </row>
    <row r="476">
      <c r="A476" s="307">
        <v>42625.44930555556</v>
      </c>
      <c r="B476" s="312" t="s">
        <v>808</v>
      </c>
      <c r="C476" s="303" t="s">
        <v>1177</v>
      </c>
      <c r="D476" s="303" t="s">
        <v>1178</v>
      </c>
      <c r="E476" s="315">
        <v>42165.0</v>
      </c>
      <c r="F476" s="312" t="s">
        <v>36</v>
      </c>
      <c r="G476" s="303" t="s">
        <v>1179</v>
      </c>
      <c r="H476" s="303" t="s">
        <v>1180</v>
      </c>
      <c r="I476" s="303" t="s">
        <v>1186</v>
      </c>
      <c r="J476" s="306">
        <v>0.8</v>
      </c>
      <c r="K476" s="50"/>
      <c r="L476" s="312"/>
      <c r="M476" s="312">
        <v>206.0</v>
      </c>
      <c r="N476" s="312"/>
      <c r="O476" s="312"/>
      <c r="P476" s="315">
        <v>42625.0</v>
      </c>
      <c r="Q476" s="312">
        <v>61226.0</v>
      </c>
      <c r="R476" s="312">
        <v>413.0</v>
      </c>
      <c r="S476" s="316"/>
      <c r="T476" s="317">
        <v>418.23</v>
      </c>
      <c r="U476" s="312" t="s">
        <v>1366</v>
      </c>
      <c r="V476" s="312" t="s">
        <v>1367</v>
      </c>
      <c r="W476" s="50"/>
      <c r="X476" s="50"/>
      <c r="Y476" s="50"/>
      <c r="Z476" s="312"/>
      <c r="AA476" s="50"/>
      <c r="AB476" s="50"/>
      <c r="AC476" s="50"/>
      <c r="AD476" s="50"/>
      <c r="AE476" s="50"/>
    </row>
    <row r="477">
      <c r="A477" s="307">
        <v>42634.45</v>
      </c>
      <c r="B477" s="312" t="s">
        <v>808</v>
      </c>
      <c r="C477" s="303" t="s">
        <v>1177</v>
      </c>
      <c r="D477" s="303" t="s">
        <v>1178</v>
      </c>
      <c r="E477" s="315">
        <v>42165.0</v>
      </c>
      <c r="F477" s="312" t="s">
        <v>36</v>
      </c>
      <c r="G477" s="303" t="s">
        <v>1179</v>
      </c>
      <c r="H477" s="303" t="s">
        <v>1180</v>
      </c>
      <c r="I477" s="303" t="s">
        <v>1186</v>
      </c>
      <c r="J477" s="306">
        <v>0.8</v>
      </c>
      <c r="K477" s="50"/>
      <c r="L477" s="312"/>
      <c r="M477" s="312">
        <v>206.0</v>
      </c>
      <c r="N477" s="312"/>
      <c r="O477" s="312"/>
      <c r="P477" s="315">
        <v>42634.0</v>
      </c>
      <c r="Q477" s="312">
        <v>63010.0</v>
      </c>
      <c r="R477" s="312">
        <v>414.0</v>
      </c>
      <c r="S477" s="316"/>
      <c r="T477" s="317">
        <v>419.24</v>
      </c>
      <c r="U477" s="312" t="s">
        <v>1366</v>
      </c>
      <c r="V477" s="312" t="s">
        <v>1367</v>
      </c>
      <c r="W477" s="50"/>
      <c r="X477" s="50"/>
      <c r="Y477" s="50"/>
      <c r="Z477" s="312"/>
      <c r="AA477" s="50"/>
      <c r="AB477" s="50"/>
      <c r="AC477" s="50"/>
      <c r="AD477" s="50"/>
      <c r="AE477" s="50"/>
    </row>
    <row r="478">
      <c r="A478" s="307">
        <v>42653.450694444444</v>
      </c>
      <c r="B478" s="312" t="s">
        <v>808</v>
      </c>
      <c r="C478" s="303" t="s">
        <v>1177</v>
      </c>
      <c r="D478" s="303" t="s">
        <v>1178</v>
      </c>
      <c r="E478" s="315">
        <v>42165.0</v>
      </c>
      <c r="F478" s="312" t="s">
        <v>36</v>
      </c>
      <c r="G478" s="303" t="s">
        <v>1179</v>
      </c>
      <c r="H478" s="303" t="s">
        <v>1180</v>
      </c>
      <c r="I478" s="303" t="s">
        <v>1186</v>
      </c>
      <c r="J478" s="306">
        <v>0.8</v>
      </c>
      <c r="K478" s="50"/>
      <c r="L478" s="312"/>
      <c r="M478" s="312">
        <v>206.0</v>
      </c>
      <c r="N478" s="312"/>
      <c r="O478" s="312"/>
      <c r="P478" s="315">
        <v>42653.0</v>
      </c>
      <c r="Q478" s="312">
        <v>64468.0</v>
      </c>
      <c r="R478" s="312">
        <v>415.0</v>
      </c>
      <c r="S478" s="316"/>
      <c r="T478" s="317">
        <v>420.25</v>
      </c>
      <c r="U478" s="312" t="s">
        <v>1366</v>
      </c>
      <c r="V478" s="312" t="s">
        <v>1367</v>
      </c>
      <c r="W478" s="50"/>
      <c r="X478" s="50"/>
      <c r="Y478" s="50"/>
      <c r="Z478" s="312"/>
      <c r="AA478" s="50"/>
      <c r="AB478" s="50"/>
      <c r="AC478" s="50"/>
      <c r="AD478" s="50"/>
      <c r="AE478" s="50"/>
    </row>
    <row r="479">
      <c r="A479" s="307">
        <v>42654.45138888889</v>
      </c>
      <c r="B479" s="312" t="s">
        <v>808</v>
      </c>
      <c r="C479" s="303" t="s">
        <v>1177</v>
      </c>
      <c r="D479" s="303" t="s">
        <v>1178</v>
      </c>
      <c r="E479" s="315">
        <v>42165.0</v>
      </c>
      <c r="F479" s="312" t="s">
        <v>36</v>
      </c>
      <c r="G479" s="303" t="s">
        <v>1179</v>
      </c>
      <c r="H479" s="303" t="s">
        <v>1180</v>
      </c>
      <c r="I479" s="303" t="s">
        <v>1186</v>
      </c>
      <c r="J479" s="306">
        <v>0.8</v>
      </c>
      <c r="K479" s="50"/>
      <c r="L479" s="312"/>
      <c r="M479" s="312">
        <v>206.0</v>
      </c>
      <c r="N479" s="312"/>
      <c r="O479" s="312"/>
      <c r="P479" s="315">
        <v>42654.0</v>
      </c>
      <c r="Q479" s="312">
        <v>65086.0</v>
      </c>
      <c r="R479" s="312">
        <v>416.0</v>
      </c>
      <c r="S479" s="316"/>
      <c r="T479" s="317">
        <v>421.27</v>
      </c>
      <c r="U479" s="312" t="s">
        <v>1366</v>
      </c>
      <c r="V479" s="312" t="s">
        <v>1367</v>
      </c>
      <c r="W479" s="50"/>
      <c r="X479" s="50"/>
      <c r="Y479" s="50"/>
      <c r="Z479" s="312"/>
      <c r="AA479" s="50"/>
      <c r="AB479" s="50"/>
      <c r="AC479" s="50"/>
      <c r="AD479" s="50"/>
      <c r="AE479" s="50"/>
    </row>
    <row r="480">
      <c r="A480" s="307">
        <v>42655.45208333333</v>
      </c>
      <c r="B480" s="312" t="s">
        <v>808</v>
      </c>
      <c r="C480" s="303" t="s">
        <v>1177</v>
      </c>
      <c r="D480" s="303" t="s">
        <v>1178</v>
      </c>
      <c r="E480" s="315">
        <v>42165.0</v>
      </c>
      <c r="F480" s="312" t="s">
        <v>36</v>
      </c>
      <c r="G480" s="303" t="s">
        <v>1179</v>
      </c>
      <c r="H480" s="303" t="s">
        <v>1180</v>
      </c>
      <c r="I480" s="303" t="s">
        <v>1186</v>
      </c>
      <c r="J480" s="306">
        <v>0.8</v>
      </c>
      <c r="K480" s="50"/>
      <c r="L480" s="312"/>
      <c r="M480" s="312">
        <v>206.0</v>
      </c>
      <c r="N480" s="312"/>
      <c r="O480" s="312"/>
      <c r="P480" s="315">
        <v>42655.0</v>
      </c>
      <c r="Q480" s="312">
        <v>65739.0</v>
      </c>
      <c r="R480" s="312">
        <v>414.0</v>
      </c>
      <c r="S480" s="316"/>
      <c r="T480" s="317">
        <v>419.24</v>
      </c>
      <c r="U480" s="312" t="s">
        <v>1366</v>
      </c>
      <c r="V480" s="312" t="s">
        <v>1367</v>
      </c>
      <c r="W480" s="50"/>
      <c r="X480" s="50"/>
      <c r="Y480" s="50"/>
      <c r="Z480" s="312"/>
      <c r="AA480" s="50"/>
      <c r="AB480" s="50"/>
      <c r="AC480" s="50"/>
      <c r="AD480" s="50"/>
      <c r="AE480" s="50"/>
    </row>
    <row r="481">
      <c r="A481" s="307">
        <v>42661.45277777778</v>
      </c>
      <c r="B481" s="312" t="s">
        <v>808</v>
      </c>
      <c r="C481" s="303" t="s">
        <v>1177</v>
      </c>
      <c r="D481" s="303" t="s">
        <v>1178</v>
      </c>
      <c r="E481" s="315">
        <v>42165.0</v>
      </c>
      <c r="F481" s="312" t="s">
        <v>36</v>
      </c>
      <c r="G481" s="303" t="s">
        <v>1179</v>
      </c>
      <c r="H481" s="303" t="s">
        <v>1180</v>
      </c>
      <c r="I481" s="303" t="s">
        <v>1186</v>
      </c>
      <c r="J481" s="306">
        <v>0.8</v>
      </c>
      <c r="K481" s="50"/>
      <c r="L481" s="312"/>
      <c r="M481" s="312">
        <v>206.0</v>
      </c>
      <c r="N481" s="312"/>
      <c r="O481" s="312"/>
      <c r="P481" s="315">
        <v>42661.0</v>
      </c>
      <c r="Q481" s="312">
        <v>66604.0</v>
      </c>
      <c r="R481" s="312">
        <v>417.0</v>
      </c>
      <c r="S481" s="316"/>
      <c r="T481" s="317">
        <v>422.28</v>
      </c>
      <c r="U481" s="312" t="s">
        <v>1366</v>
      </c>
      <c r="V481" s="312" t="s">
        <v>1367</v>
      </c>
      <c r="W481" s="50"/>
      <c r="X481" s="50"/>
      <c r="Y481" s="50"/>
      <c r="Z481" s="312"/>
      <c r="AA481" s="50"/>
      <c r="AB481" s="50"/>
      <c r="AC481" s="50"/>
      <c r="AD481" s="50"/>
      <c r="AE481" s="50"/>
    </row>
    <row r="482">
      <c r="A482" s="307">
        <v>42668.45347222222</v>
      </c>
      <c r="B482" s="312" t="s">
        <v>808</v>
      </c>
      <c r="C482" s="303" t="s">
        <v>1177</v>
      </c>
      <c r="D482" s="303" t="s">
        <v>1178</v>
      </c>
      <c r="E482" s="315">
        <v>42165.0</v>
      </c>
      <c r="F482" s="312" t="s">
        <v>36</v>
      </c>
      <c r="G482" s="303" t="s">
        <v>1179</v>
      </c>
      <c r="H482" s="303" t="s">
        <v>1180</v>
      </c>
      <c r="I482" s="303" t="s">
        <v>1186</v>
      </c>
      <c r="J482" s="306">
        <v>0.8</v>
      </c>
      <c r="K482" s="50"/>
      <c r="L482" s="312"/>
      <c r="M482" s="312">
        <v>206.0</v>
      </c>
      <c r="N482" s="312"/>
      <c r="O482" s="312"/>
      <c r="P482" s="315">
        <v>42668.0</v>
      </c>
      <c r="Q482" s="312">
        <v>67245.0</v>
      </c>
      <c r="R482" s="312">
        <v>415.0</v>
      </c>
      <c r="S482" s="316"/>
      <c r="T482" s="317">
        <v>420.25</v>
      </c>
      <c r="U482" s="312" t="s">
        <v>1366</v>
      </c>
      <c r="V482" s="312" t="s">
        <v>1367</v>
      </c>
      <c r="W482" s="50"/>
      <c r="X482" s="50"/>
      <c r="Y482" s="50"/>
      <c r="Z482" s="312"/>
      <c r="AA482" s="50"/>
      <c r="AB482" s="50"/>
      <c r="AC482" s="50"/>
      <c r="AD482" s="50"/>
      <c r="AE482" s="50"/>
    </row>
    <row r="483">
      <c r="A483" s="307">
        <v>42670.45416666667</v>
      </c>
      <c r="B483" s="312" t="s">
        <v>808</v>
      </c>
      <c r="C483" s="303" t="s">
        <v>1177</v>
      </c>
      <c r="D483" s="303" t="s">
        <v>1178</v>
      </c>
      <c r="E483" s="315">
        <v>42165.0</v>
      </c>
      <c r="F483" s="312" t="s">
        <v>36</v>
      </c>
      <c r="G483" s="303" t="s">
        <v>1179</v>
      </c>
      <c r="H483" s="303" t="s">
        <v>1180</v>
      </c>
      <c r="I483" s="303" t="s">
        <v>1186</v>
      </c>
      <c r="J483" s="306">
        <v>0.8</v>
      </c>
      <c r="K483" s="50"/>
      <c r="L483" s="312"/>
      <c r="M483" s="312">
        <v>206.0</v>
      </c>
      <c r="N483" s="312"/>
      <c r="O483" s="312"/>
      <c r="P483" s="315">
        <v>42670.0</v>
      </c>
      <c r="Q483" s="312">
        <v>68687.0</v>
      </c>
      <c r="R483" s="312">
        <v>415.0</v>
      </c>
      <c r="S483" s="316"/>
      <c r="T483" s="317">
        <v>420.25</v>
      </c>
      <c r="U483" s="312" t="s">
        <v>1366</v>
      </c>
      <c r="V483" s="312" t="s">
        <v>1367</v>
      </c>
      <c r="W483" s="50"/>
      <c r="X483" s="50"/>
      <c r="Y483" s="50"/>
      <c r="Z483" s="312"/>
      <c r="AA483" s="50"/>
      <c r="AB483" s="50"/>
      <c r="AC483" s="50"/>
      <c r="AD483" s="50"/>
      <c r="AE483" s="50"/>
    </row>
    <row r="484">
      <c r="A484" s="307">
        <v>42692.48263888889</v>
      </c>
      <c r="B484" s="312" t="s">
        <v>808</v>
      </c>
      <c r="C484" s="303" t="s">
        <v>1177</v>
      </c>
      <c r="D484" s="303" t="s">
        <v>1178</v>
      </c>
      <c r="E484" s="315">
        <v>42165.0</v>
      </c>
      <c r="F484" s="312" t="s">
        <v>36</v>
      </c>
      <c r="G484" s="303" t="s">
        <v>1179</v>
      </c>
      <c r="H484" s="303" t="s">
        <v>1180</v>
      </c>
      <c r="I484" s="303" t="s">
        <v>1186</v>
      </c>
      <c r="J484" s="306">
        <v>0.8</v>
      </c>
      <c r="K484" s="50"/>
      <c r="L484" s="312"/>
      <c r="M484" s="312">
        <v>206.0</v>
      </c>
      <c r="N484" s="312"/>
      <c r="O484" s="312"/>
      <c r="P484" s="315">
        <v>42692.0</v>
      </c>
      <c r="Q484" s="312">
        <v>70532.0</v>
      </c>
      <c r="R484" s="312">
        <v>415.0</v>
      </c>
      <c r="S484" s="316"/>
      <c r="T484" s="317">
        <v>420.25</v>
      </c>
      <c r="U484" s="312" t="s">
        <v>1366</v>
      </c>
      <c r="V484" s="312" t="s">
        <v>1367</v>
      </c>
      <c r="W484" s="50"/>
      <c r="X484" s="50"/>
      <c r="Y484" s="50"/>
      <c r="Z484" s="312"/>
      <c r="AA484" s="50"/>
      <c r="AB484" s="50"/>
      <c r="AC484" s="50"/>
      <c r="AD484" s="50"/>
      <c r="AE484" s="50"/>
    </row>
    <row r="485">
      <c r="A485" s="307">
        <v>42702.48333333333</v>
      </c>
      <c r="B485" s="312" t="s">
        <v>808</v>
      </c>
      <c r="C485" s="303" t="s">
        <v>1177</v>
      </c>
      <c r="D485" s="303" t="s">
        <v>1178</v>
      </c>
      <c r="E485" s="315">
        <v>42165.0</v>
      </c>
      <c r="F485" s="312" t="s">
        <v>36</v>
      </c>
      <c r="G485" s="303" t="s">
        <v>1179</v>
      </c>
      <c r="H485" s="303" t="s">
        <v>1180</v>
      </c>
      <c r="I485" s="303" t="s">
        <v>1186</v>
      </c>
      <c r="J485" s="306">
        <v>0.8</v>
      </c>
      <c r="K485" s="50"/>
      <c r="L485" s="312"/>
      <c r="M485" s="312">
        <v>206.0</v>
      </c>
      <c r="N485" s="312"/>
      <c r="O485" s="312"/>
      <c r="P485" s="315">
        <v>42702.0</v>
      </c>
      <c r="Q485" s="312">
        <v>71619.0</v>
      </c>
      <c r="R485" s="312">
        <v>410.0</v>
      </c>
      <c r="S485" s="316"/>
      <c r="T485" s="317">
        <v>415.19</v>
      </c>
      <c r="U485" s="312" t="s">
        <v>1366</v>
      </c>
      <c r="V485" s="312" t="s">
        <v>1367</v>
      </c>
      <c r="W485" s="50"/>
      <c r="X485" s="50"/>
      <c r="Y485" s="50"/>
      <c r="Z485" s="312"/>
      <c r="AA485" s="50"/>
      <c r="AB485" s="50"/>
      <c r="AC485" s="50"/>
      <c r="AD485" s="50"/>
      <c r="AE485" s="50"/>
    </row>
    <row r="486">
      <c r="A486" s="307">
        <v>42716.48472222222</v>
      </c>
      <c r="B486" s="312" t="s">
        <v>808</v>
      </c>
      <c r="C486" s="303" t="s">
        <v>1177</v>
      </c>
      <c r="D486" s="303" t="s">
        <v>1178</v>
      </c>
      <c r="E486" s="315">
        <v>42165.0</v>
      </c>
      <c r="F486" s="312" t="s">
        <v>36</v>
      </c>
      <c r="G486" s="303" t="s">
        <v>1179</v>
      </c>
      <c r="H486" s="303" t="s">
        <v>1180</v>
      </c>
      <c r="I486" s="303" t="s">
        <v>1186</v>
      </c>
      <c r="J486" s="306">
        <v>0.8</v>
      </c>
      <c r="K486" s="50"/>
      <c r="L486" s="312"/>
      <c r="M486" s="312">
        <v>206.0</v>
      </c>
      <c r="N486" s="312"/>
      <c r="O486" s="312"/>
      <c r="P486" s="315">
        <v>42716.0</v>
      </c>
      <c r="Q486" s="312">
        <v>72843.0</v>
      </c>
      <c r="R486" s="312">
        <v>410.0</v>
      </c>
      <c r="S486" s="316"/>
      <c r="T486" s="317">
        <v>415.19</v>
      </c>
      <c r="U486" s="312" t="s">
        <v>1366</v>
      </c>
      <c r="V486" s="312" t="s">
        <v>1367</v>
      </c>
      <c r="W486" s="50"/>
      <c r="X486" s="50"/>
      <c r="Y486" s="50"/>
      <c r="Z486" s="312"/>
      <c r="AA486" s="50"/>
      <c r="AB486" s="50"/>
      <c r="AC486" s="50"/>
      <c r="AD486" s="50"/>
      <c r="AE486" s="50"/>
    </row>
    <row r="487">
      <c r="A487" s="307">
        <v>42718.48541666667</v>
      </c>
      <c r="B487" s="312" t="s">
        <v>808</v>
      </c>
      <c r="C487" s="303" t="s">
        <v>1177</v>
      </c>
      <c r="D487" s="303" t="s">
        <v>1178</v>
      </c>
      <c r="E487" s="315">
        <v>42165.0</v>
      </c>
      <c r="F487" s="312" t="s">
        <v>36</v>
      </c>
      <c r="G487" s="303" t="s">
        <v>1179</v>
      </c>
      <c r="H487" s="303" t="s">
        <v>1180</v>
      </c>
      <c r="I487" s="303" t="s">
        <v>1186</v>
      </c>
      <c r="J487" s="306">
        <v>0.8</v>
      </c>
      <c r="K487" s="50"/>
      <c r="L487" s="312"/>
      <c r="M487" s="312">
        <v>206.0</v>
      </c>
      <c r="N487" s="312"/>
      <c r="O487" s="312"/>
      <c r="P487" s="315">
        <v>42718.0</v>
      </c>
      <c r="Q487" s="312">
        <v>73770.0</v>
      </c>
      <c r="R487" s="312">
        <v>408.0</v>
      </c>
      <c r="S487" s="316"/>
      <c r="T487" s="317">
        <v>413.16</v>
      </c>
      <c r="U487" s="312" t="s">
        <v>1366</v>
      </c>
      <c r="V487" s="312" t="s">
        <v>1367</v>
      </c>
      <c r="W487" s="50"/>
      <c r="X487" s="50"/>
      <c r="Y487" s="50"/>
      <c r="Z487" s="312"/>
      <c r="AA487" s="50"/>
      <c r="AB487" s="50"/>
      <c r="AC487" s="50"/>
      <c r="AD487" s="50"/>
      <c r="AE487" s="50"/>
    </row>
    <row r="488">
      <c r="A488" s="307">
        <v>42731.48611111111</v>
      </c>
      <c r="B488" s="312" t="s">
        <v>808</v>
      </c>
      <c r="C488" s="303" t="s">
        <v>1177</v>
      </c>
      <c r="D488" s="303" t="s">
        <v>1178</v>
      </c>
      <c r="E488" s="315">
        <v>42165.0</v>
      </c>
      <c r="F488" s="312" t="s">
        <v>36</v>
      </c>
      <c r="G488" s="303" t="s">
        <v>1179</v>
      </c>
      <c r="H488" s="303" t="s">
        <v>1180</v>
      </c>
      <c r="I488" s="303" t="s">
        <v>1186</v>
      </c>
      <c r="J488" s="306">
        <v>0.8</v>
      </c>
      <c r="K488" s="50"/>
      <c r="L488" s="312"/>
      <c r="M488" s="312">
        <v>206.0</v>
      </c>
      <c r="N488" s="312"/>
      <c r="O488" s="312"/>
      <c r="P488" s="315">
        <v>42731.0</v>
      </c>
      <c r="Q488" s="312">
        <v>74611.0</v>
      </c>
      <c r="R488" s="312">
        <v>413.0</v>
      </c>
      <c r="S488" s="316"/>
      <c r="T488" s="317">
        <v>418.23</v>
      </c>
      <c r="U488" s="312" t="s">
        <v>1366</v>
      </c>
      <c r="V488" s="312" t="s">
        <v>1367</v>
      </c>
      <c r="W488" s="50"/>
      <c r="X488" s="50"/>
      <c r="Y488" s="50"/>
      <c r="Z488" s="312"/>
      <c r="AA488" s="50"/>
      <c r="AB488" s="50"/>
      <c r="AC488" s="50"/>
      <c r="AD488" s="50"/>
      <c r="AE488" s="50"/>
    </row>
    <row r="489">
      <c r="A489" s="307">
        <v>42731.486805555556</v>
      </c>
      <c r="B489" s="312" t="s">
        <v>808</v>
      </c>
      <c r="C489" s="303" t="s">
        <v>1177</v>
      </c>
      <c r="D489" s="303" t="s">
        <v>1178</v>
      </c>
      <c r="E489" s="315">
        <v>42165.0</v>
      </c>
      <c r="F489" s="312" t="s">
        <v>36</v>
      </c>
      <c r="G489" s="303" t="s">
        <v>1179</v>
      </c>
      <c r="H489" s="303" t="s">
        <v>1180</v>
      </c>
      <c r="I489" s="303" t="s">
        <v>1186</v>
      </c>
      <c r="J489" s="306">
        <v>0.8</v>
      </c>
      <c r="K489" s="50"/>
      <c r="L489" s="312"/>
      <c r="M489" s="312">
        <v>206.0</v>
      </c>
      <c r="N489" s="312"/>
      <c r="O489" s="312"/>
      <c r="P489" s="315">
        <v>42731.0</v>
      </c>
      <c r="Q489" s="312">
        <v>74973.0</v>
      </c>
      <c r="R489" s="312">
        <v>417.0</v>
      </c>
      <c r="S489" s="316"/>
      <c r="T489" s="317">
        <v>422.28</v>
      </c>
      <c r="U489" s="312" t="s">
        <v>1366</v>
      </c>
      <c r="V489" s="312" t="s">
        <v>1367</v>
      </c>
      <c r="W489" s="50"/>
      <c r="X489" s="50"/>
      <c r="Y489" s="50"/>
      <c r="Z489" s="312"/>
      <c r="AA489" s="50"/>
      <c r="AB489" s="50"/>
      <c r="AC489" s="50"/>
      <c r="AD489" s="50"/>
      <c r="AE489" s="50"/>
    </row>
    <row r="490">
      <c r="A490" s="307">
        <v>42872.5375</v>
      </c>
      <c r="B490" s="312" t="s">
        <v>870</v>
      </c>
      <c r="C490" s="303" t="s">
        <v>1177</v>
      </c>
      <c r="D490" s="303" t="s">
        <v>1178</v>
      </c>
      <c r="E490" s="315">
        <v>42297.0</v>
      </c>
      <c r="F490" s="312" t="s">
        <v>36</v>
      </c>
      <c r="G490" s="303" t="s">
        <v>1179</v>
      </c>
      <c r="H490" s="303" t="s">
        <v>1181</v>
      </c>
      <c r="I490" s="303" t="s">
        <v>1186</v>
      </c>
      <c r="J490" s="306">
        <v>0.7</v>
      </c>
      <c r="K490" s="50"/>
      <c r="L490" s="312"/>
      <c r="M490" s="312">
        <v>218.0</v>
      </c>
      <c r="N490" s="312"/>
      <c r="O490" s="312"/>
      <c r="P490" s="315">
        <v>42872.0</v>
      </c>
      <c r="Q490" s="312">
        <v>47834.0</v>
      </c>
      <c r="R490" s="312">
        <v>420.0</v>
      </c>
      <c r="S490" s="316"/>
      <c r="T490" s="317">
        <v>425.32</v>
      </c>
      <c r="U490" s="312" t="s">
        <v>1366</v>
      </c>
      <c r="V490" s="312" t="s">
        <v>1367</v>
      </c>
      <c r="W490" s="50"/>
      <c r="X490" s="50"/>
      <c r="Y490" s="50"/>
      <c r="Z490" s="312"/>
      <c r="AA490" s="312" t="s">
        <v>1373</v>
      </c>
      <c r="AB490" s="50"/>
      <c r="AC490" s="50"/>
      <c r="AD490" s="50"/>
      <c r="AE490" s="50"/>
    </row>
    <row r="491">
      <c r="A491" s="307">
        <v>43115.66527777778</v>
      </c>
      <c r="B491" s="312" t="s">
        <v>870</v>
      </c>
      <c r="C491" s="303" t="s">
        <v>1177</v>
      </c>
      <c r="D491" s="303" t="s">
        <v>1178</v>
      </c>
      <c r="E491" s="315">
        <v>42297.0</v>
      </c>
      <c r="F491" s="312" t="s">
        <v>36</v>
      </c>
      <c r="G491" s="303" t="s">
        <v>1179</v>
      </c>
      <c r="H491" s="303" t="s">
        <v>1181</v>
      </c>
      <c r="I491" s="303" t="s">
        <v>1186</v>
      </c>
      <c r="J491" s="306">
        <v>0.7</v>
      </c>
      <c r="K491" s="50"/>
      <c r="L491" s="312"/>
      <c r="M491" s="312">
        <v>218.0</v>
      </c>
      <c r="N491" s="312"/>
      <c r="O491" s="312"/>
      <c r="P491" s="315">
        <v>43115.0</v>
      </c>
      <c r="Q491" s="312">
        <v>64476.0</v>
      </c>
      <c r="R491" s="312">
        <v>422.0</v>
      </c>
      <c r="S491" s="316"/>
      <c r="T491" s="317">
        <v>427.34</v>
      </c>
      <c r="U491" s="312" t="s">
        <v>1366</v>
      </c>
      <c r="V491" s="312" t="s">
        <v>1367</v>
      </c>
      <c r="W491" s="50"/>
      <c r="X491" s="50"/>
      <c r="Y491" s="50"/>
      <c r="Z491" s="312"/>
      <c r="AA491" s="312" t="s">
        <v>1373</v>
      </c>
      <c r="AB491" s="50"/>
      <c r="AC491" s="50"/>
      <c r="AD491" s="50"/>
      <c r="AE491" s="50"/>
    </row>
    <row r="492">
      <c r="A492" s="307">
        <v>42160.743055555555</v>
      </c>
      <c r="B492" s="312" t="s">
        <v>894</v>
      </c>
      <c r="C492" s="312" t="s">
        <v>1184</v>
      </c>
      <c r="D492" s="303" t="s">
        <v>1185</v>
      </c>
      <c r="E492" s="315">
        <v>41332.0</v>
      </c>
      <c r="F492" s="312" t="s">
        <v>12</v>
      </c>
      <c r="G492" s="303" t="s">
        <v>1179</v>
      </c>
      <c r="H492" s="303" t="s">
        <v>1179</v>
      </c>
      <c r="I492" s="303" t="s">
        <v>1186</v>
      </c>
      <c r="J492" s="306">
        <v>0.8</v>
      </c>
      <c r="K492" s="50"/>
      <c r="L492" s="312"/>
      <c r="M492" s="312">
        <v>298.0</v>
      </c>
      <c r="N492" s="312"/>
      <c r="O492" s="312"/>
      <c r="P492" s="315">
        <v>42160.0</v>
      </c>
      <c r="Q492" s="312">
        <v>50300.0</v>
      </c>
      <c r="R492" s="312">
        <v>199.0</v>
      </c>
      <c r="S492" s="316"/>
      <c r="T492" s="317">
        <v>199.0</v>
      </c>
      <c r="U492" s="312" t="s">
        <v>1369</v>
      </c>
      <c r="V492" s="312" t="s">
        <v>1367</v>
      </c>
      <c r="W492" s="50"/>
      <c r="X492" s="50"/>
      <c r="Y492" s="50"/>
      <c r="Z492" s="312"/>
      <c r="AA492" s="50"/>
      <c r="AB492" s="50"/>
      <c r="AC492" s="50"/>
      <c r="AD492" s="50"/>
      <c r="AE492" s="50"/>
    </row>
    <row r="493">
      <c r="A493" s="307">
        <v>42160.74375</v>
      </c>
      <c r="B493" s="312" t="s">
        <v>895</v>
      </c>
      <c r="C493" s="312" t="s">
        <v>1184</v>
      </c>
      <c r="D493" s="303" t="s">
        <v>1185</v>
      </c>
      <c r="E493" s="315">
        <v>41726.0</v>
      </c>
      <c r="F493" s="312" t="s">
        <v>12</v>
      </c>
      <c r="G493" s="303" t="s">
        <v>1180</v>
      </c>
      <c r="H493" s="303" t="s">
        <v>1190</v>
      </c>
      <c r="I493" s="303" t="s">
        <v>1181</v>
      </c>
      <c r="J493" s="306">
        <v>0.9</v>
      </c>
      <c r="K493" s="50"/>
      <c r="L493" s="312"/>
      <c r="M493" s="312">
        <v>300.0</v>
      </c>
      <c r="N493" s="312"/>
      <c r="O493" s="312"/>
      <c r="P493" s="315">
        <v>42160.0</v>
      </c>
      <c r="Q493" s="312">
        <v>36800.0</v>
      </c>
      <c r="R493" s="312">
        <v>178.0</v>
      </c>
      <c r="S493" s="316"/>
      <c r="T493" s="317">
        <v>178.0</v>
      </c>
      <c r="U493" s="312" t="s">
        <v>1369</v>
      </c>
      <c r="V493" s="312" t="s">
        <v>1367</v>
      </c>
      <c r="W493" s="50"/>
      <c r="X493" s="50"/>
      <c r="Y493" s="50"/>
      <c r="Z493" s="312"/>
      <c r="AA493" s="50"/>
      <c r="AB493" s="50"/>
      <c r="AC493" s="50"/>
      <c r="AD493" s="50"/>
      <c r="AE493" s="50"/>
    </row>
    <row r="494">
      <c r="A494" s="307">
        <v>42353.24791666667</v>
      </c>
      <c r="B494" s="312" t="s">
        <v>1108</v>
      </c>
      <c r="C494" s="303" t="s">
        <v>1177</v>
      </c>
      <c r="D494" s="303" t="s">
        <v>1178</v>
      </c>
      <c r="E494" s="315">
        <v>41612.0</v>
      </c>
      <c r="F494" s="312" t="s">
        <v>30</v>
      </c>
      <c r="G494" s="303" t="s">
        <v>1179</v>
      </c>
      <c r="H494" s="303" t="s">
        <v>1179</v>
      </c>
      <c r="I494" s="303" t="s">
        <v>1181</v>
      </c>
      <c r="J494" s="306">
        <v>0.9</v>
      </c>
      <c r="K494" s="312">
        <v>395.0</v>
      </c>
      <c r="L494" s="312"/>
      <c r="M494" s="312">
        <v>222.0</v>
      </c>
      <c r="N494" s="312"/>
      <c r="O494" s="312"/>
      <c r="P494" s="315">
        <v>42353.0</v>
      </c>
      <c r="Q494" s="312">
        <v>89867.0</v>
      </c>
      <c r="R494" s="312">
        <v>374.0</v>
      </c>
      <c r="S494" s="316"/>
      <c r="T494" s="317">
        <v>374.0</v>
      </c>
      <c r="U494" s="312" t="s">
        <v>1369</v>
      </c>
      <c r="V494" s="312" t="s">
        <v>1367</v>
      </c>
      <c r="W494" s="50"/>
      <c r="X494" s="50"/>
      <c r="Y494" s="50"/>
      <c r="Z494" s="312"/>
      <c r="AA494" s="50"/>
      <c r="AB494" s="50"/>
      <c r="AC494" s="50"/>
      <c r="AD494" s="50"/>
      <c r="AE494" s="50"/>
    </row>
    <row r="495">
      <c r="A495" s="307">
        <v>42717.47361111111</v>
      </c>
      <c r="B495" s="312" t="s">
        <v>1108</v>
      </c>
      <c r="C495" s="303" t="s">
        <v>1177</v>
      </c>
      <c r="D495" s="303" t="s">
        <v>1178</v>
      </c>
      <c r="E495" s="315">
        <v>41579.0</v>
      </c>
      <c r="F495" s="312" t="s">
        <v>30</v>
      </c>
      <c r="G495" s="312"/>
      <c r="H495" s="312"/>
      <c r="I495" s="312"/>
      <c r="J495" s="306"/>
      <c r="K495" s="50"/>
      <c r="L495" s="312"/>
      <c r="M495" s="312">
        <v>212.0</v>
      </c>
      <c r="N495" s="312"/>
      <c r="O495" s="312"/>
      <c r="P495" s="315">
        <v>42717.0</v>
      </c>
      <c r="Q495" s="312">
        <v>128000.0</v>
      </c>
      <c r="R495" s="312">
        <v>371.0</v>
      </c>
      <c r="S495" s="316"/>
      <c r="T495" s="317">
        <v>371.0</v>
      </c>
      <c r="U495" s="312" t="s">
        <v>1369</v>
      </c>
      <c r="V495" s="312" t="s">
        <v>1367</v>
      </c>
      <c r="W495" s="50"/>
      <c r="X495" s="50"/>
      <c r="Y495" s="50"/>
      <c r="Z495" s="312"/>
      <c r="AA495" s="50"/>
      <c r="AB495" s="50"/>
      <c r="AC495" s="50"/>
      <c r="AD495" s="50"/>
      <c r="AE495" s="50"/>
    </row>
    <row r="496">
      <c r="A496" s="307">
        <v>43151.697916666664</v>
      </c>
      <c r="B496" s="312" t="s">
        <v>1213</v>
      </c>
      <c r="C496" s="303" t="s">
        <v>1177</v>
      </c>
      <c r="D496" s="303" t="s">
        <v>1178</v>
      </c>
      <c r="E496" s="315">
        <v>41971.0</v>
      </c>
      <c r="F496" s="312" t="s">
        <v>30</v>
      </c>
      <c r="G496" s="303" t="s">
        <v>1205</v>
      </c>
      <c r="H496" s="303" t="s">
        <v>1181</v>
      </c>
      <c r="I496" s="303" t="s">
        <v>1180</v>
      </c>
      <c r="J496" s="306">
        <v>0.5</v>
      </c>
      <c r="K496" s="50"/>
      <c r="L496" s="312"/>
      <c r="M496" s="312">
        <v>213.0</v>
      </c>
      <c r="N496" s="312"/>
      <c r="O496" s="312"/>
      <c r="P496" s="315">
        <v>43151.0</v>
      </c>
      <c r="Q496" s="312">
        <v>178000.0</v>
      </c>
      <c r="R496" s="312">
        <v>381.0</v>
      </c>
      <c r="S496" s="316"/>
      <c r="T496" s="317">
        <v>381.0</v>
      </c>
      <c r="U496" s="312" t="s">
        <v>1369</v>
      </c>
      <c r="V496" s="312" t="s">
        <v>1367</v>
      </c>
      <c r="W496" s="50"/>
      <c r="X496" s="50"/>
      <c r="Y496" s="50"/>
      <c r="Z496" s="312"/>
      <c r="AA496" s="50"/>
      <c r="AB496" s="50"/>
      <c r="AC496" s="50"/>
      <c r="AD496" s="50"/>
      <c r="AE496" s="50"/>
    </row>
    <row r="497">
      <c r="A497" s="307">
        <v>42393.277083333334</v>
      </c>
      <c r="B497" s="312" t="s">
        <v>752</v>
      </c>
      <c r="C497" s="303" t="s">
        <v>1177</v>
      </c>
      <c r="D497" s="303" t="s">
        <v>1178</v>
      </c>
      <c r="E497" s="310">
        <v>42130.0</v>
      </c>
      <c r="F497" s="312" t="s">
        <v>36</v>
      </c>
      <c r="G497" s="303" t="s">
        <v>1179</v>
      </c>
      <c r="H497" s="303" t="s">
        <v>1180</v>
      </c>
      <c r="I497" s="303" t="s">
        <v>1180</v>
      </c>
      <c r="J497" s="306">
        <v>0.8</v>
      </c>
      <c r="K497" s="50"/>
      <c r="L497" s="312"/>
      <c r="M497" s="312">
        <v>222.0</v>
      </c>
      <c r="N497" s="312"/>
      <c r="O497" s="312"/>
      <c r="P497" s="315">
        <v>42393.0</v>
      </c>
      <c r="Q497" s="312">
        <v>20000.0</v>
      </c>
      <c r="R497" s="312">
        <v>415.0</v>
      </c>
      <c r="S497" s="316"/>
      <c r="T497" s="317">
        <v>420.25</v>
      </c>
      <c r="U497" s="312" t="s">
        <v>1366</v>
      </c>
      <c r="V497" s="312" t="s">
        <v>1367</v>
      </c>
      <c r="W497" s="50"/>
      <c r="X497" s="50"/>
      <c r="Y497" s="50"/>
      <c r="Z497" s="312"/>
      <c r="AA497" s="50"/>
      <c r="AB497" s="50"/>
      <c r="AC497" s="50"/>
      <c r="AD497" s="50"/>
      <c r="AE497" s="50"/>
    </row>
    <row r="498">
      <c r="A498" s="307">
        <v>42232.16111111111</v>
      </c>
      <c r="B498" s="312" t="s">
        <v>127</v>
      </c>
      <c r="C498" s="303" t="s">
        <v>1177</v>
      </c>
      <c r="D498" s="303" t="s">
        <v>1178</v>
      </c>
      <c r="E498" s="315">
        <v>42231.0</v>
      </c>
      <c r="F498" s="312" t="s">
        <v>22</v>
      </c>
      <c r="G498" s="312"/>
      <c r="H498" s="312"/>
      <c r="I498" s="312"/>
      <c r="J498" s="306"/>
      <c r="K498" s="50"/>
      <c r="L498" s="312"/>
      <c r="M498" s="312">
        <v>208.0</v>
      </c>
      <c r="N498" s="312"/>
      <c r="O498" s="312"/>
      <c r="P498" s="315">
        <v>42232.0</v>
      </c>
      <c r="Q498" s="312">
        <v>130.0</v>
      </c>
      <c r="R498" s="312">
        <v>336.0</v>
      </c>
      <c r="S498" s="316"/>
      <c r="T498" s="317">
        <v>336.0</v>
      </c>
      <c r="U498" s="312" t="s">
        <v>1369</v>
      </c>
      <c r="V498" s="312" t="s">
        <v>1367</v>
      </c>
      <c r="W498" s="50"/>
      <c r="X498" s="50"/>
      <c r="Y498" s="50"/>
      <c r="Z498" s="312"/>
      <c r="AA498" s="50"/>
      <c r="AB498" s="50"/>
      <c r="AC498" s="50"/>
      <c r="AD498" s="50"/>
      <c r="AE498" s="50"/>
    </row>
    <row r="499">
      <c r="A499" s="307">
        <v>42797.509722222225</v>
      </c>
      <c r="B499" s="312" t="s">
        <v>799</v>
      </c>
      <c r="C499" s="303" t="s">
        <v>1177</v>
      </c>
      <c r="D499" s="303" t="s">
        <v>1178</v>
      </c>
      <c r="E499" s="315">
        <v>42628.0</v>
      </c>
      <c r="F499" s="312" t="s">
        <v>25</v>
      </c>
      <c r="G499" s="312"/>
      <c r="H499" s="312"/>
      <c r="I499" s="312"/>
      <c r="J499" s="306"/>
      <c r="K499" s="50"/>
      <c r="L499" s="312"/>
      <c r="M499" s="312">
        <v>198.0</v>
      </c>
      <c r="N499" s="312"/>
      <c r="O499" s="312"/>
      <c r="P499" s="315">
        <v>42797.0</v>
      </c>
      <c r="Q499" s="312">
        <v>28385.0</v>
      </c>
      <c r="R499" s="312">
        <v>373.0</v>
      </c>
      <c r="S499" s="316"/>
      <c r="T499" s="317">
        <v>377.72</v>
      </c>
      <c r="U499" s="312" t="s">
        <v>1366</v>
      </c>
      <c r="V499" s="312" t="s">
        <v>1367</v>
      </c>
      <c r="W499" s="50"/>
      <c r="X499" s="50"/>
      <c r="Y499" s="50"/>
      <c r="Z499" s="312"/>
      <c r="AA499" s="50"/>
      <c r="AB499" s="50"/>
      <c r="AC499" s="50"/>
      <c r="AD499" s="50"/>
      <c r="AE499" s="50"/>
    </row>
    <row r="500">
      <c r="A500" s="307">
        <v>42803.82083333333</v>
      </c>
      <c r="B500" s="312" t="s">
        <v>806</v>
      </c>
      <c r="C500" s="312" t="s">
        <v>1184</v>
      </c>
      <c r="D500" s="303" t="s">
        <v>1185</v>
      </c>
      <c r="E500" s="315">
        <v>42601.0</v>
      </c>
      <c r="F500" s="312" t="s">
        <v>47</v>
      </c>
      <c r="G500" s="303" t="s">
        <v>1181</v>
      </c>
      <c r="H500" s="303" t="s">
        <v>1186</v>
      </c>
      <c r="I500" s="303" t="s">
        <v>1187</v>
      </c>
      <c r="J500" s="306">
        <v>0.8</v>
      </c>
      <c r="K500" s="312">
        <v>271.0</v>
      </c>
      <c r="L500" s="312"/>
      <c r="M500" s="312">
        <v>281.0</v>
      </c>
      <c r="N500" s="312"/>
      <c r="O500" s="312"/>
      <c r="P500" s="315">
        <v>42803.0</v>
      </c>
      <c r="Q500" s="312">
        <v>10877.0</v>
      </c>
      <c r="R500" s="312">
        <v>267.0</v>
      </c>
      <c r="S500" s="316"/>
      <c r="T500" s="317">
        <v>270.38</v>
      </c>
      <c r="U500" s="312" t="s">
        <v>1366</v>
      </c>
      <c r="V500" s="312" t="s">
        <v>1367</v>
      </c>
      <c r="W500" s="50"/>
      <c r="X500" s="50"/>
      <c r="Y500" s="50"/>
      <c r="Z500" s="312"/>
      <c r="AA500" s="50"/>
      <c r="AB500" s="50"/>
      <c r="AC500" s="50"/>
      <c r="AD500" s="50"/>
      <c r="AE500" s="50"/>
    </row>
    <row r="501">
      <c r="A501" s="307">
        <v>43182.88055555556</v>
      </c>
      <c r="B501" s="312" t="s">
        <v>806</v>
      </c>
      <c r="C501" s="312" t="s">
        <v>1184</v>
      </c>
      <c r="D501" s="303" t="s">
        <v>1185</v>
      </c>
      <c r="E501" s="315">
        <v>42601.0</v>
      </c>
      <c r="F501" s="312" t="s">
        <v>47</v>
      </c>
      <c r="G501" s="303" t="s">
        <v>1181</v>
      </c>
      <c r="H501" s="303" t="s">
        <v>1181</v>
      </c>
      <c r="I501" s="303" t="s">
        <v>1186</v>
      </c>
      <c r="J501" s="306">
        <v>0.7</v>
      </c>
      <c r="K501" s="312">
        <v>271.0</v>
      </c>
      <c r="L501" s="312"/>
      <c r="M501" s="312">
        <v>284.0</v>
      </c>
      <c r="N501" s="312"/>
      <c r="O501" s="312"/>
      <c r="P501" s="315">
        <v>43182.0</v>
      </c>
      <c r="Q501" s="312">
        <v>26434.0</v>
      </c>
      <c r="R501" s="312">
        <v>253.0</v>
      </c>
      <c r="S501" s="316"/>
      <c r="T501" s="317">
        <v>256.2</v>
      </c>
      <c r="U501" s="312" t="s">
        <v>1366</v>
      </c>
      <c r="V501" s="312" t="s">
        <v>1367</v>
      </c>
      <c r="W501" s="50"/>
      <c r="X501" s="50"/>
      <c r="Y501" s="50"/>
      <c r="Z501" s="312"/>
      <c r="AA501" s="50"/>
      <c r="AB501" s="50"/>
      <c r="AC501" s="50"/>
      <c r="AD501" s="50"/>
      <c r="AE501" s="50"/>
    </row>
    <row r="502">
      <c r="A502" s="307">
        <v>42427.29652777778</v>
      </c>
      <c r="B502" s="312" t="s">
        <v>793</v>
      </c>
      <c r="C502" s="303" t="s">
        <v>1177</v>
      </c>
      <c r="D502" s="303" t="s">
        <v>1178</v>
      </c>
      <c r="E502" s="315">
        <v>41804.0</v>
      </c>
      <c r="F502" s="312" t="s">
        <v>30</v>
      </c>
      <c r="G502" s="303" t="s">
        <v>1181</v>
      </c>
      <c r="H502" s="303" t="s">
        <v>1180</v>
      </c>
      <c r="I502" s="303" t="s">
        <v>1187</v>
      </c>
      <c r="J502" s="306">
        <v>0.8</v>
      </c>
      <c r="K502" s="50"/>
      <c r="L502" s="312"/>
      <c r="M502" s="312">
        <v>227.0</v>
      </c>
      <c r="N502" s="312"/>
      <c r="O502" s="312"/>
      <c r="P502" s="315">
        <v>42427.0</v>
      </c>
      <c r="Q502" s="312">
        <v>37000.0</v>
      </c>
      <c r="R502" s="312">
        <v>377.0</v>
      </c>
      <c r="S502" s="316"/>
      <c r="T502" s="317">
        <v>381.77</v>
      </c>
      <c r="U502" s="312" t="s">
        <v>1366</v>
      </c>
      <c r="V502" s="312" t="s">
        <v>1367</v>
      </c>
      <c r="W502" s="50"/>
      <c r="X502" s="50"/>
      <c r="Y502" s="50"/>
      <c r="Z502" s="312"/>
      <c r="AA502" s="50"/>
      <c r="AB502" s="50"/>
      <c r="AC502" s="50"/>
      <c r="AD502" s="50"/>
      <c r="AE502" s="50"/>
    </row>
    <row r="503">
      <c r="A503" s="307">
        <v>42694.89236111111</v>
      </c>
      <c r="B503" s="312" t="s">
        <v>1089</v>
      </c>
      <c r="C503" s="312" t="s">
        <v>1292</v>
      </c>
      <c r="D503" s="303" t="s">
        <v>1185</v>
      </c>
      <c r="E503" s="315">
        <v>42138.0</v>
      </c>
      <c r="F503" s="312" t="s">
        <v>30</v>
      </c>
      <c r="G503" s="303" t="s">
        <v>1190</v>
      </c>
      <c r="H503" s="303" t="s">
        <v>1186</v>
      </c>
      <c r="I503" s="303" t="s">
        <v>1187</v>
      </c>
      <c r="J503" s="306">
        <v>0.7</v>
      </c>
      <c r="K503" s="50"/>
      <c r="L503" s="312"/>
      <c r="M503" s="312">
        <v>379.0</v>
      </c>
      <c r="N503" s="312"/>
      <c r="O503" s="312"/>
      <c r="P503" s="315">
        <v>42694.0</v>
      </c>
      <c r="Q503" s="312">
        <v>45959.0</v>
      </c>
      <c r="R503" s="312">
        <v>231.0</v>
      </c>
      <c r="S503" s="316"/>
      <c r="T503" s="317">
        <v>233.92</v>
      </c>
      <c r="U503" s="312" t="s">
        <v>1366</v>
      </c>
      <c r="V503" s="312" t="s">
        <v>1367</v>
      </c>
      <c r="W503" s="50"/>
      <c r="X503" s="50"/>
      <c r="Y503" s="50"/>
      <c r="Z503" s="312"/>
      <c r="AA503" s="50"/>
      <c r="AB503" s="50"/>
      <c r="AC503" s="50"/>
      <c r="AD503" s="50"/>
      <c r="AE503" s="50"/>
    </row>
    <row r="504">
      <c r="A504" s="307">
        <v>42278.205555555556</v>
      </c>
      <c r="B504" s="312" t="s">
        <v>1021</v>
      </c>
      <c r="C504" s="303" t="s">
        <v>1177</v>
      </c>
      <c r="D504" s="303" t="s">
        <v>1178</v>
      </c>
      <c r="E504" s="315">
        <v>41708.0</v>
      </c>
      <c r="F504" s="312" t="s">
        <v>30</v>
      </c>
      <c r="G504" s="303" t="s">
        <v>1179</v>
      </c>
      <c r="H504" s="303" t="s">
        <v>1186</v>
      </c>
      <c r="I504" s="303" t="s">
        <v>1187</v>
      </c>
      <c r="J504" s="306">
        <v>0.9</v>
      </c>
      <c r="K504" s="312">
        <v>404.0</v>
      </c>
      <c r="L504" s="312"/>
      <c r="M504" s="312">
        <v>225.0</v>
      </c>
      <c r="N504" s="312"/>
      <c r="O504" s="312"/>
      <c r="P504" s="315">
        <v>42278.0</v>
      </c>
      <c r="Q504" s="312">
        <v>43800.0</v>
      </c>
      <c r="R504" s="312">
        <v>379.0</v>
      </c>
      <c r="S504" s="316"/>
      <c r="T504" s="317">
        <v>383.8</v>
      </c>
      <c r="U504" s="312" t="s">
        <v>1366</v>
      </c>
      <c r="V504" s="312" t="s">
        <v>1367</v>
      </c>
      <c r="W504" s="50"/>
      <c r="X504" s="50"/>
      <c r="Y504" s="50"/>
      <c r="Z504" s="312"/>
      <c r="AA504" s="312" t="s">
        <v>1500</v>
      </c>
      <c r="AB504" s="50"/>
      <c r="AC504" s="50"/>
      <c r="AD504" s="50"/>
      <c r="AE504" s="50"/>
    </row>
    <row r="505">
      <c r="A505" s="307">
        <v>43117.66736111111</v>
      </c>
      <c r="B505" s="312" t="s">
        <v>1501</v>
      </c>
      <c r="C505" s="303" t="s">
        <v>1177</v>
      </c>
      <c r="D505" s="303" t="s">
        <v>1178</v>
      </c>
      <c r="E505" s="315">
        <v>42697.0</v>
      </c>
      <c r="F505" s="312" t="s">
        <v>43</v>
      </c>
      <c r="G505" s="303" t="s">
        <v>1179</v>
      </c>
      <c r="H505" s="303" t="s">
        <v>1186</v>
      </c>
      <c r="I505" s="303" t="s">
        <v>1181</v>
      </c>
      <c r="J505" s="306"/>
      <c r="K505" s="312">
        <v>463.0</v>
      </c>
      <c r="L505" s="312"/>
      <c r="M505" s="312">
        <v>225.0</v>
      </c>
      <c r="N505" s="312"/>
      <c r="O505" s="312"/>
      <c r="P505" s="315">
        <v>43117.0</v>
      </c>
      <c r="Q505" s="312">
        <v>34000.0</v>
      </c>
      <c r="R505" s="312">
        <v>432.0</v>
      </c>
      <c r="S505" s="316"/>
      <c r="T505" s="317">
        <v>432.0</v>
      </c>
      <c r="U505" s="312" t="s">
        <v>1369</v>
      </c>
      <c r="V505" s="312" t="s">
        <v>1367</v>
      </c>
      <c r="W505" s="50"/>
      <c r="X505" s="50"/>
      <c r="Y505" s="50"/>
      <c r="Z505" s="312"/>
      <c r="AA505" s="312" t="s">
        <v>1502</v>
      </c>
      <c r="AB505" s="50"/>
      <c r="AC505" s="50"/>
      <c r="AD505" s="50"/>
      <c r="AE505" s="50"/>
    </row>
    <row r="506">
      <c r="A506" s="307">
        <v>43205.725694444445</v>
      </c>
      <c r="B506" s="312" t="s">
        <v>1503</v>
      </c>
      <c r="C506" s="303" t="s">
        <v>1177</v>
      </c>
      <c r="D506" s="303" t="s">
        <v>1178</v>
      </c>
      <c r="E506" s="315">
        <v>41727.0</v>
      </c>
      <c r="F506" s="312" t="s">
        <v>30</v>
      </c>
      <c r="G506" s="303" t="s">
        <v>1181</v>
      </c>
      <c r="H506" s="303" t="s">
        <v>1181</v>
      </c>
      <c r="I506" s="303" t="s">
        <v>1187</v>
      </c>
      <c r="J506" s="306">
        <v>0.9</v>
      </c>
      <c r="K506" s="312">
        <v>394.0</v>
      </c>
      <c r="L506" s="312"/>
      <c r="M506" s="312">
        <v>211.0</v>
      </c>
      <c r="N506" s="312"/>
      <c r="O506" s="312"/>
      <c r="P506" s="315">
        <v>43205.0</v>
      </c>
      <c r="Q506" s="312">
        <v>110150.0</v>
      </c>
      <c r="R506" s="312">
        <v>362.0</v>
      </c>
      <c r="S506" s="316"/>
      <c r="T506" s="317">
        <v>366.58</v>
      </c>
      <c r="U506" s="312" t="s">
        <v>1366</v>
      </c>
      <c r="V506" s="312" t="s">
        <v>1367</v>
      </c>
      <c r="W506" s="50"/>
      <c r="X506" s="50"/>
      <c r="Y506" s="50"/>
      <c r="Z506" s="312"/>
      <c r="AA506" s="50"/>
      <c r="AB506" s="50"/>
      <c r="AC506" s="50"/>
      <c r="AD506" s="50"/>
      <c r="AE506" s="50"/>
    </row>
    <row r="507">
      <c r="A507" s="307">
        <v>41908.01944444444</v>
      </c>
      <c r="B507" s="50" t="s">
        <v>1016</v>
      </c>
      <c r="C507" s="303" t="s">
        <v>1177</v>
      </c>
      <c r="D507" s="303" t="s">
        <v>1178</v>
      </c>
      <c r="E507" s="310">
        <v>41612.0</v>
      </c>
      <c r="F507" s="312" t="s">
        <v>1370</v>
      </c>
      <c r="G507" s="303" t="s">
        <v>1180</v>
      </c>
      <c r="H507" s="303" t="s">
        <v>1180</v>
      </c>
      <c r="I507" s="303" t="s">
        <v>1181</v>
      </c>
      <c r="J507" s="306"/>
      <c r="K507" s="50"/>
      <c r="L507" s="50"/>
      <c r="M507" s="50">
        <v>207.0</v>
      </c>
      <c r="N507" s="50"/>
      <c r="O507" s="312"/>
      <c r="P507" s="310">
        <v>41908.0</v>
      </c>
      <c r="Q507" s="50">
        <v>24000.0</v>
      </c>
      <c r="R507" s="50">
        <v>382.0</v>
      </c>
      <c r="S507" s="318"/>
      <c r="T507" s="317">
        <v>385.86</v>
      </c>
      <c r="U507" s="312" t="s">
        <v>1407</v>
      </c>
      <c r="V507" s="312" t="s">
        <v>1367</v>
      </c>
      <c r="W507" s="50"/>
      <c r="X507" s="50"/>
      <c r="Y507" s="50"/>
      <c r="Z507" s="312"/>
      <c r="AA507" s="50"/>
      <c r="AB507" s="50"/>
      <c r="AC507" s="50"/>
      <c r="AD507" s="50"/>
      <c r="AE507" s="50"/>
    </row>
    <row r="508">
      <c r="A508" s="307">
        <v>41900.00208333333</v>
      </c>
      <c r="B508" s="50" t="s">
        <v>746</v>
      </c>
      <c r="C508" s="303" t="s">
        <v>1177</v>
      </c>
      <c r="D508" s="303" t="s">
        <v>1178</v>
      </c>
      <c r="E508" s="310">
        <v>41727.0</v>
      </c>
      <c r="F508" s="312" t="s">
        <v>30</v>
      </c>
      <c r="G508" s="303" t="s">
        <v>1203</v>
      </c>
      <c r="H508" s="303" t="s">
        <v>1179</v>
      </c>
      <c r="I508" s="303" t="s">
        <v>1187</v>
      </c>
      <c r="J508" s="306"/>
      <c r="K508" s="50"/>
      <c r="L508" s="50"/>
      <c r="M508" s="312">
        <v>218.0</v>
      </c>
      <c r="N508" s="50"/>
      <c r="O508" s="312"/>
      <c r="P508" s="310">
        <v>41900.0</v>
      </c>
      <c r="Q508" s="50">
        <v>32000.0</v>
      </c>
      <c r="R508" s="50">
        <v>392.0</v>
      </c>
      <c r="S508" s="318"/>
      <c r="T508" s="317">
        <v>392.0</v>
      </c>
      <c r="U508" s="312" t="s">
        <v>1369</v>
      </c>
      <c r="V508" s="312" t="s">
        <v>1367</v>
      </c>
      <c r="W508" s="50"/>
      <c r="X508" s="50"/>
      <c r="Y508" s="50"/>
      <c r="Z508" s="312"/>
      <c r="AA508" s="312"/>
      <c r="AB508" s="50"/>
      <c r="AC508" s="50"/>
      <c r="AD508" s="50"/>
      <c r="AE508" s="50"/>
    </row>
    <row r="509">
      <c r="A509" s="307">
        <v>42023.05972222222</v>
      </c>
      <c r="B509" s="50" t="s">
        <v>746</v>
      </c>
      <c r="C509" s="303" t="s">
        <v>1177</v>
      </c>
      <c r="D509" s="303" t="s">
        <v>1178</v>
      </c>
      <c r="E509" s="310">
        <v>41727.0</v>
      </c>
      <c r="F509" s="312" t="s">
        <v>30</v>
      </c>
      <c r="G509" s="303" t="s">
        <v>1190</v>
      </c>
      <c r="H509" s="303" t="s">
        <v>1187</v>
      </c>
      <c r="I509" s="303" t="s">
        <v>1187</v>
      </c>
      <c r="J509" s="306"/>
      <c r="K509" s="50"/>
      <c r="L509" s="50"/>
      <c r="M509" s="312">
        <v>218.0</v>
      </c>
      <c r="N509" s="50"/>
      <c r="O509" s="312"/>
      <c r="P509" s="310">
        <v>42023.0</v>
      </c>
      <c r="Q509" s="50">
        <v>40670.0</v>
      </c>
      <c r="R509" s="50">
        <v>385.0</v>
      </c>
      <c r="S509" s="318"/>
      <c r="T509" s="317">
        <v>385.0</v>
      </c>
      <c r="U509" s="312" t="s">
        <v>1369</v>
      </c>
      <c r="V509" s="312" t="s">
        <v>1367</v>
      </c>
      <c r="W509" s="50"/>
      <c r="X509" s="50"/>
      <c r="Y509" s="50"/>
      <c r="Z509" s="312"/>
      <c r="AA509" s="50"/>
      <c r="AB509" s="50"/>
      <c r="AC509" s="50"/>
      <c r="AD509" s="50"/>
      <c r="AE509" s="50"/>
    </row>
    <row r="510">
      <c r="A510" s="307">
        <v>42065.07986111111</v>
      </c>
      <c r="B510" s="50" t="s">
        <v>746</v>
      </c>
      <c r="C510" s="303" t="s">
        <v>1177</v>
      </c>
      <c r="D510" s="303" t="s">
        <v>1178</v>
      </c>
      <c r="E510" s="310">
        <v>41727.0</v>
      </c>
      <c r="F510" s="312" t="s">
        <v>30</v>
      </c>
      <c r="G510" s="303" t="s">
        <v>1190</v>
      </c>
      <c r="H510" s="303" t="s">
        <v>1179</v>
      </c>
      <c r="I510" s="303" t="s">
        <v>1187</v>
      </c>
      <c r="J510" s="306"/>
      <c r="K510" s="50"/>
      <c r="L510" s="50"/>
      <c r="M510" s="312">
        <v>218.0</v>
      </c>
      <c r="N510" s="50"/>
      <c r="O510" s="312"/>
      <c r="P510" s="310">
        <v>42065.0</v>
      </c>
      <c r="Q510" s="50">
        <v>45650.0</v>
      </c>
      <c r="R510" s="50">
        <v>385.0</v>
      </c>
      <c r="S510" s="318"/>
      <c r="T510" s="317">
        <v>385.0</v>
      </c>
      <c r="U510" s="312" t="s">
        <v>1369</v>
      </c>
      <c r="V510" s="312" t="s">
        <v>1367</v>
      </c>
      <c r="W510" s="50"/>
      <c r="X510" s="50"/>
      <c r="Y510" s="50"/>
      <c r="Z510" s="312"/>
      <c r="AA510" s="50"/>
      <c r="AB510" s="50"/>
      <c r="AC510" s="50"/>
      <c r="AD510" s="50"/>
      <c r="AE510" s="50"/>
    </row>
    <row r="511">
      <c r="A511" s="307">
        <v>42019.05069444444</v>
      </c>
      <c r="B511" s="50" t="s">
        <v>726</v>
      </c>
      <c r="C511" s="303" t="s">
        <v>1177</v>
      </c>
      <c r="D511" s="303" t="s">
        <v>1178</v>
      </c>
      <c r="E511" s="310">
        <v>41986.0</v>
      </c>
      <c r="F511" s="312" t="s">
        <v>30</v>
      </c>
      <c r="G511" s="303" t="s">
        <v>1187</v>
      </c>
      <c r="H511" s="303" t="s">
        <v>1180</v>
      </c>
      <c r="I511" s="303" t="s">
        <v>1187</v>
      </c>
      <c r="J511" s="306"/>
      <c r="K511" s="50"/>
      <c r="L511" s="50"/>
      <c r="M511" s="50">
        <v>253.0</v>
      </c>
      <c r="N511" s="50"/>
      <c r="O511" s="312"/>
      <c r="P511" s="310">
        <v>42019.0</v>
      </c>
      <c r="Q511" s="50">
        <v>2650.0</v>
      </c>
      <c r="R511" s="50">
        <v>393.0</v>
      </c>
      <c r="S511" s="318"/>
      <c r="T511" s="317">
        <v>397.97</v>
      </c>
      <c r="U511" s="312" t="s">
        <v>1366</v>
      </c>
      <c r="V511" s="312" t="s">
        <v>1367</v>
      </c>
      <c r="W511" s="50"/>
      <c r="X511" s="50"/>
      <c r="Y511" s="50"/>
      <c r="Z511" s="312"/>
      <c r="AA511" s="50" t="s">
        <v>1373</v>
      </c>
      <c r="AB511" s="50"/>
      <c r="AC511" s="50"/>
      <c r="AD511" s="50"/>
      <c r="AE511" s="50"/>
    </row>
    <row r="512">
      <c r="A512" s="307">
        <v>42298.21666666667</v>
      </c>
      <c r="B512" s="312" t="s">
        <v>1054</v>
      </c>
      <c r="C512" s="303" t="s">
        <v>1177</v>
      </c>
      <c r="D512" s="303" t="s">
        <v>1178</v>
      </c>
      <c r="E512" s="310">
        <v>41986.0</v>
      </c>
      <c r="F512" s="312" t="s">
        <v>30</v>
      </c>
      <c r="G512" s="303" t="s">
        <v>1181</v>
      </c>
      <c r="H512" s="303" t="s">
        <v>1181</v>
      </c>
      <c r="I512" s="303" t="s">
        <v>1187</v>
      </c>
      <c r="J512" s="306">
        <v>0.9</v>
      </c>
      <c r="K512" s="50"/>
      <c r="L512" s="312"/>
      <c r="M512" s="312">
        <v>228.0</v>
      </c>
      <c r="N512" s="312"/>
      <c r="O512" s="312"/>
      <c r="P512" s="315">
        <v>42298.0</v>
      </c>
      <c r="Q512" s="312">
        <v>19308.0</v>
      </c>
      <c r="R512" s="312">
        <v>380.0</v>
      </c>
      <c r="S512" s="316"/>
      <c r="T512" s="317">
        <v>384.81</v>
      </c>
      <c r="U512" s="312" t="s">
        <v>1366</v>
      </c>
      <c r="V512" s="312" t="s">
        <v>1367</v>
      </c>
      <c r="W512" s="50"/>
      <c r="X512" s="312"/>
      <c r="Y512" s="50"/>
      <c r="Z512" s="312"/>
      <c r="AA512" s="312" t="s">
        <v>1387</v>
      </c>
      <c r="AB512" s="50"/>
      <c r="AC512" s="50"/>
      <c r="AD512" s="50"/>
      <c r="AE512" s="50"/>
    </row>
    <row r="513">
      <c r="A513" s="307">
        <v>42864.82986111111</v>
      </c>
      <c r="B513" s="312" t="s">
        <v>864</v>
      </c>
      <c r="C513" s="312" t="s">
        <v>1184</v>
      </c>
      <c r="D513" s="303" t="s">
        <v>1185</v>
      </c>
      <c r="E513" s="315">
        <v>42633.0</v>
      </c>
      <c r="F513" s="312" t="s">
        <v>43</v>
      </c>
      <c r="G513" s="303" t="s">
        <v>1179</v>
      </c>
      <c r="H513" s="303" t="s">
        <v>1203</v>
      </c>
      <c r="I513" s="303" t="s">
        <v>1187</v>
      </c>
      <c r="J513" s="306"/>
      <c r="K513" s="50"/>
      <c r="L513" s="312"/>
      <c r="M513" s="50"/>
      <c r="N513" s="312"/>
      <c r="O513" s="312"/>
      <c r="P513" s="315">
        <v>42864.0</v>
      </c>
      <c r="Q513" s="312">
        <v>8444.0</v>
      </c>
      <c r="R513" s="312">
        <v>260.0</v>
      </c>
      <c r="S513" s="316"/>
      <c r="T513" s="317">
        <v>263.29</v>
      </c>
      <c r="U513" s="312" t="s">
        <v>1366</v>
      </c>
      <c r="V513" s="312" t="s">
        <v>1367</v>
      </c>
      <c r="W513" s="50"/>
      <c r="X513" s="50"/>
      <c r="Y513" s="50"/>
      <c r="Z513" s="312"/>
      <c r="AA513" s="50"/>
      <c r="AB513" s="50"/>
      <c r="AC513" s="50"/>
      <c r="AD513" s="50"/>
      <c r="AE513" s="50"/>
    </row>
    <row r="514">
      <c r="A514" s="307">
        <v>42983.6</v>
      </c>
      <c r="B514" s="312" t="s">
        <v>986</v>
      </c>
      <c r="C514" s="303" t="s">
        <v>1177</v>
      </c>
      <c r="D514" s="303" t="s">
        <v>1178</v>
      </c>
      <c r="E514" s="315">
        <v>42864.0</v>
      </c>
      <c r="F514" s="312" t="s">
        <v>43</v>
      </c>
      <c r="G514" s="303" t="s">
        <v>1181</v>
      </c>
      <c r="H514" s="303" t="s">
        <v>1180</v>
      </c>
      <c r="I514" s="303" t="s">
        <v>1181</v>
      </c>
      <c r="J514" s="306">
        <v>0.8</v>
      </c>
      <c r="K514" s="50"/>
      <c r="L514" s="312"/>
      <c r="M514" s="312">
        <v>191.0</v>
      </c>
      <c r="N514" s="312"/>
      <c r="O514" s="312"/>
      <c r="P514" s="315">
        <v>42983.0</v>
      </c>
      <c r="Q514" s="312">
        <v>9911.0</v>
      </c>
      <c r="R514" s="312">
        <v>460.0</v>
      </c>
      <c r="S514" s="316"/>
      <c r="T514" s="317">
        <v>460.0</v>
      </c>
      <c r="U514" s="312" t="s">
        <v>1369</v>
      </c>
      <c r="V514" s="312" t="s">
        <v>1367</v>
      </c>
      <c r="W514" s="50"/>
      <c r="X514" s="50"/>
      <c r="Y514" s="50"/>
      <c r="Z514" s="312"/>
      <c r="AA514" s="50"/>
      <c r="AB514" s="50"/>
      <c r="AC514" s="50"/>
      <c r="AD514" s="50"/>
      <c r="AE514" s="50"/>
    </row>
    <row r="515">
      <c r="A515" s="307">
        <v>42678.433333333334</v>
      </c>
      <c r="B515" s="312" t="s">
        <v>1070</v>
      </c>
      <c r="C515" s="303" t="s">
        <v>1177</v>
      </c>
      <c r="D515" s="303" t="s">
        <v>1178</v>
      </c>
      <c r="E515" s="315">
        <v>41457.0</v>
      </c>
      <c r="F515" s="312" t="s">
        <v>30</v>
      </c>
      <c r="G515" s="303" t="s">
        <v>1180</v>
      </c>
      <c r="H515" s="303" t="s">
        <v>1180</v>
      </c>
      <c r="I515" s="303" t="s">
        <v>1181</v>
      </c>
      <c r="J515" s="306">
        <v>0.9</v>
      </c>
      <c r="K515" s="312">
        <v>383.0</v>
      </c>
      <c r="L515" s="312"/>
      <c r="M515" s="312">
        <v>205.0</v>
      </c>
      <c r="N515" s="312"/>
      <c r="O515" s="312"/>
      <c r="P515" s="315">
        <v>42678.0</v>
      </c>
      <c r="Q515" s="312">
        <v>102000.0</v>
      </c>
      <c r="R515" s="312">
        <v>376.0</v>
      </c>
      <c r="S515" s="316"/>
      <c r="T515" s="317">
        <v>380.76</v>
      </c>
      <c r="U515" s="312" t="s">
        <v>1366</v>
      </c>
      <c r="V515" s="312" t="s">
        <v>1367</v>
      </c>
      <c r="W515" s="50"/>
      <c r="X515" s="50"/>
      <c r="Y515" s="50"/>
      <c r="Z515" s="312"/>
      <c r="AA515" s="50"/>
      <c r="AB515" s="50"/>
      <c r="AC515" s="50"/>
      <c r="AD515" s="50"/>
      <c r="AE515" s="50"/>
    </row>
    <row r="516">
      <c r="A516" s="307">
        <v>43310.73402777778</v>
      </c>
      <c r="B516" s="312" t="s">
        <v>1504</v>
      </c>
      <c r="C516" s="303" t="s">
        <v>1177</v>
      </c>
      <c r="D516" s="303" t="s">
        <v>1178</v>
      </c>
      <c r="E516" s="315">
        <v>42214.0</v>
      </c>
      <c r="F516" s="312" t="s">
        <v>22</v>
      </c>
      <c r="G516" s="303" t="s">
        <v>1203</v>
      </c>
      <c r="H516" s="303" t="s">
        <v>1190</v>
      </c>
      <c r="I516" s="303" t="s">
        <v>1186</v>
      </c>
      <c r="J516" s="306">
        <v>0.9</v>
      </c>
      <c r="K516" s="312">
        <v>365.0</v>
      </c>
      <c r="L516" s="312"/>
      <c r="M516" s="312">
        <v>207.0</v>
      </c>
      <c r="N516" s="312"/>
      <c r="O516" s="312"/>
      <c r="P516" s="315">
        <v>43310.0</v>
      </c>
      <c r="Q516" s="312">
        <v>124898.0</v>
      </c>
      <c r="R516" s="312">
        <v>338.0</v>
      </c>
      <c r="S516" s="316"/>
      <c r="T516" s="317">
        <v>338.0</v>
      </c>
      <c r="U516" s="312" t="s">
        <v>1369</v>
      </c>
      <c r="V516" s="312" t="s">
        <v>1367</v>
      </c>
      <c r="W516" s="50"/>
      <c r="X516" s="50"/>
      <c r="Y516" s="50"/>
      <c r="Z516" s="312"/>
      <c r="AA516" s="50"/>
      <c r="AB516" s="50"/>
      <c r="AC516" s="50"/>
      <c r="AD516" s="50"/>
      <c r="AE516" s="50"/>
    </row>
    <row r="517">
      <c r="A517" s="307">
        <v>43143.69861111111</v>
      </c>
      <c r="B517" s="312" t="s">
        <v>1505</v>
      </c>
      <c r="C517" s="303" t="s">
        <v>1177</v>
      </c>
      <c r="D517" s="303" t="s">
        <v>1178</v>
      </c>
      <c r="E517" s="315">
        <v>43102.0</v>
      </c>
      <c r="F517" s="312" t="s">
        <v>28</v>
      </c>
      <c r="G517" s="312"/>
      <c r="H517" s="312"/>
      <c r="I517" s="312"/>
      <c r="J517" s="306"/>
      <c r="K517" s="50"/>
      <c r="L517" s="312"/>
      <c r="M517" s="312"/>
      <c r="N517" s="312"/>
      <c r="O517" s="312"/>
      <c r="P517" s="315">
        <v>43143.0</v>
      </c>
      <c r="Q517" s="312">
        <v>2430.0</v>
      </c>
      <c r="R517" s="312">
        <v>383.0</v>
      </c>
      <c r="S517" s="316"/>
      <c r="T517" s="317">
        <v>383.0</v>
      </c>
      <c r="U517" s="312" t="s">
        <v>1369</v>
      </c>
      <c r="V517" s="312" t="s">
        <v>1367</v>
      </c>
      <c r="W517" s="50"/>
      <c r="X517" s="50"/>
      <c r="Y517" s="50"/>
      <c r="Z517" s="312"/>
      <c r="AA517" s="50"/>
      <c r="AB517" s="50"/>
      <c r="AC517" s="50"/>
      <c r="AD517" s="50"/>
      <c r="AE517" s="50"/>
    </row>
    <row r="518">
      <c r="A518" s="307">
        <v>42878.833333333336</v>
      </c>
      <c r="B518" s="312" t="s">
        <v>879</v>
      </c>
      <c r="C518" s="312" t="s">
        <v>1184</v>
      </c>
      <c r="D518" s="303" t="s">
        <v>1185</v>
      </c>
      <c r="E518" s="315">
        <v>42751.0</v>
      </c>
      <c r="F518" s="312" t="s">
        <v>57</v>
      </c>
      <c r="G518" s="303" t="s">
        <v>1205</v>
      </c>
      <c r="H518" s="303" t="s">
        <v>1180</v>
      </c>
      <c r="I518" s="303" t="s">
        <v>1180</v>
      </c>
      <c r="J518" s="306">
        <v>0.9</v>
      </c>
      <c r="K518" s="312">
        <v>260.0</v>
      </c>
      <c r="L518" s="312"/>
      <c r="M518" s="312">
        <v>358.0</v>
      </c>
      <c r="N518" s="312"/>
      <c r="O518" s="312"/>
      <c r="P518" s="315">
        <v>42878.0</v>
      </c>
      <c r="Q518" s="312">
        <v>28287.0</v>
      </c>
      <c r="R518" s="312">
        <v>256.0</v>
      </c>
      <c r="S518" s="316"/>
      <c r="T518" s="317">
        <v>259.24</v>
      </c>
      <c r="U518" s="312" t="s">
        <v>1366</v>
      </c>
      <c r="V518" s="312" t="s">
        <v>1367</v>
      </c>
      <c r="W518" s="50"/>
      <c r="X518" s="50"/>
      <c r="Y518" s="50"/>
      <c r="Z518" s="312"/>
      <c r="AA518" s="50"/>
      <c r="AB518" s="50"/>
      <c r="AC518" s="50"/>
      <c r="AD518" s="50"/>
      <c r="AE518" s="50"/>
    </row>
    <row r="519">
      <c r="A519" s="307">
        <v>42356.25486111111</v>
      </c>
      <c r="B519" s="312" t="s">
        <v>1113</v>
      </c>
      <c r="C519" s="303" t="s">
        <v>1177</v>
      </c>
      <c r="D519" s="303" t="s">
        <v>1178</v>
      </c>
      <c r="E519" s="315">
        <v>41487.0</v>
      </c>
      <c r="F519" s="312" t="s">
        <v>32</v>
      </c>
      <c r="G519" s="303" t="s">
        <v>1179</v>
      </c>
      <c r="H519" s="303" t="s">
        <v>1181</v>
      </c>
      <c r="I519" s="303" t="s">
        <v>1187</v>
      </c>
      <c r="J519" s="306">
        <v>0.9</v>
      </c>
      <c r="K519" s="312">
        <v>391.0</v>
      </c>
      <c r="L519" s="312"/>
      <c r="M519" s="312">
        <v>244.0</v>
      </c>
      <c r="N519" s="312"/>
      <c r="O519" s="312"/>
      <c r="P519" s="315">
        <v>42356.0</v>
      </c>
      <c r="Q519" s="312">
        <v>36000.0</v>
      </c>
      <c r="R519" s="312">
        <v>375.0</v>
      </c>
      <c r="S519" s="316"/>
      <c r="T519" s="317">
        <v>379.75</v>
      </c>
      <c r="U519" s="312" t="s">
        <v>1366</v>
      </c>
      <c r="V519" s="312" t="s">
        <v>1367</v>
      </c>
      <c r="W519" s="50"/>
      <c r="X519" s="50"/>
      <c r="Y519" s="50"/>
      <c r="Z519" s="312"/>
      <c r="AA519" s="50"/>
      <c r="AB519" s="50"/>
      <c r="AC519" s="50"/>
      <c r="AD519" s="50"/>
      <c r="AE519" s="50"/>
    </row>
    <row r="520">
      <c r="A520" s="307">
        <v>42303.21388888889</v>
      </c>
      <c r="B520" s="312" t="s">
        <v>1061</v>
      </c>
      <c r="C520" s="303" t="s">
        <v>1177</v>
      </c>
      <c r="D520" s="303" t="s">
        <v>1178</v>
      </c>
      <c r="E520" s="315">
        <v>41796.0</v>
      </c>
      <c r="F520" s="312" t="s">
        <v>30</v>
      </c>
      <c r="G520" s="303" t="s">
        <v>1179</v>
      </c>
      <c r="H520" s="303" t="s">
        <v>1181</v>
      </c>
      <c r="I520" s="303" t="s">
        <v>1186</v>
      </c>
      <c r="J520" s="306">
        <v>0.7</v>
      </c>
      <c r="K520" s="312">
        <v>400.0</v>
      </c>
      <c r="L520" s="312"/>
      <c r="M520" s="312">
        <v>201.0</v>
      </c>
      <c r="N520" s="312"/>
      <c r="O520" s="312"/>
      <c r="P520" s="315">
        <v>42303.0</v>
      </c>
      <c r="Q520" s="312">
        <v>64000.0</v>
      </c>
      <c r="R520" s="312">
        <v>370.0</v>
      </c>
      <c r="S520" s="316"/>
      <c r="T520" s="317">
        <v>374.68</v>
      </c>
      <c r="U520" s="312" t="s">
        <v>1366</v>
      </c>
      <c r="V520" s="312" t="s">
        <v>1367</v>
      </c>
      <c r="W520" s="50"/>
      <c r="X520" s="50"/>
      <c r="Y520" s="50"/>
      <c r="Z520" s="312"/>
      <c r="AA520" s="50"/>
      <c r="AB520" s="50"/>
      <c r="AC520" s="50"/>
      <c r="AD520" s="50"/>
      <c r="AE520" s="50"/>
    </row>
    <row r="521">
      <c r="A521" s="307">
        <v>42734.657638888886</v>
      </c>
      <c r="B521" s="312" t="s">
        <v>1506</v>
      </c>
      <c r="C521" s="303" t="s">
        <v>1177</v>
      </c>
      <c r="D521" s="303" t="s">
        <v>1178</v>
      </c>
      <c r="E521" s="315">
        <v>42054.0</v>
      </c>
      <c r="F521" s="312" t="s">
        <v>43</v>
      </c>
      <c r="G521" s="303" t="s">
        <v>1180</v>
      </c>
      <c r="H521" s="303" t="s">
        <v>1181</v>
      </c>
      <c r="I521" s="303" t="s">
        <v>1181</v>
      </c>
      <c r="J521" s="306">
        <v>0.8</v>
      </c>
      <c r="K521" s="50"/>
      <c r="L521" s="312"/>
      <c r="M521" s="312">
        <v>220.0</v>
      </c>
      <c r="N521" s="312"/>
      <c r="O521" s="312"/>
      <c r="P521" s="315">
        <v>42734.0</v>
      </c>
      <c r="Q521" s="312">
        <v>53335.0</v>
      </c>
      <c r="R521" s="312">
        <v>430.0</v>
      </c>
      <c r="S521" s="316"/>
      <c r="T521" s="317">
        <v>435.44</v>
      </c>
      <c r="U521" s="312" t="s">
        <v>1366</v>
      </c>
      <c r="V521" s="312" t="s">
        <v>1367</v>
      </c>
      <c r="W521" s="50"/>
      <c r="X521" s="50"/>
      <c r="Y521" s="50"/>
      <c r="Z521" s="312"/>
      <c r="AA521" s="50"/>
      <c r="AB521" s="50"/>
      <c r="AC521" s="50"/>
      <c r="AD521" s="50"/>
      <c r="AE521" s="50"/>
    </row>
    <row r="522">
      <c r="A522" s="307">
        <v>41906.0125</v>
      </c>
      <c r="B522" s="50" t="s">
        <v>727</v>
      </c>
      <c r="C522" s="303" t="s">
        <v>1177</v>
      </c>
      <c r="D522" s="303" t="s">
        <v>1178</v>
      </c>
      <c r="E522" s="310">
        <v>41607.0</v>
      </c>
      <c r="F522" s="50" t="s">
        <v>32</v>
      </c>
      <c r="G522" s="303" t="s">
        <v>1180</v>
      </c>
      <c r="H522" s="303" t="s">
        <v>1180</v>
      </c>
      <c r="I522" s="303" t="s">
        <v>1187</v>
      </c>
      <c r="J522" s="306"/>
      <c r="K522" s="50"/>
      <c r="L522" s="50"/>
      <c r="M522" s="50">
        <v>248.0</v>
      </c>
      <c r="N522" s="50">
        <v>2100.0</v>
      </c>
      <c r="O522" s="303" t="s">
        <v>1207</v>
      </c>
      <c r="P522" s="310">
        <v>41906.0</v>
      </c>
      <c r="Q522" s="50">
        <v>18200.0</v>
      </c>
      <c r="R522" s="50">
        <v>381.0</v>
      </c>
      <c r="S522" s="318"/>
      <c r="T522" s="317">
        <v>384.85</v>
      </c>
      <c r="U522" s="312" t="s">
        <v>1407</v>
      </c>
      <c r="V522" s="312" t="s">
        <v>1399</v>
      </c>
      <c r="W522" s="50"/>
      <c r="X522" s="50"/>
      <c r="Y522" s="50"/>
      <c r="Z522" s="312"/>
      <c r="AA522" s="50" t="s">
        <v>1507</v>
      </c>
      <c r="AB522" s="50"/>
      <c r="AC522" s="50"/>
      <c r="AD522" s="50"/>
      <c r="AE522" s="50"/>
    </row>
    <row r="523">
      <c r="A523" s="307">
        <v>42019.05138888889</v>
      </c>
      <c r="B523" s="50" t="s">
        <v>727</v>
      </c>
      <c r="C523" s="303" t="s">
        <v>1177</v>
      </c>
      <c r="D523" s="303" t="s">
        <v>1178</v>
      </c>
      <c r="E523" s="310">
        <v>41607.0</v>
      </c>
      <c r="F523" s="312" t="s">
        <v>32</v>
      </c>
      <c r="G523" s="303" t="s">
        <v>1179</v>
      </c>
      <c r="H523" s="303" t="s">
        <v>1179</v>
      </c>
      <c r="I523" s="303" t="s">
        <v>1187</v>
      </c>
      <c r="J523" s="306"/>
      <c r="K523" s="50"/>
      <c r="L523" s="50"/>
      <c r="M523" s="50">
        <v>249.0</v>
      </c>
      <c r="N523" s="50">
        <v>2100.0</v>
      </c>
      <c r="O523" s="303" t="s">
        <v>1207</v>
      </c>
      <c r="P523" s="310">
        <v>42019.0</v>
      </c>
      <c r="Q523" s="50">
        <v>27876.0</v>
      </c>
      <c r="R523" s="50">
        <v>381.0</v>
      </c>
      <c r="S523" s="318"/>
      <c r="T523" s="317">
        <v>385.82</v>
      </c>
      <c r="U523" s="312" t="s">
        <v>1366</v>
      </c>
      <c r="V523" s="312" t="s">
        <v>1399</v>
      </c>
      <c r="W523" s="50"/>
      <c r="X523" s="50"/>
      <c r="Y523" s="50"/>
      <c r="Z523" s="312"/>
      <c r="AA523" s="50" t="s">
        <v>1508</v>
      </c>
      <c r="AB523" s="50"/>
      <c r="AC523" s="50"/>
      <c r="AD523" s="50"/>
      <c r="AE523" s="50"/>
    </row>
    <row r="524">
      <c r="A524" s="307">
        <v>42020.055555555555</v>
      </c>
      <c r="B524" s="50" t="s">
        <v>727</v>
      </c>
      <c r="C524" s="303" t="s">
        <v>1177</v>
      </c>
      <c r="D524" s="303" t="s">
        <v>1178</v>
      </c>
      <c r="E524" s="310">
        <v>41607.0</v>
      </c>
      <c r="F524" s="312" t="s">
        <v>32</v>
      </c>
      <c r="G524" s="303" t="s">
        <v>1179</v>
      </c>
      <c r="H524" s="303" t="s">
        <v>1179</v>
      </c>
      <c r="I524" s="303" t="s">
        <v>1187</v>
      </c>
      <c r="J524" s="306"/>
      <c r="K524" s="50"/>
      <c r="L524" s="50"/>
      <c r="M524" s="50">
        <v>249.0</v>
      </c>
      <c r="N524" s="50">
        <v>2100.0</v>
      </c>
      <c r="O524" s="303" t="s">
        <v>1207</v>
      </c>
      <c r="P524" s="310">
        <v>42020.0</v>
      </c>
      <c r="Q524" s="50">
        <v>27906.0</v>
      </c>
      <c r="R524" s="50">
        <v>381.0</v>
      </c>
      <c r="S524" s="318"/>
      <c r="T524" s="317">
        <v>385.82</v>
      </c>
      <c r="U524" s="312" t="s">
        <v>1366</v>
      </c>
      <c r="V524" s="312" t="s">
        <v>1399</v>
      </c>
      <c r="W524" s="50"/>
      <c r="X524" s="50"/>
      <c r="Y524" s="50"/>
      <c r="Z524" s="312"/>
      <c r="AA524" s="50" t="s">
        <v>1509</v>
      </c>
      <c r="AB524" s="50"/>
      <c r="AC524" s="50"/>
      <c r="AD524" s="50"/>
      <c r="AE524" s="50"/>
    </row>
    <row r="525">
      <c r="A525" s="307">
        <v>42083.08611111111</v>
      </c>
      <c r="B525" s="50" t="s">
        <v>727</v>
      </c>
      <c r="C525" s="303" t="s">
        <v>1177</v>
      </c>
      <c r="D525" s="303" t="s">
        <v>1178</v>
      </c>
      <c r="E525" s="310">
        <v>41607.0</v>
      </c>
      <c r="F525" s="312" t="s">
        <v>32</v>
      </c>
      <c r="G525" s="303" t="s">
        <v>1179</v>
      </c>
      <c r="H525" s="303" t="s">
        <v>1179</v>
      </c>
      <c r="I525" s="303" t="s">
        <v>1187</v>
      </c>
      <c r="J525" s="306"/>
      <c r="K525" s="50"/>
      <c r="L525" s="312"/>
      <c r="M525" s="312">
        <v>252.0</v>
      </c>
      <c r="N525" s="50">
        <v>2100.0</v>
      </c>
      <c r="O525" s="303" t="s">
        <v>1207</v>
      </c>
      <c r="P525" s="315">
        <v>42083.0</v>
      </c>
      <c r="Q525" s="312">
        <v>34533.0</v>
      </c>
      <c r="R525" s="312">
        <v>377.0</v>
      </c>
      <c r="S525" s="316"/>
      <c r="T525" s="317">
        <v>381.77</v>
      </c>
      <c r="U525" s="312" t="s">
        <v>1366</v>
      </c>
      <c r="V525" s="312" t="s">
        <v>1399</v>
      </c>
      <c r="W525" s="50"/>
      <c r="X525" s="50"/>
      <c r="Y525" s="50"/>
      <c r="Z525" s="312"/>
      <c r="AA525" s="312" t="s">
        <v>1510</v>
      </c>
      <c r="AB525" s="50"/>
      <c r="AC525" s="50"/>
      <c r="AD525" s="50"/>
      <c r="AE525" s="50"/>
    </row>
    <row r="526">
      <c r="A526" s="307">
        <v>42153.129166666666</v>
      </c>
      <c r="B526" s="312" t="s">
        <v>727</v>
      </c>
      <c r="C526" s="303" t="s">
        <v>1177</v>
      </c>
      <c r="D526" s="303" t="s">
        <v>1178</v>
      </c>
      <c r="E526" s="315">
        <v>41607.0</v>
      </c>
      <c r="F526" s="312" t="s">
        <v>32</v>
      </c>
      <c r="G526" s="303" t="s">
        <v>1203</v>
      </c>
      <c r="H526" s="303" t="s">
        <v>1179</v>
      </c>
      <c r="I526" s="303" t="s">
        <v>1186</v>
      </c>
      <c r="J526" s="306">
        <v>0.9</v>
      </c>
      <c r="K526" s="50"/>
      <c r="L526" s="312"/>
      <c r="M526" s="312">
        <v>250.0</v>
      </c>
      <c r="N526" s="312">
        <v>2100.0</v>
      </c>
      <c r="O526" s="303" t="s">
        <v>1207</v>
      </c>
      <c r="P526" s="315">
        <v>42153.0</v>
      </c>
      <c r="Q526" s="312">
        <v>42850.0</v>
      </c>
      <c r="R526" s="312">
        <v>378.0</v>
      </c>
      <c r="S526" s="316"/>
      <c r="T526" s="317">
        <v>382.78</v>
      </c>
      <c r="U526" s="312" t="s">
        <v>1366</v>
      </c>
      <c r="V526" s="312" t="s">
        <v>1399</v>
      </c>
      <c r="W526" s="50"/>
      <c r="X526" s="50"/>
      <c r="Y526" s="50"/>
      <c r="Z526" s="312"/>
      <c r="AA526" s="50"/>
      <c r="AB526" s="50"/>
      <c r="AC526" s="50"/>
      <c r="AD526" s="50"/>
      <c r="AE526" s="50"/>
    </row>
    <row r="527">
      <c r="A527" s="307">
        <v>42251.177777777775</v>
      </c>
      <c r="B527" s="312" t="s">
        <v>727</v>
      </c>
      <c r="C527" s="303" t="s">
        <v>1177</v>
      </c>
      <c r="D527" s="303" t="s">
        <v>1178</v>
      </c>
      <c r="E527" s="315">
        <v>41607.0</v>
      </c>
      <c r="F527" s="312" t="s">
        <v>32</v>
      </c>
      <c r="G527" s="312"/>
      <c r="H527" s="312"/>
      <c r="I527" s="312"/>
      <c r="J527" s="306"/>
      <c r="K527" s="50"/>
      <c r="L527" s="312"/>
      <c r="M527" s="312">
        <v>218.0</v>
      </c>
      <c r="N527" s="312">
        <v>2100.0</v>
      </c>
      <c r="O527" s="303" t="s">
        <v>1207</v>
      </c>
      <c r="P527" s="315">
        <v>42251.0</v>
      </c>
      <c r="Q527" s="312">
        <v>50950.0</v>
      </c>
      <c r="R527" s="312">
        <v>379.0</v>
      </c>
      <c r="S527" s="316"/>
      <c r="T527" s="317">
        <v>379.0</v>
      </c>
      <c r="U527" s="312" t="s">
        <v>1369</v>
      </c>
      <c r="V527" s="312" t="s">
        <v>1399</v>
      </c>
      <c r="W527" s="50"/>
      <c r="X527" s="312"/>
      <c r="Y527" s="50"/>
      <c r="Z527" s="312"/>
      <c r="AA527" s="50"/>
      <c r="AB527" s="50"/>
      <c r="AC527" s="50"/>
      <c r="AD527" s="50"/>
      <c r="AE527" s="50"/>
    </row>
    <row r="528">
      <c r="A528" s="307">
        <v>42320.228472222225</v>
      </c>
      <c r="B528" s="312" t="s">
        <v>727</v>
      </c>
      <c r="C528" s="303" t="s">
        <v>1177</v>
      </c>
      <c r="D528" s="303" t="s">
        <v>1178</v>
      </c>
      <c r="E528" s="315">
        <v>41607.0</v>
      </c>
      <c r="F528" s="312" t="s">
        <v>32</v>
      </c>
      <c r="G528" s="303" t="s">
        <v>1181</v>
      </c>
      <c r="H528" s="303" t="s">
        <v>1181</v>
      </c>
      <c r="I528" s="303" t="s">
        <v>1186</v>
      </c>
      <c r="J528" s="306">
        <v>0.8</v>
      </c>
      <c r="K528" s="312">
        <v>400.0</v>
      </c>
      <c r="L528" s="312"/>
      <c r="M528" s="312">
        <v>244.0</v>
      </c>
      <c r="N528" s="312">
        <v>2100.0</v>
      </c>
      <c r="O528" s="303" t="s">
        <v>1323</v>
      </c>
      <c r="P528" s="315">
        <v>42320.0</v>
      </c>
      <c r="Q528" s="312">
        <v>54971.0</v>
      </c>
      <c r="R528" s="312">
        <v>370.0</v>
      </c>
      <c r="S528" s="316"/>
      <c r="T528" s="317">
        <v>374.68</v>
      </c>
      <c r="U528" s="312" t="s">
        <v>1366</v>
      </c>
      <c r="V528" s="312" t="s">
        <v>1399</v>
      </c>
      <c r="W528" s="50"/>
      <c r="X528" s="50"/>
      <c r="Y528" s="50"/>
      <c r="Z528" s="312"/>
      <c r="AA528" s="312" t="s">
        <v>1511</v>
      </c>
      <c r="AB528" s="50"/>
      <c r="AC528" s="50"/>
      <c r="AD528" s="50"/>
      <c r="AE528" s="50"/>
    </row>
    <row r="529">
      <c r="A529" s="307">
        <v>42338.23472222222</v>
      </c>
      <c r="B529" s="312" t="s">
        <v>727</v>
      </c>
      <c r="C529" s="303" t="s">
        <v>1177</v>
      </c>
      <c r="D529" s="303" t="s">
        <v>1178</v>
      </c>
      <c r="E529" s="315">
        <v>41607.0</v>
      </c>
      <c r="F529" s="312" t="s">
        <v>32</v>
      </c>
      <c r="G529" s="303" t="s">
        <v>1180</v>
      </c>
      <c r="H529" s="303" t="s">
        <v>1181</v>
      </c>
      <c r="I529" s="303" t="s">
        <v>1181</v>
      </c>
      <c r="J529" s="306">
        <v>0.8</v>
      </c>
      <c r="K529" s="312">
        <v>400.0</v>
      </c>
      <c r="L529" s="312"/>
      <c r="M529" s="312">
        <v>246.0</v>
      </c>
      <c r="N529" s="312">
        <v>2100.0</v>
      </c>
      <c r="O529" s="303" t="s">
        <v>1323</v>
      </c>
      <c r="P529" s="315">
        <v>42338.0</v>
      </c>
      <c r="Q529" s="312">
        <v>56138.0</v>
      </c>
      <c r="R529" s="312">
        <v>377.0</v>
      </c>
      <c r="S529" s="316"/>
      <c r="T529" s="317">
        <v>377.0</v>
      </c>
      <c r="U529" s="312" t="s">
        <v>1369</v>
      </c>
      <c r="V529" s="312" t="s">
        <v>1399</v>
      </c>
      <c r="W529" s="50"/>
      <c r="X529" s="50"/>
      <c r="Y529" s="50"/>
      <c r="Z529" s="312"/>
      <c r="AA529" s="50"/>
      <c r="AB529" s="50"/>
      <c r="AC529" s="50"/>
      <c r="AD529" s="50"/>
      <c r="AE529" s="50"/>
    </row>
    <row r="530">
      <c r="A530" s="307">
        <v>42354.251388888886</v>
      </c>
      <c r="B530" s="312" t="s">
        <v>711</v>
      </c>
      <c r="C530" s="303" t="s">
        <v>1177</v>
      </c>
      <c r="D530" s="303" t="s">
        <v>1178</v>
      </c>
      <c r="E530" s="315">
        <v>42277.0</v>
      </c>
      <c r="F530" s="312" t="s">
        <v>1512</v>
      </c>
      <c r="G530" s="303" t="s">
        <v>1181</v>
      </c>
      <c r="H530" s="312"/>
      <c r="I530" s="312"/>
      <c r="J530" s="306"/>
      <c r="K530" s="50"/>
      <c r="L530" s="312"/>
      <c r="M530" s="312">
        <v>233.0</v>
      </c>
      <c r="N530" s="312"/>
      <c r="O530" s="312"/>
      <c r="P530" s="315">
        <v>42354.0</v>
      </c>
      <c r="Q530" s="312">
        <v>9200.0</v>
      </c>
      <c r="R530" s="312">
        <v>409.0</v>
      </c>
      <c r="S530" s="316"/>
      <c r="T530" s="317">
        <v>414.18</v>
      </c>
      <c r="U530" s="312" t="s">
        <v>1366</v>
      </c>
      <c r="V530" s="312" t="s">
        <v>1367</v>
      </c>
      <c r="W530" s="50"/>
      <c r="X530" s="50"/>
      <c r="Y530" s="50"/>
      <c r="Z530" s="312"/>
      <c r="AA530" s="312" t="s">
        <v>1513</v>
      </c>
      <c r="AB530" s="50"/>
      <c r="AC530" s="50"/>
      <c r="AD530" s="50"/>
      <c r="AE530" s="50"/>
    </row>
    <row r="531">
      <c r="A531" s="307">
        <v>42377.26944444444</v>
      </c>
      <c r="B531" s="312" t="s">
        <v>711</v>
      </c>
      <c r="C531" s="303" t="s">
        <v>1177</v>
      </c>
      <c r="D531" s="303" t="s">
        <v>1178</v>
      </c>
      <c r="E531" s="310">
        <v>42277.0</v>
      </c>
      <c r="F531" s="312" t="s">
        <v>1512</v>
      </c>
      <c r="G531" s="303" t="s">
        <v>1181</v>
      </c>
      <c r="H531" s="303" t="s">
        <v>1181</v>
      </c>
      <c r="I531" s="303" t="s">
        <v>1181</v>
      </c>
      <c r="J531" s="306">
        <v>0.8</v>
      </c>
      <c r="K531" s="312">
        <v>409.0</v>
      </c>
      <c r="L531" s="312"/>
      <c r="M531" s="312">
        <v>250.0</v>
      </c>
      <c r="N531" s="312"/>
      <c r="O531" s="312"/>
      <c r="P531" s="315">
        <v>42377.0</v>
      </c>
      <c r="Q531" s="312">
        <v>13889.0</v>
      </c>
      <c r="R531" s="312">
        <v>408.0</v>
      </c>
      <c r="S531" s="316"/>
      <c r="T531" s="317">
        <v>413.16</v>
      </c>
      <c r="U531" s="312" t="s">
        <v>1366</v>
      </c>
      <c r="V531" s="312" t="s">
        <v>1367</v>
      </c>
      <c r="W531" s="50"/>
      <c r="X531" s="50"/>
      <c r="Y531" s="50"/>
      <c r="Z531" s="312"/>
      <c r="AA531" s="50"/>
      <c r="AB531" s="50"/>
      <c r="AC531" s="50"/>
      <c r="AD531" s="50"/>
      <c r="AE531" s="50"/>
    </row>
    <row r="532">
      <c r="A532" s="307">
        <v>42405.28333333333</v>
      </c>
      <c r="B532" s="312" t="s">
        <v>711</v>
      </c>
      <c r="C532" s="303" t="s">
        <v>1177</v>
      </c>
      <c r="D532" s="303" t="s">
        <v>1178</v>
      </c>
      <c r="E532" s="315">
        <v>42277.0</v>
      </c>
      <c r="F532" s="312" t="s">
        <v>43</v>
      </c>
      <c r="G532" s="303" t="s">
        <v>1180</v>
      </c>
      <c r="H532" s="303" t="s">
        <v>1180</v>
      </c>
      <c r="I532" s="303" t="s">
        <v>1181</v>
      </c>
      <c r="J532" s="306">
        <v>0.8</v>
      </c>
      <c r="K532" s="312">
        <v>408.0</v>
      </c>
      <c r="L532" s="312"/>
      <c r="M532" s="312">
        <v>249.0</v>
      </c>
      <c r="N532" s="312"/>
      <c r="O532" s="312"/>
      <c r="P532" s="315">
        <v>42405.0</v>
      </c>
      <c r="Q532" s="312">
        <v>15058.0</v>
      </c>
      <c r="R532" s="312">
        <v>434.0</v>
      </c>
      <c r="S532" s="316"/>
      <c r="T532" s="317">
        <v>434.0</v>
      </c>
      <c r="U532" s="312" t="s">
        <v>1369</v>
      </c>
      <c r="V532" s="312" t="s">
        <v>1367</v>
      </c>
      <c r="W532" s="50"/>
      <c r="X532" s="50"/>
      <c r="Y532" s="50"/>
      <c r="Z532" s="312"/>
      <c r="AA532" s="50"/>
      <c r="AB532" s="50"/>
      <c r="AC532" s="50"/>
      <c r="AD532" s="50"/>
      <c r="AE532" s="50"/>
    </row>
    <row r="533">
      <c r="A533" s="307">
        <v>42433.3</v>
      </c>
      <c r="B533" s="312" t="s">
        <v>711</v>
      </c>
      <c r="C533" s="303" t="s">
        <v>1177</v>
      </c>
      <c r="D533" s="303" t="s">
        <v>1178</v>
      </c>
      <c r="E533" s="315">
        <v>42276.0</v>
      </c>
      <c r="F533" s="312" t="s">
        <v>43</v>
      </c>
      <c r="G533" s="303" t="s">
        <v>1181</v>
      </c>
      <c r="H533" s="303" t="s">
        <v>1181</v>
      </c>
      <c r="I533" s="303" t="s">
        <v>1181</v>
      </c>
      <c r="J533" s="306">
        <v>0.8</v>
      </c>
      <c r="K533" s="50"/>
      <c r="L533" s="312"/>
      <c r="M533" s="312">
        <v>248.0</v>
      </c>
      <c r="N533" s="312"/>
      <c r="O533" s="312"/>
      <c r="P533" s="315">
        <v>42433.0</v>
      </c>
      <c r="Q533" s="312">
        <v>16500.0</v>
      </c>
      <c r="R533" s="312">
        <v>424.0</v>
      </c>
      <c r="S533" s="316"/>
      <c r="T533" s="317">
        <v>429.37</v>
      </c>
      <c r="U533" s="312" t="s">
        <v>1366</v>
      </c>
      <c r="V533" s="312" t="s">
        <v>1367</v>
      </c>
      <c r="W533" s="50"/>
      <c r="X533" s="50"/>
      <c r="Y533" s="50"/>
      <c r="Z533" s="312"/>
      <c r="AA533" s="50"/>
      <c r="AB533" s="50"/>
      <c r="AC533" s="50"/>
      <c r="AD533" s="50"/>
      <c r="AE533" s="50"/>
    </row>
    <row r="534">
      <c r="A534" s="307">
        <v>42447.308333333334</v>
      </c>
      <c r="B534" s="312" t="s">
        <v>711</v>
      </c>
      <c r="C534" s="303" t="s">
        <v>1177</v>
      </c>
      <c r="D534" s="303" t="s">
        <v>1178</v>
      </c>
      <c r="E534" s="315">
        <v>42276.0</v>
      </c>
      <c r="F534" s="312" t="s">
        <v>43</v>
      </c>
      <c r="G534" s="303" t="s">
        <v>1181</v>
      </c>
      <c r="H534" s="303" t="s">
        <v>1181</v>
      </c>
      <c r="I534" s="303" t="s">
        <v>1181</v>
      </c>
      <c r="J534" s="306">
        <v>0.8</v>
      </c>
      <c r="K534" s="312">
        <v>426.0</v>
      </c>
      <c r="L534" s="312"/>
      <c r="M534" s="312">
        <v>248.0</v>
      </c>
      <c r="N534" s="312"/>
      <c r="O534" s="312"/>
      <c r="P534" s="315">
        <v>42447.0</v>
      </c>
      <c r="Q534" s="312">
        <v>17326.0</v>
      </c>
      <c r="R534" s="312">
        <v>433.0</v>
      </c>
      <c r="S534" s="316"/>
      <c r="T534" s="317">
        <v>438.48</v>
      </c>
      <c r="U534" s="312" t="s">
        <v>1366</v>
      </c>
      <c r="V534" s="312" t="s">
        <v>1367</v>
      </c>
      <c r="W534" s="50"/>
      <c r="X534" s="50"/>
      <c r="Y534" s="50"/>
      <c r="Z534" s="312"/>
      <c r="AA534" s="50"/>
      <c r="AB534" s="50"/>
      <c r="AC534" s="50"/>
      <c r="AD534" s="50"/>
      <c r="AE534" s="50"/>
    </row>
    <row r="535">
      <c r="A535" s="307">
        <v>42517.339583333334</v>
      </c>
      <c r="B535" s="312" t="s">
        <v>711</v>
      </c>
      <c r="C535" s="303" t="s">
        <v>1177</v>
      </c>
      <c r="D535" s="303" t="s">
        <v>1178</v>
      </c>
      <c r="E535" s="315">
        <v>42276.0</v>
      </c>
      <c r="F535" s="312" t="s">
        <v>43</v>
      </c>
      <c r="G535" s="303" t="s">
        <v>1181</v>
      </c>
      <c r="H535" s="303" t="s">
        <v>1181</v>
      </c>
      <c r="I535" s="303" t="s">
        <v>1181</v>
      </c>
      <c r="J535" s="306">
        <v>0.8</v>
      </c>
      <c r="K535" s="312">
        <v>426.0</v>
      </c>
      <c r="L535" s="312"/>
      <c r="M535" s="312">
        <v>236.0</v>
      </c>
      <c r="N535" s="312"/>
      <c r="O535" s="312"/>
      <c r="P535" s="315">
        <v>42517.0</v>
      </c>
      <c r="Q535" s="312">
        <v>24331.0</v>
      </c>
      <c r="R535" s="312">
        <v>432.0</v>
      </c>
      <c r="S535" s="316"/>
      <c r="T535" s="317">
        <v>432.0</v>
      </c>
      <c r="U535" s="312" t="s">
        <v>1369</v>
      </c>
      <c r="V535" s="312" t="s">
        <v>1367</v>
      </c>
      <c r="W535" s="50"/>
      <c r="X535" s="50"/>
      <c r="Y535" s="50"/>
      <c r="Z535" s="312"/>
      <c r="AA535" s="50"/>
      <c r="AB535" s="50"/>
      <c r="AC535" s="50"/>
      <c r="AD535" s="50"/>
      <c r="AE535" s="50"/>
    </row>
    <row r="536">
      <c r="A536" s="307">
        <v>42569.36319444444</v>
      </c>
      <c r="B536" s="312" t="s">
        <v>711</v>
      </c>
      <c r="C536" s="303" t="s">
        <v>1177</v>
      </c>
      <c r="D536" s="303" t="s">
        <v>1178</v>
      </c>
      <c r="E536" s="315">
        <v>42276.0</v>
      </c>
      <c r="F536" s="312" t="s">
        <v>43</v>
      </c>
      <c r="G536" s="303" t="s">
        <v>1181</v>
      </c>
      <c r="H536" s="303" t="s">
        <v>1181</v>
      </c>
      <c r="I536" s="303" t="s">
        <v>1181</v>
      </c>
      <c r="J536" s="306">
        <v>0.8</v>
      </c>
      <c r="K536" s="312">
        <v>426.0</v>
      </c>
      <c r="L536" s="312"/>
      <c r="M536" s="312">
        <v>236.0</v>
      </c>
      <c r="N536" s="312"/>
      <c r="O536" s="312"/>
      <c r="P536" s="315">
        <v>42569.0</v>
      </c>
      <c r="Q536" s="312">
        <v>26389.0</v>
      </c>
      <c r="R536" s="312">
        <v>428.0</v>
      </c>
      <c r="S536" s="316"/>
      <c r="T536" s="317">
        <v>433.42</v>
      </c>
      <c r="U536" s="312" t="s">
        <v>1366</v>
      </c>
      <c r="V536" s="312" t="s">
        <v>1367</v>
      </c>
      <c r="W536" s="50"/>
      <c r="X536" s="50"/>
      <c r="Y536" s="50"/>
      <c r="Z536" s="312"/>
      <c r="AA536" s="50"/>
      <c r="AB536" s="50"/>
      <c r="AC536" s="50"/>
      <c r="AD536" s="50"/>
      <c r="AE536" s="50"/>
    </row>
    <row r="537">
      <c r="A537" s="307">
        <v>42594.37847222222</v>
      </c>
      <c r="B537" s="312" t="s">
        <v>711</v>
      </c>
      <c r="C537" s="303" t="s">
        <v>1177</v>
      </c>
      <c r="D537" s="303" t="s">
        <v>1178</v>
      </c>
      <c r="E537" s="315">
        <v>42276.0</v>
      </c>
      <c r="F537" s="312" t="s">
        <v>43</v>
      </c>
      <c r="G537" s="303" t="s">
        <v>1181</v>
      </c>
      <c r="H537" s="303" t="s">
        <v>1181</v>
      </c>
      <c r="I537" s="303" t="s">
        <v>1181</v>
      </c>
      <c r="J537" s="306">
        <v>0.8</v>
      </c>
      <c r="K537" s="312">
        <v>426.0</v>
      </c>
      <c r="L537" s="312"/>
      <c r="M537" s="312">
        <v>236.0</v>
      </c>
      <c r="N537" s="312"/>
      <c r="O537" s="312"/>
      <c r="P537" s="315">
        <v>42594.0</v>
      </c>
      <c r="Q537" s="312">
        <v>29890.0</v>
      </c>
      <c r="R537" s="312">
        <v>431.0</v>
      </c>
      <c r="S537" s="316"/>
      <c r="T537" s="317">
        <v>431.0</v>
      </c>
      <c r="U537" s="312" t="s">
        <v>1369</v>
      </c>
      <c r="V537" s="312" t="s">
        <v>1367</v>
      </c>
      <c r="W537" s="50"/>
      <c r="X537" s="50"/>
      <c r="Y537" s="50"/>
      <c r="Z537" s="312"/>
      <c r="AA537" s="50"/>
      <c r="AB537" s="50"/>
      <c r="AC537" s="50"/>
      <c r="AD537" s="50"/>
      <c r="AE537" s="50"/>
    </row>
    <row r="538">
      <c r="A538" s="307">
        <v>42620.395833333336</v>
      </c>
      <c r="B538" s="312" t="s">
        <v>711</v>
      </c>
      <c r="C538" s="303" t="s">
        <v>1177</v>
      </c>
      <c r="D538" s="303" t="s">
        <v>1178</v>
      </c>
      <c r="E538" s="315">
        <v>42276.0</v>
      </c>
      <c r="F538" s="312" t="s">
        <v>43</v>
      </c>
      <c r="G538" s="303" t="s">
        <v>1181</v>
      </c>
      <c r="H538" s="303" t="s">
        <v>1181</v>
      </c>
      <c r="I538" s="303" t="s">
        <v>1181</v>
      </c>
      <c r="J538" s="306">
        <v>0.8</v>
      </c>
      <c r="K538" s="312">
        <v>426.0</v>
      </c>
      <c r="L538" s="312"/>
      <c r="M538" s="312">
        <v>234.0</v>
      </c>
      <c r="N538" s="312"/>
      <c r="O538" s="312"/>
      <c r="P538" s="315">
        <v>42620.0</v>
      </c>
      <c r="Q538" s="312">
        <v>31865.0</v>
      </c>
      <c r="R538" s="312">
        <v>433.0</v>
      </c>
      <c r="S538" s="316"/>
      <c r="T538" s="317">
        <v>433.0</v>
      </c>
      <c r="U538" s="312" t="s">
        <v>1369</v>
      </c>
      <c r="V538" s="312" t="s">
        <v>1367</v>
      </c>
      <c r="W538" s="50"/>
      <c r="X538" s="50"/>
      <c r="Y538" s="50"/>
      <c r="Z538" s="312"/>
      <c r="AA538" s="50"/>
      <c r="AB538" s="50"/>
      <c r="AC538" s="50"/>
      <c r="AD538" s="50"/>
      <c r="AE538" s="50"/>
    </row>
    <row r="539">
      <c r="A539" s="307">
        <v>42650.41111111111</v>
      </c>
      <c r="B539" s="312" t="s">
        <v>711</v>
      </c>
      <c r="C539" s="303" t="s">
        <v>1177</v>
      </c>
      <c r="D539" s="303" t="s">
        <v>1178</v>
      </c>
      <c r="E539" s="315">
        <v>42276.0</v>
      </c>
      <c r="F539" s="312" t="s">
        <v>43</v>
      </c>
      <c r="G539" s="303" t="s">
        <v>1181</v>
      </c>
      <c r="H539" s="303" t="s">
        <v>1181</v>
      </c>
      <c r="I539" s="303" t="s">
        <v>1181</v>
      </c>
      <c r="J539" s="306">
        <v>0.8</v>
      </c>
      <c r="K539" s="312">
        <v>426.0</v>
      </c>
      <c r="L539" s="312"/>
      <c r="M539" s="312">
        <v>234.0</v>
      </c>
      <c r="N539" s="312"/>
      <c r="O539" s="312"/>
      <c r="P539" s="315">
        <v>42650.0</v>
      </c>
      <c r="Q539" s="312">
        <v>35011.0</v>
      </c>
      <c r="R539" s="312">
        <v>429.0</v>
      </c>
      <c r="S539" s="316"/>
      <c r="T539" s="317">
        <v>434.43</v>
      </c>
      <c r="U539" s="312" t="s">
        <v>1366</v>
      </c>
      <c r="V539" s="312" t="s">
        <v>1367</v>
      </c>
      <c r="W539" s="50"/>
      <c r="X539" s="50"/>
      <c r="Y539" s="50"/>
      <c r="Z539" s="312"/>
      <c r="AA539" s="50"/>
      <c r="AB539" s="50"/>
      <c r="AC539" s="50"/>
      <c r="AD539" s="50"/>
      <c r="AE539" s="50"/>
    </row>
    <row r="540">
      <c r="A540" s="307">
        <v>42676.43125</v>
      </c>
      <c r="B540" s="312" t="s">
        <v>711</v>
      </c>
      <c r="C540" s="303" t="s">
        <v>1177</v>
      </c>
      <c r="D540" s="303" t="s">
        <v>1178</v>
      </c>
      <c r="E540" s="315">
        <v>42276.0</v>
      </c>
      <c r="F540" s="312" t="s">
        <v>43</v>
      </c>
      <c r="G540" s="303" t="s">
        <v>1180</v>
      </c>
      <c r="H540" s="303" t="s">
        <v>1180</v>
      </c>
      <c r="I540" s="303" t="s">
        <v>1181</v>
      </c>
      <c r="J540" s="306">
        <v>0.8</v>
      </c>
      <c r="K540" s="312">
        <v>426.0</v>
      </c>
      <c r="L540" s="312"/>
      <c r="M540" s="312">
        <v>229.0</v>
      </c>
      <c r="N540" s="312"/>
      <c r="O540" s="312"/>
      <c r="P540" s="315">
        <v>42676.0</v>
      </c>
      <c r="Q540" s="312">
        <v>37900.0</v>
      </c>
      <c r="R540" s="312">
        <v>433.0</v>
      </c>
      <c r="S540" s="316"/>
      <c r="T540" s="317">
        <v>438.48</v>
      </c>
      <c r="U540" s="312" t="s">
        <v>1366</v>
      </c>
      <c r="V540" s="312" t="s">
        <v>1367</v>
      </c>
      <c r="W540" s="50"/>
      <c r="X540" s="50"/>
      <c r="Y540" s="50"/>
      <c r="Z540" s="312"/>
      <c r="AA540" s="50"/>
      <c r="AB540" s="50"/>
      <c r="AC540" s="50"/>
      <c r="AD540" s="50"/>
      <c r="AE540" s="50"/>
    </row>
    <row r="541">
      <c r="A541" s="307">
        <v>42692.458333333336</v>
      </c>
      <c r="B541" s="312" t="s">
        <v>711</v>
      </c>
      <c r="C541" s="303" t="s">
        <v>1177</v>
      </c>
      <c r="D541" s="303" t="s">
        <v>1178</v>
      </c>
      <c r="E541" s="315">
        <v>42276.0</v>
      </c>
      <c r="F541" s="312" t="s">
        <v>43</v>
      </c>
      <c r="G541" s="303" t="s">
        <v>1180</v>
      </c>
      <c r="H541" s="303" t="s">
        <v>1180</v>
      </c>
      <c r="I541" s="303" t="s">
        <v>1181</v>
      </c>
      <c r="J541" s="306">
        <v>0.8</v>
      </c>
      <c r="K541" s="312">
        <v>426.0</v>
      </c>
      <c r="L541" s="312"/>
      <c r="M541" s="312">
        <v>229.0</v>
      </c>
      <c r="N541" s="312"/>
      <c r="O541" s="312"/>
      <c r="P541" s="315">
        <v>42692.0</v>
      </c>
      <c r="Q541" s="312">
        <v>39193.0</v>
      </c>
      <c r="R541" s="312">
        <v>433.0</v>
      </c>
      <c r="S541" s="316"/>
      <c r="T541" s="317">
        <v>438.48</v>
      </c>
      <c r="U541" s="312" t="s">
        <v>1366</v>
      </c>
      <c r="V541" s="312" t="s">
        <v>1367</v>
      </c>
      <c r="W541" s="50"/>
      <c r="X541" s="50"/>
      <c r="Y541" s="50"/>
      <c r="Z541" s="312"/>
      <c r="AA541" s="50"/>
      <c r="AB541" s="50"/>
      <c r="AC541" s="50"/>
      <c r="AD541" s="50"/>
      <c r="AE541" s="50"/>
    </row>
    <row r="542">
      <c r="A542" s="307">
        <v>42706.467361111114</v>
      </c>
      <c r="B542" s="312" t="s">
        <v>711</v>
      </c>
      <c r="C542" s="303" t="s">
        <v>1177</v>
      </c>
      <c r="D542" s="303" t="s">
        <v>1178</v>
      </c>
      <c r="E542" s="315">
        <v>42276.0</v>
      </c>
      <c r="F542" s="312" t="s">
        <v>43</v>
      </c>
      <c r="G542" s="303" t="s">
        <v>1180</v>
      </c>
      <c r="H542" s="303" t="s">
        <v>1180</v>
      </c>
      <c r="I542" s="303" t="s">
        <v>1181</v>
      </c>
      <c r="J542" s="306">
        <v>0.8</v>
      </c>
      <c r="K542" s="312">
        <v>426.0</v>
      </c>
      <c r="L542" s="312"/>
      <c r="M542" s="312">
        <v>230.0</v>
      </c>
      <c r="N542" s="312"/>
      <c r="O542" s="312"/>
      <c r="P542" s="315">
        <v>42706.0</v>
      </c>
      <c r="Q542" s="312">
        <v>39821.0</v>
      </c>
      <c r="R542" s="312">
        <v>433.0</v>
      </c>
      <c r="S542" s="316"/>
      <c r="T542" s="317">
        <v>438.48</v>
      </c>
      <c r="U542" s="312" t="s">
        <v>1366</v>
      </c>
      <c r="V542" s="312" t="s">
        <v>1367</v>
      </c>
      <c r="W542" s="50"/>
      <c r="X542" s="50"/>
      <c r="Y542" s="50"/>
      <c r="Z542" s="312"/>
      <c r="AA542" s="50"/>
      <c r="AB542" s="50"/>
      <c r="AC542" s="50"/>
      <c r="AD542" s="50"/>
      <c r="AE542" s="50"/>
    </row>
    <row r="543">
      <c r="A543" s="307">
        <v>42741.48819444444</v>
      </c>
      <c r="B543" s="312" t="s">
        <v>711</v>
      </c>
      <c r="C543" s="303" t="s">
        <v>1177</v>
      </c>
      <c r="D543" s="303" t="s">
        <v>1178</v>
      </c>
      <c r="E543" s="315">
        <v>42276.0</v>
      </c>
      <c r="F543" s="312" t="s">
        <v>43</v>
      </c>
      <c r="G543" s="303" t="s">
        <v>1180</v>
      </c>
      <c r="H543" s="303" t="s">
        <v>1180</v>
      </c>
      <c r="I543" s="303" t="s">
        <v>1181</v>
      </c>
      <c r="J543" s="306">
        <v>0.8</v>
      </c>
      <c r="K543" s="50"/>
      <c r="L543" s="312"/>
      <c r="M543" s="312">
        <v>231.0</v>
      </c>
      <c r="N543" s="312"/>
      <c r="O543" s="312"/>
      <c r="P543" s="315">
        <v>42741.0</v>
      </c>
      <c r="Q543" s="312">
        <v>41845.0</v>
      </c>
      <c r="R543" s="312">
        <v>430.0</v>
      </c>
      <c r="S543" s="316"/>
      <c r="T543" s="317">
        <v>435.44</v>
      </c>
      <c r="U543" s="312" t="s">
        <v>1366</v>
      </c>
      <c r="V543" s="312" t="s">
        <v>1367</v>
      </c>
      <c r="W543" s="50"/>
      <c r="X543" s="50"/>
      <c r="Y543" s="50"/>
      <c r="Z543" s="312"/>
      <c r="AA543" s="50"/>
      <c r="AB543" s="50"/>
      <c r="AC543" s="50"/>
      <c r="AD543" s="50"/>
      <c r="AE543" s="50"/>
    </row>
    <row r="544">
      <c r="A544" s="307">
        <v>42769.49652777778</v>
      </c>
      <c r="B544" s="312" t="s">
        <v>711</v>
      </c>
      <c r="C544" s="303" t="s">
        <v>1177</v>
      </c>
      <c r="D544" s="303" t="s">
        <v>1178</v>
      </c>
      <c r="E544" s="315">
        <v>42276.0</v>
      </c>
      <c r="F544" s="312" t="s">
        <v>43</v>
      </c>
      <c r="G544" s="303" t="s">
        <v>1180</v>
      </c>
      <c r="H544" s="303" t="s">
        <v>1180</v>
      </c>
      <c r="I544" s="303" t="s">
        <v>1181</v>
      </c>
      <c r="J544" s="306">
        <v>0.8</v>
      </c>
      <c r="K544" s="312">
        <v>411.0</v>
      </c>
      <c r="L544" s="312"/>
      <c r="M544" s="312">
        <v>233.0</v>
      </c>
      <c r="N544" s="312"/>
      <c r="O544" s="312"/>
      <c r="P544" s="315">
        <v>42769.0</v>
      </c>
      <c r="Q544" s="312">
        <v>43090.0</v>
      </c>
      <c r="R544" s="312">
        <v>427.0</v>
      </c>
      <c r="S544" s="316"/>
      <c r="T544" s="317">
        <v>432.41</v>
      </c>
      <c r="U544" s="312" t="s">
        <v>1366</v>
      </c>
      <c r="V544" s="312" t="s">
        <v>1367</v>
      </c>
      <c r="W544" s="50"/>
      <c r="X544" s="50"/>
      <c r="Y544" s="50"/>
      <c r="Z544" s="312"/>
      <c r="AA544" s="50"/>
      <c r="AB544" s="50"/>
      <c r="AC544" s="50"/>
      <c r="AD544" s="50"/>
      <c r="AE544" s="50"/>
    </row>
    <row r="545">
      <c r="A545" s="307">
        <v>42838.520833333336</v>
      </c>
      <c r="B545" s="312" t="s">
        <v>711</v>
      </c>
      <c r="C545" s="303" t="s">
        <v>1177</v>
      </c>
      <c r="D545" s="303" t="s">
        <v>1178</v>
      </c>
      <c r="E545" s="315">
        <v>42276.0</v>
      </c>
      <c r="F545" s="312" t="s">
        <v>43</v>
      </c>
      <c r="G545" s="303" t="s">
        <v>1186</v>
      </c>
      <c r="H545" s="303" t="s">
        <v>1181</v>
      </c>
      <c r="I545" s="303" t="s">
        <v>1180</v>
      </c>
      <c r="J545" s="306">
        <v>0.8</v>
      </c>
      <c r="K545" s="50"/>
      <c r="L545" s="312"/>
      <c r="M545" s="312">
        <v>234.0</v>
      </c>
      <c r="N545" s="312"/>
      <c r="O545" s="312"/>
      <c r="P545" s="315">
        <v>42838.0</v>
      </c>
      <c r="Q545" s="312">
        <v>47860.0</v>
      </c>
      <c r="R545" s="312">
        <v>425.0</v>
      </c>
      <c r="S545" s="316"/>
      <c r="T545" s="317">
        <v>430.38</v>
      </c>
      <c r="U545" s="312" t="s">
        <v>1366</v>
      </c>
      <c r="V545" s="312" t="s">
        <v>1367</v>
      </c>
      <c r="W545" s="50"/>
      <c r="X545" s="50"/>
      <c r="Y545" s="50"/>
      <c r="Z545" s="312"/>
      <c r="AA545" s="50"/>
      <c r="AB545" s="50"/>
      <c r="AC545" s="50"/>
      <c r="AD545" s="50"/>
      <c r="AE545" s="50"/>
    </row>
    <row r="546">
      <c r="A546" s="307">
        <v>42858.53055555555</v>
      </c>
      <c r="B546" s="312" t="s">
        <v>711</v>
      </c>
      <c r="C546" s="303" t="s">
        <v>1177</v>
      </c>
      <c r="D546" s="303" t="s">
        <v>1178</v>
      </c>
      <c r="E546" s="315">
        <v>42276.0</v>
      </c>
      <c r="F546" s="312" t="s">
        <v>43</v>
      </c>
      <c r="G546" s="303" t="s">
        <v>1179</v>
      </c>
      <c r="H546" s="303" t="s">
        <v>1181</v>
      </c>
      <c r="I546" s="303" t="s">
        <v>1180</v>
      </c>
      <c r="J546" s="306">
        <v>0.8</v>
      </c>
      <c r="K546" s="312">
        <v>432.0</v>
      </c>
      <c r="L546" s="312"/>
      <c r="M546" s="312">
        <v>234.0</v>
      </c>
      <c r="N546" s="312"/>
      <c r="O546" s="312"/>
      <c r="P546" s="315">
        <v>42858.0</v>
      </c>
      <c r="Q546" s="312">
        <v>51222.0</v>
      </c>
      <c r="R546" s="312">
        <v>428.0</v>
      </c>
      <c r="S546" s="316"/>
      <c r="T546" s="317">
        <v>433.42</v>
      </c>
      <c r="U546" s="312" t="s">
        <v>1366</v>
      </c>
      <c r="V546" s="312" t="s">
        <v>1367</v>
      </c>
      <c r="W546" s="50"/>
      <c r="X546" s="50"/>
      <c r="Y546" s="50"/>
      <c r="Z546" s="312"/>
      <c r="AA546" s="312"/>
      <c r="AB546" s="50"/>
      <c r="AC546" s="50"/>
      <c r="AD546" s="50"/>
      <c r="AE546" s="50"/>
    </row>
    <row r="547">
      <c r="A547" s="307">
        <v>42907.55</v>
      </c>
      <c r="B547" s="312" t="s">
        <v>711</v>
      </c>
      <c r="C547" s="303" t="s">
        <v>1177</v>
      </c>
      <c r="D547" s="303" t="s">
        <v>1178</v>
      </c>
      <c r="E547" s="315">
        <v>42276.0</v>
      </c>
      <c r="F547" s="312" t="s">
        <v>43</v>
      </c>
      <c r="G547" s="303" t="s">
        <v>1180</v>
      </c>
      <c r="H547" s="303" t="s">
        <v>1180</v>
      </c>
      <c r="I547" s="303" t="s">
        <v>1181</v>
      </c>
      <c r="J547" s="306">
        <v>0.8</v>
      </c>
      <c r="K547" s="312">
        <v>432.0</v>
      </c>
      <c r="L547" s="312"/>
      <c r="M547" s="312">
        <v>234.0</v>
      </c>
      <c r="N547" s="312"/>
      <c r="O547" s="312"/>
      <c r="P547" s="315">
        <v>42907.0</v>
      </c>
      <c r="Q547" s="312">
        <v>53328.0</v>
      </c>
      <c r="R547" s="312">
        <v>427.0</v>
      </c>
      <c r="S547" s="316"/>
      <c r="T547" s="317">
        <v>432.41</v>
      </c>
      <c r="U547" s="312" t="s">
        <v>1366</v>
      </c>
      <c r="V547" s="312" t="s">
        <v>1367</v>
      </c>
      <c r="W547" s="50"/>
      <c r="X547" s="50"/>
      <c r="Y547" s="50"/>
      <c r="Z547" s="312"/>
      <c r="AA547" s="50"/>
      <c r="AB547" s="50"/>
      <c r="AC547" s="50"/>
      <c r="AD547" s="50"/>
      <c r="AE547" s="50"/>
    </row>
    <row r="548">
      <c r="A548" s="307">
        <v>42929.56041666667</v>
      </c>
      <c r="B548" s="312" t="s">
        <v>711</v>
      </c>
      <c r="C548" s="303" t="s">
        <v>1177</v>
      </c>
      <c r="D548" s="303" t="s">
        <v>1178</v>
      </c>
      <c r="E548" s="315">
        <v>42276.0</v>
      </c>
      <c r="F548" s="312" t="s">
        <v>43</v>
      </c>
      <c r="G548" s="303" t="s">
        <v>1180</v>
      </c>
      <c r="H548" s="303" t="s">
        <v>1180</v>
      </c>
      <c r="I548" s="303" t="s">
        <v>1181</v>
      </c>
      <c r="J548" s="306">
        <v>0.8</v>
      </c>
      <c r="K548" s="312">
        <v>432.0</v>
      </c>
      <c r="L548" s="312"/>
      <c r="M548" s="312">
        <v>233.0</v>
      </c>
      <c r="N548" s="312"/>
      <c r="O548" s="312"/>
      <c r="P548" s="315">
        <v>42929.0</v>
      </c>
      <c r="Q548" s="312">
        <v>55201.0</v>
      </c>
      <c r="R548" s="312">
        <v>425.0</v>
      </c>
      <c r="S548" s="316"/>
      <c r="T548" s="317">
        <v>430.38</v>
      </c>
      <c r="U548" s="312" t="s">
        <v>1366</v>
      </c>
      <c r="V548" s="312" t="s">
        <v>1367</v>
      </c>
      <c r="W548" s="50"/>
      <c r="X548" s="50"/>
      <c r="Y548" s="50"/>
      <c r="Z548" s="312"/>
      <c r="AA548" s="50"/>
      <c r="AB548" s="50"/>
      <c r="AC548" s="50"/>
      <c r="AD548" s="50"/>
      <c r="AE548" s="50"/>
    </row>
    <row r="549">
      <c r="A549" s="307">
        <v>43000.61111111111</v>
      </c>
      <c r="B549" s="312" t="s">
        <v>711</v>
      </c>
      <c r="C549" s="303" t="s">
        <v>1177</v>
      </c>
      <c r="D549" s="303" t="s">
        <v>1178</v>
      </c>
      <c r="E549" s="315">
        <v>42276.0</v>
      </c>
      <c r="F549" s="312" t="s">
        <v>43</v>
      </c>
      <c r="G549" s="303" t="s">
        <v>1180</v>
      </c>
      <c r="H549" s="303" t="s">
        <v>1180</v>
      </c>
      <c r="I549" s="303" t="s">
        <v>1181</v>
      </c>
      <c r="J549" s="306">
        <v>0.8</v>
      </c>
      <c r="K549" s="312">
        <v>432.0</v>
      </c>
      <c r="L549" s="312"/>
      <c r="M549" s="312">
        <v>233.0</v>
      </c>
      <c r="N549" s="312"/>
      <c r="O549" s="312"/>
      <c r="P549" s="315">
        <v>43000.0</v>
      </c>
      <c r="Q549" s="312">
        <v>63637.0</v>
      </c>
      <c r="R549" s="312">
        <v>422.0</v>
      </c>
      <c r="S549" s="316"/>
      <c r="T549" s="317">
        <v>427.34</v>
      </c>
      <c r="U549" s="312" t="s">
        <v>1366</v>
      </c>
      <c r="V549" s="312" t="s">
        <v>1367</v>
      </c>
      <c r="W549" s="50"/>
      <c r="X549" s="50"/>
      <c r="Y549" s="50"/>
      <c r="Z549" s="312"/>
      <c r="AA549" s="50"/>
      <c r="AB549" s="50"/>
      <c r="AC549" s="50"/>
      <c r="AD549" s="50"/>
      <c r="AE549" s="50"/>
    </row>
    <row r="550">
      <c r="A550" s="307">
        <v>43003.611805555556</v>
      </c>
      <c r="B550" s="312" t="s">
        <v>1014</v>
      </c>
      <c r="C550" s="303" t="s">
        <v>1177</v>
      </c>
      <c r="D550" s="303" t="s">
        <v>1178</v>
      </c>
      <c r="E550" s="315">
        <v>42994.0</v>
      </c>
      <c r="F550" s="312" t="s">
        <v>62</v>
      </c>
      <c r="G550" s="303" t="s">
        <v>1180</v>
      </c>
      <c r="H550" s="303" t="s">
        <v>1180</v>
      </c>
      <c r="I550" s="303" t="s">
        <v>1181</v>
      </c>
      <c r="J550" s="306">
        <v>0.8</v>
      </c>
      <c r="K550" s="312">
        <v>453.0</v>
      </c>
      <c r="L550" s="312"/>
      <c r="M550" s="312">
        <v>267.0</v>
      </c>
      <c r="N550" s="312"/>
      <c r="O550" s="312"/>
      <c r="P550" s="315">
        <v>43003.0</v>
      </c>
      <c r="Q550" s="312">
        <v>675.0</v>
      </c>
      <c r="R550" s="312">
        <v>453.0</v>
      </c>
      <c r="S550" s="316"/>
      <c r="T550" s="317">
        <v>458.73</v>
      </c>
      <c r="U550" s="312" t="s">
        <v>1366</v>
      </c>
      <c r="V550" s="312" t="s">
        <v>1367</v>
      </c>
      <c r="W550" s="50"/>
      <c r="X550" s="50"/>
      <c r="Y550" s="50"/>
      <c r="Z550" s="312"/>
      <c r="AA550" s="50"/>
      <c r="AB550" s="50"/>
      <c r="AC550" s="50"/>
      <c r="AD550" s="50"/>
      <c r="AE550" s="50"/>
    </row>
    <row r="551">
      <c r="A551" s="307">
        <v>43014.61875</v>
      </c>
      <c r="B551" s="312" t="s">
        <v>1014</v>
      </c>
      <c r="C551" s="303" t="s">
        <v>1177</v>
      </c>
      <c r="D551" s="303" t="s">
        <v>1178</v>
      </c>
      <c r="E551" s="315">
        <v>42994.0</v>
      </c>
      <c r="F551" s="312" t="s">
        <v>62</v>
      </c>
      <c r="G551" s="303" t="s">
        <v>1180</v>
      </c>
      <c r="H551" s="303" t="s">
        <v>1180</v>
      </c>
      <c r="I551" s="303" t="s">
        <v>1181</v>
      </c>
      <c r="J551" s="306">
        <v>0.8</v>
      </c>
      <c r="K551" s="312">
        <v>453.0</v>
      </c>
      <c r="L551" s="312"/>
      <c r="M551" s="312">
        <v>268.0</v>
      </c>
      <c r="N551" s="312"/>
      <c r="O551" s="312"/>
      <c r="P551" s="315">
        <v>43014.0</v>
      </c>
      <c r="Q551" s="312">
        <v>1327.0</v>
      </c>
      <c r="R551" s="312">
        <v>459.0</v>
      </c>
      <c r="S551" s="316"/>
      <c r="T551" s="317">
        <v>464.81</v>
      </c>
      <c r="U551" s="312" t="s">
        <v>1366</v>
      </c>
      <c r="V551" s="312" t="s">
        <v>1367</v>
      </c>
      <c r="W551" s="50"/>
      <c r="X551" s="50"/>
      <c r="Y551" s="50"/>
      <c r="Z551" s="312"/>
      <c r="AA551" s="50"/>
      <c r="AB551" s="50"/>
      <c r="AC551" s="50"/>
      <c r="AD551" s="50"/>
      <c r="AE551" s="50"/>
    </row>
    <row r="552">
      <c r="A552" s="307">
        <v>43097.654861111114</v>
      </c>
      <c r="B552" s="312" t="s">
        <v>1014</v>
      </c>
      <c r="C552" s="303" t="s">
        <v>1177</v>
      </c>
      <c r="D552" s="303" t="s">
        <v>1178</v>
      </c>
      <c r="E552" s="315">
        <v>42994.0</v>
      </c>
      <c r="F552" s="312" t="s">
        <v>62</v>
      </c>
      <c r="G552" s="303" t="s">
        <v>1180</v>
      </c>
      <c r="H552" s="303" t="s">
        <v>1180</v>
      </c>
      <c r="I552" s="303" t="s">
        <v>1181</v>
      </c>
      <c r="J552" s="306">
        <v>0.8</v>
      </c>
      <c r="K552" s="312">
        <v>453.0</v>
      </c>
      <c r="L552" s="312"/>
      <c r="M552" s="312">
        <v>286.0</v>
      </c>
      <c r="N552" s="312"/>
      <c r="O552" s="312"/>
      <c r="P552" s="315">
        <v>43097.0</v>
      </c>
      <c r="Q552" s="312">
        <v>8600.0</v>
      </c>
      <c r="R552" s="312">
        <v>457.0</v>
      </c>
      <c r="S552" s="316"/>
      <c r="T552" s="317">
        <v>462.78</v>
      </c>
      <c r="U552" s="312" t="s">
        <v>1366</v>
      </c>
      <c r="V552" s="312" t="s">
        <v>1367</v>
      </c>
      <c r="W552" s="50"/>
      <c r="X552" s="50"/>
      <c r="Y552" s="50"/>
      <c r="Z552" s="312"/>
      <c r="AA552" s="50"/>
      <c r="AB552" s="50"/>
      <c r="AC552" s="50"/>
      <c r="AD552" s="50"/>
      <c r="AE552" s="50"/>
    </row>
    <row r="553">
      <c r="A553" s="307">
        <v>43167.70416666667</v>
      </c>
      <c r="B553" s="312" t="s">
        <v>1014</v>
      </c>
      <c r="C553" s="303" t="s">
        <v>1177</v>
      </c>
      <c r="D553" s="303" t="s">
        <v>1178</v>
      </c>
      <c r="E553" s="315">
        <v>42994.0</v>
      </c>
      <c r="F553" s="312" t="s">
        <v>62</v>
      </c>
      <c r="G553" s="303" t="s">
        <v>1180</v>
      </c>
      <c r="H553" s="303" t="s">
        <v>1181</v>
      </c>
      <c r="I553" s="303" t="s">
        <v>1181</v>
      </c>
      <c r="J553" s="306">
        <v>0.9</v>
      </c>
      <c r="K553" s="312">
        <v>453.0</v>
      </c>
      <c r="L553" s="312"/>
      <c r="M553" s="312">
        <v>292.0</v>
      </c>
      <c r="N553" s="312"/>
      <c r="O553" s="312"/>
      <c r="P553" s="315">
        <v>43167.0</v>
      </c>
      <c r="Q553" s="312">
        <v>14054.0</v>
      </c>
      <c r="R553" s="312">
        <v>456.0</v>
      </c>
      <c r="S553" s="316"/>
      <c r="T553" s="317">
        <v>461.77</v>
      </c>
      <c r="U553" s="312" t="s">
        <v>1366</v>
      </c>
      <c r="V553" s="312" t="s">
        <v>1367</v>
      </c>
      <c r="W553" s="50"/>
      <c r="X553" s="50"/>
      <c r="Y553" s="50"/>
      <c r="Z553" s="312"/>
      <c r="AA553" s="50"/>
      <c r="AB553" s="50"/>
      <c r="AC553" s="50"/>
      <c r="AD553" s="50"/>
      <c r="AE553" s="50"/>
    </row>
    <row r="554">
      <c r="A554" s="307">
        <v>43196.71597222222</v>
      </c>
      <c r="B554" s="312" t="s">
        <v>1014</v>
      </c>
      <c r="C554" s="303" t="s">
        <v>1177</v>
      </c>
      <c r="D554" s="303" t="s">
        <v>1178</v>
      </c>
      <c r="E554" s="315">
        <v>42994.0</v>
      </c>
      <c r="F554" s="312" t="s">
        <v>62</v>
      </c>
      <c r="G554" s="303" t="s">
        <v>1179</v>
      </c>
      <c r="H554" s="303" t="s">
        <v>1180</v>
      </c>
      <c r="I554" s="303" t="s">
        <v>1181</v>
      </c>
      <c r="J554" s="306">
        <v>0.9</v>
      </c>
      <c r="K554" s="312">
        <v>453.0</v>
      </c>
      <c r="L554" s="312"/>
      <c r="M554" s="312">
        <v>288.0</v>
      </c>
      <c r="N554" s="312"/>
      <c r="O554" s="312"/>
      <c r="P554" s="315">
        <v>43196.0</v>
      </c>
      <c r="Q554" s="312">
        <v>17449.0</v>
      </c>
      <c r="R554" s="312">
        <v>456.0</v>
      </c>
      <c r="S554" s="316"/>
      <c r="T554" s="317">
        <v>461.77</v>
      </c>
      <c r="U554" s="312" t="s">
        <v>1366</v>
      </c>
      <c r="V554" s="312" t="s">
        <v>1367</v>
      </c>
      <c r="W554" s="50"/>
      <c r="X554" s="50"/>
      <c r="Y554" s="50"/>
      <c r="Z554" s="312"/>
      <c r="AA554" s="50"/>
      <c r="AB554" s="50"/>
      <c r="AC554" s="50"/>
      <c r="AD554" s="50"/>
      <c r="AE554" s="50"/>
    </row>
    <row r="555">
      <c r="A555" s="307">
        <v>42338.23402777778</v>
      </c>
      <c r="B555" s="312" t="s">
        <v>1097</v>
      </c>
      <c r="C555" s="303" t="s">
        <v>1177</v>
      </c>
      <c r="D555" s="303" t="s">
        <v>1178</v>
      </c>
      <c r="E555" s="315">
        <v>41593.0</v>
      </c>
      <c r="F555" s="312" t="s">
        <v>30</v>
      </c>
      <c r="G555" s="303" t="s">
        <v>1186</v>
      </c>
      <c r="H555" s="303" t="s">
        <v>1186</v>
      </c>
      <c r="I555" s="303" t="s">
        <v>1187</v>
      </c>
      <c r="J555" s="306">
        <v>0.8</v>
      </c>
      <c r="K555" s="312">
        <v>400.0</v>
      </c>
      <c r="L555" s="312"/>
      <c r="M555" s="312">
        <v>223.0</v>
      </c>
      <c r="N555" s="312"/>
      <c r="O555" s="312"/>
      <c r="P555" s="315">
        <v>42338.0</v>
      </c>
      <c r="Q555" s="312">
        <v>24281.0</v>
      </c>
      <c r="R555" s="312">
        <v>377.0</v>
      </c>
      <c r="S555" s="316"/>
      <c r="T555" s="317">
        <v>381.77</v>
      </c>
      <c r="U555" s="312" t="s">
        <v>1366</v>
      </c>
      <c r="V555" s="312" t="s">
        <v>1367</v>
      </c>
      <c r="W555" s="50"/>
      <c r="X555" s="50"/>
      <c r="Y555" s="50"/>
      <c r="Z555" s="312"/>
      <c r="AA555" s="50"/>
      <c r="AB555" s="50"/>
      <c r="AC555" s="50"/>
      <c r="AD555" s="50"/>
      <c r="AE555" s="50"/>
    </row>
    <row r="556">
      <c r="A556" s="307">
        <v>42216.14861111111</v>
      </c>
      <c r="B556" s="312" t="s">
        <v>939</v>
      </c>
      <c r="C556" s="303" t="s">
        <v>1177</v>
      </c>
      <c r="D556" s="303" t="s">
        <v>1178</v>
      </c>
      <c r="E556" s="315">
        <v>41331.0</v>
      </c>
      <c r="F556" s="312" t="s">
        <v>32</v>
      </c>
      <c r="G556" s="303" t="s">
        <v>1187</v>
      </c>
      <c r="H556" s="312"/>
      <c r="I556" s="312"/>
      <c r="J556" s="306"/>
      <c r="K556" s="50"/>
      <c r="L556" s="312"/>
      <c r="M556" s="312">
        <v>200.0</v>
      </c>
      <c r="N556" s="312"/>
      <c r="O556" s="312"/>
      <c r="P556" s="315">
        <v>42216.0</v>
      </c>
      <c r="Q556" s="312">
        <v>63067.0</v>
      </c>
      <c r="R556" s="312">
        <v>379.0</v>
      </c>
      <c r="S556" s="316"/>
      <c r="T556" s="317">
        <v>383.8</v>
      </c>
      <c r="U556" s="312" t="s">
        <v>1366</v>
      </c>
      <c r="V556" s="312" t="s">
        <v>1367</v>
      </c>
      <c r="W556" s="50"/>
      <c r="X556" s="50"/>
      <c r="Y556" s="50"/>
      <c r="Z556" s="312"/>
      <c r="AA556" s="312" t="s">
        <v>1514</v>
      </c>
      <c r="AB556" s="50"/>
      <c r="AC556" s="50"/>
      <c r="AD556" s="50"/>
      <c r="AE556" s="50"/>
    </row>
    <row r="557">
      <c r="A557" s="307">
        <v>42907.54861111111</v>
      </c>
      <c r="B557" s="312" t="s">
        <v>910</v>
      </c>
      <c r="C557" s="303" t="s">
        <v>1177</v>
      </c>
      <c r="D557" s="303" t="s">
        <v>1178</v>
      </c>
      <c r="E557" s="315">
        <v>42621.0</v>
      </c>
      <c r="F557" s="312" t="s">
        <v>22</v>
      </c>
      <c r="G557" s="303" t="s">
        <v>1205</v>
      </c>
      <c r="H557" s="303" t="s">
        <v>1181</v>
      </c>
      <c r="I557" s="303" t="s">
        <v>1187</v>
      </c>
      <c r="J557" s="306">
        <v>0.9</v>
      </c>
      <c r="K557" s="312">
        <v>360.0</v>
      </c>
      <c r="L557" s="312"/>
      <c r="M557" s="312">
        <v>210.0</v>
      </c>
      <c r="N557" s="312"/>
      <c r="O557" s="312"/>
      <c r="P557" s="315">
        <v>42907.0</v>
      </c>
      <c r="Q557" s="312">
        <v>38000.0</v>
      </c>
      <c r="R557" s="312">
        <v>343.0</v>
      </c>
      <c r="S557" s="316"/>
      <c r="T557" s="317">
        <v>347.34</v>
      </c>
      <c r="U557" s="312" t="s">
        <v>1366</v>
      </c>
      <c r="V557" s="312" t="s">
        <v>1367</v>
      </c>
      <c r="W557" s="50"/>
      <c r="X557" s="50"/>
      <c r="Y557" s="50"/>
      <c r="Z557" s="312"/>
      <c r="AA557" s="50"/>
      <c r="AB557" s="50"/>
      <c r="AC557" s="50"/>
      <c r="AD557" s="50"/>
      <c r="AE557" s="50"/>
    </row>
    <row r="558">
      <c r="A558" s="307">
        <v>42950.56736111111</v>
      </c>
      <c r="B558" s="312" t="s">
        <v>910</v>
      </c>
      <c r="C558" s="303" t="s">
        <v>1177</v>
      </c>
      <c r="D558" s="303" t="s">
        <v>1178</v>
      </c>
      <c r="E558" s="315">
        <v>42621.0</v>
      </c>
      <c r="F558" s="312" t="s">
        <v>22</v>
      </c>
      <c r="G558" s="303" t="s">
        <v>1205</v>
      </c>
      <c r="H558" s="303" t="s">
        <v>1181</v>
      </c>
      <c r="I558" s="303" t="s">
        <v>1187</v>
      </c>
      <c r="J558" s="306">
        <v>0.9</v>
      </c>
      <c r="K558" s="312">
        <v>360.0</v>
      </c>
      <c r="L558" s="312"/>
      <c r="M558" s="312">
        <v>205.0</v>
      </c>
      <c r="N558" s="312"/>
      <c r="O558" s="312"/>
      <c r="P558" s="315">
        <v>42950.0</v>
      </c>
      <c r="Q558" s="312">
        <v>42193.0</v>
      </c>
      <c r="R558" s="312">
        <v>342.04</v>
      </c>
      <c r="S558" s="316"/>
      <c r="T558" s="317">
        <v>346.37</v>
      </c>
      <c r="U558" s="312" t="s">
        <v>1366</v>
      </c>
      <c r="V558" s="312" t="s">
        <v>1367</v>
      </c>
      <c r="W558" s="50"/>
      <c r="X558" s="50"/>
      <c r="Y558" s="50"/>
      <c r="Z558" s="312"/>
      <c r="AA558" s="50"/>
      <c r="AB558" s="50"/>
      <c r="AC558" s="50"/>
      <c r="AD558" s="50"/>
      <c r="AE558" s="50"/>
    </row>
    <row r="559">
      <c r="A559" s="307">
        <v>42979.597916666666</v>
      </c>
      <c r="B559" s="312" t="s">
        <v>910</v>
      </c>
      <c r="C559" s="303" t="s">
        <v>1177</v>
      </c>
      <c r="D559" s="303" t="s">
        <v>1178</v>
      </c>
      <c r="E559" s="315">
        <v>42621.0</v>
      </c>
      <c r="F559" s="312" t="s">
        <v>22</v>
      </c>
      <c r="G559" s="303" t="s">
        <v>1205</v>
      </c>
      <c r="H559" s="303" t="s">
        <v>1181</v>
      </c>
      <c r="I559" s="303" t="s">
        <v>1187</v>
      </c>
      <c r="J559" s="306">
        <v>0.9</v>
      </c>
      <c r="K559" s="312">
        <v>360.0</v>
      </c>
      <c r="L559" s="312"/>
      <c r="M559" s="312">
        <v>202.0</v>
      </c>
      <c r="N559" s="312"/>
      <c r="O559" s="312"/>
      <c r="P559" s="315">
        <v>42979.0</v>
      </c>
      <c r="Q559" s="312">
        <v>46445.0</v>
      </c>
      <c r="R559" s="312">
        <v>345.0</v>
      </c>
      <c r="S559" s="316"/>
      <c r="T559" s="317">
        <v>349.37</v>
      </c>
      <c r="U559" s="312" t="s">
        <v>1366</v>
      </c>
      <c r="V559" s="312" t="s">
        <v>1367</v>
      </c>
      <c r="W559" s="50"/>
      <c r="X559" s="50"/>
      <c r="Y559" s="50"/>
      <c r="Z559" s="312"/>
      <c r="AA559" s="50"/>
      <c r="AB559" s="50"/>
      <c r="AC559" s="50"/>
      <c r="AD559" s="50"/>
      <c r="AE559" s="50"/>
    </row>
    <row r="560">
      <c r="A560" s="307">
        <v>43061.63680555556</v>
      </c>
      <c r="B560" s="312" t="s">
        <v>910</v>
      </c>
      <c r="C560" s="303" t="s">
        <v>1177</v>
      </c>
      <c r="D560" s="303" t="s">
        <v>1178</v>
      </c>
      <c r="E560" s="315">
        <v>42621.0</v>
      </c>
      <c r="F560" s="312" t="s">
        <v>22</v>
      </c>
      <c r="G560" s="303" t="s">
        <v>1205</v>
      </c>
      <c r="H560" s="303" t="s">
        <v>1186</v>
      </c>
      <c r="I560" s="303" t="s">
        <v>1187</v>
      </c>
      <c r="J560" s="306">
        <v>0.9</v>
      </c>
      <c r="K560" s="312">
        <v>353.0</v>
      </c>
      <c r="L560" s="312"/>
      <c r="M560" s="312">
        <v>205.0</v>
      </c>
      <c r="N560" s="312"/>
      <c r="O560" s="312"/>
      <c r="P560" s="315">
        <v>43061.0</v>
      </c>
      <c r="Q560" s="312">
        <v>55355.0</v>
      </c>
      <c r="R560" s="312">
        <v>340.0</v>
      </c>
      <c r="S560" s="316"/>
      <c r="T560" s="317">
        <v>344.3</v>
      </c>
      <c r="U560" s="312" t="s">
        <v>1366</v>
      </c>
      <c r="V560" s="312" t="s">
        <v>1367</v>
      </c>
      <c r="W560" s="50"/>
      <c r="X560" s="50"/>
      <c r="Y560" s="50"/>
      <c r="Z560" s="312"/>
      <c r="AA560" s="50"/>
      <c r="AB560" s="50"/>
      <c r="AC560" s="50"/>
      <c r="AD560" s="50"/>
      <c r="AE560" s="50"/>
    </row>
    <row r="561">
      <c r="A561" s="307">
        <v>43110.663194444445</v>
      </c>
      <c r="B561" s="312" t="s">
        <v>910</v>
      </c>
      <c r="C561" s="303" t="s">
        <v>1177</v>
      </c>
      <c r="D561" s="303" t="s">
        <v>1178</v>
      </c>
      <c r="E561" s="315">
        <v>42621.0</v>
      </c>
      <c r="F561" s="312" t="s">
        <v>22</v>
      </c>
      <c r="G561" s="303" t="s">
        <v>1205</v>
      </c>
      <c r="H561" s="303" t="s">
        <v>1180</v>
      </c>
      <c r="I561" s="303" t="s">
        <v>1187</v>
      </c>
      <c r="J561" s="306">
        <v>0.9</v>
      </c>
      <c r="K561" s="312">
        <v>352.0</v>
      </c>
      <c r="L561" s="312"/>
      <c r="M561" s="312">
        <v>204.0</v>
      </c>
      <c r="N561" s="312"/>
      <c r="O561" s="312"/>
      <c r="P561" s="315">
        <v>43110.0</v>
      </c>
      <c r="Q561" s="312">
        <v>60219.0</v>
      </c>
      <c r="R561" s="312">
        <v>342.0</v>
      </c>
      <c r="S561" s="316"/>
      <c r="T561" s="317">
        <v>346.33</v>
      </c>
      <c r="U561" s="312" t="s">
        <v>1366</v>
      </c>
      <c r="V561" s="312" t="s">
        <v>1367</v>
      </c>
      <c r="W561" s="50"/>
      <c r="X561" s="50"/>
      <c r="Y561" s="50"/>
      <c r="Z561" s="312"/>
      <c r="AA561" s="50"/>
      <c r="AB561" s="50"/>
      <c r="AC561" s="50"/>
      <c r="AD561" s="50"/>
      <c r="AE561" s="50"/>
    </row>
    <row r="562">
      <c r="A562" s="307">
        <v>43187.711805555555</v>
      </c>
      <c r="B562" s="312" t="s">
        <v>910</v>
      </c>
      <c r="C562" s="303" t="s">
        <v>1177</v>
      </c>
      <c r="D562" s="303" t="s">
        <v>1178</v>
      </c>
      <c r="E562" s="315">
        <v>42621.0</v>
      </c>
      <c r="F562" s="312" t="s">
        <v>22</v>
      </c>
      <c r="G562" s="303" t="s">
        <v>1205</v>
      </c>
      <c r="H562" s="303" t="s">
        <v>1181</v>
      </c>
      <c r="I562" s="312"/>
      <c r="J562" s="306"/>
      <c r="K562" s="50"/>
      <c r="L562" s="312"/>
      <c r="M562" s="312">
        <v>212.0</v>
      </c>
      <c r="N562" s="312"/>
      <c r="O562" s="312"/>
      <c r="P562" s="315">
        <v>43187.0</v>
      </c>
      <c r="Q562" s="312">
        <v>69089.0</v>
      </c>
      <c r="R562" s="312">
        <v>343.0</v>
      </c>
      <c r="S562" s="316"/>
      <c r="T562" s="317">
        <v>347.34</v>
      </c>
      <c r="U562" s="312" t="s">
        <v>1366</v>
      </c>
      <c r="V562" s="312" t="s">
        <v>1367</v>
      </c>
      <c r="W562" s="50"/>
      <c r="X562" s="50"/>
      <c r="Y562" s="50"/>
      <c r="Z562" s="312"/>
      <c r="AA562" s="50"/>
      <c r="AB562" s="50"/>
      <c r="AC562" s="50"/>
      <c r="AD562" s="50"/>
      <c r="AE562" s="50"/>
    </row>
    <row r="563">
      <c r="A563" s="307">
        <v>43216.73055555556</v>
      </c>
      <c r="B563" s="312" t="s">
        <v>910</v>
      </c>
      <c r="C563" s="303" t="s">
        <v>1177</v>
      </c>
      <c r="D563" s="303" t="s">
        <v>1178</v>
      </c>
      <c r="E563" s="315">
        <v>42621.0</v>
      </c>
      <c r="F563" s="312" t="s">
        <v>22</v>
      </c>
      <c r="G563" s="303" t="s">
        <v>1205</v>
      </c>
      <c r="H563" s="303" t="s">
        <v>1186</v>
      </c>
      <c r="I563" s="303" t="s">
        <v>1187</v>
      </c>
      <c r="J563" s="306">
        <v>0.9</v>
      </c>
      <c r="K563" s="312">
        <v>360.0</v>
      </c>
      <c r="L563" s="312"/>
      <c r="M563" s="312">
        <v>214.0</v>
      </c>
      <c r="N563" s="312"/>
      <c r="O563" s="312"/>
      <c r="P563" s="315">
        <v>43216.0</v>
      </c>
      <c r="Q563" s="312">
        <v>72027.0</v>
      </c>
      <c r="R563" s="312">
        <v>344.0</v>
      </c>
      <c r="S563" s="316"/>
      <c r="T563" s="317">
        <v>348.35</v>
      </c>
      <c r="U563" s="312" t="s">
        <v>1366</v>
      </c>
      <c r="V563" s="312" t="s">
        <v>1367</v>
      </c>
      <c r="W563" s="50"/>
      <c r="X563" s="50"/>
      <c r="Y563" s="50"/>
      <c r="Z563" s="312"/>
      <c r="AA563" s="50"/>
      <c r="AB563" s="50"/>
      <c r="AC563" s="50"/>
      <c r="AD563" s="50"/>
      <c r="AE563" s="50"/>
    </row>
    <row r="564">
      <c r="A564" s="307">
        <v>43015.620833333334</v>
      </c>
      <c r="B564" s="312" t="s">
        <v>1029</v>
      </c>
      <c r="C564" s="303" t="s">
        <v>1177</v>
      </c>
      <c r="D564" s="303" t="s">
        <v>1178</v>
      </c>
      <c r="E564" s="315">
        <v>42522.0</v>
      </c>
      <c r="F564" s="312" t="s">
        <v>43</v>
      </c>
      <c r="G564" s="303" t="s">
        <v>1179</v>
      </c>
      <c r="H564" s="303" t="s">
        <v>1186</v>
      </c>
      <c r="I564" s="303" t="s">
        <v>1186</v>
      </c>
      <c r="J564" s="306">
        <v>0.8</v>
      </c>
      <c r="K564" s="50"/>
      <c r="L564" s="312"/>
      <c r="M564" s="312">
        <v>214.0</v>
      </c>
      <c r="N564" s="312"/>
      <c r="O564" s="312"/>
      <c r="P564" s="315">
        <v>43015.0</v>
      </c>
      <c r="Q564" s="312">
        <v>33886.0</v>
      </c>
      <c r="R564" s="312">
        <v>445.0</v>
      </c>
      <c r="S564" s="316"/>
      <c r="T564" s="317">
        <v>445.0</v>
      </c>
      <c r="U564" s="312" t="s">
        <v>1369</v>
      </c>
      <c r="V564" s="312" t="s">
        <v>1367</v>
      </c>
      <c r="W564" s="50"/>
      <c r="X564" s="50"/>
      <c r="Y564" s="50"/>
      <c r="Z564" s="312"/>
      <c r="AA564" s="50"/>
      <c r="AB564" s="50"/>
      <c r="AC564" s="50"/>
      <c r="AD564" s="50"/>
      <c r="AE564" s="50"/>
    </row>
    <row r="565">
      <c r="A565" s="307">
        <v>42887.54236111111</v>
      </c>
      <c r="B565" s="312" t="s">
        <v>890</v>
      </c>
      <c r="C565" s="303" t="s">
        <v>1177</v>
      </c>
      <c r="D565" s="303" t="s">
        <v>1178</v>
      </c>
      <c r="E565" s="315">
        <v>42853.0</v>
      </c>
      <c r="F565" s="312" t="s">
        <v>28</v>
      </c>
      <c r="G565" s="303" t="s">
        <v>1190</v>
      </c>
      <c r="H565" s="303" t="s">
        <v>1180</v>
      </c>
      <c r="I565" s="303" t="s">
        <v>1181</v>
      </c>
      <c r="J565" s="306">
        <v>0.9</v>
      </c>
      <c r="K565" s="312">
        <v>384.0</v>
      </c>
      <c r="L565" s="312"/>
      <c r="M565" s="312">
        <v>190.0</v>
      </c>
      <c r="N565" s="312"/>
      <c r="O565" s="312"/>
      <c r="P565" s="315">
        <v>42887.0</v>
      </c>
      <c r="Q565" s="312">
        <v>3272.0</v>
      </c>
      <c r="R565" s="312">
        <v>388.0</v>
      </c>
      <c r="S565" s="316"/>
      <c r="T565" s="317">
        <v>388.0</v>
      </c>
      <c r="U565" s="312" t="s">
        <v>1369</v>
      </c>
      <c r="V565" s="312" t="s">
        <v>1367</v>
      </c>
      <c r="W565" s="50"/>
      <c r="X565" s="50"/>
      <c r="Y565" s="50"/>
      <c r="Z565" s="312"/>
      <c r="AA565" s="50"/>
      <c r="AB565" s="50"/>
      <c r="AC565" s="50"/>
      <c r="AD565" s="50"/>
      <c r="AE565" s="50"/>
    </row>
    <row r="566">
      <c r="A566" s="307">
        <v>42978.595138888886</v>
      </c>
      <c r="B566" s="312" t="s">
        <v>890</v>
      </c>
      <c r="C566" s="303" t="s">
        <v>1177</v>
      </c>
      <c r="D566" s="303" t="s">
        <v>1178</v>
      </c>
      <c r="E566" s="315">
        <v>42853.0</v>
      </c>
      <c r="F566" s="312" t="s">
        <v>28</v>
      </c>
      <c r="G566" s="303" t="s">
        <v>1190</v>
      </c>
      <c r="H566" s="303" t="s">
        <v>1181</v>
      </c>
      <c r="I566" s="303" t="s">
        <v>1181</v>
      </c>
      <c r="J566" s="306">
        <v>0.9</v>
      </c>
      <c r="K566" s="50"/>
      <c r="L566" s="312"/>
      <c r="M566" s="312">
        <v>179.0</v>
      </c>
      <c r="N566" s="312"/>
      <c r="O566" s="312"/>
      <c r="P566" s="315">
        <v>42978.0</v>
      </c>
      <c r="Q566" s="312">
        <v>10025.0</v>
      </c>
      <c r="R566" s="312">
        <v>379.0</v>
      </c>
      <c r="S566" s="316"/>
      <c r="T566" s="317">
        <v>379.0</v>
      </c>
      <c r="U566" s="312" t="s">
        <v>1369</v>
      </c>
      <c r="V566" s="312" t="s">
        <v>1367</v>
      </c>
      <c r="W566" s="50"/>
      <c r="X566" s="50"/>
      <c r="Y566" s="50"/>
      <c r="Z566" s="312"/>
      <c r="AA566" s="50"/>
      <c r="AB566" s="50"/>
      <c r="AC566" s="50"/>
      <c r="AD566" s="50"/>
      <c r="AE566" s="50"/>
    </row>
    <row r="567">
      <c r="A567" s="307">
        <v>42984.924305555556</v>
      </c>
      <c r="B567" s="312" t="s">
        <v>990</v>
      </c>
      <c r="C567" s="312" t="s">
        <v>1197</v>
      </c>
      <c r="D567" s="303" t="s">
        <v>1178</v>
      </c>
      <c r="E567" s="315">
        <v>41685.0</v>
      </c>
      <c r="F567" s="312" t="s">
        <v>12</v>
      </c>
      <c r="G567" s="303" t="s">
        <v>1180</v>
      </c>
      <c r="H567" s="303" t="s">
        <v>1180</v>
      </c>
      <c r="I567" s="303" t="s">
        <v>1181</v>
      </c>
      <c r="J567" s="306">
        <v>0.9</v>
      </c>
      <c r="K567" s="312">
        <v>335.0</v>
      </c>
      <c r="L567" s="312"/>
      <c r="M567" s="312">
        <v>220.0</v>
      </c>
      <c r="N567" s="312"/>
      <c r="O567" s="312"/>
      <c r="P567" s="315">
        <v>42984.0</v>
      </c>
      <c r="Q567" s="312">
        <v>92242.0</v>
      </c>
      <c r="R567" s="312">
        <v>298.0</v>
      </c>
      <c r="S567" s="316"/>
      <c r="T567" s="317">
        <v>301.77</v>
      </c>
      <c r="U567" s="312" t="s">
        <v>1366</v>
      </c>
      <c r="V567" s="312" t="s">
        <v>1367</v>
      </c>
      <c r="W567" s="50"/>
      <c r="X567" s="50"/>
      <c r="Y567" s="50"/>
      <c r="Z567" s="312"/>
      <c r="AA567" s="50"/>
      <c r="AB567" s="50"/>
      <c r="AC567" s="50"/>
      <c r="AD567" s="50"/>
      <c r="AE567" s="50"/>
    </row>
    <row r="568">
      <c r="A568" s="307">
        <v>42026.063888888886</v>
      </c>
      <c r="B568" s="50" t="s">
        <v>751</v>
      </c>
      <c r="C568" s="303" t="s">
        <v>1177</v>
      </c>
      <c r="D568" s="303" t="s">
        <v>1178</v>
      </c>
      <c r="E568" s="310">
        <v>41603.0</v>
      </c>
      <c r="F568" s="312" t="s">
        <v>34</v>
      </c>
      <c r="G568" s="303" t="s">
        <v>1179</v>
      </c>
      <c r="H568" s="303" t="s">
        <v>1180</v>
      </c>
      <c r="I568" s="303" t="s">
        <v>1187</v>
      </c>
      <c r="J568" s="306"/>
      <c r="K568" s="50"/>
      <c r="L568" s="50"/>
      <c r="M568" s="50">
        <v>228.0</v>
      </c>
      <c r="N568" s="50"/>
      <c r="O568" s="312"/>
      <c r="P568" s="310">
        <v>42026.0</v>
      </c>
      <c r="Q568" s="50">
        <v>36000.0</v>
      </c>
      <c r="R568" s="50">
        <v>379.0</v>
      </c>
      <c r="S568" s="318"/>
      <c r="T568" s="317">
        <v>383.8</v>
      </c>
      <c r="U568" s="312" t="s">
        <v>1366</v>
      </c>
      <c r="V568" s="312" t="s">
        <v>1367</v>
      </c>
      <c r="W568" s="50"/>
      <c r="X568" s="50"/>
      <c r="Y568" s="50"/>
      <c r="Z568" s="312"/>
      <c r="AA568" s="50" t="s">
        <v>1515</v>
      </c>
      <c r="AB568" s="50"/>
      <c r="AC568" s="50"/>
      <c r="AD568" s="50"/>
      <c r="AE568" s="50"/>
    </row>
    <row r="569">
      <c r="A569" s="307">
        <v>42083.086805555555</v>
      </c>
      <c r="B569" s="312" t="s">
        <v>751</v>
      </c>
      <c r="C569" s="303" t="s">
        <v>1177</v>
      </c>
      <c r="D569" s="303" t="s">
        <v>1178</v>
      </c>
      <c r="E569" s="315">
        <v>41603.0</v>
      </c>
      <c r="F569" s="312" t="s">
        <v>34</v>
      </c>
      <c r="G569" s="303" t="s">
        <v>1179</v>
      </c>
      <c r="H569" s="303" t="s">
        <v>1179</v>
      </c>
      <c r="I569" s="303" t="s">
        <v>1187</v>
      </c>
      <c r="J569" s="306"/>
      <c r="K569" s="50"/>
      <c r="L569" s="312"/>
      <c r="M569" s="312">
        <v>228.0</v>
      </c>
      <c r="N569" s="50"/>
      <c r="O569" s="312"/>
      <c r="P569" s="315">
        <v>42083.0</v>
      </c>
      <c r="Q569" s="312">
        <v>41000.0</v>
      </c>
      <c r="R569" s="312">
        <v>374.0</v>
      </c>
      <c r="S569" s="316"/>
      <c r="T569" s="317">
        <v>378.73</v>
      </c>
      <c r="U569" s="312" t="s">
        <v>1366</v>
      </c>
      <c r="V569" s="312" t="s">
        <v>1367</v>
      </c>
      <c r="W569" s="50"/>
      <c r="X569" s="50"/>
      <c r="Y569" s="50"/>
      <c r="Z569" s="312"/>
      <c r="AA569" s="312" t="s">
        <v>1516</v>
      </c>
      <c r="AB569" s="50"/>
      <c r="AC569" s="50"/>
      <c r="AD569" s="50"/>
      <c r="AE569" s="50"/>
    </row>
    <row r="570">
      <c r="A570" s="307">
        <v>42113.100694444445</v>
      </c>
      <c r="B570" s="312" t="s">
        <v>751</v>
      </c>
      <c r="C570" s="303" t="s">
        <v>1177</v>
      </c>
      <c r="D570" s="303" t="s">
        <v>1178</v>
      </c>
      <c r="E570" s="310">
        <v>41603.0</v>
      </c>
      <c r="F570" s="312" t="s">
        <v>34</v>
      </c>
      <c r="G570" s="303" t="s">
        <v>1179</v>
      </c>
      <c r="H570" s="303" t="s">
        <v>1179</v>
      </c>
      <c r="I570" s="303" t="s">
        <v>1187</v>
      </c>
      <c r="J570" s="306"/>
      <c r="K570" s="50"/>
      <c r="L570" s="312"/>
      <c r="M570" s="312">
        <v>230.0</v>
      </c>
      <c r="N570" s="50"/>
      <c r="O570" s="312"/>
      <c r="P570" s="315">
        <v>42113.0</v>
      </c>
      <c r="Q570" s="312">
        <v>45800.0</v>
      </c>
      <c r="R570" s="312">
        <v>374.0</v>
      </c>
      <c r="S570" s="316"/>
      <c r="T570" s="317">
        <v>378.73</v>
      </c>
      <c r="U570" s="312" t="s">
        <v>1366</v>
      </c>
      <c r="V570" s="312" t="s">
        <v>1367</v>
      </c>
      <c r="W570" s="50"/>
      <c r="X570" s="50"/>
      <c r="Y570" s="50"/>
      <c r="Z570" s="312"/>
      <c r="AA570" s="50" t="s">
        <v>1515</v>
      </c>
      <c r="AB570" s="50"/>
      <c r="AC570" s="50"/>
      <c r="AD570" s="50"/>
      <c r="AE570" s="50"/>
    </row>
    <row r="571">
      <c r="A571" s="307">
        <v>42167.1375</v>
      </c>
      <c r="B571" s="312" t="s">
        <v>751</v>
      </c>
      <c r="C571" s="303" t="s">
        <v>1177</v>
      </c>
      <c r="D571" s="303" t="s">
        <v>1178</v>
      </c>
      <c r="E571" s="310">
        <v>41603.0</v>
      </c>
      <c r="F571" s="312" t="s">
        <v>34</v>
      </c>
      <c r="G571" s="303" t="s">
        <v>1181</v>
      </c>
      <c r="H571" s="303" t="s">
        <v>1190</v>
      </c>
      <c r="I571" s="303" t="s">
        <v>1187</v>
      </c>
      <c r="J571" s="306">
        <v>0.8</v>
      </c>
      <c r="K571" s="312">
        <v>400.0</v>
      </c>
      <c r="L571" s="312"/>
      <c r="M571" s="312">
        <v>220.0</v>
      </c>
      <c r="N571" s="312"/>
      <c r="O571" s="312"/>
      <c r="P571" s="315">
        <v>42167.0</v>
      </c>
      <c r="Q571" s="312">
        <v>54000.0</v>
      </c>
      <c r="R571" s="312">
        <v>384.0</v>
      </c>
      <c r="S571" s="316"/>
      <c r="T571" s="317">
        <v>388.86</v>
      </c>
      <c r="U571" s="312" t="s">
        <v>1366</v>
      </c>
      <c r="V571" s="312" t="s">
        <v>1367</v>
      </c>
      <c r="W571" s="50"/>
      <c r="X571" s="50"/>
      <c r="Y571" s="50"/>
      <c r="Z571" s="312"/>
      <c r="AA571" s="312" t="s">
        <v>1517</v>
      </c>
      <c r="AB571" s="50"/>
      <c r="AC571" s="50"/>
      <c r="AD571" s="50"/>
      <c r="AE571" s="50"/>
    </row>
    <row r="572">
      <c r="A572" s="307">
        <v>42300.208333333336</v>
      </c>
      <c r="B572" s="312" t="s">
        <v>751</v>
      </c>
      <c r="C572" s="303" t="s">
        <v>1177</v>
      </c>
      <c r="D572" s="303" t="s">
        <v>1178</v>
      </c>
      <c r="E572" s="315">
        <v>41603.0</v>
      </c>
      <c r="F572" s="312" t="s">
        <v>34</v>
      </c>
      <c r="G572" s="312"/>
      <c r="H572" s="312"/>
      <c r="I572" s="312"/>
      <c r="J572" s="306"/>
      <c r="K572" s="50"/>
      <c r="L572" s="312"/>
      <c r="M572" s="312">
        <v>226.0</v>
      </c>
      <c r="N572" s="312"/>
      <c r="O572" s="312"/>
      <c r="P572" s="315">
        <v>42300.0</v>
      </c>
      <c r="Q572" s="312">
        <v>74000.0</v>
      </c>
      <c r="R572" s="312">
        <v>368.0</v>
      </c>
      <c r="S572" s="316"/>
      <c r="T572" s="317">
        <v>372.66</v>
      </c>
      <c r="U572" s="312" t="s">
        <v>1366</v>
      </c>
      <c r="V572" s="312" t="s">
        <v>1367</v>
      </c>
      <c r="W572" s="50"/>
      <c r="X572" s="50"/>
      <c r="Y572" s="50"/>
      <c r="Z572" s="312"/>
      <c r="AA572" s="50"/>
      <c r="AB572" s="50"/>
      <c r="AC572" s="50"/>
      <c r="AD572" s="50"/>
      <c r="AE572" s="50"/>
    </row>
    <row r="573">
      <c r="A573" s="307">
        <v>42348.24444444444</v>
      </c>
      <c r="B573" s="312" t="s">
        <v>751</v>
      </c>
      <c r="C573" s="303" t="s">
        <v>1177</v>
      </c>
      <c r="D573" s="303" t="s">
        <v>1178</v>
      </c>
      <c r="E573" s="315">
        <v>41603.0</v>
      </c>
      <c r="F573" s="312" t="s">
        <v>34</v>
      </c>
      <c r="G573" s="303" t="s">
        <v>1181</v>
      </c>
      <c r="H573" s="303" t="s">
        <v>1190</v>
      </c>
      <c r="I573" s="303" t="s">
        <v>1186</v>
      </c>
      <c r="J573" s="306">
        <v>0.9</v>
      </c>
      <c r="K573" s="312">
        <v>400.0</v>
      </c>
      <c r="L573" s="312"/>
      <c r="M573" s="312">
        <v>224.0</v>
      </c>
      <c r="N573" s="312"/>
      <c r="O573" s="312"/>
      <c r="P573" s="315">
        <v>42348.0</v>
      </c>
      <c r="Q573" s="312">
        <v>80000.0</v>
      </c>
      <c r="R573" s="312">
        <v>361.0</v>
      </c>
      <c r="S573" s="316"/>
      <c r="T573" s="317">
        <v>361.0</v>
      </c>
      <c r="U573" s="312" t="s">
        <v>1369</v>
      </c>
      <c r="V573" s="312" t="s">
        <v>1367</v>
      </c>
      <c r="W573" s="312">
        <v>331.0</v>
      </c>
      <c r="X573" s="312">
        <v>67.0</v>
      </c>
      <c r="Y573" s="312" t="s">
        <v>1518</v>
      </c>
      <c r="Z573" s="312" t="s">
        <v>1366</v>
      </c>
      <c r="AA573" s="312"/>
      <c r="AB573" s="50"/>
      <c r="AC573" s="50"/>
      <c r="AD573" s="50"/>
      <c r="AE573" s="50"/>
    </row>
    <row r="574">
      <c r="A574" s="307">
        <v>42354.25208333333</v>
      </c>
      <c r="B574" s="312" t="s">
        <v>751</v>
      </c>
      <c r="C574" s="303" t="s">
        <v>1177</v>
      </c>
      <c r="D574" s="303" t="s">
        <v>1178</v>
      </c>
      <c r="E574" s="315">
        <v>41603.0</v>
      </c>
      <c r="F574" s="312" t="s">
        <v>34</v>
      </c>
      <c r="G574" s="303" t="s">
        <v>1181</v>
      </c>
      <c r="H574" s="303" t="s">
        <v>1190</v>
      </c>
      <c r="I574" s="303" t="s">
        <v>1181</v>
      </c>
      <c r="J574" s="306">
        <v>0.9</v>
      </c>
      <c r="K574" s="312">
        <v>400.0</v>
      </c>
      <c r="L574" s="312"/>
      <c r="M574" s="312">
        <v>225.0</v>
      </c>
      <c r="N574" s="312"/>
      <c r="O574" s="312"/>
      <c r="P574" s="315">
        <v>42354.0</v>
      </c>
      <c r="Q574" s="312">
        <v>80690.0</v>
      </c>
      <c r="R574" s="312">
        <v>367.0</v>
      </c>
      <c r="S574" s="316"/>
      <c r="T574" s="317">
        <v>371.65</v>
      </c>
      <c r="U574" s="312" t="s">
        <v>1366</v>
      </c>
      <c r="V574" s="312" t="s">
        <v>1367</v>
      </c>
      <c r="W574" s="312">
        <v>367.0</v>
      </c>
      <c r="X574" s="312">
        <v>123.0</v>
      </c>
      <c r="Y574" s="312">
        <v>46.7</v>
      </c>
      <c r="Z574" s="312" t="s">
        <v>1366</v>
      </c>
      <c r="AA574" s="50"/>
      <c r="AB574" s="50"/>
      <c r="AC574" s="50"/>
      <c r="AD574" s="50"/>
      <c r="AE574" s="50"/>
    </row>
    <row r="575">
      <c r="A575" s="307">
        <v>42355.25277777778</v>
      </c>
      <c r="B575" s="312" t="s">
        <v>751</v>
      </c>
      <c r="C575" s="303" t="s">
        <v>1177</v>
      </c>
      <c r="D575" s="303" t="s">
        <v>1178</v>
      </c>
      <c r="E575" s="315">
        <v>41603.0</v>
      </c>
      <c r="F575" s="312" t="s">
        <v>34</v>
      </c>
      <c r="G575" s="303" t="s">
        <v>1181</v>
      </c>
      <c r="H575" s="303" t="s">
        <v>1190</v>
      </c>
      <c r="I575" s="303" t="s">
        <v>1181</v>
      </c>
      <c r="J575" s="306">
        <v>0.9</v>
      </c>
      <c r="K575" s="312">
        <v>400.0</v>
      </c>
      <c r="L575" s="312"/>
      <c r="M575" s="312">
        <v>225.0</v>
      </c>
      <c r="N575" s="312"/>
      <c r="O575" s="312"/>
      <c r="P575" s="315">
        <v>42355.0</v>
      </c>
      <c r="Q575" s="312">
        <v>80941.0</v>
      </c>
      <c r="R575" s="312">
        <v>366.0</v>
      </c>
      <c r="S575" s="316"/>
      <c r="T575" s="317">
        <v>370.63</v>
      </c>
      <c r="U575" s="312" t="s">
        <v>1366</v>
      </c>
      <c r="V575" s="312" t="s">
        <v>1367</v>
      </c>
      <c r="W575" s="312">
        <v>366.0</v>
      </c>
      <c r="X575" s="312">
        <v>0.0</v>
      </c>
      <c r="Y575" s="312">
        <v>67.3</v>
      </c>
      <c r="Z575" s="312" t="s">
        <v>1366</v>
      </c>
      <c r="AA575" s="50"/>
      <c r="AB575" s="50"/>
      <c r="AC575" s="50"/>
      <c r="AD575" s="50"/>
      <c r="AE575" s="50"/>
    </row>
    <row r="576">
      <c r="A576" s="307">
        <v>42358.25555555556</v>
      </c>
      <c r="B576" s="312" t="s">
        <v>751</v>
      </c>
      <c r="C576" s="303" t="s">
        <v>1177</v>
      </c>
      <c r="D576" s="303" t="s">
        <v>1178</v>
      </c>
      <c r="E576" s="315">
        <v>41603.0</v>
      </c>
      <c r="F576" s="312" t="s">
        <v>34</v>
      </c>
      <c r="G576" s="303" t="s">
        <v>1181</v>
      </c>
      <c r="H576" s="303" t="s">
        <v>1190</v>
      </c>
      <c r="I576" s="303" t="s">
        <v>1181</v>
      </c>
      <c r="J576" s="306">
        <v>0.9</v>
      </c>
      <c r="K576" s="312">
        <v>400.0</v>
      </c>
      <c r="L576" s="312"/>
      <c r="M576" s="312">
        <v>225.0</v>
      </c>
      <c r="N576" s="312"/>
      <c r="O576" s="312"/>
      <c r="P576" s="315">
        <v>42358.0</v>
      </c>
      <c r="Q576" s="312">
        <v>81620.0</v>
      </c>
      <c r="R576" s="312">
        <v>370.0</v>
      </c>
      <c r="S576" s="316"/>
      <c r="T576" s="317">
        <v>374.68</v>
      </c>
      <c r="U576" s="312" t="s">
        <v>1366</v>
      </c>
      <c r="V576" s="312" t="s">
        <v>1367</v>
      </c>
      <c r="W576" s="50"/>
      <c r="X576" s="50"/>
      <c r="Y576" s="50"/>
      <c r="Z576" s="312"/>
      <c r="AA576" s="50"/>
      <c r="AB576" s="50"/>
      <c r="AC576" s="50"/>
      <c r="AD576" s="50"/>
      <c r="AE576" s="50"/>
    </row>
    <row r="577">
      <c r="A577" s="307">
        <v>42414.2875</v>
      </c>
      <c r="B577" s="312" t="s">
        <v>751</v>
      </c>
      <c r="C577" s="303" t="s">
        <v>1177</v>
      </c>
      <c r="D577" s="303" t="s">
        <v>1178</v>
      </c>
      <c r="E577" s="315">
        <v>41603.0</v>
      </c>
      <c r="F577" s="312" t="s">
        <v>34</v>
      </c>
      <c r="G577" s="303" t="s">
        <v>1181</v>
      </c>
      <c r="H577" s="303" t="s">
        <v>1190</v>
      </c>
      <c r="I577" s="303" t="s">
        <v>1180</v>
      </c>
      <c r="J577" s="306">
        <v>0.9</v>
      </c>
      <c r="K577" s="312">
        <v>400.0</v>
      </c>
      <c r="L577" s="312"/>
      <c r="M577" s="312">
        <v>225.0</v>
      </c>
      <c r="N577" s="312"/>
      <c r="O577" s="312"/>
      <c r="P577" s="315">
        <v>42414.0</v>
      </c>
      <c r="Q577" s="312">
        <v>88870.0</v>
      </c>
      <c r="R577" s="312">
        <v>373.0</v>
      </c>
      <c r="S577" s="316"/>
      <c r="T577" s="317">
        <v>377.72</v>
      </c>
      <c r="U577" s="312" t="s">
        <v>1366</v>
      </c>
      <c r="V577" s="312" t="s">
        <v>1367</v>
      </c>
      <c r="W577" s="50"/>
      <c r="X577" s="50"/>
      <c r="Y577" s="50"/>
      <c r="Z577" s="312"/>
      <c r="AA577" s="50"/>
      <c r="AB577" s="50"/>
      <c r="AC577" s="50"/>
      <c r="AD577" s="50"/>
      <c r="AE577" s="50"/>
    </row>
    <row r="578">
      <c r="A578" s="307">
        <v>42414.294444444444</v>
      </c>
      <c r="B578" s="312" t="s">
        <v>751</v>
      </c>
      <c r="C578" s="303" t="s">
        <v>1177</v>
      </c>
      <c r="D578" s="303" t="s">
        <v>1178</v>
      </c>
      <c r="E578" s="315">
        <v>41603.0</v>
      </c>
      <c r="F578" s="312" t="s">
        <v>34</v>
      </c>
      <c r="G578" s="303" t="s">
        <v>1181</v>
      </c>
      <c r="H578" s="303" t="s">
        <v>1190</v>
      </c>
      <c r="I578" s="303" t="s">
        <v>1180</v>
      </c>
      <c r="J578" s="306">
        <v>0.9</v>
      </c>
      <c r="K578" s="312">
        <v>400.0</v>
      </c>
      <c r="L578" s="312"/>
      <c r="M578" s="312">
        <v>225.0</v>
      </c>
      <c r="N578" s="312"/>
      <c r="O578" s="312"/>
      <c r="P578" s="315">
        <v>42414.0</v>
      </c>
      <c r="Q578" s="312">
        <v>89850.0</v>
      </c>
      <c r="R578" s="312">
        <v>376.0</v>
      </c>
      <c r="S578" s="316"/>
      <c r="T578" s="317">
        <v>380.76</v>
      </c>
      <c r="U578" s="312" t="s">
        <v>1366</v>
      </c>
      <c r="V578" s="312" t="s">
        <v>1367</v>
      </c>
      <c r="W578" s="50"/>
      <c r="X578" s="50"/>
      <c r="Y578" s="50"/>
      <c r="Z578" s="312"/>
      <c r="AA578" s="50"/>
      <c r="AB578" s="50"/>
      <c r="AC578" s="50"/>
      <c r="AD578" s="50"/>
      <c r="AE578" s="50"/>
    </row>
    <row r="579">
      <c r="A579" s="307">
        <v>42474.32847222222</v>
      </c>
      <c r="B579" s="312" t="s">
        <v>751</v>
      </c>
      <c r="C579" s="303" t="s">
        <v>1177</v>
      </c>
      <c r="D579" s="303" t="s">
        <v>1178</v>
      </c>
      <c r="E579" s="315">
        <v>41603.0</v>
      </c>
      <c r="F579" s="312" t="s">
        <v>34</v>
      </c>
      <c r="G579" s="312"/>
      <c r="H579" s="312"/>
      <c r="I579" s="312"/>
      <c r="J579" s="306"/>
      <c r="K579" s="50"/>
      <c r="L579" s="312"/>
      <c r="M579" s="312">
        <v>228.0</v>
      </c>
      <c r="N579" s="312"/>
      <c r="O579" s="312"/>
      <c r="P579" s="315">
        <v>42474.0</v>
      </c>
      <c r="Q579" s="312">
        <v>97310.0</v>
      </c>
      <c r="R579" s="312">
        <v>376.0</v>
      </c>
      <c r="S579" s="316"/>
      <c r="T579" s="317">
        <v>376.0</v>
      </c>
      <c r="U579" s="312" t="s">
        <v>1369</v>
      </c>
      <c r="V579" s="312" t="s">
        <v>1367</v>
      </c>
      <c r="W579" s="50"/>
      <c r="X579" s="50"/>
      <c r="Y579" s="50"/>
      <c r="Z579" s="312"/>
      <c r="AA579" s="50"/>
      <c r="AB579" s="50"/>
      <c r="AC579" s="50"/>
      <c r="AD579" s="50"/>
      <c r="AE579" s="50"/>
    </row>
    <row r="580">
      <c r="A580" s="307">
        <v>42624.4</v>
      </c>
      <c r="B580" s="312" t="s">
        <v>751</v>
      </c>
      <c r="C580" s="303" t="s">
        <v>1177</v>
      </c>
      <c r="D580" s="303" t="s">
        <v>1178</v>
      </c>
      <c r="E580" s="315">
        <v>41603.0</v>
      </c>
      <c r="F580" s="312" t="s">
        <v>34</v>
      </c>
      <c r="G580" s="303" t="s">
        <v>1181</v>
      </c>
      <c r="H580" s="303" t="s">
        <v>1190</v>
      </c>
      <c r="I580" s="303" t="s">
        <v>1180</v>
      </c>
      <c r="J580" s="306">
        <v>0.9</v>
      </c>
      <c r="K580" s="312">
        <v>400.0</v>
      </c>
      <c r="L580" s="312"/>
      <c r="M580" s="312">
        <v>224.0</v>
      </c>
      <c r="N580" s="312"/>
      <c r="O580" s="312"/>
      <c r="P580" s="315">
        <v>42624.0</v>
      </c>
      <c r="Q580" s="312">
        <v>116148.0</v>
      </c>
      <c r="R580" s="312">
        <v>379.0</v>
      </c>
      <c r="S580" s="316"/>
      <c r="T580" s="317">
        <v>379.0</v>
      </c>
      <c r="U580" s="312" t="s">
        <v>1369</v>
      </c>
      <c r="V580" s="312" t="s">
        <v>1367</v>
      </c>
      <c r="W580" s="50"/>
      <c r="X580" s="50"/>
      <c r="Y580" s="50"/>
      <c r="Z580" s="312"/>
      <c r="AA580" s="50"/>
      <c r="AB580" s="50"/>
      <c r="AC580" s="50"/>
      <c r="AD580" s="50"/>
      <c r="AE580" s="50"/>
    </row>
    <row r="581">
      <c r="A581" s="307">
        <v>42707.46805555555</v>
      </c>
      <c r="B581" s="312" t="s">
        <v>751</v>
      </c>
      <c r="C581" s="303" t="s">
        <v>1177</v>
      </c>
      <c r="D581" s="303" t="s">
        <v>1178</v>
      </c>
      <c r="E581" s="315">
        <v>41603.0</v>
      </c>
      <c r="F581" s="312" t="s">
        <v>34</v>
      </c>
      <c r="G581" s="303" t="s">
        <v>1181</v>
      </c>
      <c r="H581" s="303" t="s">
        <v>1190</v>
      </c>
      <c r="I581" s="303" t="s">
        <v>1181</v>
      </c>
      <c r="J581" s="306">
        <v>0.9</v>
      </c>
      <c r="K581" s="312">
        <v>400.0</v>
      </c>
      <c r="L581" s="312"/>
      <c r="M581" s="312">
        <v>224.0</v>
      </c>
      <c r="N581" s="312"/>
      <c r="O581" s="312"/>
      <c r="P581" s="315">
        <v>42707.0</v>
      </c>
      <c r="Q581" s="312">
        <v>127974.0</v>
      </c>
      <c r="R581" s="312">
        <v>370.0</v>
      </c>
      <c r="S581" s="316"/>
      <c r="T581" s="317">
        <v>370.0</v>
      </c>
      <c r="U581" s="312" t="s">
        <v>1369</v>
      </c>
      <c r="V581" s="312" t="s">
        <v>1367</v>
      </c>
      <c r="W581" s="50"/>
      <c r="X581" s="50"/>
      <c r="Y581" s="50"/>
      <c r="Z581" s="312"/>
      <c r="AA581" s="50"/>
      <c r="AB581" s="50"/>
      <c r="AC581" s="50"/>
      <c r="AD581" s="50"/>
      <c r="AE581" s="50"/>
    </row>
    <row r="582">
      <c r="A582" s="307">
        <v>42728.478472222225</v>
      </c>
      <c r="B582" s="312" t="s">
        <v>751</v>
      </c>
      <c r="C582" s="303" t="s">
        <v>1177</v>
      </c>
      <c r="D582" s="303" t="s">
        <v>1178</v>
      </c>
      <c r="E582" s="315">
        <v>41603.0</v>
      </c>
      <c r="F582" s="312" t="s">
        <v>34</v>
      </c>
      <c r="G582" s="303" t="s">
        <v>1181</v>
      </c>
      <c r="H582" s="303" t="s">
        <v>1203</v>
      </c>
      <c r="I582" s="303" t="s">
        <v>1181</v>
      </c>
      <c r="J582" s="306">
        <v>0.9</v>
      </c>
      <c r="K582" s="312">
        <v>400.0</v>
      </c>
      <c r="L582" s="312"/>
      <c r="M582" s="312">
        <v>218.0</v>
      </c>
      <c r="N582" s="312"/>
      <c r="O582" s="312"/>
      <c r="P582" s="315">
        <v>42728.0</v>
      </c>
      <c r="Q582" s="312">
        <v>130200.0</v>
      </c>
      <c r="R582" s="312">
        <v>376.0</v>
      </c>
      <c r="S582" s="316"/>
      <c r="T582" s="317">
        <v>376.0</v>
      </c>
      <c r="U582" s="312" t="s">
        <v>1369</v>
      </c>
      <c r="V582" s="312" t="s">
        <v>1367</v>
      </c>
      <c r="W582" s="50"/>
      <c r="X582" s="50"/>
      <c r="Y582" s="50"/>
      <c r="Z582" s="312"/>
      <c r="AA582" s="312" t="s">
        <v>1519</v>
      </c>
      <c r="AB582" s="50"/>
      <c r="AC582" s="50"/>
      <c r="AD582" s="50"/>
      <c r="AE582" s="50"/>
    </row>
    <row r="583">
      <c r="A583" s="307">
        <v>42728.540972222225</v>
      </c>
      <c r="B583" s="312" t="s">
        <v>751</v>
      </c>
      <c r="C583" s="303" t="s">
        <v>1177</v>
      </c>
      <c r="D583" s="303" t="s">
        <v>1178</v>
      </c>
      <c r="E583" s="315">
        <v>41603.0</v>
      </c>
      <c r="F583" s="312" t="s">
        <v>34</v>
      </c>
      <c r="G583" s="303" t="s">
        <v>1190</v>
      </c>
      <c r="H583" s="303" t="s">
        <v>1190</v>
      </c>
      <c r="I583" s="303" t="s">
        <v>1181</v>
      </c>
      <c r="J583" s="306">
        <v>0.9</v>
      </c>
      <c r="K583" s="312">
        <v>400.0</v>
      </c>
      <c r="L583" s="312"/>
      <c r="M583" s="312">
        <v>226.0</v>
      </c>
      <c r="N583" s="312"/>
      <c r="O583" s="312"/>
      <c r="P583" s="315">
        <v>42728.0</v>
      </c>
      <c r="Q583" s="312">
        <v>147768.0</v>
      </c>
      <c r="R583" s="312">
        <v>373.0</v>
      </c>
      <c r="S583" s="316"/>
      <c r="T583" s="317">
        <v>377.72</v>
      </c>
      <c r="U583" s="312" t="s">
        <v>1366</v>
      </c>
      <c r="V583" s="312" t="s">
        <v>1367</v>
      </c>
      <c r="W583" s="50"/>
      <c r="X583" s="50"/>
      <c r="Y583" s="50"/>
      <c r="Z583" s="312"/>
      <c r="AA583" s="312" t="s">
        <v>1520</v>
      </c>
      <c r="AB583" s="50"/>
      <c r="AC583" s="50"/>
      <c r="AD583" s="50"/>
      <c r="AE583" s="50"/>
    </row>
    <row r="584">
      <c r="A584" s="307">
        <v>42972.59166666667</v>
      </c>
      <c r="B584" s="312" t="s">
        <v>751</v>
      </c>
      <c r="C584" s="303" t="s">
        <v>1177</v>
      </c>
      <c r="D584" s="303" t="s">
        <v>1178</v>
      </c>
      <c r="E584" s="315">
        <v>41603.0</v>
      </c>
      <c r="F584" s="312" t="s">
        <v>34</v>
      </c>
      <c r="G584" s="303" t="s">
        <v>1190</v>
      </c>
      <c r="H584" s="303" t="s">
        <v>1190</v>
      </c>
      <c r="I584" s="303" t="s">
        <v>1181</v>
      </c>
      <c r="J584" s="306">
        <v>0.9</v>
      </c>
      <c r="K584" s="312">
        <v>400.0</v>
      </c>
      <c r="L584" s="312"/>
      <c r="M584" s="312">
        <v>225.0</v>
      </c>
      <c r="N584" s="312"/>
      <c r="O584" s="312"/>
      <c r="P584" s="315">
        <v>42972.0</v>
      </c>
      <c r="Q584" s="312">
        <v>154610.0</v>
      </c>
      <c r="R584" s="312">
        <v>361.0</v>
      </c>
      <c r="S584" s="316"/>
      <c r="T584" s="317">
        <v>365.57</v>
      </c>
      <c r="U584" s="312" t="s">
        <v>1366</v>
      </c>
      <c r="V584" s="312" t="s">
        <v>1367</v>
      </c>
      <c r="W584" s="50"/>
      <c r="X584" s="50"/>
      <c r="Y584" s="50"/>
      <c r="Z584" s="312"/>
      <c r="AA584" s="50"/>
      <c r="AB584" s="50"/>
      <c r="AC584" s="50"/>
      <c r="AD584" s="50"/>
      <c r="AE584" s="50"/>
    </row>
    <row r="585">
      <c r="A585" s="307">
        <v>42972.60486111111</v>
      </c>
      <c r="B585" s="312" t="s">
        <v>751</v>
      </c>
      <c r="C585" s="303" t="s">
        <v>1177</v>
      </c>
      <c r="D585" s="303" t="s">
        <v>1178</v>
      </c>
      <c r="E585" s="315">
        <v>41603.0</v>
      </c>
      <c r="F585" s="312" t="s">
        <v>34</v>
      </c>
      <c r="G585" s="303" t="s">
        <v>1190</v>
      </c>
      <c r="H585" s="303" t="s">
        <v>1190</v>
      </c>
      <c r="I585" s="303" t="s">
        <v>1181</v>
      </c>
      <c r="J585" s="306">
        <v>0.9</v>
      </c>
      <c r="K585" s="312">
        <v>400.0</v>
      </c>
      <c r="L585" s="312"/>
      <c r="M585" s="312">
        <v>225.0</v>
      </c>
      <c r="N585" s="312"/>
      <c r="O585" s="312"/>
      <c r="P585" s="315">
        <v>42972.0</v>
      </c>
      <c r="Q585" s="312">
        <v>156486.0</v>
      </c>
      <c r="R585" s="312">
        <v>355.0</v>
      </c>
      <c r="S585" s="316"/>
      <c r="T585" s="317">
        <v>359.49</v>
      </c>
      <c r="U585" s="312" t="s">
        <v>1366</v>
      </c>
      <c r="V585" s="312" t="s">
        <v>1367</v>
      </c>
      <c r="W585" s="50"/>
      <c r="X585" s="50"/>
      <c r="Y585" s="50"/>
      <c r="Z585" s="312"/>
      <c r="AA585" s="50"/>
      <c r="AB585" s="50"/>
      <c r="AC585" s="50"/>
      <c r="AD585" s="50"/>
      <c r="AE585" s="50"/>
    </row>
    <row r="586">
      <c r="A586" s="307">
        <v>42972.67569444444</v>
      </c>
      <c r="B586" s="312" t="s">
        <v>751</v>
      </c>
      <c r="C586" s="303" t="s">
        <v>1177</v>
      </c>
      <c r="D586" s="303" t="s">
        <v>1178</v>
      </c>
      <c r="E586" s="315">
        <v>41603.0</v>
      </c>
      <c r="F586" s="312" t="s">
        <v>34</v>
      </c>
      <c r="G586" s="303" t="s">
        <v>1190</v>
      </c>
      <c r="H586" s="303" t="s">
        <v>1179</v>
      </c>
      <c r="I586" s="303" t="s">
        <v>1179</v>
      </c>
      <c r="J586" s="306">
        <v>0.9</v>
      </c>
      <c r="K586" s="312">
        <v>395.0</v>
      </c>
      <c r="L586" s="312"/>
      <c r="M586" s="312">
        <v>225.0</v>
      </c>
      <c r="N586" s="312"/>
      <c r="O586" s="312"/>
      <c r="P586" s="315">
        <v>42972.0</v>
      </c>
      <c r="Q586" s="312">
        <v>171255.0</v>
      </c>
      <c r="R586" s="312">
        <v>358.0</v>
      </c>
      <c r="S586" s="316"/>
      <c r="T586" s="317">
        <v>358.0</v>
      </c>
      <c r="U586" s="312" t="s">
        <v>1369</v>
      </c>
      <c r="V586" s="312" t="s">
        <v>1367</v>
      </c>
      <c r="W586" s="50"/>
      <c r="X586" s="50"/>
      <c r="Y586" s="50"/>
      <c r="Z586" s="312"/>
      <c r="AA586" s="50"/>
      <c r="AB586" s="50"/>
      <c r="AC586" s="50"/>
      <c r="AD586" s="50"/>
      <c r="AE586" s="50"/>
    </row>
    <row r="587">
      <c r="A587" s="307">
        <v>43143.69583333333</v>
      </c>
      <c r="B587" s="50" t="s">
        <v>751</v>
      </c>
      <c r="C587" s="303" t="s">
        <v>1177</v>
      </c>
      <c r="D587" s="303" t="s">
        <v>1178</v>
      </c>
      <c r="E587" s="310">
        <v>41603.0</v>
      </c>
      <c r="F587" s="50" t="s">
        <v>34</v>
      </c>
      <c r="G587" s="303" t="s">
        <v>1179</v>
      </c>
      <c r="H587" s="303" t="s">
        <v>1179</v>
      </c>
      <c r="I587" s="303" t="s">
        <v>1181</v>
      </c>
      <c r="J587" s="306">
        <v>0.9</v>
      </c>
      <c r="K587" s="312">
        <v>395.0</v>
      </c>
      <c r="L587" s="312"/>
      <c r="M587" s="312">
        <v>225.0</v>
      </c>
      <c r="N587" s="312"/>
      <c r="O587" s="312"/>
      <c r="P587" s="315">
        <v>43143.0</v>
      </c>
      <c r="Q587" s="312">
        <v>173000.0</v>
      </c>
      <c r="R587" s="312">
        <v>372.0</v>
      </c>
      <c r="S587" s="316"/>
      <c r="T587" s="317">
        <v>372.0</v>
      </c>
      <c r="U587" s="312" t="s">
        <v>1369</v>
      </c>
      <c r="V587" s="312" t="s">
        <v>1367</v>
      </c>
      <c r="W587" s="50"/>
      <c r="X587" s="50"/>
      <c r="Y587" s="50"/>
      <c r="Z587" s="312"/>
      <c r="AA587" s="50"/>
      <c r="AB587" s="50"/>
      <c r="AC587" s="50"/>
      <c r="AD587" s="50"/>
      <c r="AE587" s="50"/>
    </row>
    <row r="588">
      <c r="A588" s="307">
        <v>42118.42013888889</v>
      </c>
      <c r="B588" s="312" t="s">
        <v>845</v>
      </c>
      <c r="C588" s="303" t="s">
        <v>1177</v>
      </c>
      <c r="D588" s="303" t="s">
        <v>1178</v>
      </c>
      <c r="E588" s="315">
        <v>41800.0</v>
      </c>
      <c r="F588" s="312" t="s">
        <v>30</v>
      </c>
      <c r="G588" s="303" t="s">
        <v>1190</v>
      </c>
      <c r="H588" s="303" t="s">
        <v>1181</v>
      </c>
      <c r="I588" s="303" t="s">
        <v>1187</v>
      </c>
      <c r="J588" s="306">
        <v>0.8</v>
      </c>
      <c r="K588" s="312">
        <v>388.0</v>
      </c>
      <c r="L588" s="312"/>
      <c r="M588" s="312">
        <v>220.0</v>
      </c>
      <c r="N588" s="312"/>
      <c r="O588" s="312"/>
      <c r="P588" s="315">
        <v>42118.0</v>
      </c>
      <c r="Q588" s="312">
        <v>36302.0</v>
      </c>
      <c r="R588" s="312">
        <v>388.0</v>
      </c>
      <c r="S588" s="316"/>
      <c r="T588" s="317">
        <v>392.91</v>
      </c>
      <c r="U588" s="312" t="s">
        <v>1366</v>
      </c>
      <c r="V588" s="312" t="s">
        <v>1367</v>
      </c>
      <c r="W588" s="50"/>
      <c r="X588" s="50"/>
      <c r="Y588" s="50"/>
      <c r="Z588" s="312"/>
      <c r="AA588" s="50"/>
      <c r="AB588" s="50"/>
      <c r="AC588" s="50"/>
      <c r="AD588" s="50"/>
      <c r="AE588" s="50"/>
    </row>
    <row r="589">
      <c r="A589" s="307">
        <v>42185.42083333333</v>
      </c>
      <c r="B589" s="312" t="s">
        <v>845</v>
      </c>
      <c r="C589" s="303" t="s">
        <v>1177</v>
      </c>
      <c r="D589" s="303" t="s">
        <v>1178</v>
      </c>
      <c r="E589" s="315">
        <v>41800.0</v>
      </c>
      <c r="F589" s="312" t="s">
        <v>30</v>
      </c>
      <c r="G589" s="303" t="s">
        <v>1190</v>
      </c>
      <c r="H589" s="303" t="s">
        <v>1181</v>
      </c>
      <c r="I589" s="303" t="s">
        <v>1187</v>
      </c>
      <c r="J589" s="306">
        <v>0.8</v>
      </c>
      <c r="K589" s="312">
        <v>388.0</v>
      </c>
      <c r="L589" s="312"/>
      <c r="M589" s="312">
        <v>220.0</v>
      </c>
      <c r="N589" s="312"/>
      <c r="O589" s="312"/>
      <c r="P589" s="315">
        <v>42185.0</v>
      </c>
      <c r="Q589" s="312">
        <v>39821.0</v>
      </c>
      <c r="R589" s="312">
        <v>381.0</v>
      </c>
      <c r="S589" s="316"/>
      <c r="T589" s="317">
        <v>385.82</v>
      </c>
      <c r="U589" s="312" t="s">
        <v>1366</v>
      </c>
      <c r="V589" s="312" t="s">
        <v>1367</v>
      </c>
      <c r="W589" s="50"/>
      <c r="X589" s="50"/>
      <c r="Y589" s="50"/>
      <c r="Z589" s="312"/>
      <c r="AA589" s="50"/>
      <c r="AB589" s="50"/>
      <c r="AC589" s="50"/>
      <c r="AD589" s="50"/>
      <c r="AE589" s="50"/>
    </row>
    <row r="590">
      <c r="A590" s="307">
        <v>42278.42152777778</v>
      </c>
      <c r="B590" s="312" t="s">
        <v>845</v>
      </c>
      <c r="C590" s="303" t="s">
        <v>1177</v>
      </c>
      <c r="D590" s="303" t="s">
        <v>1178</v>
      </c>
      <c r="E590" s="315">
        <v>41800.0</v>
      </c>
      <c r="F590" s="312" t="s">
        <v>30</v>
      </c>
      <c r="G590" s="303" t="s">
        <v>1190</v>
      </c>
      <c r="H590" s="303" t="s">
        <v>1181</v>
      </c>
      <c r="I590" s="303" t="s">
        <v>1187</v>
      </c>
      <c r="J590" s="306">
        <v>0.8</v>
      </c>
      <c r="K590" s="312">
        <v>388.0</v>
      </c>
      <c r="L590" s="312"/>
      <c r="M590" s="312">
        <v>220.0</v>
      </c>
      <c r="N590" s="312"/>
      <c r="O590" s="312"/>
      <c r="P590" s="315">
        <v>42278.0</v>
      </c>
      <c r="Q590" s="312">
        <v>48316.0</v>
      </c>
      <c r="R590" s="312">
        <v>373.0</v>
      </c>
      <c r="S590" s="316"/>
      <c r="T590" s="317">
        <v>377.72</v>
      </c>
      <c r="U590" s="312" t="s">
        <v>1366</v>
      </c>
      <c r="V590" s="312" t="s">
        <v>1367</v>
      </c>
      <c r="W590" s="50"/>
      <c r="X590" s="50"/>
      <c r="Y590" s="50"/>
      <c r="Z590" s="312"/>
      <c r="AA590" s="50"/>
      <c r="AB590" s="50"/>
      <c r="AC590" s="50"/>
      <c r="AD590" s="50"/>
      <c r="AE590" s="50"/>
    </row>
    <row r="591">
      <c r="A591" s="307">
        <v>42568.42222222222</v>
      </c>
      <c r="B591" s="312" t="s">
        <v>845</v>
      </c>
      <c r="C591" s="303" t="s">
        <v>1177</v>
      </c>
      <c r="D591" s="303" t="s">
        <v>1178</v>
      </c>
      <c r="E591" s="315">
        <v>41800.0</v>
      </c>
      <c r="F591" s="312" t="s">
        <v>30</v>
      </c>
      <c r="G591" s="303" t="s">
        <v>1190</v>
      </c>
      <c r="H591" s="303" t="s">
        <v>1181</v>
      </c>
      <c r="I591" s="303" t="s">
        <v>1187</v>
      </c>
      <c r="J591" s="306">
        <v>0.7</v>
      </c>
      <c r="K591" s="312">
        <v>388.0</v>
      </c>
      <c r="L591" s="312"/>
      <c r="M591" s="312">
        <v>220.0</v>
      </c>
      <c r="N591" s="312"/>
      <c r="O591" s="312"/>
      <c r="P591" s="315">
        <v>42568.0</v>
      </c>
      <c r="Q591" s="312">
        <v>68068.0</v>
      </c>
      <c r="R591" s="312">
        <v>376.0</v>
      </c>
      <c r="S591" s="316"/>
      <c r="T591" s="317">
        <v>380.76</v>
      </c>
      <c r="U591" s="312" t="s">
        <v>1366</v>
      </c>
      <c r="V591" s="312" t="s">
        <v>1367</v>
      </c>
      <c r="W591" s="50"/>
      <c r="X591" s="50"/>
      <c r="Y591" s="50"/>
      <c r="Z591" s="312"/>
      <c r="AA591" s="50"/>
      <c r="AB591" s="50"/>
      <c r="AC591" s="50"/>
      <c r="AD591" s="50"/>
      <c r="AE591" s="50"/>
    </row>
    <row r="592">
      <c r="A592" s="307">
        <v>42668.42916666667</v>
      </c>
      <c r="B592" s="312" t="s">
        <v>845</v>
      </c>
      <c r="C592" s="303" t="s">
        <v>1177</v>
      </c>
      <c r="D592" s="303" t="s">
        <v>1178</v>
      </c>
      <c r="E592" s="315">
        <v>41800.0</v>
      </c>
      <c r="F592" s="312" t="s">
        <v>30</v>
      </c>
      <c r="G592" s="303" t="s">
        <v>1180</v>
      </c>
      <c r="H592" s="303" t="s">
        <v>1181</v>
      </c>
      <c r="I592" s="303" t="s">
        <v>1187</v>
      </c>
      <c r="J592" s="306">
        <v>0.6</v>
      </c>
      <c r="K592" s="312">
        <v>388.0</v>
      </c>
      <c r="L592" s="312"/>
      <c r="M592" s="312">
        <v>220.0</v>
      </c>
      <c r="N592" s="312"/>
      <c r="O592" s="312"/>
      <c r="P592" s="315">
        <v>42668.0</v>
      </c>
      <c r="Q592" s="312">
        <v>76800.0</v>
      </c>
      <c r="R592" s="312">
        <v>376.0</v>
      </c>
      <c r="S592" s="316"/>
      <c r="T592" s="317">
        <v>380.76</v>
      </c>
      <c r="U592" s="312" t="s">
        <v>1366</v>
      </c>
      <c r="V592" s="312" t="s">
        <v>1367</v>
      </c>
      <c r="W592" s="50"/>
      <c r="X592" s="50"/>
      <c r="Y592" s="50"/>
      <c r="Z592" s="312"/>
      <c r="AA592" s="50"/>
      <c r="AB592" s="50"/>
      <c r="AC592" s="50"/>
      <c r="AD592" s="50"/>
      <c r="AE592" s="50"/>
    </row>
    <row r="593">
      <c r="A593" s="307">
        <v>42846.52638888889</v>
      </c>
      <c r="B593" s="312" t="s">
        <v>845</v>
      </c>
      <c r="C593" s="303" t="s">
        <v>1177</v>
      </c>
      <c r="D593" s="303" t="s">
        <v>1178</v>
      </c>
      <c r="E593" s="315">
        <v>41800.0</v>
      </c>
      <c r="F593" s="312" t="s">
        <v>30</v>
      </c>
      <c r="G593" s="303" t="s">
        <v>1190</v>
      </c>
      <c r="H593" s="303" t="s">
        <v>1181</v>
      </c>
      <c r="I593" s="303" t="s">
        <v>1187</v>
      </c>
      <c r="J593" s="306">
        <v>0.6</v>
      </c>
      <c r="K593" s="50"/>
      <c r="L593" s="312"/>
      <c r="M593" s="312">
        <v>218.0</v>
      </c>
      <c r="N593" s="312"/>
      <c r="O593" s="312"/>
      <c r="P593" s="315">
        <v>42846.0</v>
      </c>
      <c r="Q593" s="312">
        <v>84877.0</v>
      </c>
      <c r="R593" s="312">
        <v>383.0</v>
      </c>
      <c r="S593" s="316"/>
      <c r="T593" s="317">
        <v>383.0</v>
      </c>
      <c r="U593" s="312" t="s">
        <v>1369</v>
      </c>
      <c r="V593" s="312" t="s">
        <v>1367</v>
      </c>
      <c r="W593" s="50"/>
      <c r="X593" s="50"/>
      <c r="Y593" s="50"/>
      <c r="Z593" s="312"/>
      <c r="AA593" s="50"/>
      <c r="AB593" s="50"/>
      <c r="AC593" s="50"/>
      <c r="AD593" s="50"/>
      <c r="AE593" s="50"/>
    </row>
    <row r="594">
      <c r="A594" s="307">
        <v>42959.57638888889</v>
      </c>
      <c r="B594" s="312" t="s">
        <v>845</v>
      </c>
      <c r="C594" s="303" t="s">
        <v>1177</v>
      </c>
      <c r="D594" s="303" t="s">
        <v>1178</v>
      </c>
      <c r="E594" s="315">
        <v>41800.0</v>
      </c>
      <c r="F594" s="312" t="s">
        <v>30</v>
      </c>
      <c r="G594" s="303" t="s">
        <v>1190</v>
      </c>
      <c r="H594" s="303" t="s">
        <v>1181</v>
      </c>
      <c r="I594" s="303" t="s">
        <v>1187</v>
      </c>
      <c r="J594" s="306">
        <v>0.7</v>
      </c>
      <c r="K594" s="312">
        <v>388.0</v>
      </c>
      <c r="L594" s="312"/>
      <c r="M594" s="312">
        <v>218.0</v>
      </c>
      <c r="N594" s="312"/>
      <c r="O594" s="312"/>
      <c r="P594" s="315">
        <v>42959.0</v>
      </c>
      <c r="Q594" s="312">
        <v>95640.0</v>
      </c>
      <c r="R594" s="312">
        <v>379.0</v>
      </c>
      <c r="S594" s="316"/>
      <c r="T594" s="317">
        <v>383.8</v>
      </c>
      <c r="U594" s="312" t="s">
        <v>1366</v>
      </c>
      <c r="V594" s="312" t="s">
        <v>1367</v>
      </c>
      <c r="W594" s="50"/>
      <c r="X594" s="50"/>
      <c r="Y594" s="50"/>
      <c r="Z594" s="312"/>
      <c r="AA594" s="50"/>
      <c r="AB594" s="50"/>
      <c r="AC594" s="50"/>
      <c r="AD594" s="50"/>
      <c r="AE594" s="50"/>
    </row>
    <row r="595">
      <c r="A595" s="307">
        <v>43021.63333333333</v>
      </c>
      <c r="B595" s="312" t="s">
        <v>845</v>
      </c>
      <c r="C595" s="303" t="s">
        <v>1177</v>
      </c>
      <c r="D595" s="303" t="s">
        <v>1178</v>
      </c>
      <c r="E595" s="315">
        <v>41800.0</v>
      </c>
      <c r="F595" s="312" t="s">
        <v>30</v>
      </c>
      <c r="G595" s="303" t="s">
        <v>1179</v>
      </c>
      <c r="H595" s="303" t="s">
        <v>1180</v>
      </c>
      <c r="I595" s="303" t="s">
        <v>1187</v>
      </c>
      <c r="J595" s="306">
        <v>0.7</v>
      </c>
      <c r="K595" s="312">
        <v>388.0</v>
      </c>
      <c r="L595" s="312"/>
      <c r="M595" s="312">
        <v>218.0</v>
      </c>
      <c r="N595" s="312"/>
      <c r="O595" s="312"/>
      <c r="P595" s="315">
        <v>43021.0</v>
      </c>
      <c r="Q595" s="312">
        <v>100790.0</v>
      </c>
      <c r="R595" s="312">
        <v>378.0</v>
      </c>
      <c r="S595" s="316"/>
      <c r="T595" s="317">
        <v>382.78</v>
      </c>
      <c r="U595" s="312" t="s">
        <v>1366</v>
      </c>
      <c r="V595" s="312" t="s">
        <v>1367</v>
      </c>
      <c r="W595" s="50"/>
      <c r="X595" s="50"/>
      <c r="Y595" s="50"/>
      <c r="Z595" s="312"/>
      <c r="AA595" s="50"/>
      <c r="AB595" s="50"/>
      <c r="AC595" s="50"/>
      <c r="AD595" s="50"/>
      <c r="AE595" s="50"/>
    </row>
    <row r="596">
      <c r="A596" s="307">
        <v>43214.73263888889</v>
      </c>
      <c r="B596" s="312" t="s">
        <v>845</v>
      </c>
      <c r="C596" s="303" t="s">
        <v>1177</v>
      </c>
      <c r="D596" s="303" t="s">
        <v>1178</v>
      </c>
      <c r="E596" s="315">
        <v>41800.0</v>
      </c>
      <c r="F596" s="312" t="s">
        <v>30</v>
      </c>
      <c r="G596" s="303" t="s">
        <v>1190</v>
      </c>
      <c r="H596" s="303" t="s">
        <v>1181</v>
      </c>
      <c r="I596" s="303" t="s">
        <v>1187</v>
      </c>
      <c r="J596" s="306">
        <v>0.7</v>
      </c>
      <c r="K596" s="312">
        <v>388.0</v>
      </c>
      <c r="L596" s="312"/>
      <c r="M596" s="312"/>
      <c r="N596" s="312"/>
      <c r="O596" s="312"/>
      <c r="P596" s="315">
        <v>43214.0</v>
      </c>
      <c r="Q596" s="312">
        <v>112358.0</v>
      </c>
      <c r="R596" s="312">
        <v>376.0</v>
      </c>
      <c r="S596" s="316"/>
      <c r="T596" s="317">
        <v>380.76</v>
      </c>
      <c r="U596" s="312" t="s">
        <v>1366</v>
      </c>
      <c r="V596" s="312" t="s">
        <v>1367</v>
      </c>
      <c r="W596" s="50"/>
      <c r="X596" s="50"/>
      <c r="Y596" s="50"/>
      <c r="Z596" s="312"/>
      <c r="AA596" s="50"/>
      <c r="AB596" s="50"/>
      <c r="AC596" s="50"/>
      <c r="AD596" s="50"/>
      <c r="AE596" s="50"/>
    </row>
    <row r="597">
      <c r="A597" s="307">
        <v>42365.78611111111</v>
      </c>
      <c r="B597" s="312" t="s">
        <v>189</v>
      </c>
      <c r="C597" s="312" t="s">
        <v>1184</v>
      </c>
      <c r="D597" s="303" t="s">
        <v>1185</v>
      </c>
      <c r="E597" s="315">
        <v>42244.0</v>
      </c>
      <c r="F597" s="312" t="s">
        <v>1512</v>
      </c>
      <c r="G597" s="303" t="s">
        <v>1181</v>
      </c>
      <c r="H597" s="303" t="s">
        <v>1181</v>
      </c>
      <c r="I597" s="303" t="s">
        <v>1187</v>
      </c>
      <c r="J597" s="306">
        <v>0.9</v>
      </c>
      <c r="K597" s="50"/>
      <c r="L597" s="312"/>
      <c r="M597" s="312">
        <v>339.0</v>
      </c>
      <c r="N597" s="312"/>
      <c r="O597" s="312"/>
      <c r="P597" s="315">
        <v>42365.0</v>
      </c>
      <c r="Q597" s="312">
        <v>5790.0</v>
      </c>
      <c r="R597" s="312">
        <v>260.0</v>
      </c>
      <c r="S597" s="316"/>
      <c r="T597" s="317">
        <v>263.29</v>
      </c>
      <c r="U597" s="312" t="s">
        <v>1366</v>
      </c>
      <c r="V597" s="312" t="s">
        <v>1367</v>
      </c>
      <c r="W597" s="50"/>
      <c r="X597" s="50"/>
      <c r="Y597" s="50"/>
      <c r="Z597" s="312"/>
      <c r="AA597" s="312"/>
      <c r="AB597" s="50"/>
      <c r="AC597" s="50"/>
      <c r="AD597" s="50"/>
      <c r="AE597" s="50"/>
    </row>
    <row r="598">
      <c r="A598" s="307">
        <v>42487.79375</v>
      </c>
      <c r="B598" s="312" t="s">
        <v>189</v>
      </c>
      <c r="C598" s="312" t="s">
        <v>1184</v>
      </c>
      <c r="D598" s="303" t="s">
        <v>1185</v>
      </c>
      <c r="E598" s="315">
        <v>42244.0</v>
      </c>
      <c r="F598" s="312" t="s">
        <v>1512</v>
      </c>
      <c r="G598" s="303" t="s">
        <v>1181</v>
      </c>
      <c r="H598" s="303" t="s">
        <v>1181</v>
      </c>
      <c r="I598" s="303" t="s">
        <v>1187</v>
      </c>
      <c r="J598" s="306">
        <v>0.9</v>
      </c>
      <c r="K598" s="50"/>
      <c r="L598" s="312"/>
      <c r="M598" s="312">
        <v>339.0</v>
      </c>
      <c r="N598" s="312"/>
      <c r="O598" s="312"/>
      <c r="P598" s="315">
        <v>42487.0</v>
      </c>
      <c r="Q598" s="312">
        <v>10780.0</v>
      </c>
      <c r="R598" s="312">
        <v>267.0</v>
      </c>
      <c r="S598" s="316"/>
      <c r="T598" s="317">
        <v>270.38</v>
      </c>
      <c r="U598" s="312" t="s">
        <v>1366</v>
      </c>
      <c r="V598" s="312" t="s">
        <v>1367</v>
      </c>
      <c r="W598" s="50"/>
      <c r="X598" s="50"/>
      <c r="Y598" s="50"/>
      <c r="Z598" s="312"/>
      <c r="AA598" s="312"/>
      <c r="AB598" s="50"/>
      <c r="AC598" s="50"/>
      <c r="AD598" s="50"/>
      <c r="AE598" s="50"/>
    </row>
    <row r="599">
      <c r="A599" s="307">
        <v>42639.80694444444</v>
      </c>
      <c r="B599" s="312" t="s">
        <v>189</v>
      </c>
      <c r="C599" s="312" t="s">
        <v>1184</v>
      </c>
      <c r="D599" s="303" t="s">
        <v>1185</v>
      </c>
      <c r="E599" s="315">
        <v>42244.0</v>
      </c>
      <c r="F599" s="312" t="s">
        <v>1512</v>
      </c>
      <c r="G599" s="303" t="s">
        <v>1181</v>
      </c>
      <c r="H599" s="303" t="s">
        <v>1181</v>
      </c>
      <c r="I599" s="303" t="s">
        <v>1187</v>
      </c>
      <c r="J599" s="306">
        <v>0.9</v>
      </c>
      <c r="K599" s="50"/>
      <c r="L599" s="312"/>
      <c r="M599" s="312">
        <v>339.0</v>
      </c>
      <c r="N599" s="312"/>
      <c r="O599" s="312"/>
      <c r="P599" s="315">
        <v>42639.0</v>
      </c>
      <c r="Q599" s="312">
        <v>17560.0</v>
      </c>
      <c r="R599" s="312">
        <v>260.0</v>
      </c>
      <c r="S599" s="316"/>
      <c r="T599" s="317">
        <v>263.29</v>
      </c>
      <c r="U599" s="312" t="s">
        <v>1366</v>
      </c>
      <c r="V599" s="312" t="s">
        <v>1367</v>
      </c>
      <c r="W599" s="50"/>
      <c r="X599" s="50"/>
      <c r="Y599" s="50"/>
      <c r="Z599" s="312"/>
      <c r="AA599" s="312"/>
      <c r="AB599" s="50"/>
      <c r="AC599" s="50"/>
      <c r="AD599" s="50"/>
      <c r="AE599" s="50"/>
    </row>
    <row r="600">
      <c r="A600" s="307">
        <v>41900.00277777778</v>
      </c>
      <c r="B600" s="50" t="s">
        <v>753</v>
      </c>
      <c r="C600" s="303" t="s">
        <v>1177</v>
      </c>
      <c r="D600" s="303" t="s">
        <v>1178</v>
      </c>
      <c r="E600" s="310">
        <v>41814.0</v>
      </c>
      <c r="F600" s="50" t="s">
        <v>30</v>
      </c>
      <c r="G600" s="303" t="s">
        <v>1187</v>
      </c>
      <c r="H600" s="303" t="s">
        <v>1187</v>
      </c>
      <c r="I600" s="303" t="s">
        <v>1187</v>
      </c>
      <c r="J600" s="306"/>
      <c r="K600" s="50"/>
      <c r="L600" s="50"/>
      <c r="M600" s="50">
        <v>215.0</v>
      </c>
      <c r="N600" s="50"/>
      <c r="O600" s="312"/>
      <c r="P600" s="310">
        <v>41900.0</v>
      </c>
      <c r="Q600" s="50">
        <v>7100.0</v>
      </c>
      <c r="R600" s="50">
        <v>391.0</v>
      </c>
      <c r="S600" s="318"/>
      <c r="T600" s="317">
        <v>391.0</v>
      </c>
      <c r="U600" s="312" t="s">
        <v>1369</v>
      </c>
      <c r="V600" s="312" t="s">
        <v>1367</v>
      </c>
      <c r="W600" s="50"/>
      <c r="X600" s="50"/>
      <c r="Y600" s="50"/>
      <c r="Z600" s="312"/>
      <c r="AA600" s="50"/>
      <c r="AB600" s="50"/>
      <c r="AC600" s="50"/>
      <c r="AD600" s="50"/>
      <c r="AE600" s="50"/>
    </row>
    <row r="601">
      <c r="A601" s="307">
        <v>42152.12569444445</v>
      </c>
      <c r="B601" s="312" t="s">
        <v>753</v>
      </c>
      <c r="C601" s="303" t="s">
        <v>1177</v>
      </c>
      <c r="D601" s="303" t="s">
        <v>1178</v>
      </c>
      <c r="E601" s="315">
        <v>41814.0</v>
      </c>
      <c r="F601" s="312" t="s">
        <v>30</v>
      </c>
      <c r="G601" s="303" t="s">
        <v>1181</v>
      </c>
      <c r="H601" s="303" t="s">
        <v>1180</v>
      </c>
      <c r="I601" s="303" t="s">
        <v>1187</v>
      </c>
      <c r="J601" s="306">
        <v>0.9</v>
      </c>
      <c r="K601" s="50"/>
      <c r="L601" s="312"/>
      <c r="M601" s="312">
        <v>224.0</v>
      </c>
      <c r="N601" s="50"/>
      <c r="O601" s="312"/>
      <c r="P601" s="315">
        <v>42152.0</v>
      </c>
      <c r="Q601" s="312">
        <v>28500.0</v>
      </c>
      <c r="R601" s="312">
        <v>387.0</v>
      </c>
      <c r="S601" s="316"/>
      <c r="T601" s="317">
        <v>387.0</v>
      </c>
      <c r="U601" s="312" t="s">
        <v>1369</v>
      </c>
      <c r="V601" s="312" t="s">
        <v>1367</v>
      </c>
      <c r="W601" s="50"/>
      <c r="X601" s="50"/>
      <c r="Y601" s="50"/>
      <c r="Z601" s="312"/>
      <c r="AA601" s="50"/>
      <c r="AB601" s="50"/>
      <c r="AC601" s="50"/>
      <c r="AD601" s="50"/>
      <c r="AE601" s="50"/>
    </row>
    <row r="602">
      <c r="A602" s="307">
        <v>42393.27777777778</v>
      </c>
      <c r="B602" s="312" t="s">
        <v>753</v>
      </c>
      <c r="C602" s="303" t="s">
        <v>1177</v>
      </c>
      <c r="D602" s="303" t="s">
        <v>1178</v>
      </c>
      <c r="E602" s="310">
        <v>41817.0</v>
      </c>
      <c r="F602" s="312" t="s">
        <v>30</v>
      </c>
      <c r="G602" s="312"/>
      <c r="H602" s="312"/>
      <c r="I602" s="312"/>
      <c r="J602" s="306"/>
      <c r="K602" s="50"/>
      <c r="L602" s="312"/>
      <c r="M602" s="312">
        <v>230.0</v>
      </c>
      <c r="N602" s="312"/>
      <c r="O602" s="312"/>
      <c r="P602" s="315">
        <v>42393.0</v>
      </c>
      <c r="Q602" s="312">
        <v>51000.0</v>
      </c>
      <c r="R602" s="312">
        <v>380.0</v>
      </c>
      <c r="S602" s="316"/>
      <c r="T602" s="317">
        <v>380.0</v>
      </c>
      <c r="U602" s="312" t="s">
        <v>1369</v>
      </c>
      <c r="V602" s="312" t="s">
        <v>1367</v>
      </c>
      <c r="W602" s="50"/>
      <c r="X602" s="50"/>
      <c r="Y602" s="50"/>
      <c r="Z602" s="312"/>
      <c r="AA602" s="50"/>
      <c r="AB602" s="50"/>
      <c r="AC602" s="50"/>
      <c r="AD602" s="50"/>
      <c r="AE602" s="50"/>
    </row>
    <row r="603">
      <c r="A603" s="307">
        <v>42701.470138888886</v>
      </c>
      <c r="B603" s="312" t="s">
        <v>753</v>
      </c>
      <c r="C603" s="303" t="s">
        <v>1177</v>
      </c>
      <c r="D603" s="303" t="s">
        <v>1178</v>
      </c>
      <c r="E603" s="315">
        <v>41814.0</v>
      </c>
      <c r="F603" s="312" t="s">
        <v>30</v>
      </c>
      <c r="G603" s="303" t="s">
        <v>1205</v>
      </c>
      <c r="H603" s="303" t="s">
        <v>1181</v>
      </c>
      <c r="I603" s="303" t="s">
        <v>1187</v>
      </c>
      <c r="J603" s="306">
        <v>0.9</v>
      </c>
      <c r="K603" s="50"/>
      <c r="L603" s="312"/>
      <c r="M603" s="312">
        <v>215.0</v>
      </c>
      <c r="N603" s="312"/>
      <c r="O603" s="312"/>
      <c r="P603" s="315">
        <v>42701.0</v>
      </c>
      <c r="Q603" s="312">
        <v>83000.0</v>
      </c>
      <c r="R603" s="312">
        <v>377.0</v>
      </c>
      <c r="S603" s="316"/>
      <c r="T603" s="317">
        <v>377.0</v>
      </c>
      <c r="U603" s="312" t="s">
        <v>1369</v>
      </c>
      <c r="V603" s="312" t="s">
        <v>1367</v>
      </c>
      <c r="W603" s="50"/>
      <c r="X603" s="50"/>
      <c r="Y603" s="50"/>
      <c r="Z603" s="312"/>
      <c r="AA603" s="50"/>
      <c r="AB603" s="50"/>
      <c r="AC603" s="50"/>
      <c r="AD603" s="50"/>
      <c r="AE603" s="50"/>
    </row>
    <row r="604">
      <c r="A604" s="307">
        <v>43118.92916666667</v>
      </c>
      <c r="B604" s="312" t="s">
        <v>1521</v>
      </c>
      <c r="C604" s="312" t="s">
        <v>1197</v>
      </c>
      <c r="D604" s="303" t="s">
        <v>1178</v>
      </c>
      <c r="E604" s="315">
        <v>42856.0</v>
      </c>
      <c r="F604" s="312" t="s">
        <v>25</v>
      </c>
      <c r="G604" s="303" t="s">
        <v>1181</v>
      </c>
      <c r="H604" s="303" t="s">
        <v>1181</v>
      </c>
      <c r="I604" s="303" t="s">
        <v>1187</v>
      </c>
      <c r="J604" s="306">
        <v>0.7</v>
      </c>
      <c r="K604" s="50"/>
      <c r="L604" s="312"/>
      <c r="M604" s="312">
        <v>215.43</v>
      </c>
      <c r="N604" s="312"/>
      <c r="O604" s="303" t="s">
        <v>1207</v>
      </c>
      <c r="P604" s="315">
        <v>43118.0</v>
      </c>
      <c r="Q604" s="312">
        <v>18700.0</v>
      </c>
      <c r="R604" s="312">
        <v>389.0</v>
      </c>
      <c r="S604" s="316"/>
      <c r="T604" s="317">
        <v>389.0</v>
      </c>
      <c r="U604" s="312" t="s">
        <v>1369</v>
      </c>
      <c r="V604" s="312" t="s">
        <v>1367</v>
      </c>
      <c r="W604" s="50"/>
      <c r="X604" s="50"/>
      <c r="Y604" s="50"/>
      <c r="Z604" s="312"/>
      <c r="AA604" s="50"/>
      <c r="AB604" s="50"/>
      <c r="AC604" s="50"/>
      <c r="AD604" s="50"/>
      <c r="AE604" s="50"/>
    </row>
    <row r="605">
      <c r="A605" s="307">
        <v>42298.20277777778</v>
      </c>
      <c r="B605" s="312" t="s">
        <v>803</v>
      </c>
      <c r="C605" s="303" t="s">
        <v>1177</v>
      </c>
      <c r="D605" s="303" t="s">
        <v>1178</v>
      </c>
      <c r="E605" s="315">
        <v>41629.0</v>
      </c>
      <c r="F605" s="312" t="s">
        <v>30</v>
      </c>
      <c r="G605" s="303" t="s">
        <v>1180</v>
      </c>
      <c r="H605" s="303" t="s">
        <v>1181</v>
      </c>
      <c r="I605" s="303" t="s">
        <v>1186</v>
      </c>
      <c r="J605" s="306">
        <v>0.9</v>
      </c>
      <c r="K605" s="50"/>
      <c r="L605" s="312"/>
      <c r="M605" s="312">
        <v>227.0</v>
      </c>
      <c r="N605" s="312"/>
      <c r="O605" s="312"/>
      <c r="P605" s="315">
        <v>42298.0</v>
      </c>
      <c r="Q605" s="312">
        <v>59000.0</v>
      </c>
      <c r="R605" s="312">
        <v>372.0</v>
      </c>
      <c r="S605" s="316"/>
      <c r="T605" s="317">
        <v>372.0</v>
      </c>
      <c r="U605" s="312" t="s">
        <v>1369</v>
      </c>
      <c r="V605" s="312" t="s">
        <v>1367</v>
      </c>
      <c r="W605" s="50"/>
      <c r="X605" s="50"/>
      <c r="Y605" s="50"/>
      <c r="Z605" s="312"/>
      <c r="AA605" s="312" t="s">
        <v>1500</v>
      </c>
      <c r="AB605" s="50"/>
      <c r="AC605" s="50"/>
      <c r="AD605" s="50"/>
      <c r="AE605" s="50"/>
    </row>
    <row r="606">
      <c r="A606" s="307">
        <v>42343.23819444444</v>
      </c>
      <c r="B606" s="312" t="s">
        <v>803</v>
      </c>
      <c r="C606" s="303" t="s">
        <v>1177</v>
      </c>
      <c r="D606" s="303" t="s">
        <v>1178</v>
      </c>
      <c r="E606" s="315">
        <v>41629.0</v>
      </c>
      <c r="F606" s="312" t="s">
        <v>30</v>
      </c>
      <c r="G606" s="303" t="s">
        <v>1179</v>
      </c>
      <c r="H606" s="303" t="s">
        <v>1180</v>
      </c>
      <c r="I606" s="303" t="s">
        <v>1186</v>
      </c>
      <c r="J606" s="306">
        <v>0.9</v>
      </c>
      <c r="K606" s="312">
        <v>400.0</v>
      </c>
      <c r="L606" s="312"/>
      <c r="M606" s="312">
        <v>212.0</v>
      </c>
      <c r="N606" s="312"/>
      <c r="O606" s="312"/>
      <c r="P606" s="315">
        <v>42343.0</v>
      </c>
      <c r="Q606" s="312">
        <v>63000.0</v>
      </c>
      <c r="R606" s="312">
        <v>365.0</v>
      </c>
      <c r="S606" s="316"/>
      <c r="T606" s="317">
        <v>365.0</v>
      </c>
      <c r="U606" s="312" t="s">
        <v>1369</v>
      </c>
      <c r="V606" s="312" t="s">
        <v>1367</v>
      </c>
      <c r="W606" s="50"/>
      <c r="X606" s="50"/>
      <c r="Y606" s="50"/>
      <c r="Z606" s="312"/>
      <c r="AA606" s="50"/>
      <c r="AB606" s="50"/>
      <c r="AC606" s="50"/>
      <c r="AD606" s="50"/>
      <c r="AE606" s="50"/>
    </row>
    <row r="607">
      <c r="A607" s="307">
        <v>42434.30138888889</v>
      </c>
      <c r="B607" s="312" t="s">
        <v>803</v>
      </c>
      <c r="C607" s="303" t="s">
        <v>1177</v>
      </c>
      <c r="D607" s="303" t="s">
        <v>1178</v>
      </c>
      <c r="E607" s="315">
        <v>41629.0</v>
      </c>
      <c r="F607" s="312" t="s">
        <v>30</v>
      </c>
      <c r="G607" s="303" t="s">
        <v>1179</v>
      </c>
      <c r="H607" s="303" t="s">
        <v>1180</v>
      </c>
      <c r="I607" s="303" t="s">
        <v>1181</v>
      </c>
      <c r="J607" s="306">
        <v>0.8</v>
      </c>
      <c r="K607" s="50"/>
      <c r="L607" s="312"/>
      <c r="M607" s="312">
        <v>220.0</v>
      </c>
      <c r="N607" s="312"/>
      <c r="O607" s="312"/>
      <c r="P607" s="315">
        <v>42434.0</v>
      </c>
      <c r="Q607" s="312">
        <v>70614.0</v>
      </c>
      <c r="R607" s="312">
        <v>369.0</v>
      </c>
      <c r="S607" s="316"/>
      <c r="T607" s="317">
        <v>369.0</v>
      </c>
      <c r="U607" s="312" t="s">
        <v>1369</v>
      </c>
      <c r="V607" s="312" t="s">
        <v>1367</v>
      </c>
      <c r="W607" s="50"/>
      <c r="X607" s="50"/>
      <c r="Y607" s="50"/>
      <c r="Z607" s="312"/>
      <c r="AA607" s="50"/>
      <c r="AB607" s="50"/>
      <c r="AC607" s="50"/>
      <c r="AD607" s="50"/>
      <c r="AE607" s="50"/>
    </row>
    <row r="608">
      <c r="A608" s="307">
        <v>42526.34444444445</v>
      </c>
      <c r="B608" s="312" t="s">
        <v>803</v>
      </c>
      <c r="C608" s="303" t="s">
        <v>1177</v>
      </c>
      <c r="D608" s="303" t="s">
        <v>1178</v>
      </c>
      <c r="E608" s="315">
        <v>41629.0</v>
      </c>
      <c r="F608" s="312" t="s">
        <v>30</v>
      </c>
      <c r="G608" s="303" t="s">
        <v>1180</v>
      </c>
      <c r="H608" s="303" t="s">
        <v>1181</v>
      </c>
      <c r="I608" s="303" t="s">
        <v>1186</v>
      </c>
      <c r="J608" s="306">
        <v>0.8</v>
      </c>
      <c r="K608" s="50"/>
      <c r="L608" s="312"/>
      <c r="M608" s="312">
        <v>217.0</v>
      </c>
      <c r="N608" s="312"/>
      <c r="O608" s="312"/>
      <c r="P608" s="315">
        <v>42526.0</v>
      </c>
      <c r="Q608" s="312">
        <v>80500.0</v>
      </c>
      <c r="R608" s="312">
        <v>371.0</v>
      </c>
      <c r="S608" s="316"/>
      <c r="T608" s="317">
        <v>371.0</v>
      </c>
      <c r="U608" s="312" t="s">
        <v>1369</v>
      </c>
      <c r="V608" s="312" t="s">
        <v>1367</v>
      </c>
      <c r="W608" s="50"/>
      <c r="X608" s="50"/>
      <c r="Y608" s="50"/>
      <c r="Z608" s="312"/>
      <c r="AA608" s="50"/>
      <c r="AB608" s="50"/>
      <c r="AC608" s="50"/>
      <c r="AD608" s="50"/>
      <c r="AE608" s="50"/>
    </row>
    <row r="609">
      <c r="A609" s="307">
        <v>42619.393055555556</v>
      </c>
      <c r="B609" s="312" t="s">
        <v>803</v>
      </c>
      <c r="C609" s="303" t="s">
        <v>1177</v>
      </c>
      <c r="D609" s="303" t="s">
        <v>1178</v>
      </c>
      <c r="E609" s="315">
        <v>41629.0</v>
      </c>
      <c r="F609" s="312" t="s">
        <v>30</v>
      </c>
      <c r="G609" s="303" t="s">
        <v>1190</v>
      </c>
      <c r="H609" s="303" t="s">
        <v>1180</v>
      </c>
      <c r="I609" s="303" t="s">
        <v>1186</v>
      </c>
      <c r="J609" s="306">
        <v>0.8</v>
      </c>
      <c r="K609" s="50"/>
      <c r="L609" s="312"/>
      <c r="M609" s="312">
        <v>211.0</v>
      </c>
      <c r="N609" s="312"/>
      <c r="O609" s="312"/>
      <c r="P609" s="315">
        <v>42619.0</v>
      </c>
      <c r="Q609" s="312">
        <v>89000.0</v>
      </c>
      <c r="R609" s="312">
        <v>372.0</v>
      </c>
      <c r="S609" s="316"/>
      <c r="T609" s="317">
        <v>372.0</v>
      </c>
      <c r="U609" s="312" t="s">
        <v>1369</v>
      </c>
      <c r="V609" s="312" t="s">
        <v>1367</v>
      </c>
      <c r="W609" s="50"/>
      <c r="X609" s="50"/>
      <c r="Y609" s="50"/>
      <c r="Z609" s="312"/>
      <c r="AA609" s="50"/>
      <c r="AB609" s="50"/>
      <c r="AC609" s="50"/>
      <c r="AD609" s="50"/>
      <c r="AE609" s="50"/>
    </row>
    <row r="610">
      <c r="A610" s="307">
        <v>42910.552083333336</v>
      </c>
      <c r="B610" s="312" t="s">
        <v>803</v>
      </c>
      <c r="C610" s="303" t="s">
        <v>1177</v>
      </c>
      <c r="D610" s="303" t="s">
        <v>1178</v>
      </c>
      <c r="E610" s="315">
        <v>41629.0</v>
      </c>
      <c r="F610" s="312" t="s">
        <v>30</v>
      </c>
      <c r="G610" s="303" t="s">
        <v>1179</v>
      </c>
      <c r="H610" s="303" t="s">
        <v>1181</v>
      </c>
      <c r="I610" s="303" t="s">
        <v>1186</v>
      </c>
      <c r="J610" s="306">
        <v>0.9</v>
      </c>
      <c r="K610" s="50"/>
      <c r="L610" s="312"/>
      <c r="M610" s="312">
        <v>206.0</v>
      </c>
      <c r="N610" s="312"/>
      <c r="O610" s="312"/>
      <c r="P610" s="315">
        <v>42910.0</v>
      </c>
      <c r="Q610" s="312">
        <v>116500.0</v>
      </c>
      <c r="R610" s="312">
        <v>375.0</v>
      </c>
      <c r="S610" s="316"/>
      <c r="T610" s="317">
        <v>375.0</v>
      </c>
      <c r="U610" s="312" t="s">
        <v>1369</v>
      </c>
      <c r="V610" s="312" t="s">
        <v>1367</v>
      </c>
      <c r="W610" s="50"/>
      <c r="X610" s="50"/>
      <c r="Y610" s="50"/>
      <c r="Z610" s="312"/>
      <c r="AA610" s="50"/>
      <c r="AB610" s="50"/>
      <c r="AC610" s="50"/>
      <c r="AD610" s="50"/>
      <c r="AE610" s="50"/>
    </row>
    <row r="611">
      <c r="A611" s="307">
        <v>43026.62847222222</v>
      </c>
      <c r="B611" s="312" t="s">
        <v>803</v>
      </c>
      <c r="C611" s="303" t="s">
        <v>1177</v>
      </c>
      <c r="D611" s="303" t="s">
        <v>1178</v>
      </c>
      <c r="E611" s="315">
        <v>41629.0</v>
      </c>
      <c r="F611" s="312" t="s">
        <v>30</v>
      </c>
      <c r="G611" s="303" t="s">
        <v>1179</v>
      </c>
      <c r="H611" s="303" t="s">
        <v>1181</v>
      </c>
      <c r="I611" s="303" t="s">
        <v>1187</v>
      </c>
      <c r="J611" s="306">
        <v>0.9</v>
      </c>
      <c r="K611" s="50"/>
      <c r="L611" s="312"/>
      <c r="M611" s="312">
        <v>206.0</v>
      </c>
      <c r="N611" s="312"/>
      <c r="O611" s="312"/>
      <c r="P611" s="315">
        <v>43026.0</v>
      </c>
      <c r="Q611" s="312">
        <v>125000.0</v>
      </c>
      <c r="R611" s="312">
        <v>370.0</v>
      </c>
      <c r="S611" s="316"/>
      <c r="T611" s="317">
        <v>374.68</v>
      </c>
      <c r="U611" s="312" t="s">
        <v>1366</v>
      </c>
      <c r="V611" s="312" t="s">
        <v>1367</v>
      </c>
      <c r="W611" s="50"/>
      <c r="X611" s="50"/>
      <c r="Y611" s="50"/>
      <c r="Z611" s="312"/>
      <c r="AA611" s="50"/>
      <c r="AB611" s="50"/>
      <c r="AC611" s="50"/>
      <c r="AD611" s="50"/>
      <c r="AE611" s="50"/>
    </row>
    <row r="612">
      <c r="A612" s="307">
        <v>42056.07638888889</v>
      </c>
      <c r="B612" s="50" t="s">
        <v>790</v>
      </c>
      <c r="C612" s="303" t="s">
        <v>1177</v>
      </c>
      <c r="D612" s="303" t="s">
        <v>1178</v>
      </c>
      <c r="E612" s="315">
        <v>41631.0</v>
      </c>
      <c r="F612" s="312" t="s">
        <v>30</v>
      </c>
      <c r="G612" s="303" t="s">
        <v>1180</v>
      </c>
      <c r="H612" s="303" t="s">
        <v>1181</v>
      </c>
      <c r="I612" s="303" t="s">
        <v>1187</v>
      </c>
      <c r="J612" s="306"/>
      <c r="K612" s="50"/>
      <c r="L612" s="50"/>
      <c r="M612" s="50">
        <v>201.0</v>
      </c>
      <c r="N612" s="50"/>
      <c r="O612" s="312"/>
      <c r="P612" s="310">
        <v>42056.0</v>
      </c>
      <c r="Q612" s="50">
        <v>33700.0</v>
      </c>
      <c r="R612" s="50">
        <v>387.0</v>
      </c>
      <c r="S612" s="318"/>
      <c r="T612" s="317">
        <v>387.0</v>
      </c>
      <c r="U612" s="312" t="s">
        <v>1369</v>
      </c>
      <c r="V612" s="312" t="s">
        <v>1367</v>
      </c>
      <c r="W612" s="50"/>
      <c r="X612" s="50"/>
      <c r="Y612" s="50"/>
      <c r="Z612" s="312"/>
      <c r="AA612" s="312" t="s">
        <v>1522</v>
      </c>
      <c r="AB612" s="50"/>
      <c r="AC612" s="50"/>
      <c r="AD612" s="50"/>
      <c r="AE612" s="50"/>
    </row>
    <row r="613">
      <c r="A613" s="307">
        <v>42109.09583333333</v>
      </c>
      <c r="B613" s="50" t="s">
        <v>790</v>
      </c>
      <c r="C613" s="303" t="s">
        <v>1177</v>
      </c>
      <c r="D613" s="303" t="s">
        <v>1178</v>
      </c>
      <c r="E613" s="315">
        <v>41631.0</v>
      </c>
      <c r="F613" s="312" t="s">
        <v>30</v>
      </c>
      <c r="G613" s="303" t="s">
        <v>1179</v>
      </c>
      <c r="H613" s="303" t="s">
        <v>1181</v>
      </c>
      <c r="I613" s="303" t="s">
        <v>1187</v>
      </c>
      <c r="J613" s="306"/>
      <c r="K613" s="50"/>
      <c r="L613" s="312"/>
      <c r="M613" s="312">
        <v>202.0</v>
      </c>
      <c r="N613" s="50"/>
      <c r="O613" s="312"/>
      <c r="P613" s="315">
        <v>42109.0</v>
      </c>
      <c r="Q613" s="312">
        <v>41000.0</v>
      </c>
      <c r="R613" s="312">
        <v>384.0</v>
      </c>
      <c r="S613" s="316"/>
      <c r="T613" s="317">
        <v>384.0</v>
      </c>
      <c r="U613" s="312" t="s">
        <v>1369</v>
      </c>
      <c r="V613" s="312" t="s">
        <v>1367</v>
      </c>
      <c r="W613" s="50"/>
      <c r="X613" s="50"/>
      <c r="Y613" s="50"/>
      <c r="Z613" s="312"/>
      <c r="AA613" s="312" t="s">
        <v>1522</v>
      </c>
      <c r="AB613" s="50"/>
      <c r="AC613" s="50"/>
      <c r="AD613" s="50"/>
      <c r="AE613" s="50"/>
    </row>
    <row r="614">
      <c r="A614" s="307">
        <v>42240.17222222222</v>
      </c>
      <c r="B614" s="312" t="s">
        <v>790</v>
      </c>
      <c r="C614" s="303" t="s">
        <v>1177</v>
      </c>
      <c r="D614" s="303" t="s">
        <v>1178</v>
      </c>
      <c r="E614" s="315">
        <v>41631.0</v>
      </c>
      <c r="F614" s="312" t="s">
        <v>30</v>
      </c>
      <c r="G614" s="303" t="s">
        <v>1179</v>
      </c>
      <c r="H614" s="303" t="s">
        <v>1181</v>
      </c>
      <c r="I614" s="303" t="s">
        <v>1187</v>
      </c>
      <c r="J614" s="306">
        <v>0.7</v>
      </c>
      <c r="K614" s="312">
        <v>401.0</v>
      </c>
      <c r="L614" s="312"/>
      <c r="M614" s="312">
        <v>200.0</v>
      </c>
      <c r="N614" s="312"/>
      <c r="O614" s="312"/>
      <c r="P614" s="315">
        <v>42240.0</v>
      </c>
      <c r="Q614" s="312">
        <v>49500.0</v>
      </c>
      <c r="R614" s="312">
        <v>378.0</v>
      </c>
      <c r="S614" s="316"/>
      <c r="T614" s="317">
        <v>378.0</v>
      </c>
      <c r="U614" s="312" t="s">
        <v>1369</v>
      </c>
      <c r="V614" s="312" t="s">
        <v>1367</v>
      </c>
      <c r="W614" s="50"/>
      <c r="X614" s="50"/>
      <c r="Y614" s="50"/>
      <c r="Z614" s="312"/>
      <c r="AA614" s="312" t="s">
        <v>1373</v>
      </c>
      <c r="AB614" s="50"/>
      <c r="AC614" s="50"/>
      <c r="AD614" s="50"/>
      <c r="AE614" s="50"/>
    </row>
    <row r="615">
      <c r="A615" s="307">
        <v>42269.18541666667</v>
      </c>
      <c r="B615" s="50" t="s">
        <v>790</v>
      </c>
      <c r="C615" s="303" t="s">
        <v>1177</v>
      </c>
      <c r="D615" s="303" t="s">
        <v>1178</v>
      </c>
      <c r="E615" s="315">
        <v>41631.0</v>
      </c>
      <c r="F615" s="312" t="s">
        <v>30</v>
      </c>
      <c r="G615" s="303" t="s">
        <v>1179</v>
      </c>
      <c r="H615" s="303" t="s">
        <v>1181</v>
      </c>
      <c r="I615" s="303" t="s">
        <v>1187</v>
      </c>
      <c r="J615" s="306">
        <v>0.7</v>
      </c>
      <c r="K615" s="312">
        <v>401.0</v>
      </c>
      <c r="L615" s="312"/>
      <c r="M615" s="312">
        <v>198.0</v>
      </c>
      <c r="N615" s="312"/>
      <c r="O615" s="312"/>
      <c r="P615" s="315">
        <v>42269.0</v>
      </c>
      <c r="Q615" s="312">
        <v>51815.0</v>
      </c>
      <c r="R615" s="312">
        <v>375.0</v>
      </c>
      <c r="S615" s="316"/>
      <c r="T615" s="317">
        <v>375.0</v>
      </c>
      <c r="U615" s="312" t="s">
        <v>1369</v>
      </c>
      <c r="V615" s="312" t="s">
        <v>1367</v>
      </c>
      <c r="W615" s="50"/>
      <c r="X615" s="50"/>
      <c r="Y615" s="50"/>
      <c r="Z615" s="312"/>
      <c r="AA615" s="50"/>
      <c r="AB615" s="50"/>
      <c r="AC615" s="50"/>
      <c r="AD615" s="50"/>
      <c r="AE615" s="50"/>
    </row>
    <row r="616">
      <c r="A616" s="307">
        <v>42349.248611111114</v>
      </c>
      <c r="B616" s="50" t="s">
        <v>790</v>
      </c>
      <c r="C616" s="303" t="s">
        <v>1177</v>
      </c>
      <c r="D616" s="303" t="s">
        <v>1178</v>
      </c>
      <c r="E616" s="315">
        <v>41631.0</v>
      </c>
      <c r="F616" s="312" t="s">
        <v>30</v>
      </c>
      <c r="G616" s="303" t="s">
        <v>1180</v>
      </c>
      <c r="H616" s="303" t="s">
        <v>1181</v>
      </c>
      <c r="I616" s="303" t="s">
        <v>1187</v>
      </c>
      <c r="J616" s="306">
        <v>0.7</v>
      </c>
      <c r="K616" s="312">
        <v>400.0</v>
      </c>
      <c r="L616" s="312"/>
      <c r="M616" s="312">
        <v>198.0</v>
      </c>
      <c r="N616" s="312"/>
      <c r="O616" s="312"/>
      <c r="P616" s="315">
        <v>42349.0</v>
      </c>
      <c r="Q616" s="312">
        <v>58000.0</v>
      </c>
      <c r="R616" s="312">
        <v>369.0</v>
      </c>
      <c r="S616" s="316"/>
      <c r="T616" s="317">
        <v>369.0</v>
      </c>
      <c r="U616" s="312" t="s">
        <v>1369</v>
      </c>
      <c r="V616" s="312" t="s">
        <v>1367</v>
      </c>
      <c r="W616" s="50"/>
      <c r="X616" s="50"/>
      <c r="Y616" s="50"/>
      <c r="Z616" s="312"/>
      <c r="AA616" s="50"/>
      <c r="AB616" s="50"/>
      <c r="AC616" s="50"/>
      <c r="AD616" s="50"/>
      <c r="AE616" s="50"/>
    </row>
    <row r="617">
      <c r="A617" s="307">
        <v>42678.813888888886</v>
      </c>
      <c r="B617" s="312" t="s">
        <v>1071</v>
      </c>
      <c r="C617" s="312" t="s">
        <v>1184</v>
      </c>
      <c r="D617" s="303" t="s">
        <v>1185</v>
      </c>
      <c r="E617" s="315">
        <v>41573.0</v>
      </c>
      <c r="F617" s="312" t="s">
        <v>32</v>
      </c>
      <c r="G617" s="303" t="s">
        <v>1181</v>
      </c>
      <c r="H617" s="303" t="s">
        <v>1180</v>
      </c>
      <c r="I617" s="303" t="s">
        <v>1187</v>
      </c>
      <c r="J617" s="306">
        <v>0.8</v>
      </c>
      <c r="K617" s="50"/>
      <c r="L617" s="312"/>
      <c r="M617" s="312">
        <v>326.0</v>
      </c>
      <c r="N617" s="312"/>
      <c r="O617" s="312"/>
      <c r="P617" s="315">
        <v>42678.0</v>
      </c>
      <c r="Q617" s="312">
        <v>32418.0</v>
      </c>
      <c r="R617" s="312">
        <v>255.0</v>
      </c>
      <c r="S617" s="316"/>
      <c r="T617" s="317">
        <v>255.0</v>
      </c>
      <c r="U617" s="312" t="s">
        <v>1369</v>
      </c>
      <c r="V617" s="312" t="s">
        <v>1367</v>
      </c>
      <c r="W617" s="50"/>
      <c r="X617" s="50"/>
      <c r="Y617" s="50"/>
      <c r="Z617" s="312"/>
      <c r="AA617" s="50"/>
      <c r="AB617" s="50"/>
      <c r="AC617" s="50"/>
      <c r="AD617" s="50"/>
      <c r="AE617" s="50"/>
    </row>
    <row r="618">
      <c r="A618" s="307">
        <v>41907.01666666667</v>
      </c>
      <c r="B618" s="50" t="s">
        <v>951</v>
      </c>
      <c r="C618" s="303" t="s">
        <v>1177</v>
      </c>
      <c r="D618" s="303" t="s">
        <v>1178</v>
      </c>
      <c r="E618" s="310">
        <v>41536.0</v>
      </c>
      <c r="F618" s="312" t="s">
        <v>30</v>
      </c>
      <c r="G618" s="303" t="s">
        <v>1179</v>
      </c>
      <c r="H618" s="303" t="s">
        <v>1179</v>
      </c>
      <c r="I618" s="303" t="s">
        <v>1187</v>
      </c>
      <c r="J618" s="306"/>
      <c r="K618" s="50"/>
      <c r="L618" s="50"/>
      <c r="M618" s="50">
        <v>204.0</v>
      </c>
      <c r="N618" s="50"/>
      <c r="O618" s="312"/>
      <c r="P618" s="310">
        <v>41907.0</v>
      </c>
      <c r="Q618" s="50">
        <v>39200.0</v>
      </c>
      <c r="R618" s="50">
        <v>385.0</v>
      </c>
      <c r="S618" s="318"/>
      <c r="T618" s="317">
        <v>385.0</v>
      </c>
      <c r="U618" s="312" t="s">
        <v>1369</v>
      </c>
      <c r="V618" s="312" t="s">
        <v>1367</v>
      </c>
      <c r="W618" s="50"/>
      <c r="X618" s="50"/>
      <c r="Y618" s="50"/>
      <c r="Z618" s="50"/>
      <c r="AA618" s="50" t="s">
        <v>1487</v>
      </c>
      <c r="AB618" s="50"/>
      <c r="AC618" s="50"/>
      <c r="AD618" s="50"/>
      <c r="AE618" s="50"/>
    </row>
    <row r="619">
      <c r="A619" s="307">
        <v>42227.15416666667</v>
      </c>
      <c r="B619" s="312" t="s">
        <v>951</v>
      </c>
      <c r="C619" s="303" t="s">
        <v>1177</v>
      </c>
      <c r="D619" s="303" t="s">
        <v>1178</v>
      </c>
      <c r="E619" s="315">
        <v>41536.0</v>
      </c>
      <c r="F619" s="312" t="s">
        <v>30</v>
      </c>
      <c r="G619" s="303" t="s">
        <v>1179</v>
      </c>
      <c r="H619" s="303" t="s">
        <v>1180</v>
      </c>
      <c r="I619" s="303" t="s">
        <v>1186</v>
      </c>
      <c r="J619" s="306">
        <v>0.9</v>
      </c>
      <c r="K619" s="312">
        <v>395.0</v>
      </c>
      <c r="L619" s="312"/>
      <c r="M619" s="312">
        <v>238.0</v>
      </c>
      <c r="N619" s="312">
        <v>53982.0</v>
      </c>
      <c r="O619" s="303" t="s">
        <v>1207</v>
      </c>
      <c r="P619" s="315">
        <v>42227.0</v>
      </c>
      <c r="Q619" s="312">
        <v>77500.0</v>
      </c>
      <c r="R619" s="312">
        <v>382.0</v>
      </c>
      <c r="S619" s="316"/>
      <c r="T619" s="317">
        <v>382.0</v>
      </c>
      <c r="U619" s="312" t="s">
        <v>1369</v>
      </c>
      <c r="V619" s="312" t="s">
        <v>1399</v>
      </c>
      <c r="W619" s="50"/>
      <c r="X619" s="50"/>
      <c r="Y619" s="50"/>
      <c r="Z619" s="312"/>
      <c r="AA619" s="50"/>
      <c r="AB619" s="50"/>
      <c r="AC619" s="50"/>
      <c r="AD619" s="50"/>
      <c r="AE619" s="50"/>
    </row>
    <row r="620">
      <c r="A620" s="307">
        <v>42735.48125</v>
      </c>
      <c r="B620" s="312" t="s">
        <v>951</v>
      </c>
      <c r="C620" s="303" t="s">
        <v>1177</v>
      </c>
      <c r="D620" s="303" t="s">
        <v>1178</v>
      </c>
      <c r="E620" s="315">
        <v>41536.0</v>
      </c>
      <c r="F620" s="312" t="s">
        <v>30</v>
      </c>
      <c r="G620" s="303" t="s">
        <v>1203</v>
      </c>
      <c r="H620" s="303" t="s">
        <v>1180</v>
      </c>
      <c r="I620" s="303" t="s">
        <v>1203</v>
      </c>
      <c r="J620" s="306">
        <v>0.9</v>
      </c>
      <c r="K620" s="50"/>
      <c r="L620" s="312"/>
      <c r="M620" s="312">
        <v>241.0</v>
      </c>
      <c r="N620" s="312"/>
      <c r="O620" s="312"/>
      <c r="P620" s="315">
        <v>42735.0</v>
      </c>
      <c r="Q620" s="312">
        <v>135000.0</v>
      </c>
      <c r="R620" s="312">
        <v>368.0</v>
      </c>
      <c r="S620" s="316"/>
      <c r="T620" s="317">
        <v>368.0</v>
      </c>
      <c r="U620" s="312" t="s">
        <v>1369</v>
      </c>
      <c r="V620" s="312" t="s">
        <v>1367</v>
      </c>
      <c r="W620" s="50"/>
      <c r="X620" s="50"/>
      <c r="Y620" s="50"/>
      <c r="Z620" s="312"/>
      <c r="AA620" s="50"/>
      <c r="AB620" s="50"/>
      <c r="AC620" s="50"/>
      <c r="AD620" s="50"/>
      <c r="AE620" s="50"/>
    </row>
    <row r="621">
      <c r="A621" s="307">
        <v>42968.58194444444</v>
      </c>
      <c r="B621" s="312" t="s">
        <v>951</v>
      </c>
      <c r="C621" s="303" t="s">
        <v>1177</v>
      </c>
      <c r="D621" s="303" t="s">
        <v>1178</v>
      </c>
      <c r="E621" s="315">
        <v>41536.0</v>
      </c>
      <c r="F621" s="312" t="s">
        <v>30</v>
      </c>
      <c r="G621" s="303" t="s">
        <v>1179</v>
      </c>
      <c r="H621" s="303" t="s">
        <v>1181</v>
      </c>
      <c r="I621" s="303" t="s">
        <v>1181</v>
      </c>
      <c r="J621" s="306">
        <v>0.9</v>
      </c>
      <c r="K621" s="312">
        <v>392.0</v>
      </c>
      <c r="L621" s="312"/>
      <c r="M621" s="312">
        <v>201.0</v>
      </c>
      <c r="N621" s="312">
        <v>53982.0</v>
      </c>
      <c r="O621" s="303" t="s">
        <v>1207</v>
      </c>
      <c r="P621" s="315">
        <v>42968.0</v>
      </c>
      <c r="Q621" s="312">
        <v>158400.0</v>
      </c>
      <c r="R621" s="312">
        <v>368.0</v>
      </c>
      <c r="S621" s="316"/>
      <c r="T621" s="317">
        <v>368.0</v>
      </c>
      <c r="U621" s="312" t="s">
        <v>1369</v>
      </c>
      <c r="V621" s="312" t="s">
        <v>1399</v>
      </c>
      <c r="W621" s="50"/>
      <c r="X621" s="50"/>
      <c r="Y621" s="50"/>
      <c r="Z621" s="312"/>
      <c r="AA621" s="50"/>
      <c r="AB621" s="50"/>
      <c r="AC621" s="50"/>
      <c r="AD621" s="50"/>
      <c r="AE621" s="50"/>
    </row>
    <row r="622">
      <c r="A622" s="307">
        <v>43013.61666666667</v>
      </c>
      <c r="B622" s="312" t="s">
        <v>951</v>
      </c>
      <c r="C622" s="303" t="s">
        <v>1177</v>
      </c>
      <c r="D622" s="303" t="s">
        <v>1178</v>
      </c>
      <c r="E622" s="315">
        <v>42920.0</v>
      </c>
      <c r="F622" s="312" t="s">
        <v>62</v>
      </c>
      <c r="G622" s="303" t="s">
        <v>1205</v>
      </c>
      <c r="H622" s="303" t="s">
        <v>1186</v>
      </c>
      <c r="I622" s="303" t="s">
        <v>1187</v>
      </c>
      <c r="J622" s="306">
        <v>0.9</v>
      </c>
      <c r="K622" s="312">
        <v>453.0</v>
      </c>
      <c r="L622" s="312"/>
      <c r="M622" s="312">
        <v>247.0</v>
      </c>
      <c r="N622" s="312"/>
      <c r="O622" s="312"/>
      <c r="P622" s="315">
        <v>43013.0</v>
      </c>
      <c r="Q622" s="312">
        <v>2000.0</v>
      </c>
      <c r="R622" s="312">
        <v>453.0</v>
      </c>
      <c r="S622" s="316"/>
      <c r="T622" s="317">
        <v>453.0</v>
      </c>
      <c r="U622" s="312" t="s">
        <v>1369</v>
      </c>
      <c r="V622" s="312" t="s">
        <v>1367</v>
      </c>
      <c r="W622" s="50"/>
      <c r="X622" s="50"/>
      <c r="Y622" s="50"/>
      <c r="Z622" s="312"/>
      <c r="AA622" s="50"/>
      <c r="AB622" s="50"/>
      <c r="AC622" s="50"/>
      <c r="AD622" s="50"/>
      <c r="AE622" s="50"/>
    </row>
    <row r="623">
      <c r="A623" s="307">
        <v>42315.90416666667</v>
      </c>
      <c r="B623" s="312" t="s">
        <v>796</v>
      </c>
      <c r="C623" s="312" t="s">
        <v>1197</v>
      </c>
      <c r="D623" s="303" t="s">
        <v>1178</v>
      </c>
      <c r="E623" s="315">
        <v>42173.0</v>
      </c>
      <c r="F623" s="312" t="s">
        <v>36</v>
      </c>
      <c r="G623" s="303" t="s">
        <v>1180</v>
      </c>
      <c r="H623" s="303" t="s">
        <v>1181</v>
      </c>
      <c r="I623" s="303" t="s">
        <v>1187</v>
      </c>
      <c r="J623" s="306">
        <v>0.9</v>
      </c>
      <c r="K623" s="312">
        <v>435.0</v>
      </c>
      <c r="L623" s="312"/>
      <c r="M623" s="312">
        <v>209.0</v>
      </c>
      <c r="N623" s="312"/>
      <c r="O623" s="312"/>
      <c r="P623" s="315">
        <v>42315.0</v>
      </c>
      <c r="Q623" s="312">
        <v>6900.0</v>
      </c>
      <c r="R623" s="312">
        <v>428.0</v>
      </c>
      <c r="S623" s="316"/>
      <c r="T623" s="317">
        <v>433.42</v>
      </c>
      <c r="U623" s="312" t="s">
        <v>1366</v>
      </c>
      <c r="V623" s="312" t="s">
        <v>1367</v>
      </c>
      <c r="W623" s="50"/>
      <c r="X623" s="50"/>
      <c r="Y623" s="50"/>
      <c r="Z623" s="312"/>
      <c r="AA623" s="312" t="s">
        <v>1523</v>
      </c>
      <c r="AB623" s="50"/>
      <c r="AC623" s="50"/>
      <c r="AD623" s="50"/>
      <c r="AE623" s="50"/>
    </row>
    <row r="624">
      <c r="A624" s="307">
        <v>42428.90902777778</v>
      </c>
      <c r="B624" s="312" t="s">
        <v>796</v>
      </c>
      <c r="C624" s="312" t="s">
        <v>1197</v>
      </c>
      <c r="D624" s="303" t="s">
        <v>1178</v>
      </c>
      <c r="E624" s="315">
        <v>42173.0</v>
      </c>
      <c r="F624" s="312" t="s">
        <v>36</v>
      </c>
      <c r="G624" s="303" t="s">
        <v>1180</v>
      </c>
      <c r="H624" s="303" t="s">
        <v>1181</v>
      </c>
      <c r="I624" s="303" t="s">
        <v>1187</v>
      </c>
      <c r="J624" s="306">
        <v>0.9</v>
      </c>
      <c r="K624" s="312">
        <v>435.0</v>
      </c>
      <c r="L624" s="312"/>
      <c r="M624" s="312">
        <v>209.0</v>
      </c>
      <c r="N624" s="312"/>
      <c r="O624" s="312"/>
      <c r="P624" s="315">
        <v>42428.0</v>
      </c>
      <c r="Q624" s="312">
        <v>10680.0</v>
      </c>
      <c r="R624" s="312">
        <v>428.0</v>
      </c>
      <c r="S624" s="316"/>
      <c r="T624" s="317">
        <v>433.42</v>
      </c>
      <c r="U624" s="312" t="s">
        <v>1366</v>
      </c>
      <c r="V624" s="312" t="s">
        <v>1367</v>
      </c>
      <c r="W624" s="50"/>
      <c r="X624" s="50"/>
      <c r="Y624" s="50"/>
      <c r="Z624" s="312"/>
      <c r="AA624" s="312"/>
      <c r="AB624" s="50"/>
      <c r="AC624" s="50"/>
      <c r="AD624" s="50"/>
      <c r="AE624" s="50"/>
    </row>
    <row r="625">
      <c r="A625" s="307">
        <v>42659.9125</v>
      </c>
      <c r="B625" s="312" t="s">
        <v>796</v>
      </c>
      <c r="C625" s="312" t="s">
        <v>1197</v>
      </c>
      <c r="D625" s="303" t="s">
        <v>1178</v>
      </c>
      <c r="E625" s="315">
        <v>42173.0</v>
      </c>
      <c r="F625" s="312" t="s">
        <v>36</v>
      </c>
      <c r="G625" s="303" t="s">
        <v>1180</v>
      </c>
      <c r="H625" s="303" t="s">
        <v>1180</v>
      </c>
      <c r="I625" s="303" t="s">
        <v>1187</v>
      </c>
      <c r="J625" s="306">
        <v>0.9</v>
      </c>
      <c r="K625" s="312">
        <v>435.0</v>
      </c>
      <c r="L625" s="312"/>
      <c r="M625" s="312">
        <v>212.0</v>
      </c>
      <c r="N625" s="312"/>
      <c r="O625" s="312"/>
      <c r="P625" s="315">
        <v>42659.0</v>
      </c>
      <c r="Q625" s="312">
        <v>19550.0</v>
      </c>
      <c r="R625" s="312">
        <v>432.0</v>
      </c>
      <c r="S625" s="316"/>
      <c r="T625" s="317">
        <v>437.47</v>
      </c>
      <c r="U625" s="312" t="s">
        <v>1366</v>
      </c>
      <c r="V625" s="312" t="s">
        <v>1367</v>
      </c>
      <c r="W625" s="50"/>
      <c r="X625" s="50"/>
      <c r="Y625" s="50"/>
      <c r="Z625" s="312"/>
      <c r="AA625" s="50"/>
      <c r="AB625" s="50"/>
      <c r="AC625" s="50"/>
      <c r="AD625" s="50"/>
      <c r="AE625" s="50"/>
    </row>
    <row r="626">
      <c r="A626" s="307">
        <v>42733.915972222225</v>
      </c>
      <c r="B626" s="312" t="s">
        <v>796</v>
      </c>
      <c r="C626" s="312" t="s">
        <v>1197</v>
      </c>
      <c r="D626" s="303" t="s">
        <v>1178</v>
      </c>
      <c r="E626" s="315">
        <v>42173.0</v>
      </c>
      <c r="F626" s="312" t="s">
        <v>36</v>
      </c>
      <c r="G626" s="303" t="s">
        <v>1181</v>
      </c>
      <c r="H626" s="303" t="s">
        <v>1181</v>
      </c>
      <c r="I626" s="303" t="s">
        <v>1187</v>
      </c>
      <c r="J626" s="306">
        <v>0.9</v>
      </c>
      <c r="K626" s="312">
        <v>435.0</v>
      </c>
      <c r="L626" s="312"/>
      <c r="M626" s="312">
        <v>218.0</v>
      </c>
      <c r="N626" s="312"/>
      <c r="O626" s="312"/>
      <c r="P626" s="315">
        <v>42733.0</v>
      </c>
      <c r="Q626" s="312">
        <v>22611.0</v>
      </c>
      <c r="R626" s="312">
        <v>435.0</v>
      </c>
      <c r="S626" s="316"/>
      <c r="T626" s="317">
        <v>440.51</v>
      </c>
      <c r="U626" s="312" t="s">
        <v>1366</v>
      </c>
      <c r="V626" s="312" t="s">
        <v>1367</v>
      </c>
      <c r="W626" s="50"/>
      <c r="X626" s="50"/>
      <c r="Y626" s="50"/>
      <c r="Z626" s="312"/>
      <c r="AA626" s="50"/>
      <c r="AB626" s="50"/>
      <c r="AC626" s="50"/>
      <c r="AD626" s="50"/>
      <c r="AE626" s="50"/>
    </row>
    <row r="627">
      <c r="A627" s="307">
        <v>42862.92083333333</v>
      </c>
      <c r="B627" s="312" t="s">
        <v>796</v>
      </c>
      <c r="C627" s="312" t="s">
        <v>1197</v>
      </c>
      <c r="D627" s="303" t="s">
        <v>1178</v>
      </c>
      <c r="E627" s="315">
        <v>42173.0</v>
      </c>
      <c r="F627" s="312" t="s">
        <v>36</v>
      </c>
      <c r="G627" s="303" t="s">
        <v>1181</v>
      </c>
      <c r="H627" s="303" t="s">
        <v>1181</v>
      </c>
      <c r="I627" s="303" t="s">
        <v>1187</v>
      </c>
      <c r="J627" s="306">
        <v>0.9</v>
      </c>
      <c r="K627" s="312">
        <v>435.0</v>
      </c>
      <c r="L627" s="312"/>
      <c r="M627" s="312">
        <v>209.0</v>
      </c>
      <c r="N627" s="312"/>
      <c r="O627" s="312"/>
      <c r="P627" s="315">
        <v>42862.0</v>
      </c>
      <c r="Q627" s="312">
        <v>27015.0</v>
      </c>
      <c r="R627" s="312">
        <v>433.14</v>
      </c>
      <c r="S627" s="316"/>
      <c r="T627" s="317">
        <v>438.62</v>
      </c>
      <c r="U627" s="312" t="s">
        <v>1366</v>
      </c>
      <c r="V627" s="312" t="s">
        <v>1367</v>
      </c>
      <c r="W627" s="50"/>
      <c r="X627" s="50"/>
      <c r="Y627" s="50"/>
      <c r="Z627" s="312"/>
      <c r="AA627" s="50"/>
      <c r="AB627" s="50"/>
      <c r="AC627" s="50"/>
      <c r="AD627" s="50"/>
      <c r="AE627" s="50"/>
    </row>
    <row r="628">
      <c r="A628" s="307">
        <v>42952.92291666667</v>
      </c>
      <c r="B628" s="312" t="s">
        <v>796</v>
      </c>
      <c r="C628" s="312" t="s">
        <v>1197</v>
      </c>
      <c r="D628" s="303" t="s">
        <v>1178</v>
      </c>
      <c r="E628" s="315">
        <v>42173.0</v>
      </c>
      <c r="F628" s="312" t="s">
        <v>36</v>
      </c>
      <c r="G628" s="303" t="s">
        <v>1181</v>
      </c>
      <c r="H628" s="303" t="s">
        <v>1181</v>
      </c>
      <c r="I628" s="303" t="s">
        <v>1187</v>
      </c>
      <c r="J628" s="306">
        <v>0.9</v>
      </c>
      <c r="K628" s="312">
        <v>435.0</v>
      </c>
      <c r="L628" s="312"/>
      <c r="M628" s="312">
        <v>206.0</v>
      </c>
      <c r="N628" s="312"/>
      <c r="O628" s="312"/>
      <c r="P628" s="315">
        <v>42952.0</v>
      </c>
      <c r="Q628" s="312">
        <v>31589.0</v>
      </c>
      <c r="R628" s="312">
        <v>435.0</v>
      </c>
      <c r="S628" s="316"/>
      <c r="T628" s="317">
        <v>440.51</v>
      </c>
      <c r="U628" s="312" t="s">
        <v>1366</v>
      </c>
      <c r="V628" s="312" t="s">
        <v>1367</v>
      </c>
      <c r="W628" s="50"/>
      <c r="X628" s="50"/>
      <c r="Y628" s="50"/>
      <c r="Z628" s="312"/>
      <c r="AA628" s="50"/>
      <c r="AB628" s="50"/>
      <c r="AC628" s="50"/>
      <c r="AD628" s="50"/>
      <c r="AE628" s="50"/>
    </row>
    <row r="629">
      <c r="A629" s="307">
        <v>42031.066666666666</v>
      </c>
      <c r="B629" s="50" t="s">
        <v>757</v>
      </c>
      <c r="C629" s="303" t="s">
        <v>1177</v>
      </c>
      <c r="D629" s="303" t="s">
        <v>1178</v>
      </c>
      <c r="E629" s="310">
        <v>41615.0</v>
      </c>
      <c r="F629" s="312" t="s">
        <v>1370</v>
      </c>
      <c r="G629" s="303" t="s">
        <v>1180</v>
      </c>
      <c r="H629" s="303" t="s">
        <v>1179</v>
      </c>
      <c r="I629" s="303" t="s">
        <v>1187</v>
      </c>
      <c r="J629" s="306"/>
      <c r="K629" s="50"/>
      <c r="L629" s="50"/>
      <c r="M629" s="50">
        <v>212.0</v>
      </c>
      <c r="N629" s="50"/>
      <c r="O629" s="312"/>
      <c r="P629" s="310">
        <v>42031.0</v>
      </c>
      <c r="Q629" s="50">
        <v>65065.0</v>
      </c>
      <c r="R629" s="50">
        <v>373.0</v>
      </c>
      <c r="S629" s="318"/>
      <c r="T629" s="317">
        <v>377.72</v>
      </c>
      <c r="U629" s="312" t="s">
        <v>1366</v>
      </c>
      <c r="V629" s="312" t="s">
        <v>1367</v>
      </c>
      <c r="W629" s="50"/>
      <c r="X629" s="50"/>
      <c r="Y629" s="50"/>
      <c r="Z629" s="312"/>
      <c r="AA629" s="50"/>
      <c r="AB629" s="50"/>
      <c r="AC629" s="50"/>
      <c r="AD629" s="50"/>
      <c r="AE629" s="50"/>
    </row>
    <row r="630">
      <c r="A630" s="307">
        <v>42084.0875</v>
      </c>
      <c r="B630" s="312" t="s">
        <v>757</v>
      </c>
      <c r="C630" s="303" t="s">
        <v>1177</v>
      </c>
      <c r="D630" s="303" t="s">
        <v>1178</v>
      </c>
      <c r="E630" s="310">
        <v>41615.0</v>
      </c>
      <c r="F630" s="312" t="s">
        <v>1370</v>
      </c>
      <c r="G630" s="303" t="s">
        <v>1180</v>
      </c>
      <c r="H630" s="303" t="s">
        <v>1179</v>
      </c>
      <c r="I630" s="303" t="s">
        <v>1187</v>
      </c>
      <c r="J630" s="306"/>
      <c r="K630" s="50"/>
      <c r="L630" s="312"/>
      <c r="M630" s="312">
        <v>214.0</v>
      </c>
      <c r="N630" s="50"/>
      <c r="O630" s="312"/>
      <c r="P630" s="315">
        <v>42084.0</v>
      </c>
      <c r="Q630" s="312">
        <v>72778.0</v>
      </c>
      <c r="R630" s="312">
        <v>378.0</v>
      </c>
      <c r="S630" s="316"/>
      <c r="T630" s="317">
        <v>378.0</v>
      </c>
      <c r="U630" s="312" t="s">
        <v>1369</v>
      </c>
      <c r="V630" s="312" t="s">
        <v>1367</v>
      </c>
      <c r="W630" s="50"/>
      <c r="X630" s="50"/>
      <c r="Y630" s="50"/>
      <c r="Z630" s="312"/>
      <c r="AA630" s="50"/>
      <c r="AB630" s="50"/>
      <c r="AC630" s="50"/>
      <c r="AD630" s="50"/>
      <c r="AE630" s="50"/>
    </row>
    <row r="631">
      <c r="A631" s="307">
        <v>42084.302777777775</v>
      </c>
      <c r="B631" s="312" t="s">
        <v>757</v>
      </c>
      <c r="C631" s="303" t="s">
        <v>1177</v>
      </c>
      <c r="D631" s="303" t="s">
        <v>1178</v>
      </c>
      <c r="E631" s="310">
        <v>41615.0</v>
      </c>
      <c r="F631" s="312" t="s">
        <v>30</v>
      </c>
      <c r="G631" s="303" t="s">
        <v>1181</v>
      </c>
      <c r="H631" s="303" t="s">
        <v>1203</v>
      </c>
      <c r="I631" s="303" t="s">
        <v>1186</v>
      </c>
      <c r="J631" s="306">
        <v>0.9</v>
      </c>
      <c r="K631" s="312">
        <v>399.0</v>
      </c>
      <c r="L631" s="312"/>
      <c r="M631" s="312">
        <v>220.0</v>
      </c>
      <c r="N631" s="312"/>
      <c r="O631" s="312"/>
      <c r="P631" s="315">
        <v>42084.0</v>
      </c>
      <c r="Q631" s="312">
        <v>132950.0</v>
      </c>
      <c r="R631" s="312">
        <v>372.0</v>
      </c>
      <c r="S631" s="316"/>
      <c r="T631" s="317">
        <v>372.0</v>
      </c>
      <c r="U631" s="312" t="s">
        <v>1369</v>
      </c>
      <c r="V631" s="312" t="s">
        <v>1367</v>
      </c>
      <c r="W631" s="50"/>
      <c r="X631" s="50"/>
      <c r="Y631" s="50"/>
      <c r="Z631" s="312"/>
      <c r="AA631" s="50"/>
      <c r="AB631" s="50"/>
      <c r="AC631" s="50"/>
      <c r="AD631" s="50"/>
      <c r="AE631" s="50"/>
    </row>
    <row r="632">
      <c r="A632" s="307">
        <v>42830.82847222222</v>
      </c>
      <c r="B632" s="312" t="s">
        <v>826</v>
      </c>
      <c r="C632" s="312" t="s">
        <v>1184</v>
      </c>
      <c r="D632" s="303" t="s">
        <v>1185</v>
      </c>
      <c r="E632" s="315">
        <v>42577.0</v>
      </c>
      <c r="F632" s="312" t="s">
        <v>28</v>
      </c>
      <c r="G632" s="303" t="s">
        <v>1179</v>
      </c>
      <c r="H632" s="303" t="s">
        <v>1179</v>
      </c>
      <c r="I632" s="303" t="s">
        <v>1187</v>
      </c>
      <c r="J632" s="306">
        <v>0.9</v>
      </c>
      <c r="K632" s="312">
        <v>259.0</v>
      </c>
      <c r="L632" s="312"/>
      <c r="M632" s="312">
        <v>280.0</v>
      </c>
      <c r="N632" s="312"/>
      <c r="O632" s="312"/>
      <c r="P632" s="315">
        <v>42830.0</v>
      </c>
      <c r="Q632" s="312">
        <v>20500.0</v>
      </c>
      <c r="R632" s="312">
        <v>255.0</v>
      </c>
      <c r="S632" s="316"/>
      <c r="T632" s="317">
        <v>258.23</v>
      </c>
      <c r="U632" s="312" t="s">
        <v>1366</v>
      </c>
      <c r="V632" s="312" t="s">
        <v>1367</v>
      </c>
      <c r="W632" s="50"/>
      <c r="X632" s="50"/>
      <c r="Y632" s="50"/>
      <c r="Z632" s="312"/>
      <c r="AA632" s="312" t="s">
        <v>1524</v>
      </c>
      <c r="AB632" s="50"/>
      <c r="AC632" s="50"/>
      <c r="AD632" s="50"/>
      <c r="AE632" s="50"/>
    </row>
    <row r="633">
      <c r="A633" s="307">
        <v>42326.785416666666</v>
      </c>
      <c r="B633" s="312" t="s">
        <v>1087</v>
      </c>
      <c r="C633" s="312" t="s">
        <v>1184</v>
      </c>
      <c r="D633" s="303" t="s">
        <v>1185</v>
      </c>
      <c r="E633" s="315">
        <v>42078.0</v>
      </c>
      <c r="F633" s="312" t="s">
        <v>30</v>
      </c>
      <c r="G633" s="303" t="s">
        <v>1181</v>
      </c>
      <c r="H633" s="303" t="s">
        <v>1181</v>
      </c>
      <c r="I633" s="303" t="s">
        <v>1187</v>
      </c>
      <c r="J633" s="306">
        <v>0.8</v>
      </c>
      <c r="K633" s="312">
        <v>264.0</v>
      </c>
      <c r="L633" s="312"/>
      <c r="M633" s="312">
        <v>315.0</v>
      </c>
      <c r="N633" s="312"/>
      <c r="O633" s="312"/>
      <c r="P633" s="315">
        <v>42326.0</v>
      </c>
      <c r="Q633" s="312">
        <v>9640.0</v>
      </c>
      <c r="R633" s="312">
        <v>252.0</v>
      </c>
      <c r="S633" s="316"/>
      <c r="T633" s="317">
        <v>255.19</v>
      </c>
      <c r="U633" s="312" t="s">
        <v>1366</v>
      </c>
      <c r="V633" s="312" t="s">
        <v>1367</v>
      </c>
      <c r="W633" s="50"/>
      <c r="X633" s="50"/>
      <c r="Y633" s="50"/>
      <c r="Z633" s="312"/>
      <c r="AA633" s="50"/>
      <c r="AB633" s="50"/>
      <c r="AC633" s="50"/>
      <c r="AD633" s="50"/>
      <c r="AE633" s="50"/>
    </row>
    <row r="634">
      <c r="A634" s="307">
        <v>42328.78125</v>
      </c>
      <c r="B634" s="312" t="s">
        <v>843</v>
      </c>
      <c r="C634" s="312" t="s">
        <v>1184</v>
      </c>
      <c r="D634" s="303" t="s">
        <v>1185</v>
      </c>
      <c r="E634" s="315">
        <v>42054.0</v>
      </c>
      <c r="F634" s="312" t="s">
        <v>36</v>
      </c>
      <c r="G634" s="50"/>
      <c r="H634" s="50"/>
      <c r="I634" s="50"/>
      <c r="J634" s="306"/>
      <c r="K634" s="50"/>
      <c r="L634" s="312"/>
      <c r="M634" s="312">
        <v>335.0</v>
      </c>
      <c r="N634" s="312"/>
      <c r="O634" s="312"/>
      <c r="P634" s="315">
        <v>42328.0</v>
      </c>
      <c r="Q634" s="312">
        <v>9634.0</v>
      </c>
      <c r="R634" s="312">
        <v>261.0</v>
      </c>
      <c r="S634" s="316"/>
      <c r="T634" s="317">
        <v>264.3</v>
      </c>
      <c r="U634" s="312" t="s">
        <v>1366</v>
      </c>
      <c r="V634" s="312" t="s">
        <v>1367</v>
      </c>
      <c r="W634" s="50"/>
      <c r="X634" s="50"/>
      <c r="Y634" s="50"/>
      <c r="Z634" s="312"/>
      <c r="AA634" s="50"/>
      <c r="AB634" s="50"/>
      <c r="AC634" s="50"/>
      <c r="AD634" s="50"/>
      <c r="AE634" s="50"/>
    </row>
    <row r="635">
      <c r="A635" s="307">
        <v>42477.79236111111</v>
      </c>
      <c r="B635" s="312" t="s">
        <v>843</v>
      </c>
      <c r="C635" s="312" t="s">
        <v>1184</v>
      </c>
      <c r="D635" s="303" t="s">
        <v>1185</v>
      </c>
      <c r="E635" s="315">
        <v>42054.0</v>
      </c>
      <c r="F635" s="312" t="s">
        <v>36</v>
      </c>
      <c r="G635" s="303" t="s">
        <v>1181</v>
      </c>
      <c r="H635" s="303" t="s">
        <v>1181</v>
      </c>
      <c r="I635" s="303" t="s">
        <v>1187</v>
      </c>
      <c r="J635" s="306">
        <v>0.9</v>
      </c>
      <c r="K635" s="50"/>
      <c r="L635" s="312"/>
      <c r="M635" s="312">
        <v>328.0</v>
      </c>
      <c r="N635" s="312"/>
      <c r="O635" s="312"/>
      <c r="P635" s="315">
        <v>42477.0</v>
      </c>
      <c r="Q635" s="312">
        <v>12236.0</v>
      </c>
      <c r="R635" s="312">
        <v>268.0</v>
      </c>
      <c r="S635" s="316"/>
      <c r="T635" s="317">
        <v>271.39</v>
      </c>
      <c r="U635" s="312" t="s">
        <v>1366</v>
      </c>
      <c r="V635" s="312" t="s">
        <v>1367</v>
      </c>
      <c r="W635" s="50"/>
      <c r="X635" s="50"/>
      <c r="Y635" s="50"/>
      <c r="Z635" s="312"/>
      <c r="AA635" s="50"/>
      <c r="AB635" s="50"/>
      <c r="AC635" s="50"/>
      <c r="AD635" s="50"/>
      <c r="AE635" s="50"/>
    </row>
    <row r="636">
      <c r="A636" s="307">
        <v>42668.80972222222</v>
      </c>
      <c r="B636" s="312" t="s">
        <v>843</v>
      </c>
      <c r="C636" s="312" t="s">
        <v>1184</v>
      </c>
      <c r="D636" s="303" t="s">
        <v>1185</v>
      </c>
      <c r="E636" s="315">
        <v>42054.0</v>
      </c>
      <c r="F636" s="312" t="s">
        <v>36</v>
      </c>
      <c r="G636" s="303" t="s">
        <v>1180</v>
      </c>
      <c r="H636" s="303" t="s">
        <v>1181</v>
      </c>
      <c r="I636" s="303" t="s">
        <v>1186</v>
      </c>
      <c r="J636" s="306">
        <v>0.9</v>
      </c>
      <c r="K636" s="50"/>
      <c r="L636" s="312"/>
      <c r="M636" s="312">
        <v>323.0</v>
      </c>
      <c r="N636" s="312"/>
      <c r="O636" s="312"/>
      <c r="P636" s="315">
        <v>42668.0</v>
      </c>
      <c r="Q636" s="312">
        <v>18642.0</v>
      </c>
      <c r="R636" s="312">
        <v>268.0</v>
      </c>
      <c r="S636" s="316"/>
      <c r="T636" s="317">
        <v>271.39</v>
      </c>
      <c r="U636" s="312" t="s">
        <v>1366</v>
      </c>
      <c r="V636" s="312" t="s">
        <v>1367</v>
      </c>
      <c r="W636" s="50"/>
      <c r="X636" s="50"/>
      <c r="Y636" s="50"/>
      <c r="Z636" s="312"/>
      <c r="AA636" s="50"/>
      <c r="AB636" s="50"/>
      <c r="AC636" s="50"/>
      <c r="AD636" s="50"/>
      <c r="AE636" s="50"/>
    </row>
    <row r="637">
      <c r="A637" s="307">
        <v>43219.73472222222</v>
      </c>
      <c r="B637" s="312" t="s">
        <v>1525</v>
      </c>
      <c r="C637" s="303" t="s">
        <v>1177</v>
      </c>
      <c r="D637" s="303" t="s">
        <v>1178</v>
      </c>
      <c r="E637" s="315"/>
      <c r="F637" s="312" t="s">
        <v>30</v>
      </c>
      <c r="G637" s="303" t="s">
        <v>1179</v>
      </c>
      <c r="H637" s="303" t="s">
        <v>1180</v>
      </c>
      <c r="I637" s="303" t="s">
        <v>1181</v>
      </c>
      <c r="J637" s="306">
        <v>0.9</v>
      </c>
      <c r="K637" s="312">
        <v>400.0</v>
      </c>
      <c r="L637" s="312"/>
      <c r="M637" s="312">
        <v>218.0</v>
      </c>
      <c r="N637" s="312"/>
      <c r="O637" s="312"/>
      <c r="P637" s="315">
        <v>43219.0</v>
      </c>
      <c r="Q637" s="312">
        <v>265546.0</v>
      </c>
      <c r="R637" s="312">
        <v>378.0</v>
      </c>
      <c r="S637" s="316"/>
      <c r="T637" s="319">
        <v>378.0</v>
      </c>
      <c r="U637" s="312" t="s">
        <v>1369</v>
      </c>
      <c r="V637" s="312" t="s">
        <v>1367</v>
      </c>
      <c r="W637" s="50"/>
      <c r="X637" s="50"/>
      <c r="Y637" s="50"/>
      <c r="Z637" s="312"/>
      <c r="AA637" s="50"/>
      <c r="AB637" s="50"/>
      <c r="AC637" s="50"/>
      <c r="AD637" s="50"/>
      <c r="AE637" s="50"/>
    </row>
    <row r="638">
      <c r="A638" s="307">
        <v>42204.145833333336</v>
      </c>
      <c r="B638" s="312" t="s">
        <v>855</v>
      </c>
      <c r="C638" s="303" t="s">
        <v>1177</v>
      </c>
      <c r="D638" s="303" t="s">
        <v>1178</v>
      </c>
      <c r="E638" s="315">
        <v>41814.0</v>
      </c>
      <c r="F638" s="312" t="s">
        <v>30</v>
      </c>
      <c r="G638" s="303" t="s">
        <v>1180</v>
      </c>
      <c r="H638" s="303" t="s">
        <v>1181</v>
      </c>
      <c r="I638" s="303" t="s">
        <v>1186</v>
      </c>
      <c r="J638" s="306">
        <v>0.9</v>
      </c>
      <c r="K638" s="312">
        <v>398.0</v>
      </c>
      <c r="L638" s="312"/>
      <c r="M638" s="312">
        <v>225.0</v>
      </c>
      <c r="N638" s="312"/>
      <c r="O638" s="312"/>
      <c r="P638" s="315">
        <v>42204.0</v>
      </c>
      <c r="Q638" s="312">
        <v>52221.0</v>
      </c>
      <c r="R638" s="312">
        <v>382.0</v>
      </c>
      <c r="S638" s="316"/>
      <c r="T638" s="317">
        <v>382.0</v>
      </c>
      <c r="U638" s="312" t="s">
        <v>1369</v>
      </c>
      <c r="V638" s="312" t="s">
        <v>1367</v>
      </c>
      <c r="W638" s="50"/>
      <c r="X638" s="50"/>
      <c r="Y638" s="50"/>
      <c r="Z638" s="312"/>
      <c r="AA638" s="50"/>
      <c r="AB638" s="50"/>
      <c r="AC638" s="50"/>
      <c r="AD638" s="50"/>
      <c r="AE638" s="50"/>
    </row>
    <row r="639">
      <c r="A639" s="307">
        <v>42242.174305555556</v>
      </c>
      <c r="B639" s="312" t="s">
        <v>855</v>
      </c>
      <c r="C639" s="303" t="s">
        <v>1177</v>
      </c>
      <c r="D639" s="303" t="s">
        <v>1178</v>
      </c>
      <c r="E639" s="315">
        <v>41814.0</v>
      </c>
      <c r="F639" s="312" t="s">
        <v>30</v>
      </c>
      <c r="G639" s="303" t="s">
        <v>1180</v>
      </c>
      <c r="H639" s="303" t="s">
        <v>1181</v>
      </c>
      <c r="I639" s="303" t="s">
        <v>1186</v>
      </c>
      <c r="J639" s="306">
        <v>0.9</v>
      </c>
      <c r="K639" s="312">
        <v>398.0</v>
      </c>
      <c r="L639" s="312"/>
      <c r="M639" s="312">
        <v>223.0</v>
      </c>
      <c r="N639" s="312"/>
      <c r="O639" s="312"/>
      <c r="P639" s="315">
        <v>42242.0</v>
      </c>
      <c r="Q639" s="312">
        <v>60000.0</v>
      </c>
      <c r="R639" s="312">
        <v>384.0</v>
      </c>
      <c r="S639" s="316"/>
      <c r="T639" s="317">
        <v>384.0</v>
      </c>
      <c r="U639" s="312" t="s">
        <v>1369</v>
      </c>
      <c r="V639" s="312" t="s">
        <v>1367</v>
      </c>
      <c r="W639" s="312">
        <v>384.0</v>
      </c>
      <c r="X639" s="312">
        <v>88.0</v>
      </c>
      <c r="Y639" s="312">
        <v>57.1</v>
      </c>
      <c r="Z639" s="312" t="s">
        <v>1369</v>
      </c>
      <c r="AA639" s="312" t="s">
        <v>1373</v>
      </c>
      <c r="AB639" s="50"/>
      <c r="AC639" s="50"/>
      <c r="AD639" s="50"/>
      <c r="AE639" s="50"/>
    </row>
    <row r="640">
      <c r="A640" s="307">
        <v>42361.25902777778</v>
      </c>
      <c r="B640" s="312" t="s">
        <v>855</v>
      </c>
      <c r="C640" s="303" t="s">
        <v>1177</v>
      </c>
      <c r="D640" s="303" t="s">
        <v>1178</v>
      </c>
      <c r="E640" s="315">
        <v>41814.0</v>
      </c>
      <c r="F640" s="312" t="s">
        <v>30</v>
      </c>
      <c r="G640" s="303" t="s">
        <v>1180</v>
      </c>
      <c r="H640" s="303" t="s">
        <v>1181</v>
      </c>
      <c r="I640" s="303" t="s">
        <v>1181</v>
      </c>
      <c r="J640" s="306">
        <v>0.8</v>
      </c>
      <c r="K640" s="312">
        <v>398.0</v>
      </c>
      <c r="L640" s="312"/>
      <c r="M640" s="312">
        <v>222.0</v>
      </c>
      <c r="N640" s="312"/>
      <c r="O640" s="312"/>
      <c r="P640" s="315">
        <v>42361.0</v>
      </c>
      <c r="Q640" s="312">
        <v>75000.0</v>
      </c>
      <c r="R640" s="312">
        <v>378.0</v>
      </c>
      <c r="S640" s="316"/>
      <c r="T640" s="317">
        <v>378.0</v>
      </c>
      <c r="U640" s="312" t="s">
        <v>1369</v>
      </c>
      <c r="V640" s="312" t="s">
        <v>1367</v>
      </c>
      <c r="W640" s="50"/>
      <c r="X640" s="50"/>
      <c r="Y640" s="50"/>
      <c r="Z640" s="312"/>
      <c r="AA640" s="50"/>
      <c r="AB640" s="50"/>
      <c r="AC640" s="50"/>
      <c r="AD640" s="50"/>
      <c r="AE640" s="50"/>
    </row>
    <row r="641">
      <c r="A641" s="307">
        <v>42491.33194444444</v>
      </c>
      <c r="B641" s="312" t="s">
        <v>855</v>
      </c>
      <c r="C641" s="303" t="s">
        <v>1177</v>
      </c>
      <c r="D641" s="303" t="s">
        <v>1178</v>
      </c>
      <c r="E641" s="310">
        <v>41814.0</v>
      </c>
      <c r="F641" s="312" t="s">
        <v>30</v>
      </c>
      <c r="G641" s="303" t="s">
        <v>1179</v>
      </c>
      <c r="H641" s="303" t="s">
        <v>1179</v>
      </c>
      <c r="I641" s="303" t="s">
        <v>1181</v>
      </c>
      <c r="J641" s="306">
        <v>0.9</v>
      </c>
      <c r="K641" s="312">
        <v>398.0</v>
      </c>
      <c r="L641" s="312"/>
      <c r="M641" s="312">
        <v>222.0</v>
      </c>
      <c r="N641" s="312"/>
      <c r="O641" s="312"/>
      <c r="P641" s="315">
        <v>42491.0</v>
      </c>
      <c r="Q641" s="312">
        <v>89983.0</v>
      </c>
      <c r="R641" s="312">
        <v>377.0</v>
      </c>
      <c r="S641" s="316"/>
      <c r="T641" s="317">
        <v>377.0</v>
      </c>
      <c r="U641" s="312" t="s">
        <v>1369</v>
      </c>
      <c r="V641" s="312" t="s">
        <v>1367</v>
      </c>
      <c r="W641" s="50"/>
      <c r="X641" s="50"/>
      <c r="Y641" s="50"/>
      <c r="Z641" s="312"/>
      <c r="AA641" s="50"/>
      <c r="AB641" s="50"/>
      <c r="AC641" s="50"/>
      <c r="AD641" s="50"/>
      <c r="AE641" s="50"/>
    </row>
    <row r="642">
      <c r="A642" s="307">
        <v>42586.373611111114</v>
      </c>
      <c r="B642" s="312" t="s">
        <v>855</v>
      </c>
      <c r="C642" s="303" t="s">
        <v>1177</v>
      </c>
      <c r="D642" s="303" t="s">
        <v>1178</v>
      </c>
      <c r="E642" s="315">
        <v>41814.0</v>
      </c>
      <c r="F642" s="312" t="s">
        <v>30</v>
      </c>
      <c r="G642" s="303" t="s">
        <v>1180</v>
      </c>
      <c r="H642" s="303" t="s">
        <v>1180</v>
      </c>
      <c r="I642" s="303" t="s">
        <v>1186</v>
      </c>
      <c r="J642" s="306">
        <v>0.8</v>
      </c>
      <c r="K642" s="312">
        <v>398.0</v>
      </c>
      <c r="L642" s="312"/>
      <c r="M642" s="312">
        <v>220.0</v>
      </c>
      <c r="N642" s="312"/>
      <c r="O642" s="312"/>
      <c r="P642" s="315">
        <v>42586.0</v>
      </c>
      <c r="Q642" s="312">
        <v>100500.0</v>
      </c>
      <c r="R642" s="312">
        <v>381.0</v>
      </c>
      <c r="S642" s="316"/>
      <c r="T642" s="317">
        <v>385.82</v>
      </c>
      <c r="U642" s="312" t="s">
        <v>1366</v>
      </c>
      <c r="V642" s="312" t="s">
        <v>1367</v>
      </c>
      <c r="W642" s="50"/>
      <c r="X642" s="50"/>
      <c r="Y642" s="50"/>
      <c r="Z642" s="312"/>
      <c r="AA642" s="50"/>
      <c r="AB642" s="50"/>
      <c r="AC642" s="50"/>
      <c r="AD642" s="50"/>
      <c r="AE642" s="50"/>
    </row>
    <row r="643">
      <c r="A643" s="307">
        <v>42685.43541666667</v>
      </c>
      <c r="B643" s="312" t="s">
        <v>855</v>
      </c>
      <c r="C643" s="303" t="s">
        <v>1177</v>
      </c>
      <c r="D643" s="303" t="s">
        <v>1178</v>
      </c>
      <c r="E643" s="315">
        <v>41814.0</v>
      </c>
      <c r="F643" s="312" t="s">
        <v>30</v>
      </c>
      <c r="G643" s="303" t="s">
        <v>1180</v>
      </c>
      <c r="H643" s="303" t="s">
        <v>1180</v>
      </c>
      <c r="I643" s="303" t="s">
        <v>1181</v>
      </c>
      <c r="J643" s="306">
        <v>0.9</v>
      </c>
      <c r="K643" s="312">
        <v>398.0</v>
      </c>
      <c r="L643" s="312"/>
      <c r="M643" s="312">
        <v>221.0</v>
      </c>
      <c r="N643" s="312"/>
      <c r="O643" s="312"/>
      <c r="P643" s="315">
        <v>42685.0</v>
      </c>
      <c r="Q643" s="312">
        <v>112000.0</v>
      </c>
      <c r="R643" s="312">
        <v>377.0</v>
      </c>
      <c r="S643" s="316"/>
      <c r="T643" s="317">
        <v>377.0</v>
      </c>
      <c r="U643" s="312" t="s">
        <v>1369</v>
      </c>
      <c r="V643" s="312" t="s">
        <v>1367</v>
      </c>
      <c r="W643" s="50"/>
      <c r="X643" s="50"/>
      <c r="Y643" s="50"/>
      <c r="Z643" s="312"/>
      <c r="AA643" s="50"/>
      <c r="AB643" s="50"/>
      <c r="AC643" s="50"/>
      <c r="AD643" s="50"/>
      <c r="AE643" s="50"/>
    </row>
    <row r="644">
      <c r="A644" s="307">
        <v>42963.57847222222</v>
      </c>
      <c r="B644" s="312" t="s">
        <v>855</v>
      </c>
      <c r="C644" s="303" t="s">
        <v>1177</v>
      </c>
      <c r="D644" s="303" t="s">
        <v>1178</v>
      </c>
      <c r="E644" s="315">
        <v>41814.0</v>
      </c>
      <c r="F644" s="312" t="s">
        <v>30</v>
      </c>
      <c r="G644" s="303" t="s">
        <v>1179</v>
      </c>
      <c r="H644" s="303" t="s">
        <v>1180</v>
      </c>
      <c r="I644" s="303" t="s">
        <v>1181</v>
      </c>
      <c r="J644" s="306">
        <v>0.9</v>
      </c>
      <c r="K644" s="312">
        <v>398.0</v>
      </c>
      <c r="L644" s="312"/>
      <c r="M644" s="312">
        <v>217.0</v>
      </c>
      <c r="N644" s="312"/>
      <c r="O644" s="312"/>
      <c r="P644" s="315">
        <v>42963.0</v>
      </c>
      <c r="Q644" s="312">
        <v>143425.0</v>
      </c>
      <c r="R644" s="312">
        <v>371.0</v>
      </c>
      <c r="S644" s="316"/>
      <c r="T644" s="317">
        <v>371.0</v>
      </c>
      <c r="U644" s="312" t="s">
        <v>1369</v>
      </c>
      <c r="V644" s="312" t="s">
        <v>1367</v>
      </c>
      <c r="W644" s="50"/>
      <c r="X644" s="50"/>
      <c r="Y644" s="50"/>
      <c r="Z644" s="312"/>
      <c r="AA644" s="50"/>
      <c r="AB644" s="50"/>
      <c r="AC644" s="50"/>
      <c r="AD644" s="50"/>
      <c r="AE644" s="50"/>
    </row>
    <row r="645">
      <c r="A645" s="307">
        <v>43117.67013888889</v>
      </c>
      <c r="B645" s="312" t="s">
        <v>855</v>
      </c>
      <c r="C645" s="303" t="s">
        <v>1177</v>
      </c>
      <c r="D645" s="303" t="s">
        <v>1178</v>
      </c>
      <c r="E645" s="310">
        <v>41814.0</v>
      </c>
      <c r="F645" s="50" t="s">
        <v>30</v>
      </c>
      <c r="G645" s="303" t="s">
        <v>1179</v>
      </c>
      <c r="H645" s="303" t="s">
        <v>1180</v>
      </c>
      <c r="I645" s="303" t="s">
        <v>1181</v>
      </c>
      <c r="J645" s="306">
        <v>0.9</v>
      </c>
      <c r="K645" s="312">
        <v>398.0</v>
      </c>
      <c r="L645" s="312"/>
      <c r="M645" s="312">
        <v>218.0</v>
      </c>
      <c r="N645" s="312"/>
      <c r="O645" s="312"/>
      <c r="P645" s="315">
        <v>43117.0</v>
      </c>
      <c r="Q645" s="312">
        <v>159812.0</v>
      </c>
      <c r="R645" s="312">
        <v>373.0</v>
      </c>
      <c r="S645" s="316"/>
      <c r="T645" s="317">
        <v>373.0</v>
      </c>
      <c r="U645" s="312" t="s">
        <v>1369</v>
      </c>
      <c r="V645" s="312" t="s">
        <v>1367</v>
      </c>
      <c r="W645" s="50"/>
      <c r="X645" s="50"/>
      <c r="Y645" s="50"/>
      <c r="Z645" s="312"/>
      <c r="AA645" s="50"/>
      <c r="AB645" s="50"/>
      <c r="AC645" s="50"/>
      <c r="AD645" s="50"/>
      <c r="AE645" s="50"/>
    </row>
    <row r="646">
      <c r="A646" s="307">
        <v>41910.024305555555</v>
      </c>
      <c r="B646" s="50" t="s">
        <v>838</v>
      </c>
      <c r="C646" s="303" t="s">
        <v>1177</v>
      </c>
      <c r="D646" s="303" t="s">
        <v>1178</v>
      </c>
      <c r="E646" s="310">
        <v>41604.0</v>
      </c>
      <c r="F646" s="312" t="s">
        <v>30</v>
      </c>
      <c r="G646" s="303" t="s">
        <v>1181</v>
      </c>
      <c r="H646" s="303" t="s">
        <v>1181</v>
      </c>
      <c r="I646" s="303" t="s">
        <v>1187</v>
      </c>
      <c r="J646" s="306"/>
      <c r="K646" s="50"/>
      <c r="L646" s="50"/>
      <c r="M646" s="50">
        <v>196.0</v>
      </c>
      <c r="N646" s="50"/>
      <c r="O646" s="312"/>
      <c r="P646" s="310">
        <v>41910.0</v>
      </c>
      <c r="Q646" s="50">
        <v>20200.0</v>
      </c>
      <c r="R646" s="50">
        <v>384.0</v>
      </c>
      <c r="S646" s="318"/>
      <c r="T646" s="317">
        <v>384.0</v>
      </c>
      <c r="U646" s="312" t="s">
        <v>1369</v>
      </c>
      <c r="V646" s="312" t="s">
        <v>1367</v>
      </c>
      <c r="W646" s="50"/>
      <c r="X646" s="50"/>
      <c r="Y646" s="50"/>
      <c r="Z646" s="312"/>
      <c r="AA646" s="312" t="s">
        <v>1373</v>
      </c>
      <c r="AB646" s="50"/>
      <c r="AC646" s="50"/>
      <c r="AD646" s="50"/>
      <c r="AE646" s="50"/>
    </row>
    <row r="647">
      <c r="A647" s="307">
        <v>42110.09861111111</v>
      </c>
      <c r="B647" s="50" t="s">
        <v>838</v>
      </c>
      <c r="C647" s="303" t="s">
        <v>1177</v>
      </c>
      <c r="D647" s="303" t="s">
        <v>1178</v>
      </c>
      <c r="E647" s="310">
        <v>41604.0</v>
      </c>
      <c r="F647" s="312" t="s">
        <v>30</v>
      </c>
      <c r="G647" s="303" t="s">
        <v>1180</v>
      </c>
      <c r="H647" s="303" t="s">
        <v>1181</v>
      </c>
      <c r="I647" s="303" t="s">
        <v>1187</v>
      </c>
      <c r="J647" s="306"/>
      <c r="K647" s="50"/>
      <c r="L647" s="312"/>
      <c r="M647" s="312">
        <v>200.0</v>
      </c>
      <c r="N647" s="50"/>
      <c r="O647" s="312"/>
      <c r="P647" s="315">
        <v>42110.0</v>
      </c>
      <c r="Q647" s="312">
        <v>31618.0</v>
      </c>
      <c r="R647" s="312">
        <v>378.0</v>
      </c>
      <c r="S647" s="316"/>
      <c r="T647" s="317">
        <v>378.0</v>
      </c>
      <c r="U647" s="312" t="s">
        <v>1369</v>
      </c>
      <c r="V647" s="312" t="s">
        <v>1367</v>
      </c>
      <c r="W647" s="50"/>
      <c r="X647" s="50"/>
      <c r="Y647" s="50"/>
      <c r="Z647" s="312"/>
      <c r="AA647" s="312" t="s">
        <v>1373</v>
      </c>
      <c r="AB647" s="50"/>
      <c r="AC647" s="50"/>
      <c r="AD647" s="50"/>
      <c r="AE647" s="50"/>
    </row>
    <row r="648">
      <c r="A648" s="307">
        <v>42727.48402777778</v>
      </c>
      <c r="B648" s="312" t="s">
        <v>838</v>
      </c>
      <c r="C648" s="303" t="s">
        <v>1177</v>
      </c>
      <c r="D648" s="303" t="s">
        <v>1178</v>
      </c>
      <c r="E648" s="315">
        <v>41604.0</v>
      </c>
      <c r="F648" s="312" t="s">
        <v>30</v>
      </c>
      <c r="G648" s="303" t="s">
        <v>1180</v>
      </c>
      <c r="H648" s="303" t="s">
        <v>1181</v>
      </c>
      <c r="I648" s="303" t="s">
        <v>1186</v>
      </c>
      <c r="J648" s="306">
        <v>0.8</v>
      </c>
      <c r="K648" s="312">
        <v>396.0</v>
      </c>
      <c r="L648" s="312"/>
      <c r="M648" s="312">
        <v>200.0</v>
      </c>
      <c r="N648" s="312"/>
      <c r="O648" s="312"/>
      <c r="P648" s="315">
        <v>42727.0</v>
      </c>
      <c r="Q648" s="312">
        <v>70300.0</v>
      </c>
      <c r="R648" s="312">
        <v>382.0</v>
      </c>
      <c r="S648" s="316"/>
      <c r="T648" s="317">
        <v>386.84</v>
      </c>
      <c r="U648" s="312" t="s">
        <v>1366</v>
      </c>
      <c r="V648" s="312" t="s">
        <v>1367</v>
      </c>
      <c r="W648" s="50"/>
      <c r="X648" s="50"/>
      <c r="Y648" s="50"/>
      <c r="Z648" s="312"/>
      <c r="AA648" s="50"/>
      <c r="AB648" s="50"/>
      <c r="AC648" s="50"/>
      <c r="AD648" s="50"/>
      <c r="AE648" s="50"/>
    </row>
    <row r="649">
      <c r="A649" s="307">
        <v>42347.24097222222</v>
      </c>
      <c r="B649" s="312" t="s">
        <v>1101</v>
      </c>
      <c r="C649" s="303" t="s">
        <v>1177</v>
      </c>
      <c r="D649" s="303" t="s">
        <v>1178</v>
      </c>
      <c r="E649" s="315">
        <v>41949.0</v>
      </c>
      <c r="F649" s="312" t="s">
        <v>12</v>
      </c>
      <c r="G649" s="303" t="s">
        <v>1180</v>
      </c>
      <c r="H649" s="303" t="s">
        <v>1181</v>
      </c>
      <c r="I649" s="303" t="s">
        <v>1180</v>
      </c>
      <c r="J649" s="306">
        <v>0.9</v>
      </c>
      <c r="K649" s="50"/>
      <c r="L649" s="312"/>
      <c r="M649" s="312">
        <v>189.0</v>
      </c>
      <c r="N649" s="312"/>
      <c r="O649" s="312"/>
      <c r="P649" s="315">
        <v>42347.0</v>
      </c>
      <c r="Q649" s="312">
        <v>20100.0</v>
      </c>
      <c r="R649" s="312">
        <v>303.0</v>
      </c>
      <c r="S649" s="316"/>
      <c r="T649" s="317">
        <v>303.0</v>
      </c>
      <c r="U649" s="312" t="s">
        <v>1369</v>
      </c>
      <c r="V649" s="312" t="s">
        <v>1367</v>
      </c>
      <c r="W649" s="50"/>
      <c r="X649" s="50"/>
      <c r="Y649" s="50"/>
      <c r="Z649" s="312"/>
      <c r="AA649" s="50"/>
      <c r="AB649" s="50"/>
      <c r="AC649" s="50"/>
      <c r="AD649" s="50"/>
      <c r="AE649" s="50"/>
    </row>
    <row r="650">
      <c r="A650" s="307">
        <v>42601.80416666667</v>
      </c>
      <c r="B650" s="312" t="s">
        <v>964</v>
      </c>
      <c r="C650" s="312" t="s">
        <v>1184</v>
      </c>
      <c r="D650" s="303" t="s">
        <v>1185</v>
      </c>
      <c r="E650" s="315">
        <v>42111.0</v>
      </c>
      <c r="F650" s="312" t="s">
        <v>36</v>
      </c>
      <c r="G650" s="303" t="s">
        <v>1180</v>
      </c>
      <c r="H650" s="303" t="s">
        <v>1180</v>
      </c>
      <c r="I650" s="303" t="s">
        <v>1186</v>
      </c>
      <c r="J650" s="306">
        <v>0.9</v>
      </c>
      <c r="K650" s="312">
        <v>272.0</v>
      </c>
      <c r="L650" s="312"/>
      <c r="M650" s="312">
        <v>341.0</v>
      </c>
      <c r="N650" s="312"/>
      <c r="O650" s="312"/>
      <c r="P650" s="315">
        <v>42601.0</v>
      </c>
      <c r="Q650" s="312">
        <v>37951.0</v>
      </c>
      <c r="R650" s="312">
        <v>261.0</v>
      </c>
      <c r="S650" s="316"/>
      <c r="T650" s="317">
        <v>264.3</v>
      </c>
      <c r="U650" s="312" t="s">
        <v>1366</v>
      </c>
      <c r="V650" s="312" t="s">
        <v>1367</v>
      </c>
      <c r="W650" s="50"/>
      <c r="X650" s="50"/>
      <c r="Y650" s="50"/>
      <c r="Z650" s="312"/>
      <c r="AA650" s="50"/>
      <c r="AB650" s="50"/>
      <c r="AC650" s="50"/>
      <c r="AD650" s="50"/>
      <c r="AE650" s="50"/>
    </row>
    <row r="651">
      <c r="A651" s="307">
        <v>42369.268055555556</v>
      </c>
      <c r="B651" s="312" t="s">
        <v>1116</v>
      </c>
      <c r="C651" s="303" t="s">
        <v>1177</v>
      </c>
      <c r="D651" s="303" t="s">
        <v>1178</v>
      </c>
      <c r="E651" s="310">
        <v>42185.0</v>
      </c>
      <c r="F651" s="312" t="s">
        <v>22</v>
      </c>
      <c r="G651" s="303" t="s">
        <v>1190</v>
      </c>
      <c r="H651" s="303" t="s">
        <v>1181</v>
      </c>
      <c r="I651" s="303" t="s">
        <v>1186</v>
      </c>
      <c r="J651" s="306"/>
      <c r="K651" s="50"/>
      <c r="L651" s="312"/>
      <c r="M651" s="312">
        <v>221.0</v>
      </c>
      <c r="N651" s="312"/>
      <c r="O651" s="312"/>
      <c r="P651" s="315">
        <v>42369.0</v>
      </c>
      <c r="Q651" s="312">
        <v>15300.0</v>
      </c>
      <c r="R651" s="312">
        <v>360.0</v>
      </c>
      <c r="S651" s="316"/>
      <c r="T651" s="317">
        <v>360.0</v>
      </c>
      <c r="U651" s="312" t="s">
        <v>1369</v>
      </c>
      <c r="V651" s="312" t="s">
        <v>1367</v>
      </c>
      <c r="W651" s="50"/>
      <c r="X651" s="50"/>
      <c r="Y651" s="50"/>
      <c r="Z651" s="312"/>
      <c r="AA651" s="50"/>
      <c r="AB651" s="50"/>
      <c r="AC651" s="50"/>
      <c r="AD651" s="50"/>
      <c r="AE651" s="50"/>
    </row>
    <row r="652">
      <c r="A652" s="307">
        <v>41921.03194444445</v>
      </c>
      <c r="B652" s="50" t="s">
        <v>715</v>
      </c>
      <c r="C652" s="303" t="s">
        <v>1177</v>
      </c>
      <c r="D652" s="303" t="s">
        <v>1178</v>
      </c>
      <c r="E652" s="310">
        <v>41604.0</v>
      </c>
      <c r="F652" s="312" t="s">
        <v>30</v>
      </c>
      <c r="G652" s="303" t="s">
        <v>1181</v>
      </c>
      <c r="H652" s="303" t="s">
        <v>1180</v>
      </c>
      <c r="I652" s="303" t="s">
        <v>1186</v>
      </c>
      <c r="J652" s="306"/>
      <c r="K652" s="50"/>
      <c r="L652" s="50"/>
      <c r="M652" s="50">
        <v>229.0</v>
      </c>
      <c r="N652" s="50"/>
      <c r="O652" s="312"/>
      <c r="P652" s="310">
        <v>41921.0</v>
      </c>
      <c r="Q652" s="50">
        <v>33150.0</v>
      </c>
      <c r="R652" s="50">
        <v>377.0</v>
      </c>
      <c r="S652" s="318"/>
      <c r="T652" s="317">
        <v>380.81</v>
      </c>
      <c r="U652" s="312" t="s">
        <v>1407</v>
      </c>
      <c r="V652" s="312" t="s">
        <v>1367</v>
      </c>
      <c r="W652" s="50"/>
      <c r="X652" s="50"/>
      <c r="Y652" s="50"/>
      <c r="Z652" s="312"/>
      <c r="AA652" s="50" t="s">
        <v>1373</v>
      </c>
      <c r="AB652" s="50"/>
      <c r="AC652" s="50"/>
      <c r="AD652" s="50"/>
      <c r="AE652" s="50"/>
    </row>
    <row r="653">
      <c r="A653" s="307">
        <v>42035.06805555556</v>
      </c>
      <c r="B653" s="50" t="s">
        <v>715</v>
      </c>
      <c r="C653" s="303" t="s">
        <v>1177</v>
      </c>
      <c r="D653" s="303" t="s">
        <v>1178</v>
      </c>
      <c r="E653" s="310">
        <v>41604.0</v>
      </c>
      <c r="F653" s="312" t="s">
        <v>30</v>
      </c>
      <c r="G653" s="303" t="s">
        <v>1181</v>
      </c>
      <c r="H653" s="303" t="s">
        <v>1180</v>
      </c>
      <c r="I653" s="303" t="s">
        <v>1181</v>
      </c>
      <c r="J653" s="306"/>
      <c r="K653" s="50"/>
      <c r="L653" s="50"/>
      <c r="M653" s="50">
        <v>231.0</v>
      </c>
      <c r="N653" s="50"/>
      <c r="O653" s="312"/>
      <c r="P653" s="310">
        <v>42035.0</v>
      </c>
      <c r="Q653" s="50">
        <v>45845.0</v>
      </c>
      <c r="R653" s="50">
        <v>391.0</v>
      </c>
      <c r="S653" s="318"/>
      <c r="T653" s="317">
        <v>395.95</v>
      </c>
      <c r="U653" s="312" t="s">
        <v>1366</v>
      </c>
      <c r="V653" s="312" t="s">
        <v>1367</v>
      </c>
      <c r="W653" s="50"/>
      <c r="X653" s="50"/>
      <c r="Y653" s="50"/>
      <c r="Z653" s="312"/>
      <c r="AA653" s="312" t="s">
        <v>1526</v>
      </c>
      <c r="AB653" s="50"/>
      <c r="AC653" s="50"/>
      <c r="AD653" s="50"/>
      <c r="AE653" s="50"/>
    </row>
    <row r="654">
      <c r="A654" s="307">
        <v>42142.12847222222</v>
      </c>
      <c r="B654" s="312" t="s">
        <v>715</v>
      </c>
      <c r="C654" s="303" t="s">
        <v>1177</v>
      </c>
      <c r="D654" s="303" t="s">
        <v>1178</v>
      </c>
      <c r="E654" s="315">
        <v>41604.0</v>
      </c>
      <c r="F654" s="312" t="s">
        <v>30</v>
      </c>
      <c r="G654" s="303" t="s">
        <v>1181</v>
      </c>
      <c r="H654" s="303" t="s">
        <v>1181</v>
      </c>
      <c r="I654" s="303" t="s">
        <v>1181</v>
      </c>
      <c r="J654" s="306">
        <v>0.7</v>
      </c>
      <c r="K654" s="50"/>
      <c r="L654" s="312"/>
      <c r="M654" s="312">
        <v>230.0</v>
      </c>
      <c r="N654" s="312">
        <v>58000.0</v>
      </c>
      <c r="O654" s="303" t="s">
        <v>1527</v>
      </c>
      <c r="P654" s="315">
        <v>42142.0</v>
      </c>
      <c r="Q654" s="312">
        <v>60476.0</v>
      </c>
      <c r="R654" s="312">
        <v>384.0</v>
      </c>
      <c r="S654" s="316"/>
      <c r="T654" s="317">
        <v>388.86</v>
      </c>
      <c r="U654" s="312" t="s">
        <v>1366</v>
      </c>
      <c r="V654" s="312" t="s">
        <v>1399</v>
      </c>
      <c r="W654" s="50"/>
      <c r="X654" s="50"/>
      <c r="Y654" s="50"/>
      <c r="Z654" s="312"/>
      <c r="AA654" s="50"/>
      <c r="AB654" s="50"/>
      <c r="AC654" s="50"/>
      <c r="AD654" s="50"/>
      <c r="AE654" s="50"/>
    </row>
    <row r="655">
      <c r="A655" s="307">
        <v>42238.17291666667</v>
      </c>
      <c r="B655" s="312" t="s">
        <v>715</v>
      </c>
      <c r="C655" s="303" t="s">
        <v>1177</v>
      </c>
      <c r="D655" s="303" t="s">
        <v>1178</v>
      </c>
      <c r="E655" s="310">
        <v>41604.0</v>
      </c>
      <c r="F655" s="312" t="s">
        <v>30</v>
      </c>
      <c r="G655" s="303" t="s">
        <v>1180</v>
      </c>
      <c r="H655" s="303" t="s">
        <v>1181</v>
      </c>
      <c r="I655" s="303" t="s">
        <v>1181</v>
      </c>
      <c r="J655" s="306">
        <v>0.7</v>
      </c>
      <c r="K655" s="312">
        <v>399.0</v>
      </c>
      <c r="L655" s="312"/>
      <c r="M655" s="312">
        <v>223.0</v>
      </c>
      <c r="N655" s="312">
        <v>60000.0</v>
      </c>
      <c r="O655" s="303" t="s">
        <v>1323</v>
      </c>
      <c r="P655" s="315">
        <v>42238.0</v>
      </c>
      <c r="Q655" s="312">
        <v>70030.0</v>
      </c>
      <c r="R655" s="312">
        <v>370.0</v>
      </c>
      <c r="S655" s="316"/>
      <c r="T655" s="317">
        <v>374.68</v>
      </c>
      <c r="U655" s="312" t="s">
        <v>1366</v>
      </c>
      <c r="V655" s="312" t="s">
        <v>1399</v>
      </c>
      <c r="W655" s="50"/>
      <c r="X655" s="50"/>
      <c r="Y655" s="50"/>
      <c r="Z655" s="312"/>
      <c r="AA655" s="312" t="s">
        <v>1528</v>
      </c>
      <c r="AB655" s="50"/>
      <c r="AC655" s="50"/>
      <c r="AD655" s="50"/>
      <c r="AE655" s="50"/>
    </row>
    <row r="656">
      <c r="A656" s="307">
        <v>42298.20347222222</v>
      </c>
      <c r="B656" s="312" t="s">
        <v>715</v>
      </c>
      <c r="C656" s="303" t="s">
        <v>1177</v>
      </c>
      <c r="D656" s="303" t="s">
        <v>1178</v>
      </c>
      <c r="E656" s="315">
        <v>41604.0</v>
      </c>
      <c r="F656" s="312" t="s">
        <v>30</v>
      </c>
      <c r="G656" s="303" t="s">
        <v>1181</v>
      </c>
      <c r="H656" s="303" t="s">
        <v>1181</v>
      </c>
      <c r="I656" s="303" t="s">
        <v>1186</v>
      </c>
      <c r="J656" s="306">
        <v>0.7</v>
      </c>
      <c r="K656" s="312">
        <v>399.0</v>
      </c>
      <c r="L656" s="312"/>
      <c r="M656" s="312">
        <v>226.0</v>
      </c>
      <c r="N656" s="312"/>
      <c r="O656" s="312"/>
      <c r="P656" s="315">
        <v>42298.0</v>
      </c>
      <c r="Q656" s="312">
        <v>78676.0</v>
      </c>
      <c r="R656" s="312">
        <v>365.0</v>
      </c>
      <c r="S656" s="316"/>
      <c r="T656" s="317">
        <v>369.62</v>
      </c>
      <c r="U656" s="312" t="s">
        <v>1366</v>
      </c>
      <c r="V656" s="312" t="s">
        <v>1367</v>
      </c>
      <c r="W656" s="50"/>
      <c r="X656" s="50"/>
      <c r="Y656" s="50"/>
      <c r="Z656" s="312"/>
      <c r="AA656" s="312" t="s">
        <v>1529</v>
      </c>
      <c r="AB656" s="50"/>
      <c r="AC656" s="50"/>
      <c r="AD656" s="50"/>
      <c r="AE656" s="50"/>
    </row>
    <row r="657">
      <c r="A657" s="307">
        <v>42321.22986111111</v>
      </c>
      <c r="B657" s="312" t="s">
        <v>715</v>
      </c>
      <c r="C657" s="303" t="s">
        <v>1177</v>
      </c>
      <c r="D657" s="303" t="s">
        <v>1178</v>
      </c>
      <c r="E657" s="315">
        <v>41604.0</v>
      </c>
      <c r="F657" s="312" t="s">
        <v>30</v>
      </c>
      <c r="G657" s="303" t="s">
        <v>1181</v>
      </c>
      <c r="H657" s="303" t="s">
        <v>1181</v>
      </c>
      <c r="I657" s="303" t="s">
        <v>1181</v>
      </c>
      <c r="J657" s="306">
        <v>0.7</v>
      </c>
      <c r="K657" s="312">
        <v>400.0</v>
      </c>
      <c r="L657" s="312"/>
      <c r="M657" s="312">
        <v>228.0</v>
      </c>
      <c r="N657" s="312"/>
      <c r="O657" s="312"/>
      <c r="P657" s="315">
        <v>42321.0</v>
      </c>
      <c r="Q657" s="312">
        <v>81614.0</v>
      </c>
      <c r="R657" s="312">
        <v>361.0</v>
      </c>
      <c r="S657" s="316"/>
      <c r="T657" s="317">
        <v>365.57</v>
      </c>
      <c r="U657" s="312" t="s">
        <v>1366</v>
      </c>
      <c r="V657" s="312" t="s">
        <v>1367</v>
      </c>
      <c r="W657" s="50"/>
      <c r="X657" s="50"/>
      <c r="Y657" s="50"/>
      <c r="Z657" s="312"/>
      <c r="AA657" s="50"/>
      <c r="AB657" s="50"/>
      <c r="AC657" s="50"/>
      <c r="AD657" s="50"/>
      <c r="AE657" s="50"/>
    </row>
    <row r="658">
      <c r="A658" s="307">
        <v>42438.30347222222</v>
      </c>
      <c r="B658" s="50" t="s">
        <v>715</v>
      </c>
      <c r="C658" s="303" t="s">
        <v>1177</v>
      </c>
      <c r="D658" s="303" t="s">
        <v>1178</v>
      </c>
      <c r="E658" s="310">
        <v>41604.0</v>
      </c>
      <c r="F658" s="50" t="s">
        <v>30</v>
      </c>
      <c r="G658" s="303" t="s">
        <v>1181</v>
      </c>
      <c r="H658" s="303" t="s">
        <v>1181</v>
      </c>
      <c r="I658" s="303" t="s">
        <v>1181</v>
      </c>
      <c r="J658" s="306">
        <v>0.7</v>
      </c>
      <c r="K658" s="312">
        <v>399.0</v>
      </c>
      <c r="L658" s="312"/>
      <c r="M658" s="312">
        <v>228.0</v>
      </c>
      <c r="N658" s="312"/>
      <c r="O658" s="312"/>
      <c r="P658" s="310">
        <v>42438.0</v>
      </c>
      <c r="Q658" s="50">
        <v>92560.2733704338</v>
      </c>
      <c r="R658" s="312">
        <v>368.0</v>
      </c>
      <c r="S658" s="316"/>
      <c r="T658" s="317">
        <v>372.66</v>
      </c>
      <c r="U658" s="312" t="s">
        <v>1366</v>
      </c>
      <c r="V658" s="312" t="s">
        <v>1367</v>
      </c>
      <c r="W658" s="50"/>
      <c r="X658" s="50"/>
      <c r="Y658" s="50"/>
      <c r="Z658" s="312"/>
      <c r="AA658" s="50"/>
      <c r="AB658" s="50"/>
      <c r="AC658" s="50"/>
      <c r="AD658" s="50"/>
      <c r="AE658" s="50"/>
    </row>
    <row r="659">
      <c r="A659" s="307">
        <v>42482.32986111111</v>
      </c>
      <c r="B659" s="312" t="s">
        <v>715</v>
      </c>
      <c r="C659" s="303" t="s">
        <v>1177</v>
      </c>
      <c r="D659" s="303" t="s">
        <v>1178</v>
      </c>
      <c r="E659" s="310">
        <v>41604.0</v>
      </c>
      <c r="F659" s="312" t="s">
        <v>30</v>
      </c>
      <c r="G659" s="303" t="s">
        <v>1181</v>
      </c>
      <c r="H659" s="303" t="s">
        <v>1181</v>
      </c>
      <c r="I659" s="303" t="s">
        <v>1181</v>
      </c>
      <c r="J659" s="306">
        <v>0.7</v>
      </c>
      <c r="K659" s="50"/>
      <c r="L659" s="312"/>
      <c r="M659" s="312">
        <v>228.0</v>
      </c>
      <c r="N659" s="312"/>
      <c r="O659" s="312"/>
      <c r="P659" s="315">
        <v>42482.0</v>
      </c>
      <c r="Q659" s="312">
        <v>98528.0</v>
      </c>
      <c r="R659" s="312">
        <v>374.0</v>
      </c>
      <c r="S659" s="316"/>
      <c r="T659" s="317">
        <v>378.73</v>
      </c>
      <c r="U659" s="312" t="s">
        <v>1366</v>
      </c>
      <c r="V659" s="312" t="s">
        <v>1367</v>
      </c>
      <c r="W659" s="50"/>
      <c r="X659" s="50"/>
      <c r="Y659" s="50"/>
      <c r="Z659" s="312"/>
      <c r="AA659" s="50"/>
      <c r="AB659" s="50"/>
      <c r="AC659" s="50"/>
      <c r="AD659" s="50"/>
      <c r="AE659" s="50"/>
    </row>
    <row r="660">
      <c r="A660" s="307">
        <v>42647.40972222222</v>
      </c>
      <c r="B660" s="312" t="s">
        <v>715</v>
      </c>
      <c r="C660" s="303" t="s">
        <v>1177</v>
      </c>
      <c r="D660" s="303" t="s">
        <v>1178</v>
      </c>
      <c r="E660" s="315">
        <v>41603.0</v>
      </c>
      <c r="F660" s="312" t="s">
        <v>30</v>
      </c>
      <c r="G660" s="303" t="s">
        <v>1181</v>
      </c>
      <c r="H660" s="303" t="s">
        <v>1181</v>
      </c>
      <c r="I660" s="303" t="s">
        <v>1181</v>
      </c>
      <c r="J660" s="306">
        <v>0.7</v>
      </c>
      <c r="K660" s="312">
        <v>399.0</v>
      </c>
      <c r="L660" s="312"/>
      <c r="M660" s="312">
        <v>223.0</v>
      </c>
      <c r="N660" s="312"/>
      <c r="O660" s="312"/>
      <c r="P660" s="315">
        <v>42647.0</v>
      </c>
      <c r="Q660" s="312">
        <v>117434.0</v>
      </c>
      <c r="R660" s="312">
        <v>375.0</v>
      </c>
      <c r="S660" s="316"/>
      <c r="T660" s="317">
        <v>379.75</v>
      </c>
      <c r="U660" s="312" t="s">
        <v>1366</v>
      </c>
      <c r="V660" s="312" t="s">
        <v>1367</v>
      </c>
      <c r="W660" s="50"/>
      <c r="X660" s="50"/>
      <c r="Y660" s="50"/>
      <c r="Z660" s="312"/>
      <c r="AA660" s="50"/>
      <c r="AB660" s="50"/>
      <c r="AC660" s="50"/>
      <c r="AD660" s="50"/>
      <c r="AE660" s="50"/>
    </row>
    <row r="661">
      <c r="A661" s="307">
        <v>42744.490277777775</v>
      </c>
      <c r="B661" s="312" t="s">
        <v>715</v>
      </c>
      <c r="C661" s="303" t="s">
        <v>1177</v>
      </c>
      <c r="D661" s="303" t="s">
        <v>1178</v>
      </c>
      <c r="E661" s="315">
        <v>41604.0</v>
      </c>
      <c r="F661" s="312" t="s">
        <v>30</v>
      </c>
      <c r="G661" s="303" t="s">
        <v>1181</v>
      </c>
      <c r="H661" s="303" t="s">
        <v>1181</v>
      </c>
      <c r="I661" s="303" t="s">
        <v>1186</v>
      </c>
      <c r="J661" s="306">
        <v>0.8</v>
      </c>
      <c r="K661" s="312">
        <v>399.0</v>
      </c>
      <c r="L661" s="312"/>
      <c r="M661" s="312">
        <v>223.0</v>
      </c>
      <c r="N661" s="312"/>
      <c r="O661" s="312"/>
      <c r="P661" s="315">
        <v>42744.0</v>
      </c>
      <c r="Q661" s="312">
        <v>127174.0</v>
      </c>
      <c r="R661" s="312">
        <v>374.0</v>
      </c>
      <c r="S661" s="316"/>
      <c r="T661" s="317">
        <v>378.73</v>
      </c>
      <c r="U661" s="312" t="s">
        <v>1366</v>
      </c>
      <c r="V661" s="312" t="s">
        <v>1367</v>
      </c>
      <c r="W661" s="50"/>
      <c r="X661" s="50"/>
      <c r="Y661" s="50"/>
      <c r="Z661" s="312"/>
      <c r="AA661" s="50"/>
      <c r="AB661" s="50"/>
      <c r="AC661" s="50"/>
      <c r="AD661" s="50"/>
      <c r="AE661" s="50"/>
    </row>
    <row r="662">
      <c r="A662" s="307">
        <v>42998.60902777778</v>
      </c>
      <c r="B662" s="312" t="s">
        <v>715</v>
      </c>
      <c r="C662" s="303" t="s">
        <v>1177</v>
      </c>
      <c r="D662" s="303" t="s">
        <v>1178</v>
      </c>
      <c r="E662" s="310">
        <v>41604.0</v>
      </c>
      <c r="F662" s="312" t="s">
        <v>30</v>
      </c>
      <c r="G662" s="303" t="s">
        <v>1181</v>
      </c>
      <c r="H662" s="303" t="s">
        <v>1186</v>
      </c>
      <c r="I662" s="303" t="s">
        <v>1186</v>
      </c>
      <c r="J662" s="306">
        <v>0.8</v>
      </c>
      <c r="K662" s="312">
        <v>399.0</v>
      </c>
      <c r="L662" s="312"/>
      <c r="M662" s="312">
        <v>222.0</v>
      </c>
      <c r="N662" s="312"/>
      <c r="O662" s="312"/>
      <c r="P662" s="315">
        <v>42998.0</v>
      </c>
      <c r="Q662" s="312">
        <v>152072.0</v>
      </c>
      <c r="R662" s="312">
        <v>376.0</v>
      </c>
      <c r="S662" s="316"/>
      <c r="T662" s="317">
        <v>380.76</v>
      </c>
      <c r="U662" s="312" t="s">
        <v>1366</v>
      </c>
      <c r="V662" s="312" t="s">
        <v>1367</v>
      </c>
      <c r="W662" s="50"/>
      <c r="X662" s="50"/>
      <c r="Y662" s="50"/>
      <c r="Z662" s="312"/>
      <c r="AA662" s="50"/>
      <c r="AB662" s="50"/>
      <c r="AC662" s="50"/>
      <c r="AD662" s="50"/>
      <c r="AE662" s="50"/>
    </row>
    <row r="663">
      <c r="A663" s="307">
        <v>43182.71041666667</v>
      </c>
      <c r="B663" s="50" t="s">
        <v>715</v>
      </c>
      <c r="C663" s="303" t="s">
        <v>1177</v>
      </c>
      <c r="D663" s="303" t="s">
        <v>1178</v>
      </c>
      <c r="E663" s="310">
        <v>41604.0</v>
      </c>
      <c r="F663" s="312" t="s">
        <v>30</v>
      </c>
      <c r="G663" s="303" t="s">
        <v>1181</v>
      </c>
      <c r="H663" s="303" t="s">
        <v>1181</v>
      </c>
      <c r="I663" s="303" t="s">
        <v>1181</v>
      </c>
      <c r="J663" s="306">
        <v>0.7</v>
      </c>
      <c r="K663" s="312">
        <v>399.0</v>
      </c>
      <c r="L663" s="312"/>
      <c r="M663" s="312">
        <v>218.0</v>
      </c>
      <c r="N663" s="312"/>
      <c r="O663" s="312"/>
      <c r="P663" s="315">
        <v>43182.0</v>
      </c>
      <c r="Q663" s="312">
        <v>168691.0</v>
      </c>
      <c r="R663" s="312">
        <v>366.0</v>
      </c>
      <c r="S663" s="316"/>
      <c r="T663" s="317">
        <v>370.63</v>
      </c>
      <c r="U663" s="312" t="s">
        <v>1366</v>
      </c>
      <c r="V663" s="312" t="s">
        <v>1367</v>
      </c>
      <c r="W663" s="50"/>
      <c r="X663" s="50"/>
      <c r="Y663" s="50"/>
      <c r="Z663" s="312"/>
      <c r="AA663" s="50"/>
      <c r="AB663" s="50"/>
      <c r="AC663" s="50"/>
      <c r="AD663" s="50"/>
      <c r="AE663" s="50"/>
    </row>
    <row r="664">
      <c r="A664" s="307">
        <v>42348.24236111111</v>
      </c>
      <c r="B664" s="312" t="s">
        <v>1026</v>
      </c>
      <c r="C664" s="303" t="s">
        <v>1177</v>
      </c>
      <c r="D664" s="303" t="s">
        <v>1178</v>
      </c>
      <c r="E664" s="315">
        <v>41724.0</v>
      </c>
      <c r="F664" s="312" t="s">
        <v>32</v>
      </c>
      <c r="G664" s="303" t="s">
        <v>1203</v>
      </c>
      <c r="H664" s="303" t="s">
        <v>1180</v>
      </c>
      <c r="I664" s="303" t="s">
        <v>1181</v>
      </c>
      <c r="J664" s="306">
        <v>0.9</v>
      </c>
      <c r="K664" s="312">
        <v>401.0</v>
      </c>
      <c r="L664" s="312"/>
      <c r="M664" s="312">
        <v>226.0</v>
      </c>
      <c r="N664" s="312"/>
      <c r="O664" s="312"/>
      <c r="P664" s="315">
        <v>42348.0</v>
      </c>
      <c r="Q664" s="312">
        <v>124004.0</v>
      </c>
      <c r="R664" s="312">
        <v>370.0</v>
      </c>
      <c r="S664" s="316"/>
      <c r="T664" s="317">
        <v>370.0</v>
      </c>
      <c r="U664" s="312" t="s">
        <v>1369</v>
      </c>
      <c r="V664" s="312" t="s">
        <v>1367</v>
      </c>
      <c r="W664" s="50"/>
      <c r="X664" s="50"/>
      <c r="Y664" s="50"/>
      <c r="Z664" s="312"/>
      <c r="AA664" s="50"/>
      <c r="AB664" s="50"/>
      <c r="AC664" s="50"/>
      <c r="AD664" s="50"/>
      <c r="AE664" s="50"/>
    </row>
    <row r="665">
      <c r="A665" s="307">
        <v>43013.61736111111</v>
      </c>
      <c r="B665" s="312" t="s">
        <v>1026</v>
      </c>
      <c r="C665" s="303" t="s">
        <v>1177</v>
      </c>
      <c r="D665" s="303" t="s">
        <v>1178</v>
      </c>
      <c r="E665" s="315">
        <v>41712.0</v>
      </c>
      <c r="F665" s="312" t="s">
        <v>32</v>
      </c>
      <c r="G665" s="303" t="s">
        <v>1203</v>
      </c>
      <c r="H665" s="303" t="s">
        <v>1180</v>
      </c>
      <c r="I665" s="303" t="s">
        <v>1181</v>
      </c>
      <c r="J665" s="306">
        <v>0.9</v>
      </c>
      <c r="K665" s="50"/>
      <c r="L665" s="312"/>
      <c r="M665" s="312">
        <v>223.0</v>
      </c>
      <c r="N665" s="312"/>
      <c r="O665" s="312"/>
      <c r="P665" s="315">
        <v>43013.0</v>
      </c>
      <c r="Q665" s="312">
        <v>248884.0</v>
      </c>
      <c r="R665" s="312">
        <v>364.0</v>
      </c>
      <c r="S665" s="316"/>
      <c r="T665" s="317">
        <v>364.0</v>
      </c>
      <c r="U665" s="312" t="s">
        <v>1369</v>
      </c>
      <c r="V665" s="312" t="s">
        <v>1367</v>
      </c>
      <c r="W665" s="50"/>
      <c r="X665" s="50"/>
      <c r="Y665" s="50"/>
      <c r="Z665" s="312"/>
      <c r="AA665" s="312" t="s">
        <v>1530</v>
      </c>
      <c r="AB665" s="50"/>
      <c r="AC665" s="50"/>
      <c r="AD665" s="50"/>
      <c r="AE665" s="50"/>
    </row>
    <row r="666">
      <c r="A666" s="307">
        <v>42965.896527777775</v>
      </c>
      <c r="B666" s="312" t="s">
        <v>187</v>
      </c>
      <c r="C666" s="312" t="s">
        <v>1292</v>
      </c>
      <c r="D666" s="303" t="s">
        <v>1185</v>
      </c>
      <c r="E666" s="315"/>
      <c r="F666" s="312" t="s">
        <v>28</v>
      </c>
      <c r="G666" s="50"/>
      <c r="H666" s="50"/>
      <c r="I666" s="50"/>
      <c r="J666" s="306"/>
      <c r="K666" s="50"/>
      <c r="L666" s="312"/>
      <c r="M666" s="312">
        <v>305.0</v>
      </c>
      <c r="N666" s="312"/>
      <c r="O666" s="312"/>
      <c r="P666" s="315">
        <v>42965.0</v>
      </c>
      <c r="Q666" s="312">
        <v>3000.0</v>
      </c>
      <c r="R666" s="312">
        <v>238.7</v>
      </c>
      <c r="S666" s="316"/>
      <c r="T666" s="317">
        <v>238.7</v>
      </c>
      <c r="U666" s="312" t="s">
        <v>1369</v>
      </c>
      <c r="V666" s="312" t="s">
        <v>1367</v>
      </c>
      <c r="W666" s="50"/>
      <c r="X666" s="50"/>
      <c r="Y666" s="50"/>
      <c r="Z666" s="312"/>
      <c r="AA666" s="50"/>
      <c r="AB666" s="50"/>
      <c r="AC666" s="50"/>
      <c r="AD666" s="50"/>
      <c r="AE666" s="50"/>
    </row>
    <row r="667">
      <c r="A667" s="307">
        <v>42118.104166666664</v>
      </c>
      <c r="B667" s="312" t="s">
        <v>848</v>
      </c>
      <c r="C667" s="303" t="s">
        <v>1177</v>
      </c>
      <c r="D667" s="303" t="s">
        <v>1178</v>
      </c>
      <c r="E667" s="315">
        <v>41537.0</v>
      </c>
      <c r="F667" s="312" t="s">
        <v>32</v>
      </c>
      <c r="G667" s="303" t="s">
        <v>1187</v>
      </c>
      <c r="H667" s="303" t="s">
        <v>1187</v>
      </c>
      <c r="I667" s="303" t="s">
        <v>1187</v>
      </c>
      <c r="J667" s="306"/>
      <c r="K667" s="50"/>
      <c r="L667" s="312"/>
      <c r="M667" s="312">
        <v>210.0</v>
      </c>
      <c r="N667" s="50"/>
      <c r="O667" s="312"/>
      <c r="P667" s="315">
        <v>42118.0</v>
      </c>
      <c r="Q667" s="312">
        <v>53600.0</v>
      </c>
      <c r="R667" s="312">
        <v>376.0</v>
      </c>
      <c r="S667" s="316"/>
      <c r="T667" s="317">
        <v>376.0</v>
      </c>
      <c r="U667" s="312" t="s">
        <v>1369</v>
      </c>
      <c r="V667" s="312" t="s">
        <v>1367</v>
      </c>
      <c r="W667" s="50"/>
      <c r="X667" s="50"/>
      <c r="Y667" s="50"/>
      <c r="Z667" s="312"/>
      <c r="AA667" s="312" t="s">
        <v>1531</v>
      </c>
      <c r="AB667" s="50"/>
      <c r="AC667" s="50"/>
      <c r="AD667" s="50"/>
      <c r="AE667" s="50"/>
    </row>
    <row r="668">
      <c r="A668" s="307">
        <v>42861.53125</v>
      </c>
      <c r="B668" s="312" t="s">
        <v>859</v>
      </c>
      <c r="C668" s="303" t="s">
        <v>1177</v>
      </c>
      <c r="D668" s="303" t="s">
        <v>1178</v>
      </c>
      <c r="E668" s="315">
        <v>41537.0</v>
      </c>
      <c r="F668" s="312" t="s">
        <v>32</v>
      </c>
      <c r="G668" s="303" t="s">
        <v>1179</v>
      </c>
      <c r="H668" s="303" t="s">
        <v>1179</v>
      </c>
      <c r="I668" s="303" t="s">
        <v>1180</v>
      </c>
      <c r="J668" s="306">
        <v>0.7</v>
      </c>
      <c r="K668" s="312">
        <v>402.0</v>
      </c>
      <c r="L668" s="312"/>
      <c r="M668" s="312">
        <v>209.0</v>
      </c>
      <c r="N668" s="312"/>
      <c r="O668" s="312"/>
      <c r="P668" s="315">
        <v>42861.0</v>
      </c>
      <c r="Q668" s="312">
        <v>140000.0</v>
      </c>
      <c r="R668" s="312">
        <v>371.0</v>
      </c>
      <c r="S668" s="316"/>
      <c r="T668" s="317">
        <v>371.0</v>
      </c>
      <c r="U668" s="312" t="s">
        <v>1369</v>
      </c>
      <c r="V668" s="312" t="s">
        <v>1367</v>
      </c>
      <c r="W668" s="50"/>
      <c r="X668" s="50"/>
      <c r="Y668" s="50"/>
      <c r="Z668" s="312"/>
      <c r="AA668" s="50"/>
      <c r="AB668" s="50"/>
      <c r="AC668" s="50"/>
      <c r="AD668" s="50"/>
      <c r="AE668" s="50"/>
    </row>
    <row r="669">
      <c r="A669" s="307">
        <v>42680.50208333333</v>
      </c>
      <c r="B669" s="312" t="s">
        <v>721</v>
      </c>
      <c r="C669" s="303" t="s">
        <v>1177</v>
      </c>
      <c r="D669" s="303" t="s">
        <v>1178</v>
      </c>
      <c r="E669" s="315">
        <v>42614.0</v>
      </c>
      <c r="F669" s="312" t="s">
        <v>43</v>
      </c>
      <c r="G669" s="303" t="s">
        <v>1180</v>
      </c>
      <c r="H669" s="303" t="s">
        <v>1181</v>
      </c>
      <c r="I669" s="303" t="s">
        <v>1187</v>
      </c>
      <c r="J669" s="306">
        <v>0.9</v>
      </c>
      <c r="K669" s="312">
        <v>441.0</v>
      </c>
      <c r="L669" s="312"/>
      <c r="M669" s="312">
        <v>236.0</v>
      </c>
      <c r="N669" s="312"/>
      <c r="O669" s="312"/>
      <c r="P669" s="315">
        <v>42680.0</v>
      </c>
      <c r="Q669" s="312">
        <v>800.0</v>
      </c>
      <c r="R669" s="312">
        <v>441.0</v>
      </c>
      <c r="S669" s="316"/>
      <c r="T669" s="317">
        <v>446.58</v>
      </c>
      <c r="U669" s="312" t="s">
        <v>1366</v>
      </c>
      <c r="V669" s="312" t="s">
        <v>1367</v>
      </c>
      <c r="W669" s="50"/>
      <c r="X669" s="50"/>
      <c r="Y669" s="50"/>
      <c r="Z669" s="312"/>
      <c r="AA669" s="312" t="s">
        <v>1532</v>
      </c>
      <c r="AB669" s="50"/>
      <c r="AC669" s="50"/>
      <c r="AD669" s="50"/>
      <c r="AE669" s="50"/>
    </row>
    <row r="670">
      <c r="A670" s="307">
        <v>42728.50277777778</v>
      </c>
      <c r="B670" s="312" t="s">
        <v>721</v>
      </c>
      <c r="C670" s="303" t="s">
        <v>1177</v>
      </c>
      <c r="D670" s="303" t="s">
        <v>1178</v>
      </c>
      <c r="E670" s="315">
        <v>42614.0</v>
      </c>
      <c r="F670" s="312" t="s">
        <v>43</v>
      </c>
      <c r="G670" s="303" t="s">
        <v>1180</v>
      </c>
      <c r="H670" s="303" t="s">
        <v>1181</v>
      </c>
      <c r="I670" s="303" t="s">
        <v>1187</v>
      </c>
      <c r="J670" s="306">
        <v>0.9</v>
      </c>
      <c r="K670" s="312">
        <v>441.0</v>
      </c>
      <c r="L670" s="312"/>
      <c r="M670" s="312">
        <v>219.0</v>
      </c>
      <c r="N670" s="312"/>
      <c r="O670" s="312"/>
      <c r="P670" s="315">
        <v>42728.0</v>
      </c>
      <c r="Q670" s="312">
        <v>2361.0</v>
      </c>
      <c r="R670" s="312">
        <v>447.0</v>
      </c>
      <c r="S670" s="316"/>
      <c r="T670" s="317">
        <v>452.66</v>
      </c>
      <c r="U670" s="312" t="s">
        <v>1366</v>
      </c>
      <c r="V670" s="312" t="s">
        <v>1367</v>
      </c>
      <c r="W670" s="50"/>
      <c r="X670" s="50"/>
      <c r="Y670" s="50"/>
      <c r="Z670" s="312"/>
      <c r="AA670" s="312" t="s">
        <v>1532</v>
      </c>
      <c r="AB670" s="50"/>
      <c r="AC670" s="50"/>
      <c r="AD670" s="50"/>
      <c r="AE670" s="50"/>
    </row>
    <row r="671">
      <c r="A671" s="307">
        <v>42749.50347222222</v>
      </c>
      <c r="B671" s="312" t="s">
        <v>721</v>
      </c>
      <c r="C671" s="303" t="s">
        <v>1177</v>
      </c>
      <c r="D671" s="303" t="s">
        <v>1178</v>
      </c>
      <c r="E671" s="315">
        <v>42614.0</v>
      </c>
      <c r="F671" s="312" t="s">
        <v>43</v>
      </c>
      <c r="G671" s="303" t="s">
        <v>1180</v>
      </c>
      <c r="H671" s="303" t="s">
        <v>1181</v>
      </c>
      <c r="I671" s="303" t="s">
        <v>1187</v>
      </c>
      <c r="J671" s="306">
        <v>0.9</v>
      </c>
      <c r="K671" s="312">
        <v>441.0</v>
      </c>
      <c r="L671" s="312"/>
      <c r="M671" s="312">
        <v>219.0</v>
      </c>
      <c r="N671" s="312"/>
      <c r="O671" s="312"/>
      <c r="P671" s="315">
        <v>42749.0</v>
      </c>
      <c r="Q671" s="312">
        <v>4362.0</v>
      </c>
      <c r="R671" s="312">
        <v>447.0</v>
      </c>
      <c r="S671" s="316"/>
      <c r="T671" s="317">
        <v>452.66</v>
      </c>
      <c r="U671" s="312" t="s">
        <v>1366</v>
      </c>
      <c r="V671" s="312" t="s">
        <v>1367</v>
      </c>
      <c r="W671" s="50"/>
      <c r="X671" s="50"/>
      <c r="Y671" s="50"/>
      <c r="Z671" s="312"/>
      <c r="AA671" s="312" t="s">
        <v>1532</v>
      </c>
      <c r="AB671" s="50"/>
      <c r="AC671" s="50"/>
      <c r="AD671" s="50"/>
      <c r="AE671" s="50"/>
    </row>
    <row r="672">
      <c r="A672" s="307">
        <v>43190.722916666666</v>
      </c>
      <c r="B672" s="312" t="s">
        <v>721</v>
      </c>
      <c r="C672" s="303" t="s">
        <v>1177</v>
      </c>
      <c r="D672" s="303" t="s">
        <v>1178</v>
      </c>
      <c r="E672" s="315">
        <v>42614.0</v>
      </c>
      <c r="F672" s="312" t="s">
        <v>43</v>
      </c>
      <c r="G672" s="303" t="s">
        <v>1180</v>
      </c>
      <c r="H672" s="303" t="s">
        <v>1181</v>
      </c>
      <c r="I672" s="303" t="s">
        <v>1181</v>
      </c>
      <c r="J672" s="306">
        <v>0.9</v>
      </c>
      <c r="K672" s="312">
        <v>441.0</v>
      </c>
      <c r="L672" s="312"/>
      <c r="M672" s="312">
        <v>225.0</v>
      </c>
      <c r="N672" s="312"/>
      <c r="O672" s="312"/>
      <c r="P672" s="315">
        <v>43190.0</v>
      </c>
      <c r="Q672" s="312">
        <v>22827.0</v>
      </c>
      <c r="R672" s="312">
        <v>441.0</v>
      </c>
      <c r="S672" s="316"/>
      <c r="T672" s="317">
        <v>446.58</v>
      </c>
      <c r="U672" s="312" t="s">
        <v>1366</v>
      </c>
      <c r="V672" s="312" t="s">
        <v>1367</v>
      </c>
      <c r="W672" s="50"/>
      <c r="X672" s="50"/>
      <c r="Y672" s="312" t="s">
        <v>1533</v>
      </c>
      <c r="Z672" s="312" t="s">
        <v>1366</v>
      </c>
      <c r="AA672" s="50"/>
      <c r="AB672" s="50"/>
      <c r="AC672" s="50"/>
      <c r="AD672" s="50"/>
      <c r="AE672" s="50"/>
    </row>
    <row r="673">
      <c r="A673" s="307">
        <v>43185.88125</v>
      </c>
      <c r="B673" s="312" t="s">
        <v>1534</v>
      </c>
      <c r="C673" s="312" t="s">
        <v>1184</v>
      </c>
      <c r="D673" s="303" t="s">
        <v>1185</v>
      </c>
      <c r="E673" s="315">
        <v>41794.0</v>
      </c>
      <c r="F673" s="312" t="s">
        <v>12</v>
      </c>
      <c r="G673" s="50"/>
      <c r="H673" s="50"/>
      <c r="I673" s="50"/>
      <c r="J673" s="306"/>
      <c r="K673" s="50"/>
      <c r="L673" s="312"/>
      <c r="M673" s="50"/>
      <c r="N673" s="312"/>
      <c r="O673" s="312"/>
      <c r="P673" s="315">
        <v>43185.0</v>
      </c>
      <c r="Q673" s="312">
        <v>31000.0</v>
      </c>
      <c r="R673" s="312">
        <v>185.0</v>
      </c>
      <c r="S673" s="316"/>
      <c r="T673" s="317">
        <v>185.0</v>
      </c>
      <c r="U673" s="312" t="s">
        <v>1369</v>
      </c>
      <c r="V673" s="312" t="s">
        <v>1367</v>
      </c>
      <c r="W673" s="50"/>
      <c r="X673" s="50"/>
      <c r="Y673" s="50"/>
      <c r="Z673" s="312"/>
      <c r="AA673" s="50"/>
      <c r="AB673" s="50"/>
      <c r="AC673" s="50"/>
      <c r="AD673" s="50"/>
      <c r="AE673" s="50"/>
    </row>
    <row r="674">
      <c r="A674" s="307">
        <v>42111.09930555556</v>
      </c>
      <c r="B674" s="312" t="s">
        <v>108</v>
      </c>
      <c r="C674" s="303" t="s">
        <v>1177</v>
      </c>
      <c r="D674" s="303" t="s">
        <v>1178</v>
      </c>
      <c r="E674" s="315">
        <v>42097.0</v>
      </c>
      <c r="F674" s="312" t="s">
        <v>38</v>
      </c>
      <c r="G674" s="303" t="s">
        <v>1190</v>
      </c>
      <c r="H674" s="303" t="s">
        <v>1179</v>
      </c>
      <c r="I674" s="303" t="s">
        <v>1187</v>
      </c>
      <c r="J674" s="306"/>
      <c r="K674" s="312">
        <v>406.0</v>
      </c>
      <c r="L674" s="312"/>
      <c r="M674" s="312">
        <v>253.0</v>
      </c>
      <c r="N674" s="50"/>
      <c r="O674" s="312"/>
      <c r="P674" s="315">
        <v>42111.0</v>
      </c>
      <c r="Q674" s="312">
        <v>1904.0</v>
      </c>
      <c r="R674" s="312">
        <v>403.0</v>
      </c>
      <c r="S674" s="316"/>
      <c r="T674" s="317">
        <v>408.1</v>
      </c>
      <c r="U674" s="312" t="s">
        <v>1366</v>
      </c>
      <c r="V674" s="312" t="s">
        <v>1367</v>
      </c>
      <c r="W674" s="50"/>
      <c r="X674" s="50"/>
      <c r="Y674" s="50"/>
      <c r="Z674" s="312"/>
      <c r="AA674" s="312" t="s">
        <v>1535</v>
      </c>
      <c r="AB674" s="50"/>
      <c r="AC674" s="50"/>
      <c r="AD674" s="50"/>
      <c r="AE674" s="50"/>
    </row>
    <row r="675">
      <c r="A675" s="307">
        <v>42122.10625</v>
      </c>
      <c r="B675" s="312" t="s">
        <v>108</v>
      </c>
      <c r="C675" s="303" t="s">
        <v>1177</v>
      </c>
      <c r="D675" s="303" t="s">
        <v>1178</v>
      </c>
      <c r="E675" s="315">
        <v>42097.0</v>
      </c>
      <c r="F675" s="312" t="s">
        <v>38</v>
      </c>
      <c r="G675" s="303" t="s">
        <v>1190</v>
      </c>
      <c r="H675" s="303" t="s">
        <v>1179</v>
      </c>
      <c r="I675" s="303" t="s">
        <v>1187</v>
      </c>
      <c r="J675" s="306"/>
      <c r="K675" s="312">
        <v>406.0</v>
      </c>
      <c r="L675" s="312"/>
      <c r="M675" s="312">
        <v>246.0</v>
      </c>
      <c r="N675" s="50"/>
      <c r="O675" s="312"/>
      <c r="P675" s="315">
        <v>42122.0</v>
      </c>
      <c r="Q675" s="312">
        <v>3272.0</v>
      </c>
      <c r="R675" s="312">
        <v>406.0</v>
      </c>
      <c r="S675" s="316"/>
      <c r="T675" s="317">
        <v>406.0</v>
      </c>
      <c r="U675" s="312" t="s">
        <v>1369</v>
      </c>
      <c r="V675" s="312" t="s">
        <v>1367</v>
      </c>
      <c r="W675" s="50"/>
      <c r="X675" s="50"/>
      <c r="Y675" s="50"/>
      <c r="Z675" s="312"/>
      <c r="AA675" s="312" t="s">
        <v>1535</v>
      </c>
      <c r="AB675" s="50"/>
      <c r="AC675" s="50"/>
      <c r="AD675" s="50"/>
      <c r="AE675" s="50"/>
    </row>
    <row r="676">
      <c r="A676" s="307">
        <v>42131.11388888889</v>
      </c>
      <c r="B676" s="312" t="s">
        <v>108</v>
      </c>
      <c r="C676" s="303" t="s">
        <v>1177</v>
      </c>
      <c r="D676" s="303" t="s">
        <v>1178</v>
      </c>
      <c r="E676" s="315">
        <v>42097.0</v>
      </c>
      <c r="F676" s="312" t="s">
        <v>38</v>
      </c>
      <c r="G676" s="303" t="s">
        <v>1190</v>
      </c>
      <c r="H676" s="303" t="s">
        <v>1179</v>
      </c>
      <c r="I676" s="303" t="s">
        <v>1187</v>
      </c>
      <c r="J676" s="306">
        <v>0.8</v>
      </c>
      <c r="K676" s="312">
        <v>406.0</v>
      </c>
      <c r="L676" s="312"/>
      <c r="M676" s="312">
        <v>244.0</v>
      </c>
      <c r="N676" s="50"/>
      <c r="O676" s="312"/>
      <c r="P676" s="315">
        <v>42131.0</v>
      </c>
      <c r="Q676" s="312">
        <v>4144.0</v>
      </c>
      <c r="R676" s="312">
        <v>406.0</v>
      </c>
      <c r="S676" s="316"/>
      <c r="T676" s="317">
        <v>406.0</v>
      </c>
      <c r="U676" s="312" t="s">
        <v>1369</v>
      </c>
      <c r="V676" s="312" t="s">
        <v>1367</v>
      </c>
      <c r="W676" s="50"/>
      <c r="X676" s="50"/>
      <c r="Y676" s="50"/>
      <c r="Z676" s="312"/>
      <c r="AA676" s="312" t="s">
        <v>1535</v>
      </c>
      <c r="AB676" s="50"/>
      <c r="AC676" s="50"/>
      <c r="AD676" s="50"/>
      <c r="AE676" s="50"/>
    </row>
    <row r="677">
      <c r="A677" s="307">
        <v>42134.114583333336</v>
      </c>
      <c r="B677" s="312" t="s">
        <v>108</v>
      </c>
      <c r="C677" s="303" t="s">
        <v>1177</v>
      </c>
      <c r="D677" s="303" t="s">
        <v>1178</v>
      </c>
      <c r="E677" s="315">
        <v>42097.0</v>
      </c>
      <c r="F677" s="312" t="s">
        <v>38</v>
      </c>
      <c r="G677" s="303" t="s">
        <v>1203</v>
      </c>
      <c r="H677" s="303" t="s">
        <v>1179</v>
      </c>
      <c r="I677" s="303" t="s">
        <v>1187</v>
      </c>
      <c r="J677" s="306">
        <v>0.8</v>
      </c>
      <c r="K677" s="312">
        <v>406.0</v>
      </c>
      <c r="L677" s="312"/>
      <c r="M677" s="312">
        <v>237.0</v>
      </c>
      <c r="N677" s="50"/>
      <c r="O677" s="312"/>
      <c r="P677" s="315">
        <v>42134.0</v>
      </c>
      <c r="Q677" s="312">
        <v>5903.0</v>
      </c>
      <c r="R677" s="312">
        <v>406.0</v>
      </c>
      <c r="S677" s="316"/>
      <c r="T677" s="317">
        <v>406.0</v>
      </c>
      <c r="U677" s="312" t="s">
        <v>1369</v>
      </c>
      <c r="V677" s="312" t="s">
        <v>1367</v>
      </c>
      <c r="W677" s="50"/>
      <c r="X677" s="50"/>
      <c r="Y677" s="50"/>
      <c r="Z677" s="312"/>
      <c r="AA677" s="312" t="s">
        <v>1535</v>
      </c>
      <c r="AB677" s="50"/>
      <c r="AC677" s="50"/>
      <c r="AD677" s="50"/>
      <c r="AE677" s="50"/>
    </row>
    <row r="678">
      <c r="A678" s="307">
        <v>42153.13055555556</v>
      </c>
      <c r="B678" s="312" t="s">
        <v>108</v>
      </c>
      <c r="C678" s="303" t="s">
        <v>1177</v>
      </c>
      <c r="D678" s="303" t="s">
        <v>1178</v>
      </c>
      <c r="E678" s="315">
        <v>42097.0</v>
      </c>
      <c r="F678" s="312" t="s">
        <v>38</v>
      </c>
      <c r="G678" s="303" t="s">
        <v>1190</v>
      </c>
      <c r="H678" s="303" t="s">
        <v>1179</v>
      </c>
      <c r="I678" s="303" t="s">
        <v>1187</v>
      </c>
      <c r="J678" s="306">
        <v>0.8</v>
      </c>
      <c r="K678" s="312">
        <v>406.0</v>
      </c>
      <c r="L678" s="312"/>
      <c r="M678" s="312">
        <v>237.0</v>
      </c>
      <c r="N678" s="50"/>
      <c r="O678" s="312"/>
      <c r="P678" s="315">
        <v>42153.0</v>
      </c>
      <c r="Q678" s="312">
        <v>6832.0</v>
      </c>
      <c r="R678" s="312">
        <v>403.0</v>
      </c>
      <c r="S678" s="316"/>
      <c r="T678" s="317">
        <v>403.0</v>
      </c>
      <c r="U678" s="312" t="s">
        <v>1369</v>
      </c>
      <c r="V678" s="312" t="s">
        <v>1367</v>
      </c>
      <c r="W678" s="50"/>
      <c r="X678" s="50"/>
      <c r="Y678" s="50"/>
      <c r="Z678" s="312"/>
      <c r="AA678" s="312" t="s">
        <v>1535</v>
      </c>
      <c r="AB678" s="50"/>
      <c r="AC678" s="50"/>
      <c r="AD678" s="50"/>
      <c r="AE678" s="50"/>
    </row>
    <row r="679">
      <c r="A679" s="307">
        <v>42159.13263888889</v>
      </c>
      <c r="B679" s="312" t="s">
        <v>108</v>
      </c>
      <c r="C679" s="303" t="s">
        <v>1177</v>
      </c>
      <c r="D679" s="303" t="s">
        <v>1178</v>
      </c>
      <c r="E679" s="315">
        <v>42097.0</v>
      </c>
      <c r="F679" s="312" t="s">
        <v>38</v>
      </c>
      <c r="G679" s="303" t="s">
        <v>1203</v>
      </c>
      <c r="H679" s="303" t="s">
        <v>1179</v>
      </c>
      <c r="I679" s="303" t="s">
        <v>1187</v>
      </c>
      <c r="J679" s="306">
        <v>0.8</v>
      </c>
      <c r="K679" s="312">
        <v>406.0</v>
      </c>
      <c r="L679" s="312"/>
      <c r="M679" s="312">
        <v>237.0</v>
      </c>
      <c r="N679" s="50"/>
      <c r="O679" s="312"/>
      <c r="P679" s="315">
        <v>42159.0</v>
      </c>
      <c r="Q679" s="312">
        <v>7882.0</v>
      </c>
      <c r="R679" s="312">
        <v>403.0</v>
      </c>
      <c r="S679" s="316"/>
      <c r="T679" s="317">
        <v>403.0</v>
      </c>
      <c r="U679" s="312" t="s">
        <v>1369</v>
      </c>
      <c r="V679" s="312" t="s">
        <v>1367</v>
      </c>
      <c r="W679" s="50"/>
      <c r="X679" s="50"/>
      <c r="Y679" s="50"/>
      <c r="Z679" s="312"/>
      <c r="AA679" s="312" t="s">
        <v>1535</v>
      </c>
      <c r="AB679" s="50"/>
      <c r="AC679" s="50"/>
      <c r="AD679" s="50"/>
      <c r="AE679" s="50"/>
    </row>
    <row r="680">
      <c r="A680" s="307">
        <v>42215.14722222222</v>
      </c>
      <c r="B680" s="312" t="s">
        <v>108</v>
      </c>
      <c r="C680" s="303" t="s">
        <v>1177</v>
      </c>
      <c r="D680" s="303" t="s">
        <v>1178</v>
      </c>
      <c r="E680" s="315">
        <v>42097.0</v>
      </c>
      <c r="F680" s="312" t="s">
        <v>38</v>
      </c>
      <c r="G680" s="303" t="s">
        <v>1179</v>
      </c>
      <c r="H680" s="303" t="s">
        <v>1179</v>
      </c>
      <c r="I680" s="303" t="s">
        <v>1187</v>
      </c>
      <c r="J680" s="306">
        <v>0.7</v>
      </c>
      <c r="K680" s="312">
        <v>406.0</v>
      </c>
      <c r="L680" s="312"/>
      <c r="M680" s="312">
        <v>237.0</v>
      </c>
      <c r="N680" s="312"/>
      <c r="O680" s="312"/>
      <c r="P680" s="315">
        <v>42215.0</v>
      </c>
      <c r="Q680" s="312">
        <v>11053.0</v>
      </c>
      <c r="R680" s="312">
        <v>396.0</v>
      </c>
      <c r="S680" s="316"/>
      <c r="T680" s="317">
        <v>396.0</v>
      </c>
      <c r="U680" s="312" t="s">
        <v>1369</v>
      </c>
      <c r="V680" s="312" t="s">
        <v>1367</v>
      </c>
      <c r="W680" s="312">
        <v>396.0</v>
      </c>
      <c r="X680" s="312">
        <v>201.0</v>
      </c>
      <c r="Y680" s="312">
        <v>36.9</v>
      </c>
      <c r="Z680" s="312" t="s">
        <v>1366</v>
      </c>
      <c r="AA680" s="312" t="s">
        <v>1535</v>
      </c>
      <c r="AB680" s="50"/>
      <c r="AC680" s="50"/>
      <c r="AD680" s="50"/>
      <c r="AE680" s="50"/>
    </row>
    <row r="681">
      <c r="A681" s="307">
        <v>42224.15069444444</v>
      </c>
      <c r="B681" s="312" t="s">
        <v>108</v>
      </c>
      <c r="C681" s="303" t="s">
        <v>1177</v>
      </c>
      <c r="D681" s="303" t="s">
        <v>1178</v>
      </c>
      <c r="E681" s="315">
        <v>42097.0</v>
      </c>
      <c r="F681" s="312" t="s">
        <v>38</v>
      </c>
      <c r="G681" s="303" t="s">
        <v>1179</v>
      </c>
      <c r="H681" s="303" t="s">
        <v>1180</v>
      </c>
      <c r="I681" s="303" t="s">
        <v>1187</v>
      </c>
      <c r="J681" s="306">
        <v>0.7</v>
      </c>
      <c r="K681" s="312">
        <v>406.0</v>
      </c>
      <c r="L681" s="312"/>
      <c r="M681" s="312">
        <v>236.0</v>
      </c>
      <c r="N681" s="312"/>
      <c r="O681" s="312"/>
      <c r="P681" s="315">
        <v>42224.0</v>
      </c>
      <c r="Q681" s="312">
        <v>11403.0</v>
      </c>
      <c r="R681" s="312">
        <v>395.0</v>
      </c>
      <c r="S681" s="316"/>
      <c r="T681" s="317">
        <v>395.0</v>
      </c>
      <c r="U681" s="312" t="s">
        <v>1369</v>
      </c>
      <c r="V681" s="312" t="s">
        <v>1367</v>
      </c>
      <c r="W681" s="312">
        <v>395.0</v>
      </c>
      <c r="X681" s="312">
        <v>164.0</v>
      </c>
      <c r="Y681" s="312">
        <v>42.9</v>
      </c>
      <c r="Z681" s="312" t="s">
        <v>1369</v>
      </c>
      <c r="AA681" s="312" t="s">
        <v>1535</v>
      </c>
      <c r="AB681" s="50"/>
      <c r="AC681" s="50"/>
      <c r="AD681" s="50"/>
      <c r="AE681" s="50"/>
    </row>
    <row r="682">
      <c r="A682" s="307">
        <v>42225.15138888889</v>
      </c>
      <c r="B682" s="312" t="s">
        <v>108</v>
      </c>
      <c r="C682" s="303" t="s">
        <v>1177</v>
      </c>
      <c r="D682" s="303" t="s">
        <v>1178</v>
      </c>
      <c r="E682" s="315">
        <v>42097.0</v>
      </c>
      <c r="F682" s="312" t="s">
        <v>38</v>
      </c>
      <c r="G682" s="303" t="s">
        <v>1179</v>
      </c>
      <c r="H682" s="303" t="s">
        <v>1180</v>
      </c>
      <c r="I682" s="303" t="s">
        <v>1187</v>
      </c>
      <c r="J682" s="306">
        <v>0.7</v>
      </c>
      <c r="K682" s="312">
        <v>406.0</v>
      </c>
      <c r="L682" s="312"/>
      <c r="M682" s="312">
        <v>235.0</v>
      </c>
      <c r="N682" s="312"/>
      <c r="O682" s="312"/>
      <c r="P682" s="315">
        <v>42225.0</v>
      </c>
      <c r="Q682" s="312">
        <v>11743.0</v>
      </c>
      <c r="R682" s="312">
        <v>394.0</v>
      </c>
      <c r="S682" s="316"/>
      <c r="T682" s="317">
        <v>394.0</v>
      </c>
      <c r="U682" s="312" t="s">
        <v>1369</v>
      </c>
      <c r="V682" s="312" t="s">
        <v>1367</v>
      </c>
      <c r="W682" s="312">
        <v>394.0</v>
      </c>
      <c r="X682" s="312">
        <v>165.0</v>
      </c>
      <c r="Y682" s="312">
        <v>43.8</v>
      </c>
      <c r="Z682" s="312" t="s">
        <v>1369</v>
      </c>
      <c r="AA682" s="312" t="s">
        <v>1535</v>
      </c>
      <c r="AB682" s="50"/>
      <c r="AC682" s="50"/>
      <c r="AD682" s="50"/>
      <c r="AE682" s="50"/>
    </row>
    <row r="683">
      <c r="A683" s="307">
        <v>42260.17916666667</v>
      </c>
      <c r="B683" s="312" t="s">
        <v>108</v>
      </c>
      <c r="C683" s="303" t="s">
        <v>1177</v>
      </c>
      <c r="D683" s="303" t="s">
        <v>1178</v>
      </c>
      <c r="E683" s="315">
        <v>42097.0</v>
      </c>
      <c r="F683" s="312" t="s">
        <v>38</v>
      </c>
      <c r="G683" s="303" t="s">
        <v>1179</v>
      </c>
      <c r="H683" s="303" t="s">
        <v>1180</v>
      </c>
      <c r="I683" s="303" t="s">
        <v>1187</v>
      </c>
      <c r="J683" s="306">
        <v>0.7</v>
      </c>
      <c r="K683" s="312">
        <v>406.0</v>
      </c>
      <c r="L683" s="312"/>
      <c r="M683" s="312">
        <v>230.0</v>
      </c>
      <c r="N683" s="312"/>
      <c r="O683" s="312"/>
      <c r="P683" s="315">
        <v>42260.0</v>
      </c>
      <c r="Q683" s="312">
        <v>14775.0</v>
      </c>
      <c r="R683" s="312">
        <v>388.0</v>
      </c>
      <c r="S683" s="316"/>
      <c r="T683" s="317">
        <v>388.0</v>
      </c>
      <c r="U683" s="312" t="s">
        <v>1369</v>
      </c>
      <c r="V683" s="312" t="s">
        <v>1367</v>
      </c>
      <c r="W683" s="50"/>
      <c r="X683" s="50"/>
      <c r="Y683" s="50"/>
      <c r="Z683" s="312"/>
      <c r="AA683" s="312" t="s">
        <v>1535</v>
      </c>
      <c r="AB683" s="50"/>
      <c r="AC683" s="50"/>
      <c r="AD683" s="50"/>
      <c r="AE683" s="50"/>
    </row>
    <row r="684">
      <c r="A684" s="307">
        <v>42264.18194444444</v>
      </c>
      <c r="B684" s="312" t="s">
        <v>108</v>
      </c>
      <c r="C684" s="303" t="s">
        <v>1177</v>
      </c>
      <c r="D684" s="303" t="s">
        <v>1178</v>
      </c>
      <c r="E684" s="315">
        <v>42097.0</v>
      </c>
      <c r="F684" s="312" t="s">
        <v>38</v>
      </c>
      <c r="G684" s="303" t="s">
        <v>1179</v>
      </c>
      <c r="H684" s="303" t="s">
        <v>1180</v>
      </c>
      <c r="I684" s="303" t="s">
        <v>1187</v>
      </c>
      <c r="J684" s="306">
        <v>0.7</v>
      </c>
      <c r="K684" s="312">
        <v>406.0</v>
      </c>
      <c r="L684" s="312"/>
      <c r="M684" s="312">
        <v>233.0</v>
      </c>
      <c r="N684" s="312"/>
      <c r="O684" s="312"/>
      <c r="P684" s="315">
        <v>42264.0</v>
      </c>
      <c r="Q684" s="312">
        <v>15007.0</v>
      </c>
      <c r="R684" s="312">
        <v>388.0</v>
      </c>
      <c r="S684" s="316"/>
      <c r="T684" s="317">
        <v>388.0</v>
      </c>
      <c r="U684" s="312" t="s">
        <v>1369</v>
      </c>
      <c r="V684" s="312" t="s">
        <v>1367</v>
      </c>
      <c r="W684" s="50"/>
      <c r="X684" s="50"/>
      <c r="Y684" s="50"/>
      <c r="Z684" s="312"/>
      <c r="AA684" s="312" t="s">
        <v>1535</v>
      </c>
      <c r="AB684" s="50"/>
      <c r="AC684" s="50"/>
      <c r="AD684" s="50"/>
      <c r="AE684" s="50"/>
    </row>
    <row r="685">
      <c r="A685" s="307">
        <v>42264.18263888889</v>
      </c>
      <c r="B685" s="312" t="s">
        <v>108</v>
      </c>
      <c r="C685" s="303" t="s">
        <v>1177</v>
      </c>
      <c r="D685" s="303" t="s">
        <v>1178</v>
      </c>
      <c r="E685" s="315">
        <v>42097.0</v>
      </c>
      <c r="F685" s="312" t="s">
        <v>38</v>
      </c>
      <c r="G685" s="303" t="s">
        <v>1179</v>
      </c>
      <c r="H685" s="303" t="s">
        <v>1180</v>
      </c>
      <c r="I685" s="303" t="s">
        <v>1187</v>
      </c>
      <c r="J685" s="306">
        <v>0.7</v>
      </c>
      <c r="K685" s="312">
        <v>406.0</v>
      </c>
      <c r="L685" s="312"/>
      <c r="M685" s="312">
        <v>233.0</v>
      </c>
      <c r="N685" s="312"/>
      <c r="O685" s="312"/>
      <c r="P685" s="315">
        <v>42264.0</v>
      </c>
      <c r="Q685" s="312">
        <v>15237.0</v>
      </c>
      <c r="R685" s="312">
        <v>389.0</v>
      </c>
      <c r="S685" s="316"/>
      <c r="T685" s="317">
        <v>389.0</v>
      </c>
      <c r="U685" s="312" t="s">
        <v>1369</v>
      </c>
      <c r="V685" s="312" t="s">
        <v>1367</v>
      </c>
      <c r="W685" s="312">
        <v>389.0</v>
      </c>
      <c r="X685" s="312">
        <v>9.0</v>
      </c>
      <c r="Y685" s="312">
        <v>68.4</v>
      </c>
      <c r="Z685" s="312" t="s">
        <v>1369</v>
      </c>
      <c r="AA685" s="312" t="s">
        <v>1535</v>
      </c>
      <c r="AB685" s="50"/>
      <c r="AC685" s="50"/>
      <c r="AD685" s="50"/>
      <c r="AE685" s="50"/>
    </row>
    <row r="686">
      <c r="A686" s="307">
        <v>42264.183333333334</v>
      </c>
      <c r="B686" s="312" t="s">
        <v>108</v>
      </c>
      <c r="C686" s="303" t="s">
        <v>1177</v>
      </c>
      <c r="D686" s="303" t="s">
        <v>1178</v>
      </c>
      <c r="E686" s="315">
        <v>42097.0</v>
      </c>
      <c r="F686" s="312" t="s">
        <v>38</v>
      </c>
      <c r="G686" s="303" t="s">
        <v>1179</v>
      </c>
      <c r="H686" s="303" t="s">
        <v>1180</v>
      </c>
      <c r="I686" s="303" t="s">
        <v>1187</v>
      </c>
      <c r="J686" s="306">
        <v>0.7</v>
      </c>
      <c r="K686" s="312">
        <v>406.0</v>
      </c>
      <c r="L686" s="312"/>
      <c r="M686" s="312">
        <v>234.0</v>
      </c>
      <c r="N686" s="312"/>
      <c r="O686" s="312"/>
      <c r="P686" s="315">
        <v>42264.0</v>
      </c>
      <c r="Q686" s="312">
        <v>15471.0</v>
      </c>
      <c r="R686" s="312">
        <v>389.0</v>
      </c>
      <c r="S686" s="316"/>
      <c r="T686" s="317">
        <v>389.0</v>
      </c>
      <c r="U686" s="312" t="s">
        <v>1369</v>
      </c>
      <c r="V686" s="312" t="s">
        <v>1367</v>
      </c>
      <c r="W686" s="50"/>
      <c r="X686" s="50"/>
      <c r="Y686" s="50"/>
      <c r="Z686" s="312"/>
      <c r="AA686" s="312" t="s">
        <v>1535</v>
      </c>
      <c r="AB686" s="50"/>
      <c r="AC686" s="50"/>
      <c r="AD686" s="50"/>
      <c r="AE686" s="50"/>
    </row>
    <row r="687">
      <c r="A687" s="307">
        <v>42301.20972222222</v>
      </c>
      <c r="B687" s="312" t="s">
        <v>108</v>
      </c>
      <c r="C687" s="303" t="s">
        <v>1177</v>
      </c>
      <c r="D687" s="303" t="s">
        <v>1178</v>
      </c>
      <c r="E687" s="315">
        <v>42097.0</v>
      </c>
      <c r="F687" s="312" t="s">
        <v>38</v>
      </c>
      <c r="G687" s="303" t="s">
        <v>1179</v>
      </c>
      <c r="H687" s="303" t="s">
        <v>1180</v>
      </c>
      <c r="I687" s="303" t="s">
        <v>1187</v>
      </c>
      <c r="J687" s="306">
        <v>0.7</v>
      </c>
      <c r="K687" s="312">
        <v>406.0</v>
      </c>
      <c r="L687" s="312"/>
      <c r="M687" s="312">
        <v>235.0</v>
      </c>
      <c r="N687" s="312"/>
      <c r="O687" s="312"/>
      <c r="P687" s="315">
        <v>42301.0</v>
      </c>
      <c r="Q687" s="312">
        <v>17865.0</v>
      </c>
      <c r="R687" s="312">
        <v>392.0</v>
      </c>
      <c r="S687" s="316"/>
      <c r="T687" s="317">
        <v>392.0</v>
      </c>
      <c r="U687" s="312" t="s">
        <v>1369</v>
      </c>
      <c r="V687" s="312" t="s">
        <v>1367</v>
      </c>
      <c r="W687" s="50"/>
      <c r="X687" s="50"/>
      <c r="Y687" s="50"/>
      <c r="Z687" s="312"/>
      <c r="AA687" s="312" t="s">
        <v>1535</v>
      </c>
      <c r="AB687" s="50"/>
      <c r="AC687" s="50"/>
      <c r="AD687" s="50"/>
      <c r="AE687" s="50"/>
    </row>
    <row r="688">
      <c r="A688" s="307">
        <v>42301.21041666667</v>
      </c>
      <c r="B688" s="312" t="s">
        <v>108</v>
      </c>
      <c r="C688" s="303" t="s">
        <v>1177</v>
      </c>
      <c r="D688" s="303" t="s">
        <v>1178</v>
      </c>
      <c r="E688" s="315">
        <v>42097.0</v>
      </c>
      <c r="F688" s="312" t="s">
        <v>38</v>
      </c>
      <c r="G688" s="303" t="s">
        <v>1179</v>
      </c>
      <c r="H688" s="303" t="s">
        <v>1180</v>
      </c>
      <c r="I688" s="303" t="s">
        <v>1187</v>
      </c>
      <c r="J688" s="306">
        <v>0.7</v>
      </c>
      <c r="K688" s="312">
        <v>406.0</v>
      </c>
      <c r="L688" s="312"/>
      <c r="M688" s="312">
        <v>235.0</v>
      </c>
      <c r="N688" s="312"/>
      <c r="O688" s="312"/>
      <c r="P688" s="315">
        <v>42301.0</v>
      </c>
      <c r="Q688" s="312">
        <v>17968.0</v>
      </c>
      <c r="R688" s="312">
        <v>392.0</v>
      </c>
      <c r="S688" s="316"/>
      <c r="T688" s="317">
        <v>392.0</v>
      </c>
      <c r="U688" s="312" t="s">
        <v>1369</v>
      </c>
      <c r="V688" s="312" t="s">
        <v>1367</v>
      </c>
      <c r="W688" s="312">
        <v>392.0</v>
      </c>
      <c r="X688" s="312">
        <v>39.0</v>
      </c>
      <c r="Y688" s="312">
        <v>65.7</v>
      </c>
      <c r="Z688" s="312" t="s">
        <v>1369</v>
      </c>
      <c r="AA688" s="312" t="s">
        <v>1535</v>
      </c>
      <c r="AB688" s="50"/>
      <c r="AC688" s="50"/>
      <c r="AD688" s="50"/>
      <c r="AE688" s="50"/>
    </row>
    <row r="689">
      <c r="A689" s="307">
        <v>42301.21111111111</v>
      </c>
      <c r="B689" s="312" t="s">
        <v>108</v>
      </c>
      <c r="C689" s="303" t="s">
        <v>1177</v>
      </c>
      <c r="D689" s="303" t="s">
        <v>1178</v>
      </c>
      <c r="E689" s="315">
        <v>42097.0</v>
      </c>
      <c r="F689" s="312" t="s">
        <v>38</v>
      </c>
      <c r="G689" s="303" t="s">
        <v>1179</v>
      </c>
      <c r="H689" s="303" t="s">
        <v>1180</v>
      </c>
      <c r="I689" s="303" t="s">
        <v>1187</v>
      </c>
      <c r="J689" s="306">
        <v>0.7</v>
      </c>
      <c r="K689" s="312">
        <v>406.0</v>
      </c>
      <c r="L689" s="312"/>
      <c r="M689" s="312">
        <v>235.0</v>
      </c>
      <c r="N689" s="312"/>
      <c r="O689" s="312"/>
      <c r="P689" s="315">
        <v>42301.0</v>
      </c>
      <c r="Q689" s="312">
        <v>18278.0</v>
      </c>
      <c r="R689" s="312">
        <v>393.0</v>
      </c>
      <c r="S689" s="316"/>
      <c r="T689" s="317">
        <v>393.0</v>
      </c>
      <c r="U689" s="312" t="s">
        <v>1369</v>
      </c>
      <c r="V689" s="312" t="s">
        <v>1367</v>
      </c>
      <c r="W689" s="312">
        <v>393.0</v>
      </c>
      <c r="X689" s="312">
        <v>112.0</v>
      </c>
      <c r="Y689" s="312">
        <v>49.0</v>
      </c>
      <c r="Z689" s="312" t="s">
        <v>1369</v>
      </c>
      <c r="AA689" s="312" t="s">
        <v>1535</v>
      </c>
      <c r="AB689" s="50"/>
      <c r="AC689" s="50"/>
      <c r="AD689" s="50"/>
      <c r="AE689" s="50"/>
    </row>
    <row r="690">
      <c r="A690" s="307">
        <v>42314.220138888886</v>
      </c>
      <c r="B690" s="312" t="s">
        <v>108</v>
      </c>
      <c r="C690" s="303" t="s">
        <v>1177</v>
      </c>
      <c r="D690" s="303" t="s">
        <v>1178</v>
      </c>
      <c r="E690" s="315">
        <v>42097.0</v>
      </c>
      <c r="F690" s="312" t="s">
        <v>38</v>
      </c>
      <c r="G690" s="303" t="s">
        <v>1179</v>
      </c>
      <c r="H690" s="303" t="s">
        <v>1180</v>
      </c>
      <c r="I690" s="303" t="s">
        <v>1187</v>
      </c>
      <c r="J690" s="306">
        <v>0.7</v>
      </c>
      <c r="K690" s="312">
        <v>406.0</v>
      </c>
      <c r="L690" s="312"/>
      <c r="M690" s="312">
        <v>235.0</v>
      </c>
      <c r="N690" s="312"/>
      <c r="O690" s="312"/>
      <c r="P690" s="315">
        <v>42314.0</v>
      </c>
      <c r="Q690" s="312">
        <v>19091.0</v>
      </c>
      <c r="R690" s="312">
        <v>390.0</v>
      </c>
      <c r="S690" s="316"/>
      <c r="T690" s="317">
        <v>390.0</v>
      </c>
      <c r="U690" s="312" t="s">
        <v>1369</v>
      </c>
      <c r="V690" s="312" t="s">
        <v>1367</v>
      </c>
      <c r="W690" s="312">
        <v>390.0</v>
      </c>
      <c r="X690" s="312">
        <v>85.0</v>
      </c>
      <c r="Y690" s="312">
        <v>57.7</v>
      </c>
      <c r="Z690" s="312" t="s">
        <v>1369</v>
      </c>
      <c r="AA690" s="312" t="s">
        <v>1535</v>
      </c>
      <c r="AB690" s="50"/>
      <c r="AC690" s="50"/>
      <c r="AD690" s="50"/>
      <c r="AE690" s="50"/>
    </row>
    <row r="691">
      <c r="A691" s="307">
        <v>42314.22083333333</v>
      </c>
      <c r="B691" s="312" t="s">
        <v>108</v>
      </c>
      <c r="C691" s="303" t="s">
        <v>1177</v>
      </c>
      <c r="D691" s="303" t="s">
        <v>1178</v>
      </c>
      <c r="E691" s="315">
        <v>42097.0</v>
      </c>
      <c r="F691" s="312" t="s">
        <v>38</v>
      </c>
      <c r="G691" s="303" t="s">
        <v>1179</v>
      </c>
      <c r="H691" s="303" t="s">
        <v>1180</v>
      </c>
      <c r="I691" s="303" t="s">
        <v>1187</v>
      </c>
      <c r="J691" s="306">
        <v>0.7</v>
      </c>
      <c r="K691" s="312">
        <v>406.0</v>
      </c>
      <c r="L691" s="312"/>
      <c r="M691" s="312">
        <v>235.0</v>
      </c>
      <c r="N691" s="312"/>
      <c r="O691" s="312"/>
      <c r="P691" s="315">
        <v>42314.0</v>
      </c>
      <c r="Q691" s="312">
        <v>19321.0</v>
      </c>
      <c r="R691" s="312">
        <v>391.0</v>
      </c>
      <c r="S691" s="316"/>
      <c r="T691" s="317">
        <v>391.0</v>
      </c>
      <c r="U691" s="312" t="s">
        <v>1369</v>
      </c>
      <c r="V691" s="312" t="s">
        <v>1367</v>
      </c>
      <c r="W691" s="312"/>
      <c r="X691" s="50"/>
      <c r="Y691" s="50"/>
      <c r="Z691" s="312"/>
      <c r="AA691" s="312" t="s">
        <v>1535</v>
      </c>
      <c r="AB691" s="50"/>
      <c r="AC691" s="50"/>
      <c r="AD691" s="50"/>
      <c r="AE691" s="50"/>
    </row>
    <row r="692">
      <c r="A692" s="307">
        <v>42419.291666666664</v>
      </c>
      <c r="B692" s="312" t="s">
        <v>108</v>
      </c>
      <c r="C692" s="303" t="s">
        <v>1177</v>
      </c>
      <c r="D692" s="303" t="s">
        <v>1178</v>
      </c>
      <c r="E692" s="310">
        <v>42097.0</v>
      </c>
      <c r="F692" s="312" t="s">
        <v>38</v>
      </c>
      <c r="G692" s="303" t="s">
        <v>1179</v>
      </c>
      <c r="H692" s="303" t="s">
        <v>1180</v>
      </c>
      <c r="I692" s="303" t="s">
        <v>1186</v>
      </c>
      <c r="J692" s="306">
        <v>0.7</v>
      </c>
      <c r="K692" s="312">
        <v>406.0</v>
      </c>
      <c r="L692" s="312"/>
      <c r="M692" s="312">
        <v>235.0</v>
      </c>
      <c r="N692" s="312"/>
      <c r="O692" s="312"/>
      <c r="P692" s="315">
        <v>42419.0</v>
      </c>
      <c r="Q692" s="312">
        <v>21620.0</v>
      </c>
      <c r="R692" s="312">
        <v>374.0</v>
      </c>
      <c r="S692" s="316"/>
      <c r="T692" s="317">
        <v>374.0</v>
      </c>
      <c r="U692" s="312" t="s">
        <v>1369</v>
      </c>
      <c r="V692" s="312" t="s">
        <v>1367</v>
      </c>
      <c r="W692" s="50"/>
      <c r="X692" s="50"/>
      <c r="Y692" s="50"/>
      <c r="Z692" s="312"/>
      <c r="AA692" s="312" t="s">
        <v>1536</v>
      </c>
      <c r="AB692" s="50"/>
      <c r="AC692" s="50"/>
      <c r="AD692" s="50"/>
      <c r="AE692" s="50"/>
    </row>
    <row r="693">
      <c r="A693" s="307">
        <v>42420.29236111111</v>
      </c>
      <c r="B693" s="50" t="s">
        <v>108</v>
      </c>
      <c r="C693" s="303" t="s">
        <v>1177</v>
      </c>
      <c r="D693" s="303" t="s">
        <v>1178</v>
      </c>
      <c r="E693" s="310">
        <v>42097.0</v>
      </c>
      <c r="F693" s="50" t="s">
        <v>38</v>
      </c>
      <c r="G693" s="303" t="s">
        <v>1179</v>
      </c>
      <c r="H693" s="303" t="s">
        <v>1180</v>
      </c>
      <c r="I693" s="303" t="s">
        <v>1186</v>
      </c>
      <c r="J693" s="306">
        <v>0.7</v>
      </c>
      <c r="K693" s="312">
        <v>406.0</v>
      </c>
      <c r="L693" s="312"/>
      <c r="M693" s="312">
        <v>235.0</v>
      </c>
      <c r="N693" s="312"/>
      <c r="O693" s="312"/>
      <c r="P693" s="310">
        <v>42420.0</v>
      </c>
      <c r="Q693" s="50">
        <v>21878.0</v>
      </c>
      <c r="R693" s="312">
        <v>375.0</v>
      </c>
      <c r="S693" s="316"/>
      <c r="T693" s="317">
        <v>375.0</v>
      </c>
      <c r="U693" s="312" t="s">
        <v>1369</v>
      </c>
      <c r="V693" s="312" t="s">
        <v>1367</v>
      </c>
      <c r="W693" s="50"/>
      <c r="X693" s="50"/>
      <c r="Y693" s="50"/>
      <c r="Z693" s="312"/>
      <c r="AA693" s="312" t="s">
        <v>1536</v>
      </c>
      <c r="AB693" s="50"/>
      <c r="AC693" s="50"/>
      <c r="AD693" s="50"/>
      <c r="AE693" s="50"/>
    </row>
    <row r="694">
      <c r="A694" s="307">
        <v>42464.32013888889</v>
      </c>
      <c r="B694" s="312" t="s">
        <v>108</v>
      </c>
      <c r="C694" s="303" t="s">
        <v>1177</v>
      </c>
      <c r="D694" s="303" t="s">
        <v>1178</v>
      </c>
      <c r="E694" s="310">
        <v>42097.0</v>
      </c>
      <c r="F694" s="312" t="s">
        <v>38</v>
      </c>
      <c r="G694" s="303" t="s">
        <v>1179</v>
      </c>
      <c r="H694" s="303" t="s">
        <v>1180</v>
      </c>
      <c r="I694" s="303" t="s">
        <v>1186</v>
      </c>
      <c r="J694" s="306">
        <v>0.8</v>
      </c>
      <c r="K694" s="312">
        <v>406.0</v>
      </c>
      <c r="L694" s="312"/>
      <c r="M694" s="312">
        <v>235.0</v>
      </c>
      <c r="N694" s="312"/>
      <c r="O694" s="312"/>
      <c r="P694" s="315">
        <v>42464.0</v>
      </c>
      <c r="Q694" s="312">
        <v>24606.0</v>
      </c>
      <c r="R694" s="312">
        <v>376.0</v>
      </c>
      <c r="S694" s="316"/>
      <c r="T694" s="317">
        <v>376.0</v>
      </c>
      <c r="U694" s="312" t="s">
        <v>1369</v>
      </c>
      <c r="V694" s="312" t="s">
        <v>1367</v>
      </c>
      <c r="W694" s="50"/>
      <c r="X694" s="50"/>
      <c r="Y694" s="50"/>
      <c r="Z694" s="312"/>
      <c r="AA694" s="312" t="s">
        <v>1536</v>
      </c>
      <c r="AB694" s="50"/>
      <c r="AC694" s="50"/>
      <c r="AD694" s="50"/>
      <c r="AE694" s="50"/>
    </row>
    <row r="695">
      <c r="A695" s="307">
        <v>42466.322222222225</v>
      </c>
      <c r="B695" s="312" t="s">
        <v>108</v>
      </c>
      <c r="C695" s="303" t="s">
        <v>1177</v>
      </c>
      <c r="D695" s="303" t="s">
        <v>1178</v>
      </c>
      <c r="E695" s="310">
        <v>42097.0</v>
      </c>
      <c r="F695" s="312" t="s">
        <v>38</v>
      </c>
      <c r="G695" s="303" t="s">
        <v>1179</v>
      </c>
      <c r="H695" s="303" t="s">
        <v>1180</v>
      </c>
      <c r="I695" s="303" t="s">
        <v>1186</v>
      </c>
      <c r="J695" s="306">
        <v>0.8</v>
      </c>
      <c r="K695" s="312">
        <v>406.0</v>
      </c>
      <c r="L695" s="312"/>
      <c r="M695" s="312">
        <v>235.0</v>
      </c>
      <c r="N695" s="312"/>
      <c r="O695" s="312"/>
      <c r="P695" s="315">
        <v>42466.0</v>
      </c>
      <c r="Q695" s="312">
        <v>24758.0</v>
      </c>
      <c r="R695" s="312">
        <v>376.0</v>
      </c>
      <c r="S695" s="316"/>
      <c r="T695" s="317">
        <v>376.0</v>
      </c>
      <c r="U695" s="312" t="s">
        <v>1369</v>
      </c>
      <c r="V695" s="312" t="s">
        <v>1367</v>
      </c>
      <c r="W695" s="50"/>
      <c r="X695" s="50"/>
      <c r="Y695" s="50"/>
      <c r="Z695" s="312"/>
      <c r="AA695" s="312" t="s">
        <v>1536</v>
      </c>
      <c r="AB695" s="50"/>
      <c r="AC695" s="50"/>
      <c r="AD695" s="50"/>
      <c r="AE695" s="50"/>
    </row>
    <row r="696">
      <c r="A696" s="307">
        <v>42470.322916666664</v>
      </c>
      <c r="B696" s="312" t="s">
        <v>108</v>
      </c>
      <c r="C696" s="303" t="s">
        <v>1177</v>
      </c>
      <c r="D696" s="303" t="s">
        <v>1178</v>
      </c>
      <c r="E696" s="310">
        <v>42097.0</v>
      </c>
      <c r="F696" s="312" t="s">
        <v>38</v>
      </c>
      <c r="G696" s="303" t="s">
        <v>1179</v>
      </c>
      <c r="H696" s="303" t="s">
        <v>1180</v>
      </c>
      <c r="I696" s="303" t="s">
        <v>1186</v>
      </c>
      <c r="J696" s="306">
        <v>0.8</v>
      </c>
      <c r="K696" s="312">
        <v>406.0</v>
      </c>
      <c r="L696" s="312"/>
      <c r="M696" s="312">
        <v>235.0</v>
      </c>
      <c r="N696" s="312"/>
      <c r="O696" s="312"/>
      <c r="P696" s="315">
        <v>42470.0</v>
      </c>
      <c r="Q696" s="312">
        <v>24956.0</v>
      </c>
      <c r="R696" s="312">
        <v>376.0</v>
      </c>
      <c r="S696" s="316"/>
      <c r="T696" s="317">
        <v>376.0</v>
      </c>
      <c r="U696" s="312" t="s">
        <v>1369</v>
      </c>
      <c r="V696" s="312" t="s">
        <v>1367</v>
      </c>
      <c r="W696" s="50"/>
      <c r="X696" s="50"/>
      <c r="Y696" s="50"/>
      <c r="Z696" s="312"/>
      <c r="AA696" s="312" t="s">
        <v>1536</v>
      </c>
      <c r="AB696" s="50"/>
      <c r="AC696" s="50"/>
      <c r="AD696" s="50"/>
      <c r="AE696" s="50"/>
    </row>
    <row r="697">
      <c r="A697" s="307">
        <v>42482.330555555556</v>
      </c>
      <c r="B697" s="312" t="s">
        <v>108</v>
      </c>
      <c r="C697" s="303" t="s">
        <v>1177</v>
      </c>
      <c r="D697" s="303" t="s">
        <v>1178</v>
      </c>
      <c r="E697" s="310">
        <v>42097.0</v>
      </c>
      <c r="F697" s="312" t="s">
        <v>38</v>
      </c>
      <c r="G697" s="303" t="s">
        <v>1179</v>
      </c>
      <c r="H697" s="303" t="s">
        <v>1180</v>
      </c>
      <c r="I697" s="303" t="s">
        <v>1186</v>
      </c>
      <c r="J697" s="311">
        <v>0.8</v>
      </c>
      <c r="K697" s="50">
        <v>406.0</v>
      </c>
      <c r="L697" s="312"/>
      <c r="M697" s="312">
        <v>234.0</v>
      </c>
      <c r="N697" s="312"/>
      <c r="O697" s="312"/>
      <c r="P697" s="315">
        <v>42482.0</v>
      </c>
      <c r="Q697" s="312">
        <v>26081.0</v>
      </c>
      <c r="R697" s="312">
        <v>375.0</v>
      </c>
      <c r="S697" s="316"/>
      <c r="T697" s="317">
        <v>375.0</v>
      </c>
      <c r="U697" s="312" t="s">
        <v>1369</v>
      </c>
      <c r="V697" s="312" t="s">
        <v>1367</v>
      </c>
      <c r="W697" s="50"/>
      <c r="X697" s="50"/>
      <c r="Y697" s="50"/>
      <c r="Z697" s="312"/>
      <c r="AA697" s="312" t="s">
        <v>1536</v>
      </c>
      <c r="AB697" s="50"/>
      <c r="AC697" s="50"/>
      <c r="AD697" s="50"/>
      <c r="AE697" s="50"/>
    </row>
    <row r="698">
      <c r="A698" s="307">
        <v>42528.34652777778</v>
      </c>
      <c r="B698" s="312" t="s">
        <v>108</v>
      </c>
      <c r="C698" s="303" t="s">
        <v>1177</v>
      </c>
      <c r="D698" s="303" t="s">
        <v>1178</v>
      </c>
      <c r="E698" s="310">
        <v>42097.0</v>
      </c>
      <c r="F698" s="312" t="s">
        <v>38</v>
      </c>
      <c r="G698" s="303" t="s">
        <v>1179</v>
      </c>
      <c r="H698" s="303" t="s">
        <v>1180</v>
      </c>
      <c r="I698" s="303" t="s">
        <v>1186</v>
      </c>
      <c r="J698" s="306">
        <v>0.7</v>
      </c>
      <c r="K698" s="50">
        <v>406.0</v>
      </c>
      <c r="L698" s="312"/>
      <c r="M698" s="312">
        <v>233.0</v>
      </c>
      <c r="N698" s="312"/>
      <c r="O698" s="312"/>
      <c r="P698" s="315">
        <v>42528.0</v>
      </c>
      <c r="Q698" s="312">
        <v>27279.0</v>
      </c>
      <c r="R698" s="312">
        <v>377.0</v>
      </c>
      <c r="S698" s="316"/>
      <c r="T698" s="317">
        <v>377.0</v>
      </c>
      <c r="U698" s="312" t="s">
        <v>1369</v>
      </c>
      <c r="V698" s="312" t="s">
        <v>1367</v>
      </c>
      <c r="W698" s="50"/>
      <c r="X698" s="50"/>
      <c r="Y698" s="50"/>
      <c r="Z698" s="312"/>
      <c r="AA698" s="312" t="s">
        <v>1536</v>
      </c>
      <c r="AB698" s="50"/>
      <c r="AC698" s="50"/>
      <c r="AD698" s="50"/>
      <c r="AE698" s="50"/>
    </row>
    <row r="699">
      <c r="A699" s="307">
        <v>42532.34722222222</v>
      </c>
      <c r="B699" s="312" t="s">
        <v>108</v>
      </c>
      <c r="C699" s="303" t="s">
        <v>1177</v>
      </c>
      <c r="D699" s="303" t="s">
        <v>1178</v>
      </c>
      <c r="E699" s="310">
        <v>42097.0</v>
      </c>
      <c r="F699" s="312" t="s">
        <v>38</v>
      </c>
      <c r="G699" s="303" t="s">
        <v>1179</v>
      </c>
      <c r="H699" s="303" t="s">
        <v>1180</v>
      </c>
      <c r="I699" s="303" t="s">
        <v>1186</v>
      </c>
      <c r="J699" s="306">
        <v>0.7</v>
      </c>
      <c r="K699" s="50">
        <v>406.0</v>
      </c>
      <c r="L699" s="312"/>
      <c r="M699" s="312">
        <v>233.0</v>
      </c>
      <c r="N699" s="312"/>
      <c r="O699" s="312"/>
      <c r="P699" s="315">
        <v>42532.0</v>
      </c>
      <c r="Q699" s="312">
        <v>27426.0</v>
      </c>
      <c r="R699" s="312">
        <v>374.0</v>
      </c>
      <c r="S699" s="316"/>
      <c r="T699" s="317">
        <v>378.73</v>
      </c>
      <c r="U699" s="312" t="s">
        <v>1366</v>
      </c>
      <c r="V699" s="312" t="s">
        <v>1367</v>
      </c>
      <c r="W699" s="50"/>
      <c r="X699" s="50"/>
      <c r="Y699" s="50"/>
      <c r="Z699" s="312"/>
      <c r="AA699" s="312" t="s">
        <v>1536</v>
      </c>
      <c r="AB699" s="50"/>
      <c r="AC699" s="50"/>
      <c r="AD699" s="50"/>
      <c r="AE699" s="50"/>
    </row>
    <row r="700">
      <c r="A700" s="307">
        <v>42553.35833333333</v>
      </c>
      <c r="B700" s="312" t="s">
        <v>108</v>
      </c>
      <c r="C700" s="303" t="s">
        <v>1177</v>
      </c>
      <c r="D700" s="303" t="s">
        <v>1178</v>
      </c>
      <c r="E700" s="310">
        <v>42097.0</v>
      </c>
      <c r="F700" s="312" t="s">
        <v>38</v>
      </c>
      <c r="G700" s="303" t="s">
        <v>1179</v>
      </c>
      <c r="H700" s="303" t="s">
        <v>1180</v>
      </c>
      <c r="I700" s="303" t="s">
        <v>1186</v>
      </c>
      <c r="J700" s="306">
        <v>0.7</v>
      </c>
      <c r="K700" s="50">
        <v>406.0</v>
      </c>
      <c r="L700" s="312"/>
      <c r="M700" s="312">
        <v>232.0</v>
      </c>
      <c r="N700" s="312"/>
      <c r="O700" s="312"/>
      <c r="P700" s="315">
        <v>42553.0</v>
      </c>
      <c r="Q700" s="312">
        <v>28424.0</v>
      </c>
      <c r="R700" s="312">
        <v>379.0</v>
      </c>
      <c r="S700" s="316"/>
      <c r="T700" s="317">
        <v>379.0</v>
      </c>
      <c r="U700" s="312" t="s">
        <v>1369</v>
      </c>
      <c r="V700" s="312" t="s">
        <v>1367</v>
      </c>
      <c r="W700" s="50"/>
      <c r="X700" s="50"/>
      <c r="Y700" s="50"/>
      <c r="Z700" s="312"/>
      <c r="AA700" s="312" t="s">
        <v>1536</v>
      </c>
      <c r="AB700" s="50"/>
      <c r="AC700" s="50"/>
      <c r="AD700" s="50"/>
      <c r="AE700" s="50"/>
    </row>
    <row r="701">
      <c r="A701" s="307">
        <v>42582.368055555555</v>
      </c>
      <c r="B701" s="312" t="s">
        <v>108</v>
      </c>
      <c r="C701" s="303" t="s">
        <v>1177</v>
      </c>
      <c r="D701" s="303" t="s">
        <v>1178</v>
      </c>
      <c r="E701" s="310">
        <v>42097.0</v>
      </c>
      <c r="F701" s="312" t="s">
        <v>38</v>
      </c>
      <c r="G701" s="303" t="s">
        <v>1179</v>
      </c>
      <c r="H701" s="303" t="s">
        <v>1180</v>
      </c>
      <c r="I701" s="303" t="s">
        <v>1186</v>
      </c>
      <c r="J701" s="306">
        <v>0.7</v>
      </c>
      <c r="K701" s="50">
        <v>406.0</v>
      </c>
      <c r="L701" s="312"/>
      <c r="M701" s="312">
        <v>231.0</v>
      </c>
      <c r="N701" s="312"/>
      <c r="O701" s="312"/>
      <c r="P701" s="315">
        <v>42582.0</v>
      </c>
      <c r="Q701" s="312">
        <v>30001.0</v>
      </c>
      <c r="R701" s="312">
        <v>379.0</v>
      </c>
      <c r="S701" s="316"/>
      <c r="T701" s="317">
        <v>379.0</v>
      </c>
      <c r="U701" s="312" t="s">
        <v>1369</v>
      </c>
      <c r="V701" s="312" t="s">
        <v>1367</v>
      </c>
      <c r="W701" s="50"/>
      <c r="X701" s="50"/>
      <c r="Y701" s="50"/>
      <c r="Z701" s="312"/>
      <c r="AA701" s="312" t="s">
        <v>1536</v>
      </c>
      <c r="AB701" s="50"/>
      <c r="AC701" s="50"/>
      <c r="AD701" s="50"/>
      <c r="AE701" s="50"/>
    </row>
    <row r="702">
      <c r="A702" s="307">
        <v>42582.36875</v>
      </c>
      <c r="B702" s="312" t="s">
        <v>108</v>
      </c>
      <c r="C702" s="303" t="s">
        <v>1177</v>
      </c>
      <c r="D702" s="303" t="s">
        <v>1178</v>
      </c>
      <c r="E702" s="310">
        <v>42097.0</v>
      </c>
      <c r="F702" s="312" t="s">
        <v>38</v>
      </c>
      <c r="G702" s="303" t="s">
        <v>1179</v>
      </c>
      <c r="H702" s="303" t="s">
        <v>1180</v>
      </c>
      <c r="I702" s="303" t="s">
        <v>1186</v>
      </c>
      <c r="J702" s="306">
        <v>0.7</v>
      </c>
      <c r="K702" s="50">
        <v>406.0</v>
      </c>
      <c r="L702" s="312"/>
      <c r="M702" s="312">
        <v>231.0</v>
      </c>
      <c r="N702" s="312"/>
      <c r="O702" s="312"/>
      <c r="P702" s="315">
        <v>42582.0</v>
      </c>
      <c r="Q702" s="312">
        <v>30094.0</v>
      </c>
      <c r="R702" s="312">
        <v>378.0</v>
      </c>
      <c r="S702" s="316"/>
      <c r="T702" s="317">
        <v>378.0</v>
      </c>
      <c r="U702" s="312" t="s">
        <v>1369</v>
      </c>
      <c r="V702" s="312" t="s">
        <v>1367</v>
      </c>
      <c r="W702" s="312">
        <v>378.0</v>
      </c>
      <c r="X702" s="312">
        <v>105.0</v>
      </c>
      <c r="Y702" s="312" t="s">
        <v>1537</v>
      </c>
      <c r="Z702" s="312" t="s">
        <v>1369</v>
      </c>
      <c r="AA702" s="312" t="s">
        <v>1536</v>
      </c>
      <c r="AB702" s="50"/>
      <c r="AC702" s="50"/>
      <c r="AD702" s="50"/>
      <c r="AE702" s="50"/>
    </row>
    <row r="703">
      <c r="A703" s="307">
        <v>42582.36944444444</v>
      </c>
      <c r="B703" s="312" t="s">
        <v>108</v>
      </c>
      <c r="C703" s="303" t="s">
        <v>1177</v>
      </c>
      <c r="D703" s="303" t="s">
        <v>1178</v>
      </c>
      <c r="E703" s="310">
        <v>42097.0</v>
      </c>
      <c r="F703" s="312" t="s">
        <v>38</v>
      </c>
      <c r="G703" s="303" t="s">
        <v>1179</v>
      </c>
      <c r="H703" s="303" t="s">
        <v>1180</v>
      </c>
      <c r="I703" s="303" t="s">
        <v>1186</v>
      </c>
      <c r="J703" s="306">
        <v>0.7</v>
      </c>
      <c r="K703" s="50">
        <v>406.0</v>
      </c>
      <c r="L703" s="312"/>
      <c r="M703" s="312">
        <v>231.0</v>
      </c>
      <c r="N703" s="312"/>
      <c r="O703" s="312"/>
      <c r="P703" s="315">
        <v>42582.0</v>
      </c>
      <c r="Q703" s="312">
        <v>30353.0</v>
      </c>
      <c r="R703" s="312">
        <v>380.0</v>
      </c>
      <c r="S703" s="316"/>
      <c r="T703" s="317">
        <v>380.0</v>
      </c>
      <c r="U703" s="312" t="s">
        <v>1369</v>
      </c>
      <c r="V703" s="312" t="s">
        <v>1367</v>
      </c>
      <c r="W703" s="312">
        <v>380.0</v>
      </c>
      <c r="X703" s="312">
        <v>269.0</v>
      </c>
      <c r="Y703" s="312" t="s">
        <v>1538</v>
      </c>
      <c r="Z703" s="312" t="s">
        <v>1369</v>
      </c>
      <c r="AA703" s="312" t="s">
        <v>1536</v>
      </c>
      <c r="AB703" s="50"/>
      <c r="AC703" s="50"/>
      <c r="AD703" s="50"/>
      <c r="AE703" s="50"/>
    </row>
    <row r="704">
      <c r="A704" s="307">
        <v>42588.375</v>
      </c>
      <c r="B704" s="312" t="s">
        <v>108</v>
      </c>
      <c r="C704" s="303" t="s">
        <v>1177</v>
      </c>
      <c r="D704" s="303" t="s">
        <v>1178</v>
      </c>
      <c r="E704" s="310">
        <v>42097.0</v>
      </c>
      <c r="F704" s="312" t="s">
        <v>38</v>
      </c>
      <c r="G704" s="303" t="s">
        <v>1179</v>
      </c>
      <c r="H704" s="303" t="s">
        <v>1180</v>
      </c>
      <c r="I704" s="303" t="s">
        <v>1186</v>
      </c>
      <c r="J704" s="306">
        <v>0.7</v>
      </c>
      <c r="K704" s="50">
        <v>406.0</v>
      </c>
      <c r="L704" s="312"/>
      <c r="M704" s="312">
        <v>231.0</v>
      </c>
      <c r="N704" s="312"/>
      <c r="O704" s="312"/>
      <c r="P704" s="315">
        <v>42588.0</v>
      </c>
      <c r="Q704" s="312">
        <v>30909.0</v>
      </c>
      <c r="R704" s="312">
        <v>379.0</v>
      </c>
      <c r="S704" s="316"/>
      <c r="T704" s="317">
        <v>379.0</v>
      </c>
      <c r="U704" s="312" t="s">
        <v>1369</v>
      </c>
      <c r="V704" s="312" t="s">
        <v>1367</v>
      </c>
      <c r="W704" s="50"/>
      <c r="X704" s="50"/>
      <c r="Y704" s="50"/>
      <c r="Z704" s="312"/>
      <c r="AA704" s="312" t="s">
        <v>1536</v>
      </c>
      <c r="AB704" s="50"/>
      <c r="AC704" s="50"/>
      <c r="AD704" s="50"/>
      <c r="AE704" s="50"/>
    </row>
    <row r="705">
      <c r="A705" s="307">
        <v>42622.39861111111</v>
      </c>
      <c r="B705" s="312" t="s">
        <v>108</v>
      </c>
      <c r="C705" s="303" t="s">
        <v>1177</v>
      </c>
      <c r="D705" s="303" t="s">
        <v>1178</v>
      </c>
      <c r="E705" s="310">
        <v>42097.0</v>
      </c>
      <c r="F705" s="312" t="s">
        <v>38</v>
      </c>
      <c r="G705" s="303" t="s">
        <v>1179</v>
      </c>
      <c r="H705" s="303" t="s">
        <v>1180</v>
      </c>
      <c r="I705" s="303" t="s">
        <v>1186</v>
      </c>
      <c r="J705" s="306">
        <v>0.7</v>
      </c>
      <c r="K705" s="50">
        <v>406.0</v>
      </c>
      <c r="L705" s="312"/>
      <c r="M705" s="312">
        <v>230.0</v>
      </c>
      <c r="N705" s="312"/>
      <c r="O705" s="312"/>
      <c r="P705" s="315">
        <v>42622.0</v>
      </c>
      <c r="Q705" s="312">
        <v>32110.0</v>
      </c>
      <c r="R705" s="312">
        <v>382.0</v>
      </c>
      <c r="S705" s="316"/>
      <c r="T705" s="317">
        <v>382.0</v>
      </c>
      <c r="U705" s="312" t="s">
        <v>1369</v>
      </c>
      <c r="V705" s="312" t="s">
        <v>1367</v>
      </c>
      <c r="W705" s="50"/>
      <c r="X705" s="50"/>
      <c r="Y705" s="50"/>
      <c r="Z705" s="312"/>
      <c r="AA705" s="312" t="s">
        <v>1536</v>
      </c>
      <c r="AB705" s="50"/>
      <c r="AC705" s="50"/>
      <c r="AD705" s="50"/>
      <c r="AE705" s="50"/>
    </row>
    <row r="706">
      <c r="A706" s="307">
        <v>42637.40555555555</v>
      </c>
      <c r="B706" s="312" t="s">
        <v>108</v>
      </c>
      <c r="C706" s="303" t="s">
        <v>1177</v>
      </c>
      <c r="D706" s="303" t="s">
        <v>1178</v>
      </c>
      <c r="E706" s="310">
        <v>42097.0</v>
      </c>
      <c r="F706" s="312" t="s">
        <v>38</v>
      </c>
      <c r="G706" s="303" t="s">
        <v>1179</v>
      </c>
      <c r="H706" s="303" t="s">
        <v>1180</v>
      </c>
      <c r="I706" s="303" t="s">
        <v>1186</v>
      </c>
      <c r="J706" s="306">
        <v>0.7</v>
      </c>
      <c r="K706" s="50">
        <v>406.0</v>
      </c>
      <c r="L706" s="312"/>
      <c r="M706" s="312">
        <v>229.0</v>
      </c>
      <c r="N706" s="312"/>
      <c r="O706" s="312"/>
      <c r="P706" s="315">
        <v>42637.0</v>
      </c>
      <c r="Q706" s="312">
        <v>32540.0</v>
      </c>
      <c r="R706" s="312">
        <v>381.0</v>
      </c>
      <c r="S706" s="316"/>
      <c r="T706" s="317">
        <v>381.0</v>
      </c>
      <c r="U706" s="312" t="s">
        <v>1369</v>
      </c>
      <c r="V706" s="312" t="s">
        <v>1367</v>
      </c>
      <c r="W706" s="50"/>
      <c r="X706" s="50"/>
      <c r="Y706" s="50"/>
      <c r="Z706" s="312"/>
      <c r="AA706" s="312" t="s">
        <v>1536</v>
      </c>
      <c r="AB706" s="50"/>
      <c r="AC706" s="50"/>
      <c r="AD706" s="50"/>
      <c r="AE706" s="50"/>
    </row>
    <row r="707">
      <c r="A707" s="307">
        <v>42638.40625</v>
      </c>
      <c r="B707" s="312" t="s">
        <v>108</v>
      </c>
      <c r="C707" s="303" t="s">
        <v>1177</v>
      </c>
      <c r="D707" s="303" t="s">
        <v>1178</v>
      </c>
      <c r="E707" s="310">
        <v>42097.0</v>
      </c>
      <c r="F707" s="312" t="s">
        <v>38</v>
      </c>
      <c r="G707" s="303" t="s">
        <v>1179</v>
      </c>
      <c r="H707" s="303" t="s">
        <v>1180</v>
      </c>
      <c r="I707" s="303" t="s">
        <v>1186</v>
      </c>
      <c r="J707" s="306">
        <v>0.7</v>
      </c>
      <c r="K707" s="50">
        <v>406.0</v>
      </c>
      <c r="L707" s="312"/>
      <c r="M707" s="312">
        <v>229.0</v>
      </c>
      <c r="N707" s="312"/>
      <c r="O707" s="312"/>
      <c r="P707" s="315">
        <v>42638.0</v>
      </c>
      <c r="Q707" s="312">
        <v>32910.0</v>
      </c>
      <c r="R707" s="312">
        <v>383.0</v>
      </c>
      <c r="S707" s="316"/>
      <c r="T707" s="317">
        <v>383.0</v>
      </c>
      <c r="U707" s="312" t="s">
        <v>1369</v>
      </c>
      <c r="V707" s="312" t="s">
        <v>1367</v>
      </c>
      <c r="W707" s="50"/>
      <c r="X707" s="50"/>
      <c r="Y707" s="50"/>
      <c r="Z707" s="312"/>
      <c r="AA707" s="312" t="s">
        <v>1536</v>
      </c>
      <c r="AB707" s="50"/>
      <c r="AC707" s="50"/>
      <c r="AD707" s="50"/>
      <c r="AE707" s="50"/>
    </row>
    <row r="708">
      <c r="A708" s="307">
        <v>42672.430555555555</v>
      </c>
      <c r="B708" s="312" t="s">
        <v>108</v>
      </c>
      <c r="C708" s="303" t="s">
        <v>1177</v>
      </c>
      <c r="D708" s="303" t="s">
        <v>1178</v>
      </c>
      <c r="E708" s="310">
        <v>42097.0</v>
      </c>
      <c r="F708" s="312" t="s">
        <v>38</v>
      </c>
      <c r="G708" s="303" t="s">
        <v>1179</v>
      </c>
      <c r="H708" s="303" t="s">
        <v>1180</v>
      </c>
      <c r="I708" s="303" t="s">
        <v>1186</v>
      </c>
      <c r="J708" s="306">
        <v>0.7</v>
      </c>
      <c r="K708" s="50">
        <v>406.0</v>
      </c>
      <c r="L708" s="312"/>
      <c r="M708" s="312">
        <v>229.0</v>
      </c>
      <c r="N708" s="312"/>
      <c r="O708" s="312"/>
      <c r="P708" s="315">
        <v>42672.0</v>
      </c>
      <c r="Q708" s="312">
        <v>34205.0</v>
      </c>
      <c r="R708" s="312">
        <v>383.0</v>
      </c>
      <c r="S708" s="316"/>
      <c r="T708" s="317">
        <v>383.0</v>
      </c>
      <c r="U708" s="312" t="s">
        <v>1369</v>
      </c>
      <c r="V708" s="312" t="s">
        <v>1367</v>
      </c>
      <c r="W708" s="50"/>
      <c r="X708" s="50"/>
      <c r="Y708" s="50"/>
      <c r="Z708" s="312"/>
      <c r="AA708" s="312" t="s">
        <v>1536</v>
      </c>
      <c r="AB708" s="50"/>
      <c r="AC708" s="50"/>
      <c r="AD708" s="50"/>
      <c r="AE708" s="50"/>
    </row>
    <row r="709">
      <c r="A709" s="307">
        <v>42713.472916666666</v>
      </c>
      <c r="B709" s="312" t="s">
        <v>108</v>
      </c>
      <c r="C709" s="303" t="s">
        <v>1177</v>
      </c>
      <c r="D709" s="303" t="s">
        <v>1178</v>
      </c>
      <c r="E709" s="310">
        <v>42097.0</v>
      </c>
      <c r="F709" s="312" t="s">
        <v>38</v>
      </c>
      <c r="G709" s="303" t="s">
        <v>1179</v>
      </c>
      <c r="H709" s="303" t="s">
        <v>1180</v>
      </c>
      <c r="I709" s="303" t="s">
        <v>1186</v>
      </c>
      <c r="J709" s="306">
        <v>0.7</v>
      </c>
      <c r="K709" s="50">
        <v>406.0</v>
      </c>
      <c r="L709" s="312"/>
      <c r="M709" s="312">
        <v>230.0</v>
      </c>
      <c r="N709" s="312"/>
      <c r="O709" s="312"/>
      <c r="P709" s="315">
        <v>42713.0</v>
      </c>
      <c r="Q709" s="312">
        <v>36095.0</v>
      </c>
      <c r="R709" s="312">
        <v>386.0</v>
      </c>
      <c r="S709" s="316"/>
      <c r="T709" s="317">
        <v>386.0</v>
      </c>
      <c r="U709" s="312" t="s">
        <v>1369</v>
      </c>
      <c r="V709" s="312" t="s">
        <v>1367</v>
      </c>
      <c r="W709" s="50"/>
      <c r="X709" s="50"/>
      <c r="Y709" s="50"/>
      <c r="Z709" s="312"/>
      <c r="AA709" s="312" t="s">
        <v>1536</v>
      </c>
      <c r="AB709" s="50"/>
      <c r="AC709" s="50"/>
      <c r="AD709" s="50"/>
      <c r="AE709" s="50"/>
    </row>
    <row r="710">
      <c r="A710" s="307">
        <v>42728.47777777778</v>
      </c>
      <c r="B710" s="312" t="s">
        <v>108</v>
      </c>
      <c r="C710" s="303" t="s">
        <v>1177</v>
      </c>
      <c r="D710" s="303" t="s">
        <v>1178</v>
      </c>
      <c r="E710" s="310">
        <v>42097.0</v>
      </c>
      <c r="F710" s="312" t="s">
        <v>38</v>
      </c>
      <c r="G710" s="303" t="s">
        <v>1179</v>
      </c>
      <c r="H710" s="303" t="s">
        <v>1180</v>
      </c>
      <c r="I710" s="303" t="s">
        <v>1186</v>
      </c>
      <c r="J710" s="306">
        <v>0.7</v>
      </c>
      <c r="K710" s="50">
        <v>406.0</v>
      </c>
      <c r="L710" s="312"/>
      <c r="M710" s="312">
        <v>230.0</v>
      </c>
      <c r="N710" s="312"/>
      <c r="O710" s="312"/>
      <c r="P710" s="315">
        <v>42728.0</v>
      </c>
      <c r="Q710" s="312">
        <v>36535.0</v>
      </c>
      <c r="R710" s="312">
        <v>386.0</v>
      </c>
      <c r="S710" s="316"/>
      <c r="T710" s="317">
        <v>386.0</v>
      </c>
      <c r="U710" s="312" t="s">
        <v>1369</v>
      </c>
      <c r="V710" s="312" t="s">
        <v>1367</v>
      </c>
      <c r="W710" s="50"/>
      <c r="X710" s="50"/>
      <c r="Y710" s="50"/>
      <c r="Z710" s="312"/>
      <c r="AA710" s="312" t="s">
        <v>1536</v>
      </c>
      <c r="AB710" s="50"/>
      <c r="AC710" s="50"/>
      <c r="AD710" s="50"/>
      <c r="AE710" s="50"/>
    </row>
    <row r="711">
      <c r="A711" s="307">
        <v>42784.501388888886</v>
      </c>
      <c r="B711" s="312" t="s">
        <v>108</v>
      </c>
      <c r="C711" s="303" t="s">
        <v>1177</v>
      </c>
      <c r="D711" s="303" t="s">
        <v>1178</v>
      </c>
      <c r="E711" s="310">
        <v>42097.0</v>
      </c>
      <c r="F711" s="312" t="s">
        <v>38</v>
      </c>
      <c r="G711" s="303" t="s">
        <v>1179</v>
      </c>
      <c r="H711" s="303" t="s">
        <v>1180</v>
      </c>
      <c r="I711" s="303" t="s">
        <v>1186</v>
      </c>
      <c r="J711" s="306">
        <v>0.7</v>
      </c>
      <c r="K711" s="50">
        <v>406.0</v>
      </c>
      <c r="L711" s="312"/>
      <c r="M711" s="312">
        <v>232.0</v>
      </c>
      <c r="N711" s="312"/>
      <c r="O711" s="312"/>
      <c r="P711" s="315">
        <v>42784.0</v>
      </c>
      <c r="Q711" s="312">
        <v>39061.0</v>
      </c>
      <c r="R711" s="312">
        <v>387.0</v>
      </c>
      <c r="S711" s="316"/>
      <c r="T711" s="317">
        <v>387.0</v>
      </c>
      <c r="U711" s="312" t="s">
        <v>1369</v>
      </c>
      <c r="V711" s="312" t="s">
        <v>1367</v>
      </c>
      <c r="W711" s="50"/>
      <c r="X711" s="50"/>
      <c r="Y711" s="50"/>
      <c r="Z711" s="312"/>
      <c r="AA711" s="312" t="s">
        <v>1536</v>
      </c>
      <c r="AB711" s="50"/>
      <c r="AC711" s="50"/>
      <c r="AD711" s="50"/>
      <c r="AE711" s="50"/>
    </row>
    <row r="712">
      <c r="A712" s="307">
        <v>42805.51180555556</v>
      </c>
      <c r="B712" s="312" t="s">
        <v>108</v>
      </c>
      <c r="C712" s="303" t="s">
        <v>1177</v>
      </c>
      <c r="D712" s="303" t="s">
        <v>1178</v>
      </c>
      <c r="E712" s="310">
        <v>42097.0</v>
      </c>
      <c r="F712" s="312" t="s">
        <v>38</v>
      </c>
      <c r="G712" s="303" t="s">
        <v>1179</v>
      </c>
      <c r="H712" s="303" t="s">
        <v>1180</v>
      </c>
      <c r="I712" s="303" t="s">
        <v>1186</v>
      </c>
      <c r="J712" s="306">
        <v>0.7</v>
      </c>
      <c r="K712" s="50">
        <v>406.0</v>
      </c>
      <c r="L712" s="312"/>
      <c r="M712" s="312">
        <v>232.0</v>
      </c>
      <c r="N712" s="312"/>
      <c r="O712" s="312"/>
      <c r="P712" s="315">
        <v>42805.0</v>
      </c>
      <c r="Q712" s="312">
        <v>40014.0</v>
      </c>
      <c r="R712" s="312">
        <v>388.0</v>
      </c>
      <c r="S712" s="316"/>
      <c r="T712" s="317">
        <v>388.0</v>
      </c>
      <c r="U712" s="312" t="s">
        <v>1369</v>
      </c>
      <c r="V712" s="312" t="s">
        <v>1367</v>
      </c>
      <c r="W712" s="312">
        <v>386.0</v>
      </c>
      <c r="X712" s="312">
        <v>21.0</v>
      </c>
      <c r="Y712" s="312" t="s">
        <v>1539</v>
      </c>
      <c r="Z712" s="312" t="s">
        <v>1369</v>
      </c>
      <c r="AA712" s="312" t="s">
        <v>1536</v>
      </c>
      <c r="AB712" s="50"/>
      <c r="AC712" s="50"/>
      <c r="AD712" s="50"/>
      <c r="AE712" s="50"/>
    </row>
    <row r="713">
      <c r="A713" s="307">
        <v>42874.53888888889</v>
      </c>
      <c r="B713" s="312" t="s">
        <v>108</v>
      </c>
      <c r="C713" s="303" t="s">
        <v>1177</v>
      </c>
      <c r="D713" s="303" t="s">
        <v>1178</v>
      </c>
      <c r="E713" s="310">
        <v>42097.0</v>
      </c>
      <c r="F713" s="312" t="s">
        <v>38</v>
      </c>
      <c r="G713" s="303" t="s">
        <v>1179</v>
      </c>
      <c r="H713" s="303" t="s">
        <v>1180</v>
      </c>
      <c r="I713" s="303" t="s">
        <v>1186</v>
      </c>
      <c r="J713" s="306">
        <v>0.7</v>
      </c>
      <c r="K713" s="50">
        <v>406.0</v>
      </c>
      <c r="L713" s="312"/>
      <c r="M713" s="312">
        <v>232.0</v>
      </c>
      <c r="N713" s="312"/>
      <c r="O713" s="312"/>
      <c r="P713" s="315">
        <v>42874.0</v>
      </c>
      <c r="Q713" s="312">
        <v>43470.0</v>
      </c>
      <c r="R713" s="312">
        <v>389.0</v>
      </c>
      <c r="S713" s="316"/>
      <c r="T713" s="317">
        <v>389.0</v>
      </c>
      <c r="U713" s="312" t="s">
        <v>1369</v>
      </c>
      <c r="V713" s="312" t="s">
        <v>1367</v>
      </c>
      <c r="W713" s="312"/>
      <c r="X713" s="312"/>
      <c r="Y713" s="312"/>
      <c r="Z713" s="312"/>
      <c r="AA713" s="312" t="s">
        <v>1536</v>
      </c>
      <c r="AB713" s="50"/>
      <c r="AC713" s="50"/>
      <c r="AD713" s="50"/>
      <c r="AE713" s="50"/>
    </row>
    <row r="714">
      <c r="A714" s="307">
        <v>42951.56875</v>
      </c>
      <c r="B714" s="50" t="s">
        <v>108</v>
      </c>
      <c r="C714" s="303" t="s">
        <v>1177</v>
      </c>
      <c r="D714" s="303" t="s">
        <v>1178</v>
      </c>
      <c r="E714" s="310">
        <v>42097.0</v>
      </c>
      <c r="F714" s="50" t="s">
        <v>38</v>
      </c>
      <c r="G714" s="303" t="s">
        <v>1179</v>
      </c>
      <c r="H714" s="303" t="s">
        <v>1180</v>
      </c>
      <c r="I714" s="303" t="s">
        <v>1186</v>
      </c>
      <c r="J714" s="306">
        <v>0.7</v>
      </c>
      <c r="K714" s="50">
        <v>406.0</v>
      </c>
      <c r="L714" s="312"/>
      <c r="M714" s="312">
        <v>232.0</v>
      </c>
      <c r="N714" s="312"/>
      <c r="O714" s="312"/>
      <c r="P714" s="315">
        <v>42951.0</v>
      </c>
      <c r="Q714" s="312">
        <v>46881.0</v>
      </c>
      <c r="R714" s="312">
        <v>390.0</v>
      </c>
      <c r="S714" s="316"/>
      <c r="T714" s="317">
        <v>390.0</v>
      </c>
      <c r="U714" s="312" t="s">
        <v>1369</v>
      </c>
      <c r="V714" s="312" t="s">
        <v>1367</v>
      </c>
      <c r="W714" s="50"/>
      <c r="X714" s="50"/>
      <c r="Y714" s="50"/>
      <c r="Z714" s="312"/>
      <c r="AA714" s="312" t="s">
        <v>1536</v>
      </c>
      <c r="AB714" s="50"/>
      <c r="AC714" s="50"/>
      <c r="AD714" s="50"/>
      <c r="AE714" s="50"/>
    </row>
    <row r="715">
      <c r="A715" s="307">
        <v>42955.569444444445</v>
      </c>
      <c r="B715" s="50" t="s">
        <v>108</v>
      </c>
      <c r="C715" s="303" t="s">
        <v>1177</v>
      </c>
      <c r="D715" s="303" t="s">
        <v>1178</v>
      </c>
      <c r="E715" s="310">
        <v>42097.0</v>
      </c>
      <c r="F715" s="50" t="s">
        <v>38</v>
      </c>
      <c r="G715" s="303" t="s">
        <v>1179</v>
      </c>
      <c r="H715" s="303" t="s">
        <v>1180</v>
      </c>
      <c r="I715" s="303" t="s">
        <v>1186</v>
      </c>
      <c r="J715" s="306">
        <v>0.7</v>
      </c>
      <c r="K715" s="50">
        <v>406.0</v>
      </c>
      <c r="L715" s="312"/>
      <c r="M715" s="312">
        <v>232.0</v>
      </c>
      <c r="N715" s="312"/>
      <c r="O715" s="312"/>
      <c r="P715" s="315">
        <v>42955.0</v>
      </c>
      <c r="Q715" s="312">
        <v>46975.0</v>
      </c>
      <c r="R715" s="312">
        <v>389.0</v>
      </c>
      <c r="S715" s="316"/>
      <c r="T715" s="317">
        <v>389.0</v>
      </c>
      <c r="U715" s="312" t="s">
        <v>1369</v>
      </c>
      <c r="V715" s="312" t="s">
        <v>1367</v>
      </c>
      <c r="W715" s="50"/>
      <c r="X715" s="50"/>
      <c r="Y715" s="50"/>
      <c r="Z715" s="312"/>
      <c r="AA715" s="312" t="s">
        <v>1536</v>
      </c>
      <c r="AB715" s="50"/>
      <c r="AC715" s="50"/>
      <c r="AD715" s="50"/>
      <c r="AE715" s="50"/>
    </row>
    <row r="716">
      <c r="A716" s="307">
        <v>42974.59375</v>
      </c>
      <c r="B716" s="50" t="s">
        <v>108</v>
      </c>
      <c r="C716" s="303" t="s">
        <v>1177</v>
      </c>
      <c r="D716" s="303" t="s">
        <v>1178</v>
      </c>
      <c r="E716" s="310">
        <v>42097.0</v>
      </c>
      <c r="F716" s="50" t="s">
        <v>38</v>
      </c>
      <c r="G716" s="303" t="s">
        <v>1179</v>
      </c>
      <c r="H716" s="303" t="s">
        <v>1180</v>
      </c>
      <c r="I716" s="303" t="s">
        <v>1186</v>
      </c>
      <c r="J716" s="306">
        <v>0.7</v>
      </c>
      <c r="K716" s="50">
        <v>406.0</v>
      </c>
      <c r="L716" s="312"/>
      <c r="M716" s="312">
        <v>232.0</v>
      </c>
      <c r="N716" s="312"/>
      <c r="O716" s="312"/>
      <c r="P716" s="315">
        <v>42974.0</v>
      </c>
      <c r="Q716" s="312">
        <v>48204.0</v>
      </c>
      <c r="R716" s="312">
        <v>389.0</v>
      </c>
      <c r="S716" s="316"/>
      <c r="T716" s="317">
        <v>389.0</v>
      </c>
      <c r="U716" s="312" t="s">
        <v>1369</v>
      </c>
      <c r="V716" s="312" t="s">
        <v>1367</v>
      </c>
      <c r="W716" s="50"/>
      <c r="X716" s="50"/>
      <c r="Y716" s="50"/>
      <c r="Z716" s="312"/>
      <c r="AA716" s="312" t="s">
        <v>1536</v>
      </c>
      <c r="AB716" s="50"/>
      <c r="AC716" s="50"/>
      <c r="AD716" s="50"/>
      <c r="AE716" s="50"/>
    </row>
    <row r="717">
      <c r="A717" s="307">
        <v>43008.61388888889</v>
      </c>
      <c r="B717" s="50" t="s">
        <v>108</v>
      </c>
      <c r="C717" s="303" t="s">
        <v>1177</v>
      </c>
      <c r="D717" s="303" t="s">
        <v>1178</v>
      </c>
      <c r="E717" s="310">
        <v>42097.0</v>
      </c>
      <c r="F717" s="50" t="s">
        <v>38</v>
      </c>
      <c r="G717" s="303" t="s">
        <v>1179</v>
      </c>
      <c r="H717" s="303" t="s">
        <v>1180</v>
      </c>
      <c r="I717" s="303" t="s">
        <v>1186</v>
      </c>
      <c r="J717" s="306">
        <v>0.7</v>
      </c>
      <c r="K717" s="50">
        <v>406.0</v>
      </c>
      <c r="L717" s="312"/>
      <c r="M717" s="312">
        <v>232.0</v>
      </c>
      <c r="N717" s="312"/>
      <c r="O717" s="312"/>
      <c r="P717" s="315">
        <v>43008.0</v>
      </c>
      <c r="Q717" s="312">
        <v>50068.0</v>
      </c>
      <c r="R717" s="312">
        <v>385.0</v>
      </c>
      <c r="S717" s="316"/>
      <c r="T717" s="317">
        <v>389.87</v>
      </c>
      <c r="U717" s="312" t="s">
        <v>1366</v>
      </c>
      <c r="V717" s="312" t="s">
        <v>1367</v>
      </c>
      <c r="W717" s="50"/>
      <c r="X717" s="50"/>
      <c r="Y717" s="50"/>
      <c r="Z717" s="312"/>
      <c r="AA717" s="312" t="s">
        <v>1536</v>
      </c>
      <c r="AB717" s="50"/>
      <c r="AC717" s="50"/>
      <c r="AD717" s="50"/>
      <c r="AE717" s="50"/>
    </row>
    <row r="718">
      <c r="A718" s="307">
        <v>43093.652083333334</v>
      </c>
      <c r="B718" s="50" t="s">
        <v>108</v>
      </c>
      <c r="C718" s="303" t="s">
        <v>1177</v>
      </c>
      <c r="D718" s="303" t="s">
        <v>1178</v>
      </c>
      <c r="E718" s="310">
        <v>42097.0</v>
      </c>
      <c r="F718" s="50" t="s">
        <v>38</v>
      </c>
      <c r="G718" s="303" t="s">
        <v>1179</v>
      </c>
      <c r="H718" s="303" t="s">
        <v>1180</v>
      </c>
      <c r="I718" s="303" t="s">
        <v>1186</v>
      </c>
      <c r="J718" s="306">
        <v>0.7</v>
      </c>
      <c r="K718" s="50">
        <v>406.0</v>
      </c>
      <c r="L718" s="312"/>
      <c r="M718" s="312">
        <v>232.0</v>
      </c>
      <c r="N718" s="312"/>
      <c r="O718" s="312"/>
      <c r="P718" s="315">
        <v>43093.0</v>
      </c>
      <c r="Q718" s="312">
        <v>54120.0</v>
      </c>
      <c r="R718" s="312">
        <v>384.0</v>
      </c>
      <c r="S718" s="316"/>
      <c r="T718" s="317">
        <v>388.86</v>
      </c>
      <c r="U718" s="312" t="s">
        <v>1366</v>
      </c>
      <c r="V718" s="312" t="s">
        <v>1367</v>
      </c>
      <c r="W718" s="50"/>
      <c r="X718" s="50"/>
      <c r="Y718" s="50"/>
      <c r="Z718" s="312"/>
      <c r="AA718" s="312" t="s">
        <v>1536</v>
      </c>
      <c r="AB718" s="50"/>
      <c r="AC718" s="50"/>
      <c r="AD718" s="50"/>
      <c r="AE718" s="50"/>
    </row>
    <row r="719">
      <c r="A719" s="307">
        <v>43100.65902777778</v>
      </c>
      <c r="B719" s="50" t="s">
        <v>108</v>
      </c>
      <c r="C719" s="303" t="s">
        <v>1177</v>
      </c>
      <c r="D719" s="303" t="s">
        <v>1178</v>
      </c>
      <c r="E719" s="310">
        <v>42097.0</v>
      </c>
      <c r="F719" s="50" t="s">
        <v>38</v>
      </c>
      <c r="G719" s="303" t="s">
        <v>1179</v>
      </c>
      <c r="H719" s="303" t="s">
        <v>1180</v>
      </c>
      <c r="I719" s="303" t="s">
        <v>1186</v>
      </c>
      <c r="J719" s="306">
        <v>0.7</v>
      </c>
      <c r="K719" s="50">
        <v>406.0</v>
      </c>
      <c r="L719" s="312"/>
      <c r="M719" s="312">
        <v>232.0</v>
      </c>
      <c r="N719" s="312"/>
      <c r="O719" s="312"/>
      <c r="P719" s="315">
        <v>43100.0</v>
      </c>
      <c r="Q719" s="312">
        <v>54460.0</v>
      </c>
      <c r="R719" s="312">
        <v>382.0</v>
      </c>
      <c r="S719" s="316"/>
      <c r="T719" s="317">
        <v>386.84</v>
      </c>
      <c r="U719" s="312" t="s">
        <v>1366</v>
      </c>
      <c r="V719" s="312" t="s">
        <v>1367</v>
      </c>
      <c r="W719" s="50"/>
      <c r="X719" s="50"/>
      <c r="Y719" s="50"/>
      <c r="Z719" s="312"/>
      <c r="AA719" s="312" t="s">
        <v>1536</v>
      </c>
      <c r="AB719" s="50"/>
      <c r="AC719" s="50"/>
      <c r="AD719" s="50"/>
      <c r="AE719" s="50"/>
    </row>
    <row r="720">
      <c r="A720" s="307">
        <v>42166.13680555556</v>
      </c>
      <c r="B720" s="312" t="s">
        <v>240</v>
      </c>
      <c r="C720" s="303" t="s">
        <v>1177</v>
      </c>
      <c r="D720" s="303" t="s">
        <v>1178</v>
      </c>
      <c r="E720" s="315">
        <v>41584.0</v>
      </c>
      <c r="F720" s="312" t="s">
        <v>12</v>
      </c>
      <c r="G720" s="303" t="s">
        <v>1187</v>
      </c>
      <c r="H720" s="303" t="s">
        <v>1181</v>
      </c>
      <c r="I720" s="303" t="s">
        <v>1181</v>
      </c>
      <c r="J720" s="306">
        <v>0.8</v>
      </c>
      <c r="K720" s="50"/>
      <c r="L720" s="312"/>
      <c r="M720" s="312">
        <v>213.0</v>
      </c>
      <c r="N720" s="312"/>
      <c r="O720" s="312"/>
      <c r="P720" s="315">
        <v>42166.0</v>
      </c>
      <c r="Q720" s="312">
        <v>37069.0</v>
      </c>
      <c r="R720" s="312">
        <v>275.0</v>
      </c>
      <c r="S720" s="316"/>
      <c r="T720" s="317">
        <v>278.48</v>
      </c>
      <c r="U720" s="312" t="s">
        <v>1366</v>
      </c>
      <c r="V720" s="312" t="s">
        <v>1367</v>
      </c>
      <c r="W720" s="50"/>
      <c r="X720" s="50"/>
      <c r="Y720" s="50"/>
      <c r="Z720" s="312"/>
      <c r="AA720" s="312" t="s">
        <v>1540</v>
      </c>
      <c r="AB720" s="50"/>
      <c r="AC720" s="50"/>
      <c r="AD720" s="50"/>
      <c r="AE720" s="50"/>
    </row>
    <row r="721">
      <c r="A721" s="307">
        <v>42666.41736111111</v>
      </c>
      <c r="B721" s="312" t="s">
        <v>1059</v>
      </c>
      <c r="C721" s="303" t="s">
        <v>1177</v>
      </c>
      <c r="D721" s="303" t="s">
        <v>1178</v>
      </c>
      <c r="E721" s="315">
        <v>42167.0</v>
      </c>
      <c r="F721" s="312" t="s">
        <v>36</v>
      </c>
      <c r="G721" s="303" t="s">
        <v>1179</v>
      </c>
      <c r="H721" s="303" t="s">
        <v>1181</v>
      </c>
      <c r="I721" s="303" t="s">
        <v>1186</v>
      </c>
      <c r="J721" s="306">
        <v>0.8</v>
      </c>
      <c r="K721" s="50"/>
      <c r="L721" s="312"/>
      <c r="M721" s="312">
        <v>215.0</v>
      </c>
      <c r="N721" s="312"/>
      <c r="O721" s="312"/>
      <c r="P721" s="315">
        <v>42666.0</v>
      </c>
      <c r="Q721" s="312">
        <v>27700.0</v>
      </c>
      <c r="R721" s="312">
        <v>400.0</v>
      </c>
      <c r="S721" s="316"/>
      <c r="T721" s="317">
        <v>405.06</v>
      </c>
      <c r="U721" s="312" t="s">
        <v>1366</v>
      </c>
      <c r="V721" s="312" t="s">
        <v>1367</v>
      </c>
      <c r="W721" s="50"/>
      <c r="X721" s="50"/>
      <c r="Y721" s="50"/>
      <c r="Z721" s="312"/>
      <c r="AA721" s="50"/>
      <c r="AB721" s="50"/>
      <c r="AC721" s="50"/>
      <c r="AD721" s="50"/>
      <c r="AE721" s="50"/>
    </row>
    <row r="722">
      <c r="A722" s="307">
        <v>42297.23611111111</v>
      </c>
      <c r="B722" s="312" t="s">
        <v>723</v>
      </c>
      <c r="C722" s="303" t="s">
        <v>1177</v>
      </c>
      <c r="D722" s="303" t="s">
        <v>1178</v>
      </c>
      <c r="E722" s="315">
        <v>42235.0</v>
      </c>
      <c r="F722" s="312" t="s">
        <v>22</v>
      </c>
      <c r="G722" s="303" t="s">
        <v>1203</v>
      </c>
      <c r="H722" s="303" t="s">
        <v>1180</v>
      </c>
      <c r="I722" s="303" t="s">
        <v>1187</v>
      </c>
      <c r="J722" s="306">
        <v>0.9</v>
      </c>
      <c r="K722" s="312">
        <v>362.0</v>
      </c>
      <c r="L722" s="312"/>
      <c r="M722" s="312">
        <v>216.0</v>
      </c>
      <c r="N722" s="312"/>
      <c r="O722" s="312"/>
      <c r="P722" s="315">
        <v>42297.0</v>
      </c>
      <c r="Q722" s="312">
        <v>2359.0</v>
      </c>
      <c r="R722" s="312">
        <v>362.0</v>
      </c>
      <c r="S722" s="316"/>
      <c r="T722" s="317">
        <v>366.58</v>
      </c>
      <c r="U722" s="312" t="s">
        <v>1366</v>
      </c>
      <c r="V722" s="312" t="s">
        <v>1367</v>
      </c>
      <c r="W722" s="50"/>
      <c r="X722" s="50"/>
      <c r="Y722" s="50"/>
      <c r="Z722" s="312"/>
      <c r="AA722" s="50"/>
      <c r="AB722" s="50"/>
      <c r="AC722" s="50"/>
      <c r="AD722" s="50"/>
      <c r="AE722" s="50"/>
    </row>
    <row r="723">
      <c r="A723" s="307">
        <v>42318.236805555556</v>
      </c>
      <c r="B723" s="312" t="s">
        <v>723</v>
      </c>
      <c r="C723" s="303" t="s">
        <v>1177</v>
      </c>
      <c r="D723" s="303" t="s">
        <v>1178</v>
      </c>
      <c r="E723" s="315">
        <v>42235.0</v>
      </c>
      <c r="F723" s="312" t="s">
        <v>22</v>
      </c>
      <c r="G723" s="303" t="s">
        <v>1203</v>
      </c>
      <c r="H723" s="303" t="s">
        <v>1180</v>
      </c>
      <c r="I723" s="303" t="s">
        <v>1187</v>
      </c>
      <c r="J723" s="306">
        <v>0.9</v>
      </c>
      <c r="K723" s="312">
        <v>362.0</v>
      </c>
      <c r="L723" s="312"/>
      <c r="M723" s="312">
        <v>223.0</v>
      </c>
      <c r="N723" s="312"/>
      <c r="O723" s="312"/>
      <c r="P723" s="315">
        <v>42318.0</v>
      </c>
      <c r="Q723" s="312">
        <v>6300.0</v>
      </c>
      <c r="R723" s="312">
        <v>367.0</v>
      </c>
      <c r="S723" s="316"/>
      <c r="T723" s="317">
        <v>371.65</v>
      </c>
      <c r="U723" s="312" t="s">
        <v>1366</v>
      </c>
      <c r="V723" s="312" t="s">
        <v>1367</v>
      </c>
      <c r="W723" s="50"/>
      <c r="X723" s="50"/>
      <c r="Y723" s="50"/>
      <c r="Z723" s="312"/>
      <c r="AA723" s="50"/>
      <c r="AB723" s="50"/>
      <c r="AC723" s="50"/>
      <c r="AD723" s="50"/>
      <c r="AE723" s="50"/>
    </row>
    <row r="724">
      <c r="A724" s="307">
        <v>42341.2375</v>
      </c>
      <c r="B724" s="312" t="s">
        <v>723</v>
      </c>
      <c r="C724" s="303" t="s">
        <v>1177</v>
      </c>
      <c r="D724" s="303" t="s">
        <v>1178</v>
      </c>
      <c r="E724" s="315">
        <v>42235.0</v>
      </c>
      <c r="F724" s="312" t="s">
        <v>22</v>
      </c>
      <c r="G724" s="312"/>
      <c r="H724" s="312"/>
      <c r="I724" s="312"/>
      <c r="J724" s="306"/>
      <c r="K724" s="50"/>
      <c r="L724" s="312"/>
      <c r="M724" s="312">
        <v>221.0</v>
      </c>
      <c r="N724" s="312"/>
      <c r="O724" s="312"/>
      <c r="P724" s="315">
        <v>42341.0</v>
      </c>
      <c r="Q724" s="312">
        <v>9199.0</v>
      </c>
      <c r="R724" s="312">
        <v>362.0</v>
      </c>
      <c r="S724" s="316"/>
      <c r="T724" s="317">
        <v>366.58</v>
      </c>
      <c r="U724" s="312" t="s">
        <v>1366</v>
      </c>
      <c r="V724" s="312" t="s">
        <v>1367</v>
      </c>
      <c r="W724" s="50"/>
      <c r="X724" s="50"/>
      <c r="Y724" s="50"/>
      <c r="Z724" s="312"/>
      <c r="AA724" s="50"/>
      <c r="AB724" s="50"/>
      <c r="AC724" s="50"/>
      <c r="AD724" s="50"/>
      <c r="AE724" s="50"/>
    </row>
    <row r="725">
      <c r="A725" s="307">
        <v>42383.274305555555</v>
      </c>
      <c r="B725" s="312" t="s">
        <v>723</v>
      </c>
      <c r="C725" s="303" t="s">
        <v>1177</v>
      </c>
      <c r="D725" s="303" t="s">
        <v>1178</v>
      </c>
      <c r="E725" s="310">
        <v>42235.0</v>
      </c>
      <c r="F725" s="312" t="s">
        <v>22</v>
      </c>
      <c r="G725" s="303" t="s">
        <v>1190</v>
      </c>
      <c r="H725" s="303" t="s">
        <v>1180</v>
      </c>
      <c r="I725" s="303" t="s">
        <v>1181</v>
      </c>
      <c r="J725" s="306">
        <v>0.9</v>
      </c>
      <c r="K725" s="312">
        <v>365.0</v>
      </c>
      <c r="L725" s="312"/>
      <c r="M725" s="312">
        <v>226.0</v>
      </c>
      <c r="N725" s="312"/>
      <c r="O725" s="312"/>
      <c r="P725" s="315">
        <v>42383.0</v>
      </c>
      <c r="Q725" s="312">
        <v>18723.0</v>
      </c>
      <c r="R725" s="312">
        <v>356.0</v>
      </c>
      <c r="S725" s="316"/>
      <c r="T725" s="317">
        <v>360.51</v>
      </c>
      <c r="U725" s="312" t="s">
        <v>1366</v>
      </c>
      <c r="V725" s="312" t="s">
        <v>1367</v>
      </c>
      <c r="W725" s="50"/>
      <c r="X725" s="50"/>
      <c r="Y725" s="50"/>
      <c r="Z725" s="312"/>
      <c r="AA725" s="312" t="s">
        <v>1541</v>
      </c>
      <c r="AB725" s="50"/>
      <c r="AC725" s="50"/>
      <c r="AD725" s="50"/>
      <c r="AE725" s="50"/>
    </row>
    <row r="726">
      <c r="A726" s="307">
        <v>42441.305555555555</v>
      </c>
      <c r="B726" s="312" t="s">
        <v>723</v>
      </c>
      <c r="C726" s="303" t="s">
        <v>1177</v>
      </c>
      <c r="D726" s="303" t="s">
        <v>1178</v>
      </c>
      <c r="E726" s="315">
        <v>42235.0</v>
      </c>
      <c r="F726" s="312" t="s">
        <v>22</v>
      </c>
      <c r="G726" s="303" t="s">
        <v>1203</v>
      </c>
      <c r="H726" s="303" t="s">
        <v>1180</v>
      </c>
      <c r="I726" s="303" t="s">
        <v>1181</v>
      </c>
      <c r="J726" s="306">
        <v>0.8</v>
      </c>
      <c r="K726" s="312">
        <v>365.0</v>
      </c>
      <c r="L726" s="312"/>
      <c r="M726" s="312">
        <v>225.0</v>
      </c>
      <c r="N726" s="312"/>
      <c r="O726" s="312"/>
      <c r="P726" s="315">
        <v>42441.0</v>
      </c>
      <c r="Q726" s="312">
        <v>27355.0</v>
      </c>
      <c r="R726" s="312">
        <v>357.0</v>
      </c>
      <c r="S726" s="316"/>
      <c r="T726" s="317">
        <v>361.52</v>
      </c>
      <c r="U726" s="312" t="s">
        <v>1366</v>
      </c>
      <c r="V726" s="312" t="s">
        <v>1367</v>
      </c>
      <c r="W726" s="50"/>
      <c r="X726" s="50"/>
      <c r="Y726" s="50"/>
      <c r="Z726" s="312"/>
      <c r="AA726" s="50"/>
      <c r="AB726" s="50"/>
      <c r="AC726" s="50"/>
      <c r="AD726" s="50"/>
      <c r="AE726" s="50"/>
    </row>
    <row r="727">
      <c r="A727" s="307">
        <v>42454.311111111114</v>
      </c>
      <c r="B727" s="312" t="s">
        <v>723</v>
      </c>
      <c r="C727" s="303" t="s">
        <v>1177</v>
      </c>
      <c r="D727" s="303" t="s">
        <v>1178</v>
      </c>
      <c r="E727" s="315">
        <v>42235.0</v>
      </c>
      <c r="F727" s="312" t="s">
        <v>22</v>
      </c>
      <c r="G727" s="303" t="s">
        <v>1203</v>
      </c>
      <c r="H727" s="303" t="s">
        <v>1180</v>
      </c>
      <c r="I727" s="303" t="s">
        <v>1186</v>
      </c>
      <c r="J727" s="306">
        <v>0.8</v>
      </c>
      <c r="K727" s="312">
        <v>365.0</v>
      </c>
      <c r="L727" s="312"/>
      <c r="M727" s="312">
        <v>224.0</v>
      </c>
      <c r="N727" s="312"/>
      <c r="O727" s="312"/>
      <c r="P727" s="315">
        <v>42454.0</v>
      </c>
      <c r="Q727" s="312">
        <v>29300.0</v>
      </c>
      <c r="R727" s="312">
        <v>356.0</v>
      </c>
      <c r="S727" s="316"/>
      <c r="T727" s="317">
        <v>360.51</v>
      </c>
      <c r="U727" s="312" t="s">
        <v>1366</v>
      </c>
      <c r="V727" s="312" t="s">
        <v>1367</v>
      </c>
      <c r="W727" s="50"/>
      <c r="X727" s="50"/>
      <c r="Y727" s="50"/>
      <c r="Z727" s="312"/>
      <c r="AA727" s="50"/>
      <c r="AB727" s="50"/>
      <c r="AC727" s="50"/>
      <c r="AD727" s="50"/>
      <c r="AE727" s="50"/>
    </row>
    <row r="728">
      <c r="A728" s="307">
        <v>42490.33125</v>
      </c>
      <c r="B728" s="312" t="s">
        <v>723</v>
      </c>
      <c r="C728" s="303" t="s">
        <v>1177</v>
      </c>
      <c r="D728" s="303" t="s">
        <v>1178</v>
      </c>
      <c r="E728" s="315">
        <v>42235.0</v>
      </c>
      <c r="F728" s="312" t="s">
        <v>22</v>
      </c>
      <c r="G728" s="303" t="s">
        <v>1203</v>
      </c>
      <c r="H728" s="303" t="s">
        <v>1180</v>
      </c>
      <c r="I728" s="303" t="s">
        <v>1181</v>
      </c>
      <c r="J728" s="306">
        <v>0.8</v>
      </c>
      <c r="K728" s="312">
        <v>360.0</v>
      </c>
      <c r="L728" s="312"/>
      <c r="M728" s="312">
        <v>219.0</v>
      </c>
      <c r="N728" s="312"/>
      <c r="O728" s="312"/>
      <c r="P728" s="315">
        <v>42490.0</v>
      </c>
      <c r="Q728" s="312">
        <v>36870.0</v>
      </c>
      <c r="R728" s="312">
        <v>352.0</v>
      </c>
      <c r="S728" s="316"/>
      <c r="T728" s="317">
        <v>356.46</v>
      </c>
      <c r="U728" s="312" t="s">
        <v>1366</v>
      </c>
      <c r="V728" s="312" t="s">
        <v>1367</v>
      </c>
      <c r="W728" s="50"/>
      <c r="X728" s="50"/>
      <c r="Y728" s="50"/>
      <c r="Z728" s="312"/>
      <c r="AA728" s="50"/>
      <c r="AB728" s="50"/>
      <c r="AC728" s="50"/>
      <c r="AD728" s="50"/>
      <c r="AE728" s="50"/>
    </row>
    <row r="729">
      <c r="A729" s="307">
        <v>42510.33819444444</v>
      </c>
      <c r="B729" s="312" t="s">
        <v>723</v>
      </c>
      <c r="C729" s="303" t="s">
        <v>1177</v>
      </c>
      <c r="D729" s="303" t="s">
        <v>1178</v>
      </c>
      <c r="E729" s="315">
        <v>42235.0</v>
      </c>
      <c r="F729" s="312" t="s">
        <v>22</v>
      </c>
      <c r="G729" s="303" t="s">
        <v>1205</v>
      </c>
      <c r="H729" s="303" t="s">
        <v>1180</v>
      </c>
      <c r="I729" s="303" t="s">
        <v>1181</v>
      </c>
      <c r="J729" s="306">
        <v>0.8</v>
      </c>
      <c r="K729" s="312">
        <v>360.0</v>
      </c>
      <c r="L729" s="312"/>
      <c r="M729" s="312">
        <v>216.0</v>
      </c>
      <c r="N729" s="312"/>
      <c r="O729" s="312"/>
      <c r="P729" s="315">
        <v>42510.0</v>
      </c>
      <c r="Q729" s="312">
        <v>39404.0</v>
      </c>
      <c r="R729" s="312">
        <v>352.0</v>
      </c>
      <c r="S729" s="316"/>
      <c r="T729" s="317">
        <v>356.46</v>
      </c>
      <c r="U729" s="312" t="s">
        <v>1366</v>
      </c>
      <c r="V729" s="312" t="s">
        <v>1367</v>
      </c>
      <c r="W729" s="50"/>
      <c r="X729" s="50"/>
      <c r="Y729" s="50"/>
      <c r="Z729" s="312"/>
      <c r="AA729" s="50"/>
      <c r="AB729" s="50"/>
      <c r="AC729" s="50"/>
      <c r="AD729" s="50"/>
      <c r="AE729" s="50"/>
    </row>
    <row r="730">
      <c r="A730" s="307">
        <v>42545.35625</v>
      </c>
      <c r="B730" s="312" t="s">
        <v>723</v>
      </c>
      <c r="C730" s="303" t="s">
        <v>1177</v>
      </c>
      <c r="D730" s="303" t="s">
        <v>1178</v>
      </c>
      <c r="E730" s="315">
        <v>42235.0</v>
      </c>
      <c r="F730" s="312" t="s">
        <v>22</v>
      </c>
      <c r="G730" s="303" t="s">
        <v>1205</v>
      </c>
      <c r="H730" s="303" t="s">
        <v>1180</v>
      </c>
      <c r="I730" s="303" t="s">
        <v>1181</v>
      </c>
      <c r="J730" s="306">
        <v>0.8</v>
      </c>
      <c r="K730" s="312">
        <v>360.0</v>
      </c>
      <c r="L730" s="312"/>
      <c r="M730" s="312">
        <v>213.0</v>
      </c>
      <c r="N730" s="312"/>
      <c r="O730" s="312"/>
      <c r="P730" s="315">
        <v>42545.0</v>
      </c>
      <c r="Q730" s="312">
        <v>43787.0</v>
      </c>
      <c r="R730" s="312">
        <v>353.0</v>
      </c>
      <c r="S730" s="316"/>
      <c r="T730" s="317">
        <v>357.47</v>
      </c>
      <c r="U730" s="312" t="s">
        <v>1366</v>
      </c>
      <c r="V730" s="312" t="s">
        <v>1367</v>
      </c>
      <c r="W730" s="50"/>
      <c r="X730" s="50"/>
      <c r="Y730" s="50"/>
      <c r="Z730" s="312"/>
      <c r="AA730" s="50"/>
      <c r="AB730" s="50"/>
      <c r="AC730" s="50"/>
      <c r="AD730" s="50"/>
      <c r="AE730" s="50"/>
    </row>
    <row r="731">
      <c r="A731" s="307">
        <v>42579.36666666667</v>
      </c>
      <c r="B731" s="312" t="s">
        <v>723</v>
      </c>
      <c r="C731" s="303" t="s">
        <v>1177</v>
      </c>
      <c r="D731" s="303" t="s">
        <v>1178</v>
      </c>
      <c r="E731" s="315">
        <v>42235.0</v>
      </c>
      <c r="F731" s="312" t="s">
        <v>22</v>
      </c>
      <c r="G731" s="303" t="s">
        <v>1205</v>
      </c>
      <c r="H731" s="303" t="s">
        <v>1180</v>
      </c>
      <c r="I731" s="303" t="s">
        <v>1181</v>
      </c>
      <c r="J731" s="306">
        <v>0.8</v>
      </c>
      <c r="K731" s="312">
        <v>360.0</v>
      </c>
      <c r="L731" s="312"/>
      <c r="M731" s="312">
        <v>209.0</v>
      </c>
      <c r="N731" s="312"/>
      <c r="O731" s="312"/>
      <c r="P731" s="315">
        <v>42579.0</v>
      </c>
      <c r="Q731" s="312">
        <v>49107.0</v>
      </c>
      <c r="R731" s="312">
        <v>352.0</v>
      </c>
      <c r="S731" s="316"/>
      <c r="T731" s="317">
        <v>356.46</v>
      </c>
      <c r="U731" s="312" t="s">
        <v>1366</v>
      </c>
      <c r="V731" s="312" t="s">
        <v>1367</v>
      </c>
      <c r="W731" s="50"/>
      <c r="X731" s="50"/>
      <c r="Y731" s="50"/>
      <c r="Z731" s="312"/>
      <c r="AA731" s="50"/>
      <c r="AB731" s="50"/>
      <c r="AC731" s="50"/>
      <c r="AD731" s="50"/>
      <c r="AE731" s="50"/>
    </row>
    <row r="732">
      <c r="A732" s="307">
        <v>42609.385416666664</v>
      </c>
      <c r="B732" s="312" t="s">
        <v>723</v>
      </c>
      <c r="C732" s="303" t="s">
        <v>1177</v>
      </c>
      <c r="D732" s="303" t="s">
        <v>1178</v>
      </c>
      <c r="E732" s="315">
        <v>42235.0</v>
      </c>
      <c r="F732" s="312" t="s">
        <v>22</v>
      </c>
      <c r="G732" s="303" t="s">
        <v>1205</v>
      </c>
      <c r="H732" s="303" t="s">
        <v>1180</v>
      </c>
      <c r="I732" s="303" t="s">
        <v>1179</v>
      </c>
      <c r="J732" s="306">
        <v>0.8</v>
      </c>
      <c r="K732" s="312">
        <v>360.0</v>
      </c>
      <c r="L732" s="312"/>
      <c r="M732" s="312">
        <v>206.0</v>
      </c>
      <c r="N732" s="312"/>
      <c r="O732" s="312"/>
      <c r="P732" s="315">
        <v>42609.0</v>
      </c>
      <c r="Q732" s="312">
        <v>53176.0</v>
      </c>
      <c r="R732" s="312">
        <v>352.0</v>
      </c>
      <c r="S732" s="316"/>
      <c r="T732" s="317">
        <v>356.46</v>
      </c>
      <c r="U732" s="312" t="s">
        <v>1366</v>
      </c>
      <c r="V732" s="312" t="s">
        <v>1367</v>
      </c>
      <c r="W732" s="50"/>
      <c r="X732" s="50"/>
      <c r="Y732" s="50"/>
      <c r="Z732" s="312"/>
      <c r="AA732" s="50"/>
      <c r="AB732" s="50"/>
      <c r="AC732" s="50"/>
      <c r="AD732" s="50"/>
      <c r="AE732" s="50"/>
    </row>
    <row r="733">
      <c r="A733" s="307">
        <v>42650.413194444445</v>
      </c>
      <c r="B733" s="312" t="s">
        <v>723</v>
      </c>
      <c r="C733" s="303" t="s">
        <v>1177</v>
      </c>
      <c r="D733" s="303" t="s">
        <v>1178</v>
      </c>
      <c r="E733" s="315">
        <v>42235.0</v>
      </c>
      <c r="F733" s="312" t="s">
        <v>22</v>
      </c>
      <c r="G733" s="303" t="s">
        <v>1205</v>
      </c>
      <c r="H733" s="303" t="s">
        <v>1180</v>
      </c>
      <c r="I733" s="303" t="s">
        <v>1179</v>
      </c>
      <c r="J733" s="306">
        <v>0.8</v>
      </c>
      <c r="K733" s="312">
        <v>360.0</v>
      </c>
      <c r="L733" s="312"/>
      <c r="M733" s="312">
        <v>203.0</v>
      </c>
      <c r="N733" s="312"/>
      <c r="O733" s="312"/>
      <c r="P733" s="315">
        <v>42650.0</v>
      </c>
      <c r="Q733" s="312">
        <v>58335.0</v>
      </c>
      <c r="R733" s="312">
        <v>351.0</v>
      </c>
      <c r="S733" s="316"/>
      <c r="T733" s="317">
        <v>355.44</v>
      </c>
      <c r="U733" s="312" t="s">
        <v>1366</v>
      </c>
      <c r="V733" s="312" t="s">
        <v>1367</v>
      </c>
      <c r="W733" s="50"/>
      <c r="X733" s="50"/>
      <c r="Y733" s="50"/>
      <c r="Z733" s="312"/>
      <c r="AA733" s="50"/>
      <c r="AB733" s="50"/>
      <c r="AC733" s="50"/>
      <c r="AD733" s="50"/>
      <c r="AE733" s="50"/>
    </row>
    <row r="734">
      <c r="A734" s="307">
        <v>42698.46875</v>
      </c>
      <c r="B734" s="312" t="s">
        <v>723</v>
      </c>
      <c r="C734" s="303" t="s">
        <v>1177</v>
      </c>
      <c r="D734" s="303" t="s">
        <v>1178</v>
      </c>
      <c r="E734" s="315">
        <v>42235.0</v>
      </c>
      <c r="F734" s="312" t="s">
        <v>22</v>
      </c>
      <c r="G734" s="303" t="s">
        <v>1190</v>
      </c>
      <c r="H734" s="303" t="s">
        <v>1180</v>
      </c>
      <c r="I734" s="303" t="s">
        <v>1181</v>
      </c>
      <c r="J734" s="306">
        <v>0.8</v>
      </c>
      <c r="K734" s="312">
        <v>360.0</v>
      </c>
      <c r="L734" s="312"/>
      <c r="M734" s="312">
        <v>203.0</v>
      </c>
      <c r="N734" s="312"/>
      <c r="O734" s="312"/>
      <c r="P734" s="315">
        <v>42698.0</v>
      </c>
      <c r="Q734" s="312">
        <v>65470.0</v>
      </c>
      <c r="R734" s="312">
        <v>351.0</v>
      </c>
      <c r="S734" s="316"/>
      <c r="T734" s="317">
        <v>355.44</v>
      </c>
      <c r="U734" s="312" t="s">
        <v>1366</v>
      </c>
      <c r="V734" s="312" t="s">
        <v>1367</v>
      </c>
      <c r="W734" s="50"/>
      <c r="X734" s="50"/>
      <c r="Y734" s="50"/>
      <c r="Z734" s="312"/>
      <c r="AA734" s="50"/>
      <c r="AB734" s="50"/>
      <c r="AC734" s="50"/>
      <c r="AD734" s="50"/>
      <c r="AE734" s="50"/>
    </row>
    <row r="735">
      <c r="A735" s="307">
        <v>42761.49444444444</v>
      </c>
      <c r="B735" s="312" t="s">
        <v>723</v>
      </c>
      <c r="C735" s="303" t="s">
        <v>1177</v>
      </c>
      <c r="D735" s="303" t="s">
        <v>1178</v>
      </c>
      <c r="E735" s="315">
        <v>42235.0</v>
      </c>
      <c r="F735" s="312" t="s">
        <v>22</v>
      </c>
      <c r="G735" s="303" t="s">
        <v>1190</v>
      </c>
      <c r="H735" s="303" t="s">
        <v>1180</v>
      </c>
      <c r="I735" s="303" t="s">
        <v>1181</v>
      </c>
      <c r="J735" s="306">
        <v>0.8</v>
      </c>
      <c r="K735" s="312">
        <v>360.0</v>
      </c>
      <c r="L735" s="312"/>
      <c r="M735" s="312">
        <v>205.0</v>
      </c>
      <c r="N735" s="312"/>
      <c r="O735" s="312"/>
      <c r="P735" s="315">
        <v>42761.0</v>
      </c>
      <c r="Q735" s="312">
        <v>73105.0</v>
      </c>
      <c r="R735" s="312">
        <v>353.0</v>
      </c>
      <c r="S735" s="316"/>
      <c r="T735" s="317">
        <v>357.47</v>
      </c>
      <c r="U735" s="312" t="s">
        <v>1366</v>
      </c>
      <c r="V735" s="312" t="s">
        <v>1367</v>
      </c>
      <c r="W735" s="50"/>
      <c r="X735" s="50"/>
      <c r="Y735" s="50"/>
      <c r="Z735" s="312"/>
      <c r="AA735" s="50"/>
      <c r="AB735" s="50"/>
      <c r="AC735" s="50"/>
      <c r="AD735" s="50"/>
      <c r="AE735" s="50"/>
    </row>
    <row r="736">
      <c r="A736" s="307">
        <v>42797.50763888889</v>
      </c>
      <c r="B736" s="312" t="s">
        <v>723</v>
      </c>
      <c r="C736" s="303" t="s">
        <v>1177</v>
      </c>
      <c r="D736" s="303" t="s">
        <v>1178</v>
      </c>
      <c r="E736" s="315">
        <v>42235.0</v>
      </c>
      <c r="F736" s="312" t="s">
        <v>22</v>
      </c>
      <c r="G736" s="303" t="s">
        <v>1190</v>
      </c>
      <c r="H736" s="303" t="s">
        <v>1180</v>
      </c>
      <c r="I736" s="303" t="s">
        <v>1181</v>
      </c>
      <c r="J736" s="306">
        <v>0.8</v>
      </c>
      <c r="K736" s="312">
        <v>360.0</v>
      </c>
      <c r="L736" s="312"/>
      <c r="M736" s="312">
        <v>207.0</v>
      </c>
      <c r="N736" s="312"/>
      <c r="O736" s="312"/>
      <c r="P736" s="315">
        <v>42797.0</v>
      </c>
      <c r="Q736" s="312">
        <v>80104.0</v>
      </c>
      <c r="R736" s="312">
        <v>350.0</v>
      </c>
      <c r="S736" s="316"/>
      <c r="T736" s="317">
        <v>354.43</v>
      </c>
      <c r="U736" s="312" t="s">
        <v>1366</v>
      </c>
      <c r="V736" s="312" t="s">
        <v>1367</v>
      </c>
      <c r="W736" s="50"/>
      <c r="X736" s="50"/>
      <c r="Y736" s="50"/>
      <c r="Z736" s="312"/>
      <c r="AA736" s="50"/>
      <c r="AB736" s="50"/>
      <c r="AC736" s="50"/>
      <c r="AD736" s="50"/>
      <c r="AE736" s="50"/>
    </row>
    <row r="737">
      <c r="A737" s="307">
        <v>42831.51875</v>
      </c>
      <c r="B737" s="312" t="s">
        <v>723</v>
      </c>
      <c r="C737" s="303" t="s">
        <v>1177</v>
      </c>
      <c r="D737" s="303" t="s">
        <v>1178</v>
      </c>
      <c r="E737" s="315">
        <v>42235.0</v>
      </c>
      <c r="F737" s="312" t="s">
        <v>22</v>
      </c>
      <c r="G737" s="303" t="s">
        <v>1190</v>
      </c>
      <c r="H737" s="303" t="s">
        <v>1180</v>
      </c>
      <c r="I737" s="303" t="s">
        <v>1181</v>
      </c>
      <c r="J737" s="306">
        <v>0.8</v>
      </c>
      <c r="K737" s="312">
        <v>360.0</v>
      </c>
      <c r="L737" s="312"/>
      <c r="M737" s="312">
        <v>207.0</v>
      </c>
      <c r="N737" s="312"/>
      <c r="O737" s="312"/>
      <c r="P737" s="315">
        <v>42831.0</v>
      </c>
      <c r="Q737" s="312">
        <v>84753.0</v>
      </c>
      <c r="R737" s="312">
        <v>350.0</v>
      </c>
      <c r="S737" s="316"/>
      <c r="T737" s="317">
        <v>354.43</v>
      </c>
      <c r="U737" s="312" t="s">
        <v>1366</v>
      </c>
      <c r="V737" s="312" t="s">
        <v>1367</v>
      </c>
      <c r="W737" s="50"/>
      <c r="X737" s="50"/>
      <c r="Y737" s="50"/>
      <c r="Z737" s="312"/>
      <c r="AA737" s="50"/>
      <c r="AB737" s="50"/>
      <c r="AC737" s="50"/>
      <c r="AD737" s="50"/>
      <c r="AE737" s="50"/>
    </row>
    <row r="738">
      <c r="A738" s="307">
        <v>42867.532638888886</v>
      </c>
      <c r="B738" s="312" t="s">
        <v>723</v>
      </c>
      <c r="C738" s="303" t="s">
        <v>1177</v>
      </c>
      <c r="D738" s="303" t="s">
        <v>1178</v>
      </c>
      <c r="E738" s="315">
        <v>42235.0</v>
      </c>
      <c r="F738" s="312" t="s">
        <v>22</v>
      </c>
      <c r="G738" s="303" t="s">
        <v>1190</v>
      </c>
      <c r="H738" s="303" t="s">
        <v>1180</v>
      </c>
      <c r="I738" s="303" t="s">
        <v>1181</v>
      </c>
      <c r="J738" s="306">
        <v>0.8</v>
      </c>
      <c r="K738" s="312">
        <v>360.0</v>
      </c>
      <c r="L738" s="312"/>
      <c r="M738" s="312">
        <v>207.0</v>
      </c>
      <c r="N738" s="312"/>
      <c r="O738" s="312"/>
      <c r="P738" s="315">
        <v>42867.0</v>
      </c>
      <c r="Q738" s="312">
        <v>91273.0</v>
      </c>
      <c r="R738" s="312">
        <v>349.0</v>
      </c>
      <c r="S738" s="316"/>
      <c r="T738" s="317">
        <v>353.42</v>
      </c>
      <c r="U738" s="312" t="s">
        <v>1366</v>
      </c>
      <c r="V738" s="312" t="s">
        <v>1367</v>
      </c>
      <c r="W738" s="50"/>
      <c r="X738" s="50"/>
      <c r="Y738" s="50"/>
      <c r="Z738" s="312"/>
      <c r="AA738" s="50"/>
      <c r="AB738" s="50"/>
      <c r="AC738" s="50"/>
      <c r="AD738" s="50"/>
      <c r="AE738" s="50"/>
    </row>
    <row r="739">
      <c r="A739" s="307">
        <v>42936.563888888886</v>
      </c>
      <c r="B739" s="312" t="s">
        <v>723</v>
      </c>
      <c r="C739" s="303" t="s">
        <v>1177</v>
      </c>
      <c r="D739" s="303" t="s">
        <v>1178</v>
      </c>
      <c r="E739" s="315">
        <v>42235.0</v>
      </c>
      <c r="F739" s="312" t="s">
        <v>22</v>
      </c>
      <c r="G739" s="303" t="s">
        <v>1190</v>
      </c>
      <c r="H739" s="303" t="s">
        <v>1180</v>
      </c>
      <c r="I739" s="303" t="s">
        <v>1181</v>
      </c>
      <c r="J739" s="306">
        <v>0.8</v>
      </c>
      <c r="K739" s="312">
        <v>360.0</v>
      </c>
      <c r="L739" s="312"/>
      <c r="M739" s="312">
        <v>205.0</v>
      </c>
      <c r="N739" s="312"/>
      <c r="O739" s="312"/>
      <c r="P739" s="315">
        <v>42936.0</v>
      </c>
      <c r="Q739" s="312">
        <v>100449.0</v>
      </c>
      <c r="R739" s="312">
        <v>348.0</v>
      </c>
      <c r="S739" s="316"/>
      <c r="T739" s="317">
        <v>352.41</v>
      </c>
      <c r="U739" s="312" t="s">
        <v>1366</v>
      </c>
      <c r="V739" s="312" t="s">
        <v>1367</v>
      </c>
      <c r="W739" s="50"/>
      <c r="X739" s="50"/>
      <c r="Y739" s="50"/>
      <c r="Z739" s="312"/>
      <c r="AA739" s="50"/>
      <c r="AB739" s="50"/>
      <c r="AC739" s="50"/>
      <c r="AD739" s="50"/>
      <c r="AE739" s="50"/>
    </row>
    <row r="740">
      <c r="A740" s="307">
        <v>43014.61944444444</v>
      </c>
      <c r="B740" s="312" t="s">
        <v>723</v>
      </c>
      <c r="C740" s="303" t="s">
        <v>1177</v>
      </c>
      <c r="D740" s="303" t="s">
        <v>1178</v>
      </c>
      <c r="E740" s="315">
        <v>42235.0</v>
      </c>
      <c r="F740" s="312" t="s">
        <v>22</v>
      </c>
      <c r="G740" s="303" t="s">
        <v>1203</v>
      </c>
      <c r="H740" s="303" t="s">
        <v>1181</v>
      </c>
      <c r="I740" s="303" t="s">
        <v>1181</v>
      </c>
      <c r="J740" s="306">
        <v>0.8</v>
      </c>
      <c r="K740" s="312">
        <v>360.0</v>
      </c>
      <c r="L740" s="312"/>
      <c r="M740" s="312">
        <v>204.0</v>
      </c>
      <c r="N740" s="312"/>
      <c r="O740" s="312"/>
      <c r="P740" s="315">
        <v>43014.0</v>
      </c>
      <c r="Q740" s="312">
        <v>112335.0</v>
      </c>
      <c r="R740" s="312">
        <v>347.0</v>
      </c>
      <c r="S740" s="316"/>
      <c r="T740" s="317">
        <v>351.39</v>
      </c>
      <c r="U740" s="312" t="s">
        <v>1366</v>
      </c>
      <c r="V740" s="312" t="s">
        <v>1367</v>
      </c>
      <c r="W740" s="50"/>
      <c r="X740" s="50"/>
      <c r="Y740" s="50"/>
      <c r="Z740" s="312"/>
      <c r="AA740" s="50"/>
      <c r="AB740" s="50"/>
      <c r="AC740" s="50"/>
      <c r="AD740" s="50"/>
      <c r="AE740" s="50"/>
    </row>
    <row r="741">
      <c r="A741" s="307">
        <v>43070.643055555556</v>
      </c>
      <c r="B741" s="50" t="s">
        <v>723</v>
      </c>
      <c r="C741" s="303" t="s">
        <v>1177</v>
      </c>
      <c r="D741" s="303" t="s">
        <v>1178</v>
      </c>
      <c r="E741" s="310">
        <v>42235.0</v>
      </c>
      <c r="F741" s="50" t="s">
        <v>22</v>
      </c>
      <c r="G741" s="303" t="s">
        <v>1203</v>
      </c>
      <c r="H741" s="303" t="s">
        <v>1181</v>
      </c>
      <c r="I741" s="303" t="s">
        <v>1181</v>
      </c>
      <c r="J741" s="306">
        <v>0.8</v>
      </c>
      <c r="K741" s="312">
        <v>360.0</v>
      </c>
      <c r="L741" s="312"/>
      <c r="M741" s="312">
        <v>204.0</v>
      </c>
      <c r="N741" s="312"/>
      <c r="O741" s="312"/>
      <c r="P741" s="310">
        <v>43070.0</v>
      </c>
      <c r="Q741" s="50">
        <v>119635.0</v>
      </c>
      <c r="R741" s="312">
        <v>346.0</v>
      </c>
      <c r="S741" s="316"/>
      <c r="T741" s="317">
        <v>350.38</v>
      </c>
      <c r="U741" s="312" t="s">
        <v>1366</v>
      </c>
      <c r="V741" s="312" t="s">
        <v>1367</v>
      </c>
      <c r="W741" s="50"/>
      <c r="X741" s="50"/>
      <c r="Y741" s="50"/>
      <c r="Z741" s="312"/>
      <c r="AA741" s="50"/>
      <c r="AB741" s="50"/>
      <c r="AC741" s="50"/>
      <c r="AD741" s="50"/>
      <c r="AE741" s="50"/>
    </row>
    <row r="742">
      <c r="A742" s="307">
        <v>43120.67222222222</v>
      </c>
      <c r="B742" s="312" t="s">
        <v>723</v>
      </c>
      <c r="C742" s="303" t="s">
        <v>1177</v>
      </c>
      <c r="D742" s="303" t="s">
        <v>1178</v>
      </c>
      <c r="E742" s="315">
        <v>42235.0</v>
      </c>
      <c r="F742" s="312" t="s">
        <v>22</v>
      </c>
      <c r="G742" s="303" t="s">
        <v>1203</v>
      </c>
      <c r="H742" s="303" t="s">
        <v>1181</v>
      </c>
      <c r="I742" s="303" t="s">
        <v>1181</v>
      </c>
      <c r="J742" s="306">
        <v>0.8</v>
      </c>
      <c r="K742" s="312">
        <v>360.0</v>
      </c>
      <c r="L742" s="312"/>
      <c r="M742" s="312">
        <v>204.0</v>
      </c>
      <c r="N742" s="312"/>
      <c r="O742" s="312"/>
      <c r="P742" s="315">
        <v>43120.0</v>
      </c>
      <c r="Q742" s="312">
        <v>127380.0</v>
      </c>
      <c r="R742" s="312">
        <v>346.0</v>
      </c>
      <c r="S742" s="316"/>
      <c r="T742" s="317">
        <v>350.38</v>
      </c>
      <c r="U742" s="312" t="s">
        <v>1366</v>
      </c>
      <c r="V742" s="312" t="s">
        <v>1367</v>
      </c>
      <c r="W742" s="50"/>
      <c r="X742" s="50"/>
      <c r="Y742" s="50"/>
      <c r="Z742" s="312"/>
      <c r="AA742" s="50"/>
      <c r="AB742" s="50"/>
      <c r="AC742" s="50"/>
      <c r="AD742" s="50"/>
      <c r="AE742" s="50"/>
    </row>
    <row r="743">
      <c r="A743" s="307">
        <v>43202.72222222222</v>
      </c>
      <c r="B743" s="50" t="s">
        <v>723</v>
      </c>
      <c r="C743" s="303" t="s">
        <v>1177</v>
      </c>
      <c r="D743" s="303" t="s">
        <v>1178</v>
      </c>
      <c r="E743" s="310">
        <v>42235.0</v>
      </c>
      <c r="F743" s="50" t="s">
        <v>22</v>
      </c>
      <c r="G743" s="303" t="s">
        <v>1203</v>
      </c>
      <c r="H743" s="303" t="s">
        <v>1181</v>
      </c>
      <c r="I743" s="303" t="s">
        <v>1181</v>
      </c>
      <c r="J743" s="311">
        <v>0.8</v>
      </c>
      <c r="K743" s="50">
        <v>360.0</v>
      </c>
      <c r="L743" s="312"/>
      <c r="M743" s="312">
        <v>207.0</v>
      </c>
      <c r="N743" s="312"/>
      <c r="O743" s="312"/>
      <c r="P743" s="315">
        <v>43202.0</v>
      </c>
      <c r="Q743" s="312">
        <v>138550.0</v>
      </c>
      <c r="R743" s="312">
        <v>345.0</v>
      </c>
      <c r="S743" s="316"/>
      <c r="T743" s="317">
        <v>349.37</v>
      </c>
      <c r="U743" s="312" t="s">
        <v>1366</v>
      </c>
      <c r="V743" s="312" t="s">
        <v>1367</v>
      </c>
      <c r="W743" s="50"/>
      <c r="X743" s="50"/>
      <c r="Y743" s="50"/>
      <c r="Z743" s="312"/>
      <c r="AA743" s="50"/>
      <c r="AB743" s="50"/>
      <c r="AC743" s="50"/>
      <c r="AD743" s="50"/>
      <c r="AE743" s="50"/>
    </row>
    <row r="744">
      <c r="A744" s="307">
        <v>42850.89444444444</v>
      </c>
      <c r="B744" s="312" t="s">
        <v>849</v>
      </c>
      <c r="C744" s="312" t="s">
        <v>1292</v>
      </c>
      <c r="D744" s="303" t="s">
        <v>1185</v>
      </c>
      <c r="E744" s="315">
        <v>42375.0</v>
      </c>
      <c r="F744" s="312" t="s">
        <v>36</v>
      </c>
      <c r="G744" s="303" t="s">
        <v>1190</v>
      </c>
      <c r="H744" s="303" t="s">
        <v>1187</v>
      </c>
      <c r="I744" s="303" t="s">
        <v>1187</v>
      </c>
      <c r="J744" s="306">
        <v>0.8</v>
      </c>
      <c r="K744" s="50"/>
      <c r="L744" s="312"/>
      <c r="M744" s="312">
        <v>320.0</v>
      </c>
      <c r="N744" s="312"/>
      <c r="O744" s="312"/>
      <c r="P744" s="315">
        <v>42850.0</v>
      </c>
      <c r="Q744" s="312">
        <v>49129.0</v>
      </c>
      <c r="R744" s="312">
        <v>266.0</v>
      </c>
      <c r="S744" s="316"/>
      <c r="T744" s="317">
        <v>269.37</v>
      </c>
      <c r="U744" s="312" t="s">
        <v>1366</v>
      </c>
      <c r="V744" s="312" t="s">
        <v>1367</v>
      </c>
      <c r="W744" s="50"/>
      <c r="X744" s="50"/>
      <c r="Y744" s="50"/>
      <c r="Z744" s="312"/>
      <c r="AA744" s="50"/>
      <c r="AB744" s="50"/>
      <c r="AC744" s="50"/>
      <c r="AD744" s="50"/>
      <c r="AE744" s="50"/>
    </row>
    <row r="745">
      <c r="A745" s="307">
        <v>42069.08125</v>
      </c>
      <c r="B745" s="50" t="s">
        <v>214</v>
      </c>
      <c r="C745" s="303" t="s">
        <v>1177</v>
      </c>
      <c r="D745" s="303" t="s">
        <v>1178</v>
      </c>
      <c r="E745" s="315">
        <v>41927.0</v>
      </c>
      <c r="F745" s="312" t="s">
        <v>30</v>
      </c>
      <c r="G745" s="303" t="s">
        <v>1203</v>
      </c>
      <c r="H745" s="303" t="s">
        <v>1203</v>
      </c>
      <c r="I745" s="303" t="s">
        <v>1187</v>
      </c>
      <c r="J745" s="306"/>
      <c r="K745" s="50"/>
      <c r="L745" s="50"/>
      <c r="M745" s="50">
        <v>242.0</v>
      </c>
      <c r="N745" s="50"/>
      <c r="O745" s="312"/>
      <c r="P745" s="310">
        <v>42069.0</v>
      </c>
      <c r="Q745" s="50">
        <v>649.0</v>
      </c>
      <c r="R745" s="50">
        <v>393.0</v>
      </c>
      <c r="S745" s="318"/>
      <c r="T745" s="317">
        <v>397.97</v>
      </c>
      <c r="U745" s="312" t="s">
        <v>1366</v>
      </c>
      <c r="V745" s="312" t="s">
        <v>1367</v>
      </c>
      <c r="W745" s="50"/>
      <c r="X745" s="50"/>
      <c r="Y745" s="50"/>
      <c r="Z745" s="312"/>
      <c r="AA745" s="50"/>
      <c r="AB745" s="50"/>
      <c r="AC745" s="50"/>
      <c r="AD745" s="50"/>
      <c r="AE745" s="50"/>
    </row>
    <row r="746">
      <c r="A746" s="307">
        <v>42092.089583333334</v>
      </c>
      <c r="B746" s="50" t="s">
        <v>214</v>
      </c>
      <c r="C746" s="303" t="s">
        <v>1177</v>
      </c>
      <c r="D746" s="303" t="s">
        <v>1178</v>
      </c>
      <c r="E746" s="315">
        <v>41927.0</v>
      </c>
      <c r="F746" s="312" t="s">
        <v>30</v>
      </c>
      <c r="G746" s="303" t="s">
        <v>1203</v>
      </c>
      <c r="H746" s="303" t="s">
        <v>1179</v>
      </c>
      <c r="I746" s="303" t="s">
        <v>1187</v>
      </c>
      <c r="J746" s="306"/>
      <c r="K746" s="50"/>
      <c r="L746" s="50"/>
      <c r="M746" s="50">
        <v>242.0</v>
      </c>
      <c r="N746" s="50"/>
      <c r="O746" s="312"/>
      <c r="P746" s="315">
        <v>42092.0</v>
      </c>
      <c r="Q746" s="312">
        <v>5249.0</v>
      </c>
      <c r="R746" s="50">
        <v>393.0</v>
      </c>
      <c r="S746" s="318"/>
      <c r="T746" s="317">
        <v>397.97</v>
      </c>
      <c r="U746" s="312" t="s">
        <v>1366</v>
      </c>
      <c r="V746" s="312" t="s">
        <v>1367</v>
      </c>
      <c r="W746" s="50"/>
      <c r="X746" s="50"/>
      <c r="Y746" s="50"/>
      <c r="Z746" s="312"/>
      <c r="AA746" s="50"/>
      <c r="AB746" s="50"/>
      <c r="AC746" s="50"/>
      <c r="AD746" s="50"/>
      <c r="AE746" s="50"/>
    </row>
    <row r="747">
      <c r="A747" s="307">
        <v>42105.09305555555</v>
      </c>
      <c r="B747" s="50" t="s">
        <v>214</v>
      </c>
      <c r="C747" s="303" t="s">
        <v>1177</v>
      </c>
      <c r="D747" s="303" t="s">
        <v>1178</v>
      </c>
      <c r="E747" s="315">
        <v>41927.0</v>
      </c>
      <c r="F747" s="312" t="s">
        <v>30</v>
      </c>
      <c r="G747" s="303" t="s">
        <v>1203</v>
      </c>
      <c r="H747" s="303" t="s">
        <v>1190</v>
      </c>
      <c r="I747" s="303" t="s">
        <v>1187</v>
      </c>
      <c r="J747" s="306"/>
      <c r="K747" s="50"/>
      <c r="L747" s="50"/>
      <c r="M747" s="312">
        <v>232.0</v>
      </c>
      <c r="N747" s="50"/>
      <c r="O747" s="312"/>
      <c r="P747" s="315">
        <v>42105.0</v>
      </c>
      <c r="Q747" s="312">
        <v>8249.0</v>
      </c>
      <c r="R747" s="50">
        <v>393.0</v>
      </c>
      <c r="S747" s="318"/>
      <c r="T747" s="317">
        <v>397.97</v>
      </c>
      <c r="U747" s="312" t="s">
        <v>1366</v>
      </c>
      <c r="V747" s="312" t="s">
        <v>1367</v>
      </c>
      <c r="W747" s="50"/>
      <c r="X747" s="50"/>
      <c r="Y747" s="50"/>
      <c r="Z747" s="312"/>
      <c r="AA747" s="50"/>
      <c r="AB747" s="50"/>
      <c r="AC747" s="50"/>
      <c r="AD747" s="50"/>
      <c r="AE747" s="50"/>
    </row>
    <row r="748">
      <c r="A748" s="307">
        <v>42123.10763888889</v>
      </c>
      <c r="B748" s="312" t="s">
        <v>214</v>
      </c>
      <c r="C748" s="303" t="s">
        <v>1177</v>
      </c>
      <c r="D748" s="303" t="s">
        <v>1178</v>
      </c>
      <c r="E748" s="315">
        <v>41927.0</v>
      </c>
      <c r="F748" s="312" t="s">
        <v>30</v>
      </c>
      <c r="G748" s="303" t="s">
        <v>1203</v>
      </c>
      <c r="H748" s="303" t="s">
        <v>1180</v>
      </c>
      <c r="I748" s="303" t="s">
        <v>1179</v>
      </c>
      <c r="J748" s="306"/>
      <c r="K748" s="50"/>
      <c r="L748" s="312"/>
      <c r="M748" s="312">
        <v>228.0</v>
      </c>
      <c r="N748" s="50"/>
      <c r="O748" s="312"/>
      <c r="P748" s="315">
        <v>42123.0</v>
      </c>
      <c r="Q748" s="312">
        <v>11234.0</v>
      </c>
      <c r="R748" s="312">
        <v>389.0</v>
      </c>
      <c r="S748" s="316"/>
      <c r="T748" s="317">
        <v>393.92</v>
      </c>
      <c r="U748" s="312" t="s">
        <v>1366</v>
      </c>
      <c r="V748" s="312" t="s">
        <v>1367</v>
      </c>
      <c r="W748" s="50"/>
      <c r="X748" s="50"/>
      <c r="Y748" s="50"/>
      <c r="Z748" s="312"/>
      <c r="AA748" s="312" t="s">
        <v>1542</v>
      </c>
      <c r="AB748" s="50"/>
      <c r="AC748" s="50"/>
      <c r="AD748" s="50"/>
      <c r="AE748" s="50"/>
    </row>
    <row r="749">
      <c r="A749" s="307">
        <v>42151.125</v>
      </c>
      <c r="B749" s="312" t="s">
        <v>214</v>
      </c>
      <c r="C749" s="303" t="s">
        <v>1177</v>
      </c>
      <c r="D749" s="303" t="s">
        <v>1178</v>
      </c>
      <c r="E749" s="315">
        <v>41927.0</v>
      </c>
      <c r="F749" s="312" t="s">
        <v>30</v>
      </c>
      <c r="G749" s="303" t="s">
        <v>1203</v>
      </c>
      <c r="H749" s="303" t="s">
        <v>1180</v>
      </c>
      <c r="I749" s="303" t="s">
        <v>1181</v>
      </c>
      <c r="J749" s="306">
        <v>0.9</v>
      </c>
      <c r="K749" s="50"/>
      <c r="L749" s="312"/>
      <c r="M749" s="312">
        <v>225.0</v>
      </c>
      <c r="N749" s="50"/>
      <c r="O749" s="312"/>
      <c r="P749" s="315">
        <v>42151.0</v>
      </c>
      <c r="Q749" s="312">
        <v>14472.0</v>
      </c>
      <c r="R749" s="312">
        <v>386.0</v>
      </c>
      <c r="S749" s="316"/>
      <c r="T749" s="317">
        <v>390.89</v>
      </c>
      <c r="U749" s="312" t="s">
        <v>1366</v>
      </c>
      <c r="V749" s="312" t="s">
        <v>1367</v>
      </c>
      <c r="W749" s="50"/>
      <c r="X749" s="50"/>
      <c r="Y749" s="50"/>
      <c r="Z749" s="312"/>
      <c r="AA749" s="312" t="s">
        <v>1543</v>
      </c>
      <c r="AB749" s="50"/>
      <c r="AC749" s="50"/>
      <c r="AD749" s="50"/>
      <c r="AE749" s="50"/>
    </row>
    <row r="750">
      <c r="A750" s="307">
        <v>42184.14166666667</v>
      </c>
      <c r="B750" s="312" t="s">
        <v>214</v>
      </c>
      <c r="C750" s="303" t="s">
        <v>1177</v>
      </c>
      <c r="D750" s="303" t="s">
        <v>1178</v>
      </c>
      <c r="E750" s="315">
        <v>41927.0</v>
      </c>
      <c r="F750" s="312" t="s">
        <v>30</v>
      </c>
      <c r="G750" s="303" t="s">
        <v>1190</v>
      </c>
      <c r="H750" s="303" t="s">
        <v>1180</v>
      </c>
      <c r="I750" s="303" t="s">
        <v>1181</v>
      </c>
      <c r="J750" s="306">
        <v>0.8</v>
      </c>
      <c r="K750" s="50"/>
      <c r="L750" s="312"/>
      <c r="M750" s="312">
        <v>223.0</v>
      </c>
      <c r="N750" s="312"/>
      <c r="O750" s="312"/>
      <c r="P750" s="315">
        <v>42184.0</v>
      </c>
      <c r="Q750" s="312">
        <v>18412.0</v>
      </c>
      <c r="R750" s="312">
        <v>382.0</v>
      </c>
      <c r="S750" s="316"/>
      <c r="T750" s="317">
        <v>386.84</v>
      </c>
      <c r="U750" s="312" t="s">
        <v>1366</v>
      </c>
      <c r="V750" s="312" t="s">
        <v>1367</v>
      </c>
      <c r="W750" s="50"/>
      <c r="X750" s="50"/>
      <c r="Y750" s="50"/>
      <c r="Z750" s="312"/>
      <c r="AA750" s="312"/>
      <c r="AB750" s="50"/>
      <c r="AC750" s="50"/>
      <c r="AD750" s="50"/>
      <c r="AE750" s="50"/>
    </row>
    <row r="751">
      <c r="A751" s="307">
        <v>42224.15</v>
      </c>
      <c r="B751" s="312" t="s">
        <v>214</v>
      </c>
      <c r="C751" s="303" t="s">
        <v>1177</v>
      </c>
      <c r="D751" s="303" t="s">
        <v>1178</v>
      </c>
      <c r="E751" s="315">
        <v>41927.0</v>
      </c>
      <c r="F751" s="312" t="s">
        <v>30</v>
      </c>
      <c r="G751" s="303" t="s">
        <v>1190</v>
      </c>
      <c r="H751" s="303" t="s">
        <v>1180</v>
      </c>
      <c r="I751" s="303" t="s">
        <v>1181</v>
      </c>
      <c r="J751" s="306">
        <v>0.9</v>
      </c>
      <c r="K751" s="312">
        <v>393.0</v>
      </c>
      <c r="L751" s="312"/>
      <c r="M751" s="312">
        <v>220.0</v>
      </c>
      <c r="N751" s="312"/>
      <c r="O751" s="312"/>
      <c r="P751" s="315">
        <v>42224.0</v>
      </c>
      <c r="Q751" s="312">
        <v>25412.0</v>
      </c>
      <c r="R751" s="312">
        <v>381.0</v>
      </c>
      <c r="S751" s="316"/>
      <c r="T751" s="317">
        <v>385.82</v>
      </c>
      <c r="U751" s="312" t="s">
        <v>1366</v>
      </c>
      <c r="V751" s="312" t="s">
        <v>1367</v>
      </c>
      <c r="W751" s="312"/>
      <c r="X751" s="50"/>
      <c r="Y751" s="50"/>
      <c r="Z751" s="312"/>
      <c r="AA751" s="50"/>
      <c r="AB751" s="50"/>
      <c r="AC751" s="50"/>
      <c r="AD751" s="50"/>
      <c r="AE751" s="50"/>
    </row>
    <row r="752">
      <c r="A752" s="307">
        <v>42262.17986111111</v>
      </c>
      <c r="B752" s="312" t="s">
        <v>214</v>
      </c>
      <c r="C752" s="303" t="s">
        <v>1177</v>
      </c>
      <c r="D752" s="303" t="s">
        <v>1178</v>
      </c>
      <c r="E752" s="315">
        <v>41927.0</v>
      </c>
      <c r="F752" s="312" t="s">
        <v>30</v>
      </c>
      <c r="G752" s="303" t="s">
        <v>1203</v>
      </c>
      <c r="H752" s="303" t="s">
        <v>1181</v>
      </c>
      <c r="I752" s="303" t="s">
        <v>1180</v>
      </c>
      <c r="J752" s="306">
        <v>0.9</v>
      </c>
      <c r="K752" s="50"/>
      <c r="L752" s="312"/>
      <c r="M752" s="312">
        <v>218.0</v>
      </c>
      <c r="N752" s="312"/>
      <c r="O752" s="312"/>
      <c r="P752" s="315">
        <v>42262.0</v>
      </c>
      <c r="Q752" s="312">
        <v>31712.0</v>
      </c>
      <c r="R752" s="312">
        <v>378.0</v>
      </c>
      <c r="S752" s="316"/>
      <c r="T752" s="317">
        <v>382.78</v>
      </c>
      <c r="U752" s="312" t="s">
        <v>1366</v>
      </c>
      <c r="V752" s="312" t="s">
        <v>1367</v>
      </c>
      <c r="W752" s="50"/>
      <c r="X752" s="50"/>
      <c r="Y752" s="50"/>
      <c r="Z752" s="312"/>
      <c r="AA752" s="312"/>
      <c r="AB752" s="50"/>
      <c r="AC752" s="50"/>
      <c r="AD752" s="50"/>
      <c r="AE752" s="50"/>
    </row>
    <row r="753">
      <c r="A753" s="307">
        <v>42274.186111111114</v>
      </c>
      <c r="B753" s="312" t="s">
        <v>214</v>
      </c>
      <c r="C753" s="303" t="s">
        <v>1177</v>
      </c>
      <c r="D753" s="303" t="s">
        <v>1178</v>
      </c>
      <c r="E753" s="315">
        <v>41927.0</v>
      </c>
      <c r="F753" s="312" t="s">
        <v>30</v>
      </c>
      <c r="G753" s="303" t="s">
        <v>1203</v>
      </c>
      <c r="H753" s="303" t="s">
        <v>1180</v>
      </c>
      <c r="I753" s="303" t="s">
        <v>1180</v>
      </c>
      <c r="J753" s="306">
        <v>0.9</v>
      </c>
      <c r="K753" s="312">
        <v>393.0</v>
      </c>
      <c r="L753" s="312"/>
      <c r="M753" s="312">
        <v>218.0</v>
      </c>
      <c r="N753" s="312"/>
      <c r="O753" s="312"/>
      <c r="P753" s="315">
        <v>42274.0</v>
      </c>
      <c r="Q753" s="312">
        <v>33439.0</v>
      </c>
      <c r="R753" s="312">
        <v>377.0</v>
      </c>
      <c r="S753" s="316"/>
      <c r="T753" s="317">
        <v>381.77</v>
      </c>
      <c r="U753" s="312" t="s">
        <v>1366</v>
      </c>
      <c r="V753" s="312" t="s">
        <v>1367</v>
      </c>
      <c r="W753" s="50"/>
      <c r="X753" s="50"/>
      <c r="Y753" s="50"/>
      <c r="Z753" s="312"/>
      <c r="AA753" s="50"/>
      <c r="AB753" s="50"/>
      <c r="AC753" s="50"/>
      <c r="AD753" s="50"/>
      <c r="AE753" s="50"/>
    </row>
    <row r="754">
      <c r="A754" s="307">
        <v>42274.19027777778</v>
      </c>
      <c r="B754" s="312" t="s">
        <v>214</v>
      </c>
      <c r="C754" s="303" t="s">
        <v>1177</v>
      </c>
      <c r="D754" s="303" t="s">
        <v>1178</v>
      </c>
      <c r="E754" s="315">
        <v>41927.0</v>
      </c>
      <c r="F754" s="312" t="s">
        <v>30</v>
      </c>
      <c r="G754" s="303" t="s">
        <v>1203</v>
      </c>
      <c r="H754" s="303" t="s">
        <v>1190</v>
      </c>
      <c r="I754" s="303" t="s">
        <v>1180</v>
      </c>
      <c r="J754" s="306">
        <v>0.9</v>
      </c>
      <c r="K754" s="312">
        <v>393.0</v>
      </c>
      <c r="L754" s="312"/>
      <c r="M754" s="312">
        <v>218.0</v>
      </c>
      <c r="N754" s="312"/>
      <c r="O754" s="312"/>
      <c r="P754" s="315">
        <v>42274.0</v>
      </c>
      <c r="Q754" s="312">
        <v>34041.0</v>
      </c>
      <c r="R754" s="312">
        <v>377.0</v>
      </c>
      <c r="S754" s="316"/>
      <c r="T754" s="317">
        <v>381.77</v>
      </c>
      <c r="U754" s="312" t="s">
        <v>1366</v>
      </c>
      <c r="V754" s="312" t="s">
        <v>1367</v>
      </c>
      <c r="W754" s="50"/>
      <c r="X754" s="50"/>
      <c r="Y754" s="50"/>
      <c r="Z754" s="312"/>
      <c r="AA754" s="50"/>
      <c r="AB754" s="50"/>
      <c r="AC754" s="50"/>
      <c r="AD754" s="50"/>
      <c r="AE754" s="50"/>
    </row>
    <row r="755">
      <c r="A755" s="307">
        <v>42298.20625</v>
      </c>
      <c r="B755" s="312" t="s">
        <v>214</v>
      </c>
      <c r="C755" s="303" t="s">
        <v>1177</v>
      </c>
      <c r="D755" s="303" t="s">
        <v>1178</v>
      </c>
      <c r="E755" s="315">
        <v>41927.0</v>
      </c>
      <c r="F755" s="312" t="s">
        <v>30</v>
      </c>
      <c r="G755" s="303" t="s">
        <v>1203</v>
      </c>
      <c r="H755" s="303" t="s">
        <v>1190</v>
      </c>
      <c r="I755" s="303" t="s">
        <v>1180</v>
      </c>
      <c r="J755" s="306">
        <v>0.9</v>
      </c>
      <c r="K755" s="312">
        <v>393.0</v>
      </c>
      <c r="L755" s="312"/>
      <c r="M755" s="312">
        <v>218.0</v>
      </c>
      <c r="N755" s="312"/>
      <c r="O755" s="312"/>
      <c r="P755" s="315">
        <v>42298.0</v>
      </c>
      <c r="Q755" s="312">
        <v>37896.0</v>
      </c>
      <c r="R755" s="312">
        <v>375.0</v>
      </c>
      <c r="S755" s="316"/>
      <c r="T755" s="317">
        <v>379.75</v>
      </c>
      <c r="U755" s="312" t="s">
        <v>1366</v>
      </c>
      <c r="V755" s="312" t="s">
        <v>1367</v>
      </c>
      <c r="W755" s="50"/>
      <c r="X755" s="50"/>
      <c r="Y755" s="50"/>
      <c r="Z755" s="312"/>
      <c r="AA755" s="312" t="s">
        <v>1373</v>
      </c>
      <c r="AB755" s="50"/>
      <c r="AC755" s="50"/>
      <c r="AD755" s="50"/>
      <c r="AE755" s="50"/>
    </row>
    <row r="756">
      <c r="A756" s="307">
        <v>42319.22638888889</v>
      </c>
      <c r="B756" s="312" t="s">
        <v>214</v>
      </c>
      <c r="C756" s="303" t="s">
        <v>1177</v>
      </c>
      <c r="D756" s="303" t="s">
        <v>1178</v>
      </c>
      <c r="E756" s="315">
        <v>41927.0</v>
      </c>
      <c r="F756" s="312" t="s">
        <v>30</v>
      </c>
      <c r="G756" s="303" t="s">
        <v>1203</v>
      </c>
      <c r="H756" s="303" t="s">
        <v>1180</v>
      </c>
      <c r="I756" s="303" t="s">
        <v>1180</v>
      </c>
      <c r="J756" s="306">
        <v>0.9</v>
      </c>
      <c r="K756" s="312">
        <v>393.0</v>
      </c>
      <c r="L756" s="312"/>
      <c r="M756" s="312">
        <v>218.0</v>
      </c>
      <c r="N756" s="312"/>
      <c r="O756" s="312"/>
      <c r="P756" s="315">
        <v>42319.0</v>
      </c>
      <c r="Q756" s="312">
        <v>41628.0</v>
      </c>
      <c r="R756" s="312">
        <v>376.0</v>
      </c>
      <c r="S756" s="316"/>
      <c r="T756" s="317">
        <v>380.76</v>
      </c>
      <c r="U756" s="312" t="s">
        <v>1366</v>
      </c>
      <c r="V756" s="312" t="s">
        <v>1367</v>
      </c>
      <c r="W756" s="312">
        <v>376.0</v>
      </c>
      <c r="X756" s="312">
        <v>246.0</v>
      </c>
      <c r="Y756" s="312" t="s">
        <v>1544</v>
      </c>
      <c r="Z756" s="312" t="s">
        <v>1366</v>
      </c>
      <c r="AA756" s="50"/>
      <c r="AB756" s="50"/>
      <c r="AC756" s="50"/>
      <c r="AD756" s="50"/>
      <c r="AE756" s="50"/>
    </row>
    <row r="757">
      <c r="A757" s="307">
        <v>42365.26180555556</v>
      </c>
      <c r="B757" s="312" t="s">
        <v>214</v>
      </c>
      <c r="C757" s="303" t="s">
        <v>1177</v>
      </c>
      <c r="D757" s="303" t="s">
        <v>1178</v>
      </c>
      <c r="E757" s="310">
        <v>41927.0</v>
      </c>
      <c r="F757" s="312" t="s">
        <v>30</v>
      </c>
      <c r="G757" s="312"/>
      <c r="H757" s="312"/>
      <c r="I757" s="312"/>
      <c r="J757" s="306"/>
      <c r="K757" s="50"/>
      <c r="L757" s="312"/>
      <c r="M757" s="312">
        <v>218.0</v>
      </c>
      <c r="N757" s="312"/>
      <c r="O757" s="312"/>
      <c r="P757" s="315">
        <v>42365.0</v>
      </c>
      <c r="Q757" s="312">
        <v>49285.0</v>
      </c>
      <c r="R757" s="312">
        <v>376.0</v>
      </c>
      <c r="S757" s="316"/>
      <c r="T757" s="317">
        <v>380.76</v>
      </c>
      <c r="U757" s="312" t="s">
        <v>1366</v>
      </c>
      <c r="V757" s="312" t="s">
        <v>1367</v>
      </c>
      <c r="W757" s="50"/>
      <c r="X757" s="50"/>
      <c r="Y757" s="50"/>
      <c r="Z757" s="312"/>
      <c r="AA757" s="50"/>
      <c r="AB757" s="50"/>
      <c r="AC757" s="50"/>
      <c r="AD757" s="50"/>
      <c r="AE757" s="50"/>
    </row>
    <row r="758">
      <c r="A758" s="307">
        <v>42398.279861111114</v>
      </c>
      <c r="B758" s="312" t="s">
        <v>214</v>
      </c>
      <c r="C758" s="303" t="s">
        <v>1177</v>
      </c>
      <c r="D758" s="303" t="s">
        <v>1178</v>
      </c>
      <c r="E758" s="310">
        <v>41927.0</v>
      </c>
      <c r="F758" s="312" t="s">
        <v>30</v>
      </c>
      <c r="G758" s="312"/>
      <c r="H758" s="312"/>
      <c r="I758" s="312"/>
      <c r="J758" s="306"/>
      <c r="K758" s="50"/>
      <c r="L758" s="312"/>
      <c r="M758" s="312">
        <v>218.0</v>
      </c>
      <c r="N758" s="312"/>
      <c r="O758" s="312"/>
      <c r="P758" s="315">
        <v>42398.0</v>
      </c>
      <c r="Q758" s="312">
        <v>52483.0</v>
      </c>
      <c r="R758" s="312">
        <v>372.0</v>
      </c>
      <c r="S758" s="316"/>
      <c r="T758" s="317">
        <v>376.71</v>
      </c>
      <c r="U758" s="312" t="s">
        <v>1366</v>
      </c>
      <c r="V758" s="312" t="s">
        <v>1367</v>
      </c>
      <c r="W758" s="50"/>
      <c r="X758" s="50"/>
      <c r="Y758" s="50"/>
      <c r="Z758" s="312"/>
      <c r="AA758" s="50"/>
      <c r="AB758" s="50"/>
      <c r="AC758" s="50"/>
      <c r="AD758" s="50"/>
      <c r="AE758" s="50"/>
    </row>
    <row r="759">
      <c r="A759" s="307">
        <v>42447.30763888889</v>
      </c>
      <c r="B759" s="312" t="s">
        <v>214</v>
      </c>
      <c r="C759" s="303" t="s">
        <v>1177</v>
      </c>
      <c r="D759" s="303" t="s">
        <v>1178</v>
      </c>
      <c r="E759" s="315">
        <v>41927.0</v>
      </c>
      <c r="F759" s="312" t="s">
        <v>30</v>
      </c>
      <c r="G759" s="312"/>
      <c r="H759" s="312"/>
      <c r="I759" s="312"/>
      <c r="J759" s="306"/>
      <c r="K759" s="50"/>
      <c r="L759" s="312"/>
      <c r="M759" s="312">
        <v>237.0</v>
      </c>
      <c r="N759" s="312"/>
      <c r="O759" s="312"/>
      <c r="P759" s="315">
        <v>42447.0</v>
      </c>
      <c r="Q759" s="312">
        <v>61737.0</v>
      </c>
      <c r="R759" s="312">
        <v>378.0</v>
      </c>
      <c r="S759" s="316"/>
      <c r="T759" s="317">
        <v>382.78</v>
      </c>
      <c r="U759" s="312" t="s">
        <v>1366</v>
      </c>
      <c r="V759" s="312" t="s">
        <v>1367</v>
      </c>
      <c r="W759" s="50"/>
      <c r="X759" s="50"/>
      <c r="Y759" s="50"/>
      <c r="Z759" s="312"/>
      <c r="AA759" s="50"/>
      <c r="AB759" s="50"/>
      <c r="AC759" s="50"/>
      <c r="AD759" s="50"/>
      <c r="AE759" s="50"/>
    </row>
    <row r="760">
      <c r="A760" s="307">
        <v>42702.46527777778</v>
      </c>
      <c r="B760" s="312" t="s">
        <v>214</v>
      </c>
      <c r="C760" s="303" t="s">
        <v>1177</v>
      </c>
      <c r="D760" s="303" t="s">
        <v>1178</v>
      </c>
      <c r="E760" s="315">
        <v>41927.0</v>
      </c>
      <c r="F760" s="312" t="s">
        <v>30</v>
      </c>
      <c r="G760" s="303" t="s">
        <v>1205</v>
      </c>
      <c r="H760" s="303" t="s">
        <v>1181</v>
      </c>
      <c r="I760" s="303" t="s">
        <v>1180</v>
      </c>
      <c r="J760" s="306">
        <v>0.9</v>
      </c>
      <c r="K760" s="312">
        <v>393.0</v>
      </c>
      <c r="L760" s="312"/>
      <c r="M760" s="312">
        <v>215.0</v>
      </c>
      <c r="N760" s="312"/>
      <c r="O760" s="312"/>
      <c r="P760" s="315">
        <v>42702.0</v>
      </c>
      <c r="Q760" s="312">
        <v>97602.0</v>
      </c>
      <c r="R760" s="312">
        <v>373.0</v>
      </c>
      <c r="S760" s="316"/>
      <c r="T760" s="317">
        <v>377.72</v>
      </c>
      <c r="U760" s="312" t="s">
        <v>1366</v>
      </c>
      <c r="V760" s="312" t="s">
        <v>1367</v>
      </c>
      <c r="W760" s="50"/>
      <c r="X760" s="50"/>
      <c r="Y760" s="50"/>
      <c r="Z760" s="312"/>
      <c r="AA760" s="50"/>
      <c r="AB760" s="50"/>
      <c r="AC760" s="50"/>
      <c r="AD760" s="50"/>
      <c r="AE760" s="50"/>
    </row>
    <row r="761">
      <c r="A761" s="307">
        <v>42751.49097222222</v>
      </c>
      <c r="B761" s="312" t="s">
        <v>214</v>
      </c>
      <c r="C761" s="303" t="s">
        <v>1177</v>
      </c>
      <c r="D761" s="303" t="s">
        <v>1178</v>
      </c>
      <c r="E761" s="315">
        <v>41927.0</v>
      </c>
      <c r="F761" s="312" t="s">
        <v>30</v>
      </c>
      <c r="G761" s="303" t="s">
        <v>1203</v>
      </c>
      <c r="H761" s="303" t="s">
        <v>1181</v>
      </c>
      <c r="I761" s="303" t="s">
        <v>1186</v>
      </c>
      <c r="J761" s="306">
        <v>0.9</v>
      </c>
      <c r="K761" s="50"/>
      <c r="L761" s="312"/>
      <c r="M761" s="312">
        <v>217.0</v>
      </c>
      <c r="N761" s="312"/>
      <c r="O761" s="312"/>
      <c r="P761" s="315">
        <v>42751.0</v>
      </c>
      <c r="Q761" s="312">
        <v>104958.0</v>
      </c>
      <c r="R761" s="312">
        <v>372.0</v>
      </c>
      <c r="S761" s="316"/>
      <c r="T761" s="317">
        <v>376.71</v>
      </c>
      <c r="U761" s="312" t="s">
        <v>1366</v>
      </c>
      <c r="V761" s="312" t="s">
        <v>1367</v>
      </c>
      <c r="W761" s="50"/>
      <c r="X761" s="50"/>
      <c r="Y761" s="50"/>
      <c r="Z761" s="312"/>
      <c r="AA761" s="50"/>
      <c r="AB761" s="50"/>
      <c r="AC761" s="50"/>
      <c r="AD761" s="50"/>
      <c r="AE761" s="50"/>
    </row>
    <row r="762">
      <c r="A762" s="307">
        <v>42982.59930555556</v>
      </c>
      <c r="B762" s="312" t="s">
        <v>214</v>
      </c>
      <c r="C762" s="303" t="s">
        <v>1177</v>
      </c>
      <c r="D762" s="303" t="s">
        <v>1178</v>
      </c>
      <c r="E762" s="315">
        <v>41927.0</v>
      </c>
      <c r="F762" s="312" t="s">
        <v>30</v>
      </c>
      <c r="G762" s="312"/>
      <c r="H762" s="312"/>
      <c r="I762" s="312"/>
      <c r="J762" s="306"/>
      <c r="K762" s="50"/>
      <c r="L762" s="312"/>
      <c r="M762" s="312">
        <v>215.0</v>
      </c>
      <c r="N762" s="312"/>
      <c r="O762" s="312"/>
      <c r="P762" s="315">
        <v>42982.0</v>
      </c>
      <c r="Q762" s="312">
        <v>137120.0</v>
      </c>
      <c r="R762" s="312">
        <v>374.0</v>
      </c>
      <c r="S762" s="316"/>
      <c r="T762" s="317">
        <v>378.73</v>
      </c>
      <c r="U762" s="312" t="s">
        <v>1366</v>
      </c>
      <c r="V762" s="312" t="s">
        <v>1367</v>
      </c>
      <c r="W762" s="50"/>
      <c r="X762" s="50"/>
      <c r="Y762" s="50"/>
      <c r="Z762" s="312"/>
      <c r="AA762" s="50"/>
      <c r="AB762" s="50"/>
      <c r="AC762" s="50"/>
      <c r="AD762" s="50"/>
      <c r="AE762" s="50"/>
    </row>
    <row r="763">
      <c r="A763" s="307">
        <v>42282.19236111111</v>
      </c>
      <c r="B763" s="312" t="s">
        <v>834</v>
      </c>
      <c r="C763" s="303" t="s">
        <v>1177</v>
      </c>
      <c r="D763" s="303" t="s">
        <v>1178</v>
      </c>
      <c r="E763" s="315">
        <v>42266.0</v>
      </c>
      <c r="F763" s="312" t="s">
        <v>22</v>
      </c>
      <c r="G763" s="303" t="s">
        <v>1181</v>
      </c>
      <c r="H763" s="303" t="s">
        <v>1181</v>
      </c>
      <c r="I763" s="303" t="s">
        <v>1187</v>
      </c>
      <c r="J763" s="306">
        <v>0.9</v>
      </c>
      <c r="K763" s="312">
        <v>323.0</v>
      </c>
      <c r="L763" s="312"/>
      <c r="M763" s="312">
        <v>197.0</v>
      </c>
      <c r="N763" s="312"/>
      <c r="O763" s="312"/>
      <c r="P763" s="315">
        <v>42282.0</v>
      </c>
      <c r="Q763" s="312">
        <v>896.0</v>
      </c>
      <c r="R763" s="312">
        <v>351.0</v>
      </c>
      <c r="S763" s="316"/>
      <c r="T763" s="317">
        <v>355.44</v>
      </c>
      <c r="U763" s="312" t="s">
        <v>1366</v>
      </c>
      <c r="V763" s="312" t="s">
        <v>1367</v>
      </c>
      <c r="W763" s="50"/>
      <c r="X763" s="50"/>
      <c r="Y763" s="50"/>
      <c r="Z763" s="312"/>
      <c r="AA763" s="312" t="s">
        <v>1405</v>
      </c>
      <c r="AB763" s="50"/>
      <c r="AC763" s="50"/>
      <c r="AD763" s="50"/>
      <c r="AE763" s="50"/>
    </row>
    <row r="764">
      <c r="A764" s="307">
        <v>42285.19513888889</v>
      </c>
      <c r="B764" s="312" t="s">
        <v>834</v>
      </c>
      <c r="C764" s="303" t="s">
        <v>1177</v>
      </c>
      <c r="D764" s="303" t="s">
        <v>1178</v>
      </c>
      <c r="E764" s="315">
        <v>42266.0</v>
      </c>
      <c r="F764" s="312" t="s">
        <v>22</v>
      </c>
      <c r="G764" s="303" t="s">
        <v>1181</v>
      </c>
      <c r="H764" s="303" t="s">
        <v>1181</v>
      </c>
      <c r="I764" s="303" t="s">
        <v>1187</v>
      </c>
      <c r="J764" s="306">
        <v>0.9</v>
      </c>
      <c r="K764" s="312">
        <v>323.0</v>
      </c>
      <c r="L764" s="312"/>
      <c r="M764" s="312">
        <v>198.0</v>
      </c>
      <c r="N764" s="312"/>
      <c r="O764" s="312"/>
      <c r="P764" s="315">
        <v>42285.0</v>
      </c>
      <c r="Q764" s="312">
        <v>1068.0</v>
      </c>
      <c r="R764" s="312">
        <v>351.0</v>
      </c>
      <c r="S764" s="316"/>
      <c r="T764" s="317">
        <v>355.44</v>
      </c>
      <c r="U764" s="312" t="s">
        <v>1366</v>
      </c>
      <c r="V764" s="312" t="s">
        <v>1367</v>
      </c>
      <c r="W764" s="50"/>
      <c r="X764" s="50"/>
      <c r="Y764" s="50"/>
      <c r="Z764" s="312"/>
      <c r="AA764" s="312" t="s">
        <v>1500</v>
      </c>
      <c r="AB764" s="50"/>
      <c r="AC764" s="50"/>
      <c r="AD764" s="50"/>
      <c r="AE764" s="50"/>
    </row>
    <row r="765">
      <c r="A765" s="307">
        <v>42301.209027777775</v>
      </c>
      <c r="B765" s="312" t="s">
        <v>834</v>
      </c>
      <c r="C765" s="303" t="s">
        <v>1177</v>
      </c>
      <c r="D765" s="303" t="s">
        <v>1178</v>
      </c>
      <c r="E765" s="315">
        <v>42266.0</v>
      </c>
      <c r="F765" s="312" t="s">
        <v>22</v>
      </c>
      <c r="G765" s="303" t="s">
        <v>1180</v>
      </c>
      <c r="H765" s="303" t="s">
        <v>1180</v>
      </c>
      <c r="I765" s="303" t="s">
        <v>1187</v>
      </c>
      <c r="J765" s="306">
        <v>0.9</v>
      </c>
      <c r="K765" s="50"/>
      <c r="L765" s="312"/>
      <c r="M765" s="312">
        <v>210.0</v>
      </c>
      <c r="N765" s="312"/>
      <c r="O765" s="312"/>
      <c r="P765" s="315">
        <v>42301.0</v>
      </c>
      <c r="Q765" s="312">
        <v>2611.0</v>
      </c>
      <c r="R765" s="312">
        <v>351.0</v>
      </c>
      <c r="S765" s="316"/>
      <c r="T765" s="317">
        <v>355.44</v>
      </c>
      <c r="U765" s="312" t="s">
        <v>1366</v>
      </c>
      <c r="V765" s="312" t="s">
        <v>1367</v>
      </c>
      <c r="W765" s="312">
        <v>322.0</v>
      </c>
      <c r="X765" s="312">
        <v>251.0</v>
      </c>
      <c r="Y765" s="312">
        <v>11.7</v>
      </c>
      <c r="Z765" s="312" t="s">
        <v>1366</v>
      </c>
      <c r="AA765" s="50"/>
      <c r="AB765" s="50"/>
      <c r="AC765" s="50"/>
      <c r="AD765" s="50"/>
      <c r="AE765" s="50"/>
    </row>
    <row r="766">
      <c r="A766" s="307">
        <v>42303.214583333334</v>
      </c>
      <c r="B766" s="312" t="s">
        <v>834</v>
      </c>
      <c r="C766" s="303" t="s">
        <v>1177</v>
      </c>
      <c r="D766" s="303" t="s">
        <v>1178</v>
      </c>
      <c r="E766" s="315">
        <v>42266.0</v>
      </c>
      <c r="F766" s="312" t="s">
        <v>22</v>
      </c>
      <c r="G766" s="303" t="s">
        <v>1179</v>
      </c>
      <c r="H766" s="303" t="s">
        <v>1180</v>
      </c>
      <c r="I766" s="303" t="s">
        <v>1187</v>
      </c>
      <c r="J766" s="306">
        <v>0.9</v>
      </c>
      <c r="K766" s="312">
        <v>360.0</v>
      </c>
      <c r="L766" s="312"/>
      <c r="M766" s="312">
        <v>209.0</v>
      </c>
      <c r="N766" s="312"/>
      <c r="O766" s="312"/>
      <c r="P766" s="315">
        <v>42303.0</v>
      </c>
      <c r="Q766" s="312">
        <v>2787.0</v>
      </c>
      <c r="R766" s="312">
        <v>360.0</v>
      </c>
      <c r="S766" s="316"/>
      <c r="T766" s="317">
        <v>364.56</v>
      </c>
      <c r="U766" s="312" t="s">
        <v>1366</v>
      </c>
      <c r="V766" s="312" t="s">
        <v>1367</v>
      </c>
      <c r="W766" s="50"/>
      <c r="X766" s="50"/>
      <c r="Y766" s="50"/>
      <c r="Z766" s="312"/>
      <c r="AA766" s="50"/>
      <c r="AB766" s="50"/>
      <c r="AC766" s="50"/>
      <c r="AD766" s="50"/>
      <c r="AE766" s="50"/>
    </row>
    <row r="767">
      <c r="A767" s="307">
        <v>42311.21805555555</v>
      </c>
      <c r="B767" s="312" t="s">
        <v>834</v>
      </c>
      <c r="C767" s="303" t="s">
        <v>1177</v>
      </c>
      <c r="D767" s="303" t="s">
        <v>1178</v>
      </c>
      <c r="E767" s="315">
        <v>42266.0</v>
      </c>
      <c r="F767" s="312" t="s">
        <v>22</v>
      </c>
      <c r="G767" s="303" t="s">
        <v>1179</v>
      </c>
      <c r="H767" s="303" t="s">
        <v>1181</v>
      </c>
      <c r="I767" s="303" t="s">
        <v>1187</v>
      </c>
      <c r="J767" s="306">
        <v>0.9</v>
      </c>
      <c r="K767" s="312">
        <v>360.0</v>
      </c>
      <c r="L767" s="312"/>
      <c r="M767" s="312">
        <v>202.0</v>
      </c>
      <c r="N767" s="312"/>
      <c r="O767" s="312"/>
      <c r="P767" s="315">
        <v>42311.0</v>
      </c>
      <c r="Q767" s="312">
        <v>3567.0</v>
      </c>
      <c r="R767" s="312">
        <v>366.0</v>
      </c>
      <c r="S767" s="316"/>
      <c r="T767" s="317">
        <v>370.63</v>
      </c>
      <c r="U767" s="312" t="s">
        <v>1366</v>
      </c>
      <c r="V767" s="312" t="s">
        <v>1367</v>
      </c>
      <c r="W767" s="50"/>
      <c r="X767" s="50"/>
      <c r="Y767" s="50"/>
      <c r="Z767" s="312"/>
      <c r="AA767" s="50"/>
      <c r="AB767" s="50"/>
      <c r="AC767" s="50"/>
      <c r="AD767" s="50"/>
      <c r="AE767" s="50"/>
    </row>
    <row r="768">
      <c r="A768" s="307">
        <v>42313.21944444445</v>
      </c>
      <c r="B768" s="312" t="s">
        <v>834</v>
      </c>
      <c r="C768" s="303" t="s">
        <v>1177</v>
      </c>
      <c r="D768" s="303" t="s">
        <v>1178</v>
      </c>
      <c r="E768" s="315">
        <v>42266.0</v>
      </c>
      <c r="F768" s="312" t="s">
        <v>22</v>
      </c>
      <c r="G768" s="303" t="s">
        <v>1179</v>
      </c>
      <c r="H768" s="303" t="s">
        <v>1181</v>
      </c>
      <c r="I768" s="303" t="s">
        <v>1187</v>
      </c>
      <c r="J768" s="306">
        <v>0.9</v>
      </c>
      <c r="K768" s="312">
        <v>360.0</v>
      </c>
      <c r="L768" s="312"/>
      <c r="M768" s="312">
        <v>205.0</v>
      </c>
      <c r="N768" s="312"/>
      <c r="O768" s="312"/>
      <c r="P768" s="315">
        <v>42313.0</v>
      </c>
      <c r="Q768" s="312">
        <v>3700.0</v>
      </c>
      <c r="R768" s="312">
        <v>352.0</v>
      </c>
      <c r="S768" s="316"/>
      <c r="T768" s="317">
        <v>356.46</v>
      </c>
      <c r="U768" s="312" t="s">
        <v>1366</v>
      </c>
      <c r="V768" s="312" t="s">
        <v>1367</v>
      </c>
      <c r="W768" s="50"/>
      <c r="X768" s="50"/>
      <c r="Y768" s="50"/>
      <c r="Z768" s="312"/>
      <c r="AA768" s="50"/>
      <c r="AB768" s="50"/>
      <c r="AC768" s="50"/>
      <c r="AD768" s="50"/>
      <c r="AE768" s="50"/>
    </row>
    <row r="769">
      <c r="A769" s="307">
        <v>42324.231944444444</v>
      </c>
      <c r="B769" s="312" t="s">
        <v>834</v>
      </c>
      <c r="C769" s="303" t="s">
        <v>1177</v>
      </c>
      <c r="D769" s="303" t="s">
        <v>1178</v>
      </c>
      <c r="E769" s="315">
        <v>42266.0</v>
      </c>
      <c r="F769" s="312" t="s">
        <v>22</v>
      </c>
      <c r="G769" s="303" t="s">
        <v>1179</v>
      </c>
      <c r="H769" s="303" t="s">
        <v>1180</v>
      </c>
      <c r="I769" s="303" t="s">
        <v>1187</v>
      </c>
      <c r="J769" s="306">
        <v>0.9</v>
      </c>
      <c r="K769" s="312">
        <v>360.0</v>
      </c>
      <c r="L769" s="312"/>
      <c r="M769" s="312">
        <v>205.0</v>
      </c>
      <c r="N769" s="312"/>
      <c r="O769" s="312"/>
      <c r="P769" s="315">
        <v>42324.0</v>
      </c>
      <c r="Q769" s="312">
        <v>4400.0</v>
      </c>
      <c r="R769" s="312">
        <v>350.0</v>
      </c>
      <c r="S769" s="316"/>
      <c r="T769" s="317">
        <v>354.43</v>
      </c>
      <c r="U769" s="312" t="s">
        <v>1366</v>
      </c>
      <c r="V769" s="312" t="s">
        <v>1367</v>
      </c>
      <c r="W769" s="312">
        <v>323.0</v>
      </c>
      <c r="X769" s="50"/>
      <c r="Y769" s="50"/>
      <c r="Z769" s="312"/>
      <c r="AA769" s="50"/>
      <c r="AB769" s="50"/>
      <c r="AC769" s="50"/>
      <c r="AD769" s="50"/>
      <c r="AE769" s="50"/>
    </row>
    <row r="770">
      <c r="A770" s="307">
        <v>42840.52222222222</v>
      </c>
      <c r="B770" s="312" t="s">
        <v>834</v>
      </c>
      <c r="C770" s="303" t="s">
        <v>1177</v>
      </c>
      <c r="D770" s="303" t="s">
        <v>1178</v>
      </c>
      <c r="E770" s="315">
        <v>42266.0</v>
      </c>
      <c r="F770" s="312" t="s">
        <v>22</v>
      </c>
      <c r="G770" s="303" t="s">
        <v>1180</v>
      </c>
      <c r="H770" s="303" t="s">
        <v>1181</v>
      </c>
      <c r="I770" s="303" t="s">
        <v>1187</v>
      </c>
      <c r="J770" s="306">
        <v>0.9</v>
      </c>
      <c r="K770" s="312">
        <v>358.0</v>
      </c>
      <c r="L770" s="312"/>
      <c r="M770" s="312">
        <v>219.0</v>
      </c>
      <c r="N770" s="312"/>
      <c r="O770" s="312"/>
      <c r="P770" s="315">
        <v>42840.0</v>
      </c>
      <c r="Q770" s="312">
        <v>31913.0</v>
      </c>
      <c r="R770" s="312">
        <v>348.0</v>
      </c>
      <c r="S770" s="316"/>
      <c r="T770" s="317">
        <v>352.41</v>
      </c>
      <c r="U770" s="312" t="s">
        <v>1366</v>
      </c>
      <c r="V770" s="312" t="s">
        <v>1367</v>
      </c>
      <c r="W770" s="50"/>
      <c r="X770" s="50"/>
      <c r="Y770" s="50"/>
      <c r="Z770" s="312"/>
      <c r="AA770" s="50"/>
      <c r="AB770" s="50"/>
      <c r="AC770" s="50"/>
      <c r="AD770" s="50"/>
      <c r="AE770" s="50"/>
    </row>
    <row r="771">
      <c r="A771" s="307">
        <v>42847.527083333334</v>
      </c>
      <c r="B771" s="312" t="s">
        <v>834</v>
      </c>
      <c r="C771" s="303" t="s">
        <v>1177</v>
      </c>
      <c r="D771" s="303" t="s">
        <v>1178</v>
      </c>
      <c r="E771" s="315">
        <v>42266.0</v>
      </c>
      <c r="F771" s="312" t="s">
        <v>22</v>
      </c>
      <c r="G771" s="303" t="s">
        <v>1180</v>
      </c>
      <c r="H771" s="303" t="s">
        <v>1181</v>
      </c>
      <c r="I771" s="303" t="s">
        <v>1186</v>
      </c>
      <c r="J771" s="306">
        <v>0.9</v>
      </c>
      <c r="K771" s="50"/>
      <c r="L771" s="312"/>
      <c r="M771" s="312">
        <v>212.0</v>
      </c>
      <c r="N771" s="312"/>
      <c r="O771" s="312"/>
      <c r="P771" s="315">
        <v>42847.0</v>
      </c>
      <c r="Q771" s="312">
        <v>32373.0</v>
      </c>
      <c r="R771" s="312">
        <v>352.0</v>
      </c>
      <c r="S771" s="316"/>
      <c r="T771" s="317">
        <v>356.46</v>
      </c>
      <c r="U771" s="312" t="s">
        <v>1366</v>
      </c>
      <c r="V771" s="312" t="s">
        <v>1367</v>
      </c>
      <c r="W771" s="50"/>
      <c r="X771" s="50"/>
      <c r="Y771" s="50"/>
      <c r="Z771" s="312"/>
      <c r="AA771" s="50"/>
      <c r="AB771" s="50"/>
      <c r="AC771" s="50"/>
      <c r="AD771" s="50"/>
      <c r="AE771" s="50"/>
    </row>
    <row r="772">
      <c r="A772" s="307">
        <v>42854.52847222222</v>
      </c>
      <c r="B772" s="312" t="s">
        <v>834</v>
      </c>
      <c r="C772" s="303" t="s">
        <v>1177</v>
      </c>
      <c r="D772" s="303" t="s">
        <v>1178</v>
      </c>
      <c r="E772" s="315">
        <v>42266.0</v>
      </c>
      <c r="F772" s="312" t="s">
        <v>22</v>
      </c>
      <c r="G772" s="303" t="s">
        <v>1181</v>
      </c>
      <c r="H772" s="303" t="s">
        <v>1181</v>
      </c>
      <c r="I772" s="303" t="s">
        <v>1187</v>
      </c>
      <c r="J772" s="306">
        <v>0.9</v>
      </c>
      <c r="K772" s="312">
        <v>352.0</v>
      </c>
      <c r="L772" s="312"/>
      <c r="M772" s="312"/>
      <c r="N772" s="312"/>
      <c r="O772" s="312"/>
      <c r="P772" s="315">
        <v>42854.0</v>
      </c>
      <c r="Q772" s="312">
        <v>32788.0</v>
      </c>
      <c r="R772" s="312">
        <v>345.0</v>
      </c>
      <c r="S772" s="316"/>
      <c r="T772" s="317">
        <v>349.37</v>
      </c>
      <c r="U772" s="312" t="s">
        <v>1366</v>
      </c>
      <c r="V772" s="312" t="s">
        <v>1367</v>
      </c>
      <c r="W772" s="50"/>
      <c r="X772" s="50"/>
      <c r="Y772" s="50"/>
      <c r="Z772" s="312"/>
      <c r="AA772" s="312" t="s">
        <v>1545</v>
      </c>
      <c r="AB772" s="50"/>
      <c r="AC772" s="50"/>
      <c r="AD772" s="50"/>
      <c r="AE772" s="50"/>
    </row>
    <row r="773">
      <c r="A773" s="307">
        <v>42909.55138888889</v>
      </c>
      <c r="B773" s="312" t="s">
        <v>834</v>
      </c>
      <c r="C773" s="303" t="s">
        <v>1177</v>
      </c>
      <c r="D773" s="303" t="s">
        <v>1178</v>
      </c>
      <c r="E773" s="315">
        <v>42266.0</v>
      </c>
      <c r="F773" s="312" t="s">
        <v>22</v>
      </c>
      <c r="G773" s="303" t="s">
        <v>1180</v>
      </c>
      <c r="H773" s="303" t="s">
        <v>1180</v>
      </c>
      <c r="I773" s="303" t="s">
        <v>1187</v>
      </c>
      <c r="J773" s="306">
        <v>0.9</v>
      </c>
      <c r="K773" s="312">
        <v>352.0</v>
      </c>
      <c r="L773" s="312"/>
      <c r="M773" s="312">
        <v>200.0</v>
      </c>
      <c r="N773" s="312"/>
      <c r="O773" s="312"/>
      <c r="P773" s="315">
        <v>42909.0</v>
      </c>
      <c r="Q773" s="312">
        <v>37050.0</v>
      </c>
      <c r="R773" s="312">
        <v>355.0</v>
      </c>
      <c r="S773" s="316"/>
      <c r="T773" s="317">
        <v>359.49</v>
      </c>
      <c r="U773" s="312" t="s">
        <v>1366</v>
      </c>
      <c r="V773" s="312" t="s">
        <v>1367</v>
      </c>
      <c r="W773" s="50"/>
      <c r="X773" s="50"/>
      <c r="Y773" s="50"/>
      <c r="Z773" s="312"/>
      <c r="AA773" s="50"/>
      <c r="AB773" s="50"/>
      <c r="AC773" s="50"/>
      <c r="AD773" s="50"/>
      <c r="AE773" s="50"/>
    </row>
    <row r="774">
      <c r="A774" s="307">
        <v>42917.55347222222</v>
      </c>
      <c r="B774" s="312" t="s">
        <v>834</v>
      </c>
      <c r="C774" s="303" t="s">
        <v>1177</v>
      </c>
      <c r="D774" s="303" t="s">
        <v>1178</v>
      </c>
      <c r="E774" s="315">
        <v>42266.0</v>
      </c>
      <c r="F774" s="312" t="s">
        <v>22</v>
      </c>
      <c r="G774" s="303" t="s">
        <v>1180</v>
      </c>
      <c r="H774" s="303" t="s">
        <v>1179</v>
      </c>
      <c r="I774" s="303" t="s">
        <v>1187</v>
      </c>
      <c r="J774" s="306">
        <v>0.9</v>
      </c>
      <c r="K774" s="312">
        <v>352.0</v>
      </c>
      <c r="L774" s="312"/>
      <c r="M774" s="312">
        <v>203.0</v>
      </c>
      <c r="N774" s="312"/>
      <c r="O774" s="312"/>
      <c r="P774" s="315">
        <v>42917.0</v>
      </c>
      <c r="Q774" s="312">
        <v>37891.0</v>
      </c>
      <c r="R774" s="312">
        <v>355.0</v>
      </c>
      <c r="S774" s="316"/>
      <c r="T774" s="317">
        <v>359.49</v>
      </c>
      <c r="U774" s="312" t="s">
        <v>1366</v>
      </c>
      <c r="V774" s="312" t="s">
        <v>1367</v>
      </c>
      <c r="W774" s="50"/>
      <c r="X774" s="50"/>
      <c r="Y774" s="50"/>
      <c r="Z774" s="312"/>
      <c r="AA774" s="50"/>
      <c r="AB774" s="50"/>
      <c r="AC774" s="50"/>
      <c r="AD774" s="50"/>
      <c r="AE774" s="50"/>
    </row>
    <row r="775">
      <c r="A775" s="307">
        <v>42986.60277777778</v>
      </c>
      <c r="B775" s="312" t="s">
        <v>834</v>
      </c>
      <c r="C775" s="303" t="s">
        <v>1177</v>
      </c>
      <c r="D775" s="303" t="s">
        <v>1178</v>
      </c>
      <c r="E775" s="315">
        <v>42266.0</v>
      </c>
      <c r="F775" s="312" t="s">
        <v>22</v>
      </c>
      <c r="G775" s="303" t="s">
        <v>1180</v>
      </c>
      <c r="H775" s="303" t="s">
        <v>1180</v>
      </c>
      <c r="I775" s="303" t="s">
        <v>1186</v>
      </c>
      <c r="J775" s="306">
        <v>0.9</v>
      </c>
      <c r="K775" s="312">
        <v>352.0</v>
      </c>
      <c r="L775" s="312"/>
      <c r="M775" s="312">
        <v>189.0</v>
      </c>
      <c r="N775" s="312"/>
      <c r="O775" s="312"/>
      <c r="P775" s="315">
        <v>42986.0</v>
      </c>
      <c r="Q775" s="312">
        <v>42825.0</v>
      </c>
      <c r="R775" s="312">
        <v>348.0</v>
      </c>
      <c r="S775" s="316"/>
      <c r="T775" s="317">
        <v>352.41</v>
      </c>
      <c r="U775" s="312" t="s">
        <v>1366</v>
      </c>
      <c r="V775" s="312" t="s">
        <v>1367</v>
      </c>
      <c r="W775" s="50"/>
      <c r="X775" s="50"/>
      <c r="Y775" s="50"/>
      <c r="Z775" s="312"/>
      <c r="AA775" s="312" t="s">
        <v>1546</v>
      </c>
      <c r="AB775" s="50"/>
      <c r="AC775" s="50"/>
      <c r="AD775" s="50"/>
      <c r="AE775" s="50"/>
    </row>
    <row r="776">
      <c r="A776" s="307">
        <v>43036.62986111111</v>
      </c>
      <c r="B776" s="312" t="s">
        <v>834</v>
      </c>
      <c r="C776" s="303" t="s">
        <v>1177</v>
      </c>
      <c r="D776" s="303" t="s">
        <v>1178</v>
      </c>
      <c r="E776" s="315">
        <v>42266.0</v>
      </c>
      <c r="F776" s="312" t="s">
        <v>22</v>
      </c>
      <c r="G776" s="303" t="s">
        <v>1180</v>
      </c>
      <c r="H776" s="303" t="s">
        <v>1180</v>
      </c>
      <c r="I776" s="303" t="s">
        <v>1186</v>
      </c>
      <c r="J776" s="306">
        <v>0.9</v>
      </c>
      <c r="K776" s="312">
        <v>360.0</v>
      </c>
      <c r="L776" s="312"/>
      <c r="M776" s="312">
        <v>218.0</v>
      </c>
      <c r="N776" s="312"/>
      <c r="O776" s="312"/>
      <c r="P776" s="315">
        <v>43036.0</v>
      </c>
      <c r="Q776" s="312">
        <v>45754.0</v>
      </c>
      <c r="R776" s="312">
        <v>348.0</v>
      </c>
      <c r="S776" s="316"/>
      <c r="T776" s="317">
        <v>352.41</v>
      </c>
      <c r="U776" s="312" t="s">
        <v>1366</v>
      </c>
      <c r="V776" s="312" t="s">
        <v>1367</v>
      </c>
      <c r="W776" s="50"/>
      <c r="X776" s="50"/>
      <c r="Y776" s="50"/>
      <c r="Z776" s="312"/>
      <c r="AA776" s="50"/>
      <c r="AB776" s="50"/>
      <c r="AC776" s="50"/>
      <c r="AD776" s="50"/>
      <c r="AE776" s="50"/>
    </row>
    <row r="777">
      <c r="A777" s="307">
        <v>43072.64097222222</v>
      </c>
      <c r="B777" s="312" t="s">
        <v>834</v>
      </c>
      <c r="C777" s="303" t="s">
        <v>1177</v>
      </c>
      <c r="D777" s="303" t="s">
        <v>1178</v>
      </c>
      <c r="E777" s="315">
        <v>42266.0</v>
      </c>
      <c r="F777" s="312" t="s">
        <v>22</v>
      </c>
      <c r="G777" s="303" t="s">
        <v>1180</v>
      </c>
      <c r="H777" s="303" t="s">
        <v>1180</v>
      </c>
      <c r="I777" s="303" t="s">
        <v>1186</v>
      </c>
      <c r="J777" s="306">
        <v>0.9</v>
      </c>
      <c r="K777" s="312">
        <v>360.0</v>
      </c>
      <c r="L777" s="312"/>
      <c r="M777" s="312">
        <v>218.0</v>
      </c>
      <c r="N777" s="312"/>
      <c r="O777" s="312"/>
      <c r="P777" s="315">
        <v>43072.0</v>
      </c>
      <c r="Q777" s="312">
        <v>47832.0</v>
      </c>
      <c r="R777" s="312">
        <v>350.0</v>
      </c>
      <c r="S777" s="316"/>
      <c r="T777" s="317">
        <v>354.43</v>
      </c>
      <c r="U777" s="312" t="s">
        <v>1366</v>
      </c>
      <c r="V777" s="312" t="s">
        <v>1367</v>
      </c>
      <c r="W777" s="50"/>
      <c r="X777" s="50"/>
      <c r="Y777" s="50"/>
      <c r="Z777" s="312"/>
      <c r="AA777" s="50"/>
      <c r="AB777" s="50"/>
      <c r="AC777" s="50"/>
      <c r="AD777" s="50"/>
      <c r="AE777" s="50"/>
    </row>
    <row r="778">
      <c r="A778" s="307">
        <v>42964.57916666667</v>
      </c>
      <c r="B778" s="312" t="s">
        <v>962</v>
      </c>
      <c r="C778" s="303" t="s">
        <v>1177</v>
      </c>
      <c r="D778" s="303" t="s">
        <v>1178</v>
      </c>
      <c r="E778" s="315">
        <v>42558.0</v>
      </c>
      <c r="F778" s="312" t="s">
        <v>28</v>
      </c>
      <c r="G778" s="303" t="s">
        <v>1181</v>
      </c>
      <c r="H778" s="303" t="s">
        <v>1181</v>
      </c>
      <c r="I778" s="303" t="s">
        <v>1187</v>
      </c>
      <c r="J778" s="306">
        <v>0.9</v>
      </c>
      <c r="K778" s="50"/>
      <c r="L778" s="312"/>
      <c r="M778" s="312">
        <v>215.0</v>
      </c>
      <c r="N778" s="312"/>
      <c r="O778" s="312"/>
      <c r="P778" s="315">
        <v>42964.0</v>
      </c>
      <c r="Q778" s="312">
        <v>23357.0</v>
      </c>
      <c r="R778" s="312">
        <v>375.0</v>
      </c>
      <c r="S778" s="316"/>
      <c r="T778" s="317">
        <v>375.0</v>
      </c>
      <c r="U778" s="312" t="s">
        <v>1369</v>
      </c>
      <c r="V778" s="312" t="s">
        <v>1367</v>
      </c>
      <c r="W778" s="50"/>
      <c r="X778" s="50"/>
      <c r="Y778" s="50"/>
      <c r="Z778" s="312"/>
      <c r="AA778" s="50"/>
      <c r="AB778" s="50"/>
      <c r="AC778" s="50"/>
      <c r="AD778" s="50"/>
      <c r="AE778" s="50"/>
    </row>
    <row r="779">
      <c r="A779" s="307">
        <v>42299.90277777778</v>
      </c>
      <c r="B779" s="312" t="s">
        <v>1057</v>
      </c>
      <c r="C779" s="312" t="s">
        <v>1197</v>
      </c>
      <c r="D779" s="303" t="s">
        <v>1178</v>
      </c>
      <c r="E779" s="315">
        <v>41607.0</v>
      </c>
      <c r="F779" s="312" t="s">
        <v>32</v>
      </c>
      <c r="G779" s="303" t="s">
        <v>1181</v>
      </c>
      <c r="H779" s="303" t="s">
        <v>1181</v>
      </c>
      <c r="I779" s="303" t="s">
        <v>1181</v>
      </c>
      <c r="J779" s="306">
        <v>0.9</v>
      </c>
      <c r="K779" s="312">
        <v>430.0</v>
      </c>
      <c r="L779" s="312"/>
      <c r="M779" s="312">
        <v>233.0</v>
      </c>
      <c r="N779" s="312"/>
      <c r="O779" s="312"/>
      <c r="P779" s="315">
        <v>42299.0</v>
      </c>
      <c r="Q779" s="312">
        <v>59365.0</v>
      </c>
      <c r="R779" s="312">
        <v>414.0</v>
      </c>
      <c r="S779" s="316"/>
      <c r="T779" s="317">
        <v>419.24</v>
      </c>
      <c r="U779" s="312" t="s">
        <v>1366</v>
      </c>
      <c r="V779" s="312" t="s">
        <v>1367</v>
      </c>
      <c r="W779" s="50"/>
      <c r="X779" s="50"/>
      <c r="Y779" s="50"/>
      <c r="Z779" s="312"/>
      <c r="AA779" s="50"/>
      <c r="AB779" s="50"/>
      <c r="AC779" s="50"/>
      <c r="AD779" s="50"/>
      <c r="AE779" s="50"/>
    </row>
    <row r="780">
      <c r="A780" s="307">
        <v>41908.02013888889</v>
      </c>
      <c r="B780" s="50" t="s">
        <v>1017</v>
      </c>
      <c r="C780" s="303" t="s">
        <v>1177</v>
      </c>
      <c r="D780" s="303" t="s">
        <v>1178</v>
      </c>
      <c r="E780" s="310">
        <v>41542.0</v>
      </c>
      <c r="F780" s="312" t="s">
        <v>1370</v>
      </c>
      <c r="G780" s="303" t="s">
        <v>1181</v>
      </c>
      <c r="H780" s="303" t="s">
        <v>1186</v>
      </c>
      <c r="I780" s="303" t="s">
        <v>1187</v>
      </c>
      <c r="J780" s="306"/>
      <c r="K780" s="50"/>
      <c r="L780" s="50"/>
      <c r="M780" s="50">
        <v>214.0</v>
      </c>
      <c r="N780" s="50"/>
      <c r="O780" s="312"/>
      <c r="P780" s="310">
        <v>41908.0</v>
      </c>
      <c r="Q780" s="50">
        <v>29481.0</v>
      </c>
      <c r="R780" s="50">
        <v>385.0</v>
      </c>
      <c r="S780" s="318"/>
      <c r="T780" s="317">
        <v>388.89</v>
      </c>
      <c r="U780" s="312" t="s">
        <v>1407</v>
      </c>
      <c r="V780" s="312" t="s">
        <v>1367</v>
      </c>
      <c r="W780" s="50"/>
      <c r="X780" s="50"/>
      <c r="Y780" s="50"/>
      <c r="Z780" s="312"/>
      <c r="AA780" s="50"/>
      <c r="AB780" s="50"/>
      <c r="AC780" s="50"/>
      <c r="AD780" s="50"/>
      <c r="AE780" s="50"/>
    </row>
    <row r="781">
      <c r="A781" s="307">
        <v>43018.85625</v>
      </c>
      <c r="B781" s="312" t="s">
        <v>1033</v>
      </c>
      <c r="C781" s="312" t="s">
        <v>1184</v>
      </c>
      <c r="D781" s="303" t="s">
        <v>1185</v>
      </c>
      <c r="E781" s="315">
        <v>42865.0</v>
      </c>
      <c r="F781" s="312" t="s">
        <v>25</v>
      </c>
      <c r="G781" s="303" t="s">
        <v>1179</v>
      </c>
      <c r="H781" s="303" t="s">
        <v>1181</v>
      </c>
      <c r="I781" s="303" t="s">
        <v>1181</v>
      </c>
      <c r="J781" s="306">
        <v>0.8</v>
      </c>
      <c r="K781" s="50"/>
      <c r="L781" s="312"/>
      <c r="M781" s="312">
        <v>265.0</v>
      </c>
      <c r="N781" s="312"/>
      <c r="O781" s="312"/>
      <c r="P781" s="315">
        <v>43018.0</v>
      </c>
      <c r="Q781" s="312">
        <v>5500.0</v>
      </c>
      <c r="R781" s="312">
        <v>240.0</v>
      </c>
      <c r="S781" s="316"/>
      <c r="T781" s="317">
        <v>243.04</v>
      </c>
      <c r="U781" s="312" t="s">
        <v>1366</v>
      </c>
      <c r="V781" s="312" t="s">
        <v>1367</v>
      </c>
      <c r="W781" s="50"/>
      <c r="X781" s="50"/>
      <c r="Y781" s="50"/>
      <c r="Z781" s="312"/>
      <c r="AA781" s="50"/>
      <c r="AB781" s="50"/>
      <c r="AC781" s="50"/>
      <c r="AD781" s="50"/>
      <c r="AE781" s="50"/>
    </row>
    <row r="782">
      <c r="A782" s="307">
        <v>43188.88263888889</v>
      </c>
      <c r="B782" s="312" t="s">
        <v>1033</v>
      </c>
      <c r="C782" s="312" t="s">
        <v>1184</v>
      </c>
      <c r="D782" s="303" t="s">
        <v>1185</v>
      </c>
      <c r="E782" s="315">
        <v>42865.0</v>
      </c>
      <c r="F782" s="312" t="s">
        <v>25</v>
      </c>
      <c r="G782" s="303" t="s">
        <v>1179</v>
      </c>
      <c r="H782" s="303" t="s">
        <v>1181</v>
      </c>
      <c r="I782" s="303" t="s">
        <v>1181</v>
      </c>
      <c r="J782" s="306">
        <v>0.8</v>
      </c>
      <c r="K782" s="50"/>
      <c r="L782" s="312"/>
      <c r="M782" s="312">
        <v>265.0</v>
      </c>
      <c r="N782" s="312"/>
      <c r="O782" s="312"/>
      <c r="P782" s="315">
        <v>43188.0</v>
      </c>
      <c r="Q782" s="312">
        <v>9235.0</v>
      </c>
      <c r="R782" s="312">
        <v>236.0</v>
      </c>
      <c r="S782" s="316"/>
      <c r="T782" s="317">
        <v>238.99</v>
      </c>
      <c r="U782" s="312" t="s">
        <v>1366</v>
      </c>
      <c r="V782" s="312" t="s">
        <v>1367</v>
      </c>
      <c r="W782" s="50"/>
      <c r="X782" s="50"/>
      <c r="Y782" s="50"/>
      <c r="Z782" s="312"/>
      <c r="AA782" s="312" t="s">
        <v>1547</v>
      </c>
      <c r="AB782" s="50"/>
      <c r="AC782" s="50"/>
      <c r="AD782" s="50"/>
      <c r="AE782" s="50"/>
    </row>
    <row r="783">
      <c r="A783" s="307">
        <v>43083.865277777775</v>
      </c>
      <c r="B783" s="312" t="s">
        <v>1548</v>
      </c>
      <c r="C783" s="312" t="s">
        <v>1184</v>
      </c>
      <c r="D783" s="303" t="s">
        <v>1185</v>
      </c>
      <c r="E783" s="315">
        <v>42724.0</v>
      </c>
      <c r="F783" s="312" t="s">
        <v>28</v>
      </c>
      <c r="G783" s="303" t="s">
        <v>1180</v>
      </c>
      <c r="H783" s="303" t="s">
        <v>1190</v>
      </c>
      <c r="I783" s="303" t="s">
        <v>1186</v>
      </c>
      <c r="J783" s="306">
        <v>0.9</v>
      </c>
      <c r="K783" s="50"/>
      <c r="L783" s="312"/>
      <c r="M783" s="50"/>
      <c r="N783" s="312"/>
      <c r="O783" s="312"/>
      <c r="P783" s="315">
        <v>43083.0</v>
      </c>
      <c r="Q783" s="312">
        <v>28583.0</v>
      </c>
      <c r="R783" s="312">
        <v>252.0</v>
      </c>
      <c r="S783" s="316"/>
      <c r="T783" s="317">
        <v>255.19</v>
      </c>
      <c r="U783" s="312" t="s">
        <v>1366</v>
      </c>
      <c r="V783" s="312" t="s">
        <v>1367</v>
      </c>
      <c r="W783" s="50"/>
      <c r="X783" s="50"/>
      <c r="Y783" s="50"/>
      <c r="Z783" s="312"/>
      <c r="AA783" s="50"/>
      <c r="AB783" s="50"/>
      <c r="AC783" s="50"/>
      <c r="AD783" s="50"/>
      <c r="AE783" s="50"/>
    </row>
    <row r="784">
      <c r="A784" s="307">
        <v>42029.06527777778</v>
      </c>
      <c r="B784" s="50" t="s">
        <v>756</v>
      </c>
      <c r="C784" s="303" t="s">
        <v>1177</v>
      </c>
      <c r="D784" s="303" t="s">
        <v>1178</v>
      </c>
      <c r="E784" s="310">
        <v>41631.0</v>
      </c>
      <c r="F784" s="312" t="s">
        <v>32</v>
      </c>
      <c r="G784" s="303" t="s">
        <v>1179</v>
      </c>
      <c r="H784" s="303" t="s">
        <v>1180</v>
      </c>
      <c r="I784" s="303" t="s">
        <v>1180</v>
      </c>
      <c r="J784" s="306"/>
      <c r="K784" s="50"/>
      <c r="L784" s="50"/>
      <c r="M784" s="50">
        <v>230.0</v>
      </c>
      <c r="N784" s="50"/>
      <c r="O784" s="312"/>
      <c r="P784" s="310">
        <v>42029.0</v>
      </c>
      <c r="Q784" s="50">
        <v>33000.0</v>
      </c>
      <c r="R784" s="50">
        <v>375.0</v>
      </c>
      <c r="S784" s="318"/>
      <c r="T784" s="317">
        <v>379.75</v>
      </c>
      <c r="U784" s="312" t="s">
        <v>1366</v>
      </c>
      <c r="V784" s="312" t="s">
        <v>1367</v>
      </c>
      <c r="W784" s="50"/>
      <c r="X784" s="50"/>
      <c r="Y784" s="50"/>
      <c r="Z784" s="312"/>
      <c r="AA784" s="50" t="s">
        <v>1549</v>
      </c>
      <c r="AB784" s="50"/>
      <c r="AC784" s="50"/>
      <c r="AD784" s="50"/>
      <c r="AE784" s="50"/>
    </row>
    <row r="785">
      <c r="A785" s="307">
        <v>42113.10138888889</v>
      </c>
      <c r="B785" s="50" t="s">
        <v>756</v>
      </c>
      <c r="C785" s="303" t="s">
        <v>1177</v>
      </c>
      <c r="D785" s="303" t="s">
        <v>1178</v>
      </c>
      <c r="E785" s="310">
        <v>41631.0</v>
      </c>
      <c r="F785" s="50" t="s">
        <v>32</v>
      </c>
      <c r="G785" s="303" t="s">
        <v>1179</v>
      </c>
      <c r="H785" s="303" t="s">
        <v>1180</v>
      </c>
      <c r="I785" s="303" t="s">
        <v>1180</v>
      </c>
      <c r="J785" s="306"/>
      <c r="K785" s="50"/>
      <c r="L785" s="312"/>
      <c r="M785" s="312">
        <v>233.0</v>
      </c>
      <c r="N785" s="50"/>
      <c r="O785" s="312"/>
      <c r="P785" s="310">
        <v>42113.0</v>
      </c>
      <c r="Q785" s="50">
        <v>40500.0</v>
      </c>
      <c r="R785" s="312">
        <v>373.0</v>
      </c>
      <c r="S785" s="316"/>
      <c r="T785" s="317">
        <v>377.72</v>
      </c>
      <c r="U785" s="312" t="s">
        <v>1366</v>
      </c>
      <c r="V785" s="312" t="s">
        <v>1367</v>
      </c>
      <c r="W785" s="50"/>
      <c r="X785" s="50"/>
      <c r="Y785" s="50"/>
      <c r="Z785" s="312"/>
      <c r="AA785" s="50" t="s">
        <v>1549</v>
      </c>
      <c r="AB785" s="50"/>
      <c r="AC785" s="50"/>
      <c r="AD785" s="50"/>
      <c r="AE785" s="50"/>
    </row>
    <row r="786">
      <c r="A786" s="307">
        <v>42225.15555555555</v>
      </c>
      <c r="B786" s="312" t="s">
        <v>756</v>
      </c>
      <c r="C786" s="303" t="s">
        <v>1177</v>
      </c>
      <c r="D786" s="303" t="s">
        <v>1178</v>
      </c>
      <c r="E786" s="315">
        <v>41631.0</v>
      </c>
      <c r="F786" s="312" t="s">
        <v>32</v>
      </c>
      <c r="G786" s="303" t="s">
        <v>1181</v>
      </c>
      <c r="H786" s="303" t="s">
        <v>1181</v>
      </c>
      <c r="I786" s="303" t="s">
        <v>1181</v>
      </c>
      <c r="J786" s="306">
        <v>0.9</v>
      </c>
      <c r="K786" s="312">
        <v>396.0</v>
      </c>
      <c r="L786" s="312"/>
      <c r="M786" s="312">
        <v>233.0</v>
      </c>
      <c r="N786" s="312"/>
      <c r="O786" s="312"/>
      <c r="P786" s="315">
        <v>42225.0</v>
      </c>
      <c r="Q786" s="312">
        <v>52500.0</v>
      </c>
      <c r="R786" s="312">
        <v>373.0</v>
      </c>
      <c r="S786" s="316"/>
      <c r="T786" s="317">
        <v>377.72</v>
      </c>
      <c r="U786" s="312" t="s">
        <v>1366</v>
      </c>
      <c r="V786" s="312" t="s">
        <v>1367</v>
      </c>
      <c r="W786" s="50"/>
      <c r="X786" s="50"/>
      <c r="Y786" s="50"/>
      <c r="Z786" s="312"/>
      <c r="AA786" s="312" t="s">
        <v>1373</v>
      </c>
      <c r="AB786" s="50"/>
      <c r="AC786" s="50"/>
      <c r="AD786" s="50"/>
      <c r="AE786" s="50"/>
    </row>
    <row r="787">
      <c r="A787" s="307">
        <v>42278.191666666666</v>
      </c>
      <c r="B787" s="312" t="s">
        <v>756</v>
      </c>
      <c r="C787" s="303" t="s">
        <v>1177</v>
      </c>
      <c r="D787" s="303" t="s">
        <v>1178</v>
      </c>
      <c r="E787" s="315">
        <v>41631.0</v>
      </c>
      <c r="F787" s="312" t="s">
        <v>32</v>
      </c>
      <c r="G787" s="303" t="s">
        <v>1181</v>
      </c>
      <c r="H787" s="303" t="s">
        <v>1181</v>
      </c>
      <c r="I787" s="303" t="s">
        <v>1181</v>
      </c>
      <c r="J787" s="306">
        <v>0.9</v>
      </c>
      <c r="K787" s="312">
        <v>396.0</v>
      </c>
      <c r="L787" s="312"/>
      <c r="M787" s="312">
        <v>228.0</v>
      </c>
      <c r="N787" s="312"/>
      <c r="O787" s="312"/>
      <c r="P787" s="315">
        <v>42278.0</v>
      </c>
      <c r="Q787" s="312">
        <v>56000.0</v>
      </c>
      <c r="R787" s="312">
        <v>374.0</v>
      </c>
      <c r="S787" s="316"/>
      <c r="T787" s="317">
        <v>378.73</v>
      </c>
      <c r="U787" s="312" t="s">
        <v>1366</v>
      </c>
      <c r="V787" s="312" t="s">
        <v>1367</v>
      </c>
      <c r="W787" s="50"/>
      <c r="X787" s="50"/>
      <c r="Y787" s="50"/>
      <c r="Z787" s="312"/>
      <c r="AA787" s="50"/>
      <c r="AB787" s="50"/>
      <c r="AC787" s="50"/>
      <c r="AD787" s="50"/>
      <c r="AE787" s="50"/>
    </row>
    <row r="788">
      <c r="A788" s="307">
        <v>42363.260416666664</v>
      </c>
      <c r="B788" s="312" t="s">
        <v>756</v>
      </c>
      <c r="C788" s="303" t="s">
        <v>1177</v>
      </c>
      <c r="D788" s="303" t="s">
        <v>1178</v>
      </c>
      <c r="E788" s="315">
        <v>41631.0</v>
      </c>
      <c r="F788" s="312" t="s">
        <v>32</v>
      </c>
      <c r="G788" s="303" t="s">
        <v>1181</v>
      </c>
      <c r="H788" s="303" t="s">
        <v>1181</v>
      </c>
      <c r="I788" s="303" t="s">
        <v>1181</v>
      </c>
      <c r="J788" s="306">
        <v>0.9</v>
      </c>
      <c r="K788" s="312">
        <v>396.0</v>
      </c>
      <c r="L788" s="312"/>
      <c r="M788" s="312">
        <v>226.0</v>
      </c>
      <c r="N788" s="312"/>
      <c r="O788" s="312"/>
      <c r="P788" s="315">
        <v>42363.0</v>
      </c>
      <c r="Q788" s="312">
        <v>64000.0</v>
      </c>
      <c r="R788" s="312">
        <v>374.0</v>
      </c>
      <c r="S788" s="316"/>
      <c r="T788" s="317">
        <v>378.73</v>
      </c>
      <c r="U788" s="312" t="s">
        <v>1366</v>
      </c>
      <c r="V788" s="312" t="s">
        <v>1367</v>
      </c>
      <c r="W788" s="312">
        <v>374.0</v>
      </c>
      <c r="X788" s="312">
        <v>2.0</v>
      </c>
      <c r="Y788" s="312" t="s">
        <v>1550</v>
      </c>
      <c r="Z788" s="312" t="s">
        <v>1366</v>
      </c>
      <c r="AA788" s="312" t="s">
        <v>1551</v>
      </c>
      <c r="AB788" s="50"/>
      <c r="AC788" s="50"/>
      <c r="AD788" s="50"/>
      <c r="AE788" s="50"/>
    </row>
    <row r="789">
      <c r="A789" s="307">
        <v>42457.31319444445</v>
      </c>
      <c r="B789" s="312" t="s">
        <v>756</v>
      </c>
      <c r="C789" s="303" t="s">
        <v>1177</v>
      </c>
      <c r="D789" s="303" t="s">
        <v>1178</v>
      </c>
      <c r="E789" s="315">
        <v>41631.0</v>
      </c>
      <c r="F789" s="312" t="s">
        <v>32</v>
      </c>
      <c r="G789" s="303" t="s">
        <v>1181</v>
      </c>
      <c r="H789" s="303" t="s">
        <v>1181</v>
      </c>
      <c r="I789" s="303" t="s">
        <v>1181</v>
      </c>
      <c r="J789" s="306">
        <v>0.9</v>
      </c>
      <c r="K789" s="312">
        <v>396.0</v>
      </c>
      <c r="L789" s="312"/>
      <c r="M789" s="312">
        <v>221.0</v>
      </c>
      <c r="N789" s="312"/>
      <c r="O789" s="312"/>
      <c r="P789" s="315">
        <v>42457.0</v>
      </c>
      <c r="Q789" s="312">
        <v>71000.0</v>
      </c>
      <c r="R789" s="312">
        <v>376.0</v>
      </c>
      <c r="S789" s="316"/>
      <c r="T789" s="317">
        <v>380.76</v>
      </c>
      <c r="U789" s="312" t="s">
        <v>1366</v>
      </c>
      <c r="V789" s="312" t="s">
        <v>1367</v>
      </c>
      <c r="W789" s="50"/>
      <c r="X789" s="50"/>
      <c r="Y789" s="50"/>
      <c r="Z789" s="312"/>
      <c r="AA789" s="50"/>
      <c r="AB789" s="50"/>
      <c r="AC789" s="50"/>
      <c r="AD789" s="50"/>
      <c r="AE789" s="50"/>
    </row>
    <row r="790">
      <c r="A790" s="307">
        <v>42532.35</v>
      </c>
      <c r="B790" s="312" t="s">
        <v>756</v>
      </c>
      <c r="C790" s="303" t="s">
        <v>1177</v>
      </c>
      <c r="D790" s="303" t="s">
        <v>1178</v>
      </c>
      <c r="E790" s="315">
        <v>41631.0</v>
      </c>
      <c r="F790" s="312" t="s">
        <v>32</v>
      </c>
      <c r="G790" s="303" t="s">
        <v>1179</v>
      </c>
      <c r="H790" s="303" t="s">
        <v>1180</v>
      </c>
      <c r="I790" s="303" t="s">
        <v>1180</v>
      </c>
      <c r="J790" s="306">
        <v>0.9</v>
      </c>
      <c r="K790" s="312">
        <v>396.0</v>
      </c>
      <c r="L790" s="312"/>
      <c r="M790" s="312">
        <v>226.0</v>
      </c>
      <c r="N790" s="312"/>
      <c r="O790" s="312"/>
      <c r="P790" s="315">
        <v>42532.0</v>
      </c>
      <c r="Q790" s="312">
        <v>74500.0</v>
      </c>
      <c r="R790" s="312">
        <v>379.0</v>
      </c>
      <c r="S790" s="316"/>
      <c r="T790" s="317">
        <v>383.8</v>
      </c>
      <c r="U790" s="312" t="s">
        <v>1366</v>
      </c>
      <c r="V790" s="312" t="s">
        <v>1367</v>
      </c>
      <c r="W790" s="50"/>
      <c r="X790" s="50"/>
      <c r="Y790" s="50"/>
      <c r="Z790" s="312"/>
      <c r="AA790" s="312" t="s">
        <v>1552</v>
      </c>
      <c r="AB790" s="50"/>
      <c r="AC790" s="50"/>
      <c r="AD790" s="50"/>
      <c r="AE790" s="50"/>
    </row>
    <row r="791">
      <c r="A791" s="307">
        <v>42605.38263888889</v>
      </c>
      <c r="B791" s="312" t="s">
        <v>756</v>
      </c>
      <c r="C791" s="303" t="s">
        <v>1177</v>
      </c>
      <c r="D791" s="303" t="s">
        <v>1178</v>
      </c>
      <c r="E791" s="315">
        <v>41631.0</v>
      </c>
      <c r="F791" s="312" t="s">
        <v>32</v>
      </c>
      <c r="G791" s="303" t="s">
        <v>1179</v>
      </c>
      <c r="H791" s="303" t="s">
        <v>1180</v>
      </c>
      <c r="I791" s="303" t="s">
        <v>1180</v>
      </c>
      <c r="J791" s="306">
        <v>0.9</v>
      </c>
      <c r="K791" s="312">
        <v>396.0</v>
      </c>
      <c r="L791" s="312"/>
      <c r="M791" s="312">
        <v>225.0</v>
      </c>
      <c r="N791" s="312"/>
      <c r="O791" s="312"/>
      <c r="P791" s="315">
        <v>42605.0</v>
      </c>
      <c r="Q791" s="312">
        <v>84561.0</v>
      </c>
      <c r="R791" s="312">
        <v>381.0</v>
      </c>
      <c r="S791" s="316"/>
      <c r="T791" s="317">
        <v>385.82</v>
      </c>
      <c r="U791" s="312" t="s">
        <v>1366</v>
      </c>
      <c r="V791" s="312" t="s">
        <v>1367</v>
      </c>
      <c r="W791" s="50"/>
      <c r="X791" s="50"/>
      <c r="Y791" s="50"/>
      <c r="Z791" s="312"/>
      <c r="AA791" s="50"/>
      <c r="AB791" s="50"/>
      <c r="AC791" s="50"/>
      <c r="AD791" s="50"/>
      <c r="AE791" s="50"/>
    </row>
    <row r="792">
      <c r="A792" s="307">
        <v>42771.49791666667</v>
      </c>
      <c r="B792" s="312" t="s">
        <v>756</v>
      </c>
      <c r="C792" s="303" t="s">
        <v>1177</v>
      </c>
      <c r="D792" s="303" t="s">
        <v>1178</v>
      </c>
      <c r="E792" s="315">
        <v>41631.0</v>
      </c>
      <c r="F792" s="312" t="s">
        <v>32</v>
      </c>
      <c r="G792" s="303" t="s">
        <v>1179</v>
      </c>
      <c r="H792" s="303" t="s">
        <v>1180</v>
      </c>
      <c r="I792" s="303" t="s">
        <v>1180</v>
      </c>
      <c r="J792" s="306">
        <v>0.9</v>
      </c>
      <c r="K792" s="312">
        <v>396.0</v>
      </c>
      <c r="L792" s="312"/>
      <c r="M792" s="312">
        <v>212.0</v>
      </c>
      <c r="N792" s="312"/>
      <c r="O792" s="312"/>
      <c r="P792" s="315">
        <v>42771.0</v>
      </c>
      <c r="Q792" s="312">
        <v>98000.0</v>
      </c>
      <c r="R792" s="312">
        <v>374.0</v>
      </c>
      <c r="S792" s="316"/>
      <c r="T792" s="317">
        <v>378.73</v>
      </c>
      <c r="U792" s="312" t="s">
        <v>1366</v>
      </c>
      <c r="V792" s="312" t="s">
        <v>1367</v>
      </c>
      <c r="W792" s="50"/>
      <c r="X792" s="50"/>
      <c r="Y792" s="50"/>
      <c r="Z792" s="312"/>
      <c r="AA792" s="50"/>
      <c r="AB792" s="50"/>
      <c r="AC792" s="50"/>
      <c r="AD792" s="50"/>
      <c r="AE792" s="50"/>
    </row>
    <row r="793">
      <c r="A793" s="307">
        <v>42965.580555555556</v>
      </c>
      <c r="B793" s="312" t="s">
        <v>756</v>
      </c>
      <c r="C793" s="303" t="s">
        <v>1177</v>
      </c>
      <c r="D793" s="303" t="s">
        <v>1178</v>
      </c>
      <c r="E793" s="315">
        <v>41631.0</v>
      </c>
      <c r="F793" s="312" t="s">
        <v>32</v>
      </c>
      <c r="G793" s="303" t="s">
        <v>1179</v>
      </c>
      <c r="H793" s="303" t="s">
        <v>1180</v>
      </c>
      <c r="I793" s="303" t="s">
        <v>1181</v>
      </c>
      <c r="J793" s="306">
        <v>0.9</v>
      </c>
      <c r="K793" s="312">
        <v>396.0</v>
      </c>
      <c r="L793" s="312"/>
      <c r="M793" s="312">
        <v>221.0</v>
      </c>
      <c r="N793" s="312"/>
      <c r="O793" s="312"/>
      <c r="P793" s="315">
        <v>42965.0</v>
      </c>
      <c r="Q793" s="312">
        <v>121000.0</v>
      </c>
      <c r="R793" s="312">
        <v>374.0</v>
      </c>
      <c r="S793" s="316"/>
      <c r="T793" s="317">
        <v>374.0</v>
      </c>
      <c r="U793" s="312" t="s">
        <v>1369</v>
      </c>
      <c r="V793" s="312" t="s">
        <v>1367</v>
      </c>
      <c r="W793" s="50"/>
      <c r="X793" s="50"/>
      <c r="Y793" s="50"/>
      <c r="Z793" s="312"/>
      <c r="AA793" s="50"/>
      <c r="AB793" s="50"/>
      <c r="AC793" s="50"/>
      <c r="AD793" s="50"/>
      <c r="AE793" s="50"/>
    </row>
    <row r="794">
      <c r="A794" s="307">
        <v>42655.91180555556</v>
      </c>
      <c r="B794" s="312" t="s">
        <v>911</v>
      </c>
      <c r="C794" s="312" t="s">
        <v>1197</v>
      </c>
      <c r="D794" s="303" t="s">
        <v>1178</v>
      </c>
      <c r="E794" s="315">
        <v>41760.0</v>
      </c>
      <c r="F794" s="312" t="s">
        <v>12</v>
      </c>
      <c r="G794" s="303" t="s">
        <v>1181</v>
      </c>
      <c r="H794" s="303" t="s">
        <v>1180</v>
      </c>
      <c r="I794" s="303" t="s">
        <v>1187</v>
      </c>
      <c r="J794" s="306">
        <v>0.8</v>
      </c>
      <c r="K794" s="50"/>
      <c r="L794" s="312"/>
      <c r="M794" s="312">
        <v>190.0</v>
      </c>
      <c r="N794" s="312"/>
      <c r="O794" s="312"/>
      <c r="P794" s="315">
        <v>42655.0</v>
      </c>
      <c r="Q794" s="312">
        <v>54401.0</v>
      </c>
      <c r="R794" s="312">
        <v>307.0</v>
      </c>
      <c r="S794" s="316"/>
      <c r="T794" s="317">
        <v>307.0</v>
      </c>
      <c r="U794" s="312" t="s">
        <v>1369</v>
      </c>
      <c r="V794" s="312" t="s">
        <v>1367</v>
      </c>
      <c r="W794" s="50"/>
      <c r="X794" s="50"/>
      <c r="Y794" s="50"/>
      <c r="Z794" s="312"/>
      <c r="AA794" s="50"/>
      <c r="AB794" s="50"/>
      <c r="AC794" s="50"/>
      <c r="AD794" s="50"/>
      <c r="AE794" s="50"/>
    </row>
    <row r="795">
      <c r="A795" s="307">
        <v>42911.92152777778</v>
      </c>
      <c r="B795" s="312" t="s">
        <v>911</v>
      </c>
      <c r="C795" s="312" t="s">
        <v>1197</v>
      </c>
      <c r="D795" s="303" t="s">
        <v>1178</v>
      </c>
      <c r="E795" s="315">
        <v>41760.0</v>
      </c>
      <c r="F795" s="312" t="s">
        <v>12</v>
      </c>
      <c r="G795" s="303" t="s">
        <v>1181</v>
      </c>
      <c r="H795" s="303" t="s">
        <v>1181</v>
      </c>
      <c r="I795" s="303" t="s">
        <v>1187</v>
      </c>
      <c r="J795" s="306">
        <v>0.9</v>
      </c>
      <c r="K795" s="50"/>
      <c r="L795" s="312"/>
      <c r="M795" s="312">
        <v>224.0</v>
      </c>
      <c r="N795" s="312"/>
      <c r="O795" s="312"/>
      <c r="P795" s="315">
        <v>42911.0</v>
      </c>
      <c r="Q795" s="312">
        <v>64423.0</v>
      </c>
      <c r="R795" s="312">
        <v>306.0</v>
      </c>
      <c r="S795" s="316"/>
      <c r="T795" s="317">
        <v>306.0</v>
      </c>
      <c r="U795" s="312" t="s">
        <v>1369</v>
      </c>
      <c r="V795" s="312" t="s">
        <v>1367</v>
      </c>
      <c r="W795" s="50"/>
      <c r="X795" s="50"/>
      <c r="Y795" s="50"/>
      <c r="Z795" s="312"/>
      <c r="AA795" s="50"/>
      <c r="AB795" s="50"/>
      <c r="AC795" s="50"/>
      <c r="AD795" s="50"/>
      <c r="AE795" s="50"/>
    </row>
    <row r="796">
      <c r="A796" s="307">
        <v>42856.82708333333</v>
      </c>
      <c r="B796" s="312" t="s">
        <v>853</v>
      </c>
      <c r="C796" s="312" t="s">
        <v>1184</v>
      </c>
      <c r="D796" s="303" t="s">
        <v>1185</v>
      </c>
      <c r="E796" s="315">
        <v>42601.0</v>
      </c>
      <c r="F796" s="312" t="s">
        <v>12</v>
      </c>
      <c r="G796" s="303" t="s">
        <v>1179</v>
      </c>
      <c r="H796" s="303" t="s">
        <v>1180</v>
      </c>
      <c r="I796" s="303" t="s">
        <v>1187</v>
      </c>
      <c r="J796" s="306">
        <v>0.6</v>
      </c>
      <c r="K796" s="312">
        <v>210.0</v>
      </c>
      <c r="L796" s="312"/>
      <c r="M796" s="50"/>
      <c r="N796" s="312"/>
      <c r="O796" s="312"/>
      <c r="P796" s="315">
        <v>42856.0</v>
      </c>
      <c r="Q796" s="312">
        <v>8000.0</v>
      </c>
      <c r="R796" s="312">
        <v>210.0</v>
      </c>
      <c r="S796" s="316"/>
      <c r="T796" s="317">
        <v>210.0</v>
      </c>
      <c r="U796" s="312" t="s">
        <v>1369</v>
      </c>
      <c r="V796" s="312" t="s">
        <v>1367</v>
      </c>
      <c r="W796" s="50"/>
      <c r="X796" s="50"/>
      <c r="Y796" s="50"/>
      <c r="Z796" s="312"/>
      <c r="AA796" s="50"/>
      <c r="AB796" s="50"/>
      <c r="AC796" s="50"/>
      <c r="AD796" s="50"/>
      <c r="AE796" s="50"/>
    </row>
    <row r="797">
      <c r="A797" s="307">
        <v>43077.64236111111</v>
      </c>
      <c r="B797" s="312" t="s">
        <v>1305</v>
      </c>
      <c r="C797" s="303" t="s">
        <v>1177</v>
      </c>
      <c r="D797" s="303" t="s">
        <v>1178</v>
      </c>
      <c r="E797" s="315">
        <v>42083.0</v>
      </c>
      <c r="F797" s="312" t="s">
        <v>38</v>
      </c>
      <c r="G797" s="303" t="s">
        <v>1179</v>
      </c>
      <c r="H797" s="303" t="s">
        <v>1180</v>
      </c>
      <c r="I797" s="303" t="s">
        <v>1180</v>
      </c>
      <c r="J797" s="306">
        <v>0.9</v>
      </c>
      <c r="K797" s="50"/>
      <c r="L797" s="312"/>
      <c r="M797" s="312">
        <v>239.0</v>
      </c>
      <c r="N797" s="312"/>
      <c r="O797" s="312"/>
      <c r="P797" s="315">
        <v>43077.0</v>
      </c>
      <c r="Q797" s="312">
        <v>93075.0</v>
      </c>
      <c r="R797" s="312">
        <v>379.0</v>
      </c>
      <c r="S797" s="316"/>
      <c r="T797" s="317">
        <v>379.0</v>
      </c>
      <c r="U797" s="312" t="s">
        <v>1369</v>
      </c>
      <c r="V797" s="312" t="s">
        <v>1367</v>
      </c>
      <c r="W797" s="50"/>
      <c r="X797" s="50"/>
      <c r="Y797" s="50"/>
      <c r="Z797" s="312"/>
      <c r="AA797" s="50"/>
      <c r="AB797" s="50"/>
      <c r="AC797" s="50"/>
      <c r="AD797" s="50"/>
      <c r="AE797" s="50"/>
    </row>
    <row r="798">
      <c r="A798" s="307">
        <v>43128.68680555555</v>
      </c>
      <c r="B798" s="312" t="s">
        <v>1305</v>
      </c>
      <c r="C798" s="303" t="s">
        <v>1177</v>
      </c>
      <c r="D798" s="303" t="s">
        <v>1178</v>
      </c>
      <c r="E798" s="315">
        <v>42083.0</v>
      </c>
      <c r="F798" s="312" t="s">
        <v>38</v>
      </c>
      <c r="G798" s="303" t="s">
        <v>1179</v>
      </c>
      <c r="H798" s="303" t="s">
        <v>1180</v>
      </c>
      <c r="I798" s="303" t="s">
        <v>1180</v>
      </c>
      <c r="J798" s="306">
        <v>0.9</v>
      </c>
      <c r="K798" s="50"/>
      <c r="L798" s="312"/>
      <c r="M798" s="312">
        <v>243.0</v>
      </c>
      <c r="N798" s="312"/>
      <c r="O798" s="312"/>
      <c r="P798" s="315">
        <v>43128.0</v>
      </c>
      <c r="Q798" s="312">
        <v>97594.0</v>
      </c>
      <c r="R798" s="312">
        <v>378.0</v>
      </c>
      <c r="S798" s="316"/>
      <c r="T798" s="317">
        <v>378.0</v>
      </c>
      <c r="U798" s="312" t="s">
        <v>1369</v>
      </c>
      <c r="V798" s="312" t="s">
        <v>1367</v>
      </c>
      <c r="W798" s="50"/>
      <c r="X798" s="50"/>
      <c r="Y798" s="50"/>
      <c r="Z798" s="312"/>
      <c r="AA798" s="50"/>
      <c r="AB798" s="50"/>
      <c r="AC798" s="50"/>
      <c r="AD798" s="50"/>
      <c r="AE798" s="50"/>
    </row>
    <row r="799">
      <c r="A799" s="307">
        <v>43131.6875</v>
      </c>
      <c r="B799" s="312" t="s">
        <v>1305</v>
      </c>
      <c r="C799" s="303" t="s">
        <v>1177</v>
      </c>
      <c r="D799" s="303" t="s">
        <v>1178</v>
      </c>
      <c r="E799" s="315">
        <v>42083.0</v>
      </c>
      <c r="F799" s="312" t="s">
        <v>38</v>
      </c>
      <c r="G799" s="303" t="s">
        <v>1179</v>
      </c>
      <c r="H799" s="303" t="s">
        <v>1180</v>
      </c>
      <c r="I799" s="303" t="s">
        <v>1180</v>
      </c>
      <c r="J799" s="306">
        <v>0.9</v>
      </c>
      <c r="K799" s="50"/>
      <c r="L799" s="312"/>
      <c r="M799" s="312">
        <v>243.0</v>
      </c>
      <c r="N799" s="312"/>
      <c r="O799" s="312"/>
      <c r="P799" s="315">
        <v>43131.0</v>
      </c>
      <c r="Q799" s="312">
        <v>97738.0</v>
      </c>
      <c r="R799" s="312">
        <v>376.0</v>
      </c>
      <c r="S799" s="316"/>
      <c r="T799" s="317">
        <v>380.76</v>
      </c>
      <c r="U799" s="312" t="s">
        <v>1366</v>
      </c>
      <c r="V799" s="312" t="s">
        <v>1367</v>
      </c>
      <c r="W799" s="50"/>
      <c r="X799" s="50"/>
      <c r="Y799" s="312"/>
      <c r="Z799" s="312"/>
      <c r="AA799" s="50"/>
      <c r="AB799" s="50"/>
      <c r="AC799" s="50"/>
      <c r="AD799" s="50"/>
      <c r="AE799" s="50"/>
    </row>
    <row r="800">
      <c r="A800" s="307">
        <v>42252.75902777778</v>
      </c>
      <c r="B800" s="312" t="s">
        <v>988</v>
      </c>
      <c r="C800" s="312" t="s">
        <v>1184</v>
      </c>
      <c r="D800" s="303" t="s">
        <v>1185</v>
      </c>
      <c r="E800" s="315">
        <v>41716.0</v>
      </c>
      <c r="F800" s="312" t="s">
        <v>30</v>
      </c>
      <c r="G800" s="303" t="s">
        <v>1181</v>
      </c>
      <c r="H800" s="303" t="s">
        <v>1179</v>
      </c>
      <c r="I800" s="303" t="s">
        <v>1186</v>
      </c>
      <c r="J800" s="306">
        <v>0.9</v>
      </c>
      <c r="K800" s="312">
        <v>265.0</v>
      </c>
      <c r="L800" s="312"/>
      <c r="M800" s="312">
        <v>334.0</v>
      </c>
      <c r="N800" s="312"/>
      <c r="O800" s="312"/>
      <c r="P800" s="315">
        <v>42252.0</v>
      </c>
      <c r="Q800" s="312">
        <v>32000.0</v>
      </c>
      <c r="R800" s="312">
        <v>264.0</v>
      </c>
      <c r="S800" s="316"/>
      <c r="T800" s="317">
        <v>264.0</v>
      </c>
      <c r="U800" s="312" t="s">
        <v>1369</v>
      </c>
      <c r="V800" s="312" t="s">
        <v>1367</v>
      </c>
      <c r="W800" s="50"/>
      <c r="X800" s="50"/>
      <c r="Y800" s="50"/>
      <c r="Z800" s="312"/>
      <c r="AA800" s="312" t="s">
        <v>1553</v>
      </c>
      <c r="AB800" s="50"/>
      <c r="AC800" s="50"/>
      <c r="AD800" s="50"/>
      <c r="AE800" s="50"/>
    </row>
    <row r="801">
      <c r="A801" s="307">
        <v>42621.39791666667</v>
      </c>
      <c r="B801" s="312" t="s">
        <v>995</v>
      </c>
      <c r="C801" s="303" t="s">
        <v>1177</v>
      </c>
      <c r="D801" s="303" t="s">
        <v>1178</v>
      </c>
      <c r="E801" s="315">
        <v>42550.0</v>
      </c>
      <c r="F801" s="312" t="s">
        <v>22</v>
      </c>
      <c r="G801" s="303" t="s">
        <v>1180</v>
      </c>
      <c r="H801" s="303" t="s">
        <v>1179</v>
      </c>
      <c r="I801" s="303" t="s">
        <v>1181</v>
      </c>
      <c r="J801" s="306">
        <v>0.8</v>
      </c>
      <c r="K801" s="50"/>
      <c r="L801" s="312"/>
      <c r="M801" s="312">
        <v>181.0</v>
      </c>
      <c r="N801" s="312"/>
      <c r="O801" s="312"/>
      <c r="P801" s="315">
        <v>42621.0</v>
      </c>
      <c r="Q801" s="312">
        <v>6316.0</v>
      </c>
      <c r="R801" s="312">
        <v>357.0</v>
      </c>
      <c r="S801" s="316"/>
      <c r="T801" s="317">
        <v>361.52</v>
      </c>
      <c r="U801" s="312" t="s">
        <v>1366</v>
      </c>
      <c r="V801" s="312" t="s">
        <v>1367</v>
      </c>
      <c r="W801" s="50"/>
      <c r="X801" s="50"/>
      <c r="Y801" s="50"/>
      <c r="Z801" s="312"/>
      <c r="AA801" s="50"/>
      <c r="AB801" s="50"/>
      <c r="AC801" s="50"/>
      <c r="AD801" s="50"/>
      <c r="AE801" s="50"/>
    </row>
    <row r="802">
      <c r="A802" s="307">
        <v>42135.73819444444</v>
      </c>
      <c r="B802" s="50" t="s">
        <v>865</v>
      </c>
      <c r="C802" s="50" t="s">
        <v>1184</v>
      </c>
      <c r="D802" s="303" t="s">
        <v>1185</v>
      </c>
      <c r="E802" s="310">
        <v>42063.0</v>
      </c>
      <c r="F802" s="50" t="s">
        <v>36</v>
      </c>
      <c r="G802" s="303" t="s">
        <v>1179</v>
      </c>
      <c r="H802" s="303" t="s">
        <v>1179</v>
      </c>
      <c r="I802" s="303" t="s">
        <v>1187</v>
      </c>
      <c r="J802" s="306">
        <v>0.8</v>
      </c>
      <c r="K802" s="312"/>
      <c r="L802" s="50"/>
      <c r="M802" s="312">
        <v>324.0</v>
      </c>
      <c r="N802" s="312"/>
      <c r="O802" s="312"/>
      <c r="P802" s="310">
        <v>42135.0</v>
      </c>
      <c r="Q802" s="50">
        <v>13679.0</v>
      </c>
      <c r="R802" s="312">
        <v>269.0</v>
      </c>
      <c r="S802" s="316"/>
      <c r="T802" s="317">
        <v>272.41</v>
      </c>
      <c r="U802" s="312" t="s">
        <v>1366</v>
      </c>
      <c r="V802" s="312" t="s">
        <v>1367</v>
      </c>
      <c r="W802" s="50"/>
      <c r="X802" s="50"/>
      <c r="Y802" s="50"/>
      <c r="Z802" s="312"/>
      <c r="AA802" s="312" t="s">
        <v>1554</v>
      </c>
      <c r="AB802" s="50"/>
      <c r="AC802" s="50"/>
      <c r="AD802" s="50"/>
      <c r="AE802" s="50"/>
    </row>
    <row r="803">
      <c r="A803" s="307">
        <v>43016.85902777778</v>
      </c>
      <c r="B803" s="312" t="s">
        <v>1030</v>
      </c>
      <c r="C803" s="312" t="s">
        <v>1184</v>
      </c>
      <c r="D803" s="303" t="s">
        <v>1185</v>
      </c>
      <c r="E803" s="315">
        <v>42384.0</v>
      </c>
      <c r="F803" s="312" t="s">
        <v>43</v>
      </c>
      <c r="G803" s="303" t="s">
        <v>1203</v>
      </c>
      <c r="H803" s="303" t="s">
        <v>1179</v>
      </c>
      <c r="I803" s="303" t="s">
        <v>1180</v>
      </c>
      <c r="J803" s="306">
        <v>0.9</v>
      </c>
      <c r="K803" s="312">
        <v>294.0</v>
      </c>
      <c r="L803" s="312"/>
      <c r="M803" s="312">
        <v>367.0</v>
      </c>
      <c r="N803" s="312"/>
      <c r="O803" s="312"/>
      <c r="P803" s="315">
        <v>43016.0</v>
      </c>
      <c r="Q803" s="312">
        <v>46000.0</v>
      </c>
      <c r="R803" s="312">
        <v>272.0</v>
      </c>
      <c r="S803" s="316"/>
      <c r="T803" s="317">
        <v>272.0</v>
      </c>
      <c r="U803" s="312" t="s">
        <v>1369</v>
      </c>
      <c r="V803" s="312" t="s">
        <v>1367</v>
      </c>
      <c r="W803" s="50"/>
      <c r="X803" s="50"/>
      <c r="Y803" s="50"/>
      <c r="Z803" s="312"/>
      <c r="AA803" s="312" t="s">
        <v>1555</v>
      </c>
      <c r="AB803" s="50"/>
      <c r="AC803" s="50"/>
      <c r="AD803" s="50"/>
      <c r="AE803" s="50"/>
    </row>
    <row r="804">
      <c r="A804" s="307">
        <v>42169.90069444444</v>
      </c>
      <c r="B804" s="312" t="s">
        <v>903</v>
      </c>
      <c r="C804" s="312" t="s">
        <v>1197</v>
      </c>
      <c r="D804" s="303" t="s">
        <v>1178</v>
      </c>
      <c r="E804" s="315">
        <v>41754.0</v>
      </c>
      <c r="F804" s="312" t="s">
        <v>32</v>
      </c>
      <c r="G804" s="303" t="s">
        <v>1181</v>
      </c>
      <c r="H804" s="303" t="s">
        <v>1181</v>
      </c>
      <c r="I804" s="303" t="s">
        <v>1181</v>
      </c>
      <c r="J804" s="306">
        <v>0.7</v>
      </c>
      <c r="K804" s="312">
        <v>430.0</v>
      </c>
      <c r="L804" s="312"/>
      <c r="M804" s="312">
        <v>194.0</v>
      </c>
      <c r="N804" s="312"/>
      <c r="O804" s="312"/>
      <c r="P804" s="315">
        <v>42169.0</v>
      </c>
      <c r="Q804" s="312">
        <v>15425.0</v>
      </c>
      <c r="R804" s="312">
        <v>408.0</v>
      </c>
      <c r="S804" s="316"/>
      <c r="T804" s="317">
        <v>408.0</v>
      </c>
      <c r="U804" s="312" t="s">
        <v>1369</v>
      </c>
      <c r="V804" s="312" t="s">
        <v>1367</v>
      </c>
      <c r="W804" s="50"/>
      <c r="X804" s="50"/>
      <c r="Y804" s="50"/>
      <c r="Z804" s="312"/>
      <c r="AA804" s="50"/>
      <c r="AB804" s="50"/>
      <c r="AC804" s="50"/>
      <c r="AD804" s="50"/>
      <c r="AE804" s="50"/>
    </row>
    <row r="805">
      <c r="A805" s="307">
        <v>42367.27291666667</v>
      </c>
      <c r="B805" s="312" t="s">
        <v>773</v>
      </c>
      <c r="C805" s="303" t="s">
        <v>1177</v>
      </c>
      <c r="D805" s="303" t="s">
        <v>1178</v>
      </c>
      <c r="E805" s="310">
        <v>42180.0</v>
      </c>
      <c r="F805" s="312" t="s">
        <v>30</v>
      </c>
      <c r="G805" s="303" t="s">
        <v>1179</v>
      </c>
      <c r="H805" s="303" t="s">
        <v>1181</v>
      </c>
      <c r="I805" s="303" t="s">
        <v>1181</v>
      </c>
      <c r="J805" s="306">
        <v>0.8</v>
      </c>
      <c r="K805" s="50"/>
      <c r="L805" s="312"/>
      <c r="M805" s="312">
        <v>228.0</v>
      </c>
      <c r="N805" s="312"/>
      <c r="O805" s="312"/>
      <c r="P805" s="315">
        <v>42367.0</v>
      </c>
      <c r="Q805" s="312">
        <v>19225.0</v>
      </c>
      <c r="R805" s="312">
        <v>379.0</v>
      </c>
      <c r="S805" s="316"/>
      <c r="T805" s="317">
        <v>383.8</v>
      </c>
      <c r="U805" s="312" t="s">
        <v>1366</v>
      </c>
      <c r="V805" s="312" t="s">
        <v>1367</v>
      </c>
      <c r="W805" s="50"/>
      <c r="X805" s="50"/>
      <c r="Y805" s="50"/>
      <c r="Z805" s="312"/>
      <c r="AA805" s="50"/>
      <c r="AB805" s="50"/>
      <c r="AC805" s="50"/>
      <c r="AD805" s="50"/>
      <c r="AE805" s="50"/>
    </row>
    <row r="806">
      <c r="A806" s="307">
        <v>42405.313888888886</v>
      </c>
      <c r="B806" s="312" t="s">
        <v>773</v>
      </c>
      <c r="C806" s="303" t="s">
        <v>1177</v>
      </c>
      <c r="D806" s="303" t="s">
        <v>1178</v>
      </c>
      <c r="E806" s="315">
        <v>42180.0</v>
      </c>
      <c r="F806" s="312" t="s">
        <v>30</v>
      </c>
      <c r="G806" s="303" t="s">
        <v>1179</v>
      </c>
      <c r="H806" s="303" t="s">
        <v>1181</v>
      </c>
      <c r="I806" s="303" t="s">
        <v>1181</v>
      </c>
      <c r="J806" s="306">
        <v>0.8</v>
      </c>
      <c r="K806" s="50"/>
      <c r="L806" s="312"/>
      <c r="M806" s="312">
        <v>228.0</v>
      </c>
      <c r="N806" s="312"/>
      <c r="O806" s="312"/>
      <c r="P806" s="315">
        <v>42405.0</v>
      </c>
      <c r="Q806" s="312">
        <v>24639.0</v>
      </c>
      <c r="R806" s="312">
        <v>382.0</v>
      </c>
      <c r="S806" s="316"/>
      <c r="T806" s="317">
        <v>386.84</v>
      </c>
      <c r="U806" s="312" t="s">
        <v>1366</v>
      </c>
      <c r="V806" s="312" t="s">
        <v>1367</v>
      </c>
      <c r="W806" s="50"/>
      <c r="X806" s="50"/>
      <c r="Y806" s="50"/>
      <c r="Z806" s="312"/>
      <c r="AA806" s="50"/>
      <c r="AB806" s="50"/>
      <c r="AC806" s="50"/>
      <c r="AD806" s="50"/>
      <c r="AE806" s="50"/>
    </row>
    <row r="807">
      <c r="A807" s="307">
        <v>42698.46388888889</v>
      </c>
      <c r="B807" s="312" t="s">
        <v>773</v>
      </c>
      <c r="C807" s="303" t="s">
        <v>1177</v>
      </c>
      <c r="D807" s="303" t="s">
        <v>1178</v>
      </c>
      <c r="E807" s="315">
        <v>42180.0</v>
      </c>
      <c r="F807" s="312" t="s">
        <v>30</v>
      </c>
      <c r="G807" s="303" t="s">
        <v>1190</v>
      </c>
      <c r="H807" s="303" t="s">
        <v>1181</v>
      </c>
      <c r="I807" s="303" t="s">
        <v>1181</v>
      </c>
      <c r="J807" s="306">
        <v>0.9</v>
      </c>
      <c r="K807" s="50"/>
      <c r="L807" s="312"/>
      <c r="M807" s="312">
        <v>226.0</v>
      </c>
      <c r="N807" s="312"/>
      <c r="O807" s="312"/>
      <c r="P807" s="315">
        <v>42698.0</v>
      </c>
      <c r="Q807" s="312">
        <v>58163.0</v>
      </c>
      <c r="R807" s="312">
        <v>378.0</v>
      </c>
      <c r="S807" s="316"/>
      <c r="T807" s="317">
        <v>382.78</v>
      </c>
      <c r="U807" s="312" t="s">
        <v>1366</v>
      </c>
      <c r="V807" s="312" t="s">
        <v>1367</v>
      </c>
      <c r="W807" s="50"/>
      <c r="X807" s="50"/>
      <c r="Y807" s="50"/>
      <c r="Z807" s="312"/>
      <c r="AA807" s="50"/>
      <c r="AB807" s="50"/>
      <c r="AC807" s="50"/>
      <c r="AD807" s="50"/>
      <c r="AE807" s="50"/>
    </row>
    <row r="808">
      <c r="A808" s="307">
        <v>42776.55416666667</v>
      </c>
      <c r="B808" s="312" t="s">
        <v>773</v>
      </c>
      <c r="C808" s="303" t="s">
        <v>1177</v>
      </c>
      <c r="D808" s="303" t="s">
        <v>1178</v>
      </c>
      <c r="E808" s="315">
        <v>42180.0</v>
      </c>
      <c r="F808" s="312" t="s">
        <v>30</v>
      </c>
      <c r="G808" s="303" t="s">
        <v>1181</v>
      </c>
      <c r="H808" s="303" t="s">
        <v>1181</v>
      </c>
      <c r="I808" s="303" t="s">
        <v>1181</v>
      </c>
      <c r="J808" s="306">
        <v>0.9</v>
      </c>
      <c r="K808" s="50"/>
      <c r="L808" s="312"/>
      <c r="M808" s="312">
        <v>222.0</v>
      </c>
      <c r="N808" s="312"/>
      <c r="O808" s="312"/>
      <c r="P808" s="315">
        <v>42776.0</v>
      </c>
      <c r="Q808" s="312">
        <v>66387.0</v>
      </c>
      <c r="R808" s="312">
        <v>382.0</v>
      </c>
      <c r="S808" s="316"/>
      <c r="T808" s="317">
        <v>386.84</v>
      </c>
      <c r="U808" s="312" t="s">
        <v>1366</v>
      </c>
      <c r="V808" s="312" t="s">
        <v>1367</v>
      </c>
      <c r="W808" s="50"/>
      <c r="X808" s="50"/>
      <c r="Y808" s="50"/>
      <c r="Z808" s="312"/>
      <c r="AA808" s="50"/>
      <c r="AB808" s="50"/>
      <c r="AC808" s="50"/>
      <c r="AD808" s="50"/>
      <c r="AE808" s="50"/>
    </row>
    <row r="809">
      <c r="A809" s="307">
        <v>42826.55486111111</v>
      </c>
      <c r="B809" s="312" t="s">
        <v>773</v>
      </c>
      <c r="C809" s="303" t="s">
        <v>1177</v>
      </c>
      <c r="D809" s="303" t="s">
        <v>1178</v>
      </c>
      <c r="E809" s="315">
        <v>42180.0</v>
      </c>
      <c r="F809" s="312" t="s">
        <v>30</v>
      </c>
      <c r="G809" s="303" t="s">
        <v>1181</v>
      </c>
      <c r="H809" s="303" t="s">
        <v>1181</v>
      </c>
      <c r="I809" s="303" t="s">
        <v>1181</v>
      </c>
      <c r="J809" s="306"/>
      <c r="K809" s="50"/>
      <c r="L809" s="312"/>
      <c r="M809" s="312">
        <v>222.0</v>
      </c>
      <c r="N809" s="312"/>
      <c r="O809" s="312"/>
      <c r="P809" s="315">
        <v>42826.0</v>
      </c>
      <c r="Q809" s="312">
        <v>72626.0</v>
      </c>
      <c r="R809" s="312">
        <v>382.0</v>
      </c>
      <c r="S809" s="316"/>
      <c r="T809" s="317">
        <v>386.84</v>
      </c>
      <c r="U809" s="312" t="s">
        <v>1366</v>
      </c>
      <c r="V809" s="312" t="s">
        <v>1367</v>
      </c>
      <c r="W809" s="50"/>
      <c r="X809" s="50"/>
      <c r="Y809" s="50"/>
      <c r="Z809" s="312"/>
      <c r="AA809" s="50"/>
      <c r="AB809" s="50"/>
      <c r="AC809" s="50"/>
      <c r="AD809" s="50"/>
      <c r="AE809" s="50"/>
    </row>
    <row r="810">
      <c r="A810" s="307">
        <v>42636.404861111114</v>
      </c>
      <c r="B810" s="312" t="s">
        <v>700</v>
      </c>
      <c r="C810" s="303" t="s">
        <v>1177</v>
      </c>
      <c r="D810" s="303" t="s">
        <v>1178</v>
      </c>
      <c r="E810" s="315">
        <v>41942.0</v>
      </c>
      <c r="F810" s="312" t="s">
        <v>30</v>
      </c>
      <c r="G810" s="303" t="s">
        <v>1203</v>
      </c>
      <c r="H810" s="303" t="s">
        <v>1181</v>
      </c>
      <c r="I810" s="312"/>
      <c r="J810" s="306">
        <v>0.9</v>
      </c>
      <c r="K810" s="50"/>
      <c r="L810" s="312"/>
      <c r="M810" s="312">
        <v>220.0</v>
      </c>
      <c r="N810" s="312"/>
      <c r="O810" s="312"/>
      <c r="P810" s="315">
        <v>42636.0</v>
      </c>
      <c r="Q810" s="312">
        <v>68439.0</v>
      </c>
      <c r="R810" s="312">
        <v>384.0</v>
      </c>
      <c r="S810" s="316"/>
      <c r="T810" s="317">
        <v>384.0</v>
      </c>
      <c r="U810" s="312" t="s">
        <v>1369</v>
      </c>
      <c r="V810" s="312" t="s">
        <v>1367</v>
      </c>
      <c r="W810" s="50"/>
      <c r="X810" s="50"/>
      <c r="Y810" s="50"/>
      <c r="Z810" s="312"/>
      <c r="AA810" s="50"/>
      <c r="AB810" s="50"/>
      <c r="AC810" s="50"/>
      <c r="AD810" s="50"/>
      <c r="AE810" s="50"/>
    </row>
    <row r="811">
      <c r="A811" s="307">
        <v>42666.415972222225</v>
      </c>
      <c r="B811" s="312" t="s">
        <v>700</v>
      </c>
      <c r="C811" s="303" t="s">
        <v>1177</v>
      </c>
      <c r="D811" s="303" t="s">
        <v>1178</v>
      </c>
      <c r="E811" s="315">
        <v>41942.0</v>
      </c>
      <c r="F811" s="312" t="s">
        <v>30</v>
      </c>
      <c r="G811" s="312"/>
      <c r="H811" s="312"/>
      <c r="I811" s="312"/>
      <c r="J811" s="306"/>
      <c r="K811" s="50"/>
      <c r="L811" s="312"/>
      <c r="M811" s="312">
        <v>220.0</v>
      </c>
      <c r="N811" s="312"/>
      <c r="O811" s="312"/>
      <c r="P811" s="315">
        <v>42666.0</v>
      </c>
      <c r="Q811" s="312">
        <v>73402.0</v>
      </c>
      <c r="R811" s="312">
        <v>383.0</v>
      </c>
      <c r="S811" s="316"/>
      <c r="T811" s="317">
        <v>383.0</v>
      </c>
      <c r="U811" s="312" t="s">
        <v>1369</v>
      </c>
      <c r="V811" s="312" t="s">
        <v>1367</v>
      </c>
      <c r="W811" s="50"/>
      <c r="X811" s="50"/>
      <c r="Y811" s="50"/>
      <c r="Z811" s="312"/>
      <c r="AA811" s="50"/>
      <c r="AB811" s="50"/>
      <c r="AC811" s="50"/>
      <c r="AD811" s="50"/>
      <c r="AE811" s="50"/>
    </row>
    <row r="812">
      <c r="A812" s="307">
        <v>42688.45694444444</v>
      </c>
      <c r="B812" s="312" t="s">
        <v>700</v>
      </c>
      <c r="C812" s="303" t="s">
        <v>1177</v>
      </c>
      <c r="D812" s="303" t="s">
        <v>1178</v>
      </c>
      <c r="E812" s="315">
        <v>41942.0</v>
      </c>
      <c r="F812" s="312" t="s">
        <v>30</v>
      </c>
      <c r="G812" s="303" t="s">
        <v>1203</v>
      </c>
      <c r="H812" s="303" t="s">
        <v>1186</v>
      </c>
      <c r="I812" s="303" t="s">
        <v>1187</v>
      </c>
      <c r="J812" s="306">
        <v>0.9</v>
      </c>
      <c r="K812" s="50"/>
      <c r="L812" s="312"/>
      <c r="M812" s="312">
        <v>193.0</v>
      </c>
      <c r="N812" s="312"/>
      <c r="O812" s="312"/>
      <c r="P812" s="315">
        <v>42688.0</v>
      </c>
      <c r="Q812" s="312">
        <v>77430.0</v>
      </c>
      <c r="R812" s="312">
        <v>377.0</v>
      </c>
      <c r="S812" s="316"/>
      <c r="T812" s="317">
        <v>381.77</v>
      </c>
      <c r="U812" s="312" t="s">
        <v>1366</v>
      </c>
      <c r="V812" s="312" t="s">
        <v>1367</v>
      </c>
      <c r="W812" s="50"/>
      <c r="X812" s="50"/>
      <c r="Y812" s="50"/>
      <c r="Z812" s="312"/>
      <c r="AA812" s="50"/>
      <c r="AB812" s="50"/>
      <c r="AC812" s="50"/>
      <c r="AD812" s="50"/>
      <c r="AE812" s="50"/>
    </row>
    <row r="813">
      <c r="A813" s="307">
        <v>42698.461805555555</v>
      </c>
      <c r="B813" s="312" t="s">
        <v>700</v>
      </c>
      <c r="C813" s="303" t="s">
        <v>1177</v>
      </c>
      <c r="D813" s="303" t="s">
        <v>1178</v>
      </c>
      <c r="E813" s="315">
        <v>41942.0</v>
      </c>
      <c r="F813" s="312" t="s">
        <v>30</v>
      </c>
      <c r="G813" s="303" t="s">
        <v>1203</v>
      </c>
      <c r="H813" s="303" t="s">
        <v>1181</v>
      </c>
      <c r="I813" s="303" t="s">
        <v>1187</v>
      </c>
      <c r="J813" s="306">
        <v>0.9</v>
      </c>
      <c r="K813" s="50"/>
      <c r="L813" s="312"/>
      <c r="M813" s="312">
        <v>194.0</v>
      </c>
      <c r="N813" s="312"/>
      <c r="O813" s="312"/>
      <c r="P813" s="315">
        <v>42698.0</v>
      </c>
      <c r="Q813" s="312">
        <v>78334.0</v>
      </c>
      <c r="R813" s="312">
        <v>376.0</v>
      </c>
      <c r="S813" s="316"/>
      <c r="T813" s="317">
        <v>380.76</v>
      </c>
      <c r="U813" s="312" t="s">
        <v>1366</v>
      </c>
      <c r="V813" s="312" t="s">
        <v>1367</v>
      </c>
      <c r="W813" s="50"/>
      <c r="X813" s="50"/>
      <c r="Y813" s="50"/>
      <c r="Z813" s="312"/>
      <c r="AA813" s="50"/>
      <c r="AB813" s="50"/>
      <c r="AC813" s="50"/>
      <c r="AD813" s="50"/>
      <c r="AE813" s="50"/>
    </row>
    <row r="814">
      <c r="A814" s="307">
        <v>42701.4625</v>
      </c>
      <c r="B814" s="312" t="s">
        <v>700</v>
      </c>
      <c r="C814" s="303" t="s">
        <v>1177</v>
      </c>
      <c r="D814" s="303" t="s">
        <v>1178</v>
      </c>
      <c r="E814" s="315">
        <v>41942.0</v>
      </c>
      <c r="F814" s="312" t="s">
        <v>30</v>
      </c>
      <c r="G814" s="312"/>
      <c r="H814" s="312"/>
      <c r="I814" s="312"/>
      <c r="J814" s="306"/>
      <c r="K814" s="50"/>
      <c r="L814" s="312"/>
      <c r="M814" s="312">
        <v>194.0</v>
      </c>
      <c r="N814" s="312"/>
      <c r="O814" s="312"/>
      <c r="P814" s="315">
        <v>42701.0</v>
      </c>
      <c r="Q814" s="312">
        <v>78456.0</v>
      </c>
      <c r="R814" s="312">
        <v>376.0</v>
      </c>
      <c r="S814" s="316"/>
      <c r="T814" s="317">
        <v>380.76</v>
      </c>
      <c r="U814" s="312" t="s">
        <v>1366</v>
      </c>
      <c r="V814" s="312" t="s">
        <v>1367</v>
      </c>
      <c r="W814" s="50"/>
      <c r="X814" s="50"/>
      <c r="Y814" s="50"/>
      <c r="Z814" s="312"/>
      <c r="AA814" s="50"/>
      <c r="AB814" s="50"/>
      <c r="AC814" s="50"/>
      <c r="AD814" s="50"/>
      <c r="AE814" s="50"/>
    </row>
    <row r="815">
      <c r="A815" s="307">
        <v>42710.46944444445</v>
      </c>
      <c r="B815" s="312" t="s">
        <v>700</v>
      </c>
      <c r="C815" s="303" t="s">
        <v>1177</v>
      </c>
      <c r="D815" s="303" t="s">
        <v>1178</v>
      </c>
      <c r="E815" s="315">
        <v>41942.0</v>
      </c>
      <c r="F815" s="312" t="s">
        <v>30</v>
      </c>
      <c r="G815" s="303" t="s">
        <v>1203</v>
      </c>
      <c r="H815" s="303" t="s">
        <v>1181</v>
      </c>
      <c r="I815" s="303" t="s">
        <v>1187</v>
      </c>
      <c r="J815" s="306">
        <v>0.9</v>
      </c>
      <c r="K815" s="50"/>
      <c r="L815" s="312"/>
      <c r="M815" s="312">
        <v>194.0</v>
      </c>
      <c r="N815" s="312"/>
      <c r="O815" s="312"/>
      <c r="P815" s="315">
        <v>42710.0</v>
      </c>
      <c r="Q815" s="312">
        <v>79700.0</v>
      </c>
      <c r="R815" s="312">
        <v>376.0</v>
      </c>
      <c r="S815" s="316"/>
      <c r="T815" s="317">
        <v>380.76</v>
      </c>
      <c r="U815" s="312" t="s">
        <v>1366</v>
      </c>
      <c r="V815" s="312" t="s">
        <v>1367</v>
      </c>
      <c r="W815" s="50"/>
      <c r="X815" s="50"/>
      <c r="Y815" s="50"/>
      <c r="Z815" s="312"/>
      <c r="AA815" s="50"/>
      <c r="AB815" s="50"/>
      <c r="AC815" s="50"/>
      <c r="AD815" s="50"/>
      <c r="AE815" s="50"/>
    </row>
    <row r="816">
      <c r="A816" s="307">
        <v>42736.481944444444</v>
      </c>
      <c r="B816" s="312" t="s">
        <v>700</v>
      </c>
      <c r="C816" s="303" t="s">
        <v>1177</v>
      </c>
      <c r="D816" s="303" t="s">
        <v>1178</v>
      </c>
      <c r="E816" s="315">
        <v>41942.0</v>
      </c>
      <c r="F816" s="312" t="s">
        <v>30</v>
      </c>
      <c r="G816" s="312"/>
      <c r="H816" s="312"/>
      <c r="I816" s="312"/>
      <c r="J816" s="306"/>
      <c r="K816" s="50"/>
      <c r="L816" s="312"/>
      <c r="M816" s="312">
        <v>214.0</v>
      </c>
      <c r="N816" s="312"/>
      <c r="O816" s="312"/>
      <c r="P816" s="315">
        <v>42736.0</v>
      </c>
      <c r="Q816" s="312">
        <v>83021.0</v>
      </c>
      <c r="R816" s="312">
        <v>377.0</v>
      </c>
      <c r="S816" s="316"/>
      <c r="T816" s="317">
        <v>381.77</v>
      </c>
      <c r="U816" s="312" t="s">
        <v>1366</v>
      </c>
      <c r="V816" s="312" t="s">
        <v>1367</v>
      </c>
      <c r="W816" s="50"/>
      <c r="X816" s="50"/>
      <c r="Y816" s="50"/>
      <c r="Z816" s="312"/>
      <c r="AA816" s="50"/>
      <c r="AB816" s="50"/>
      <c r="AC816" s="50"/>
      <c r="AD816" s="50"/>
      <c r="AE816" s="50"/>
    </row>
    <row r="817">
      <c r="A817" s="307">
        <v>42756.493055555555</v>
      </c>
      <c r="B817" s="312" t="s">
        <v>700</v>
      </c>
      <c r="C817" s="303" t="s">
        <v>1177</v>
      </c>
      <c r="D817" s="303" t="s">
        <v>1178</v>
      </c>
      <c r="E817" s="315">
        <v>41942.0</v>
      </c>
      <c r="F817" s="312" t="s">
        <v>30</v>
      </c>
      <c r="G817" s="312"/>
      <c r="H817" s="312"/>
      <c r="I817" s="312"/>
      <c r="J817" s="306"/>
      <c r="K817" s="50"/>
      <c r="L817" s="312"/>
      <c r="M817" s="312">
        <v>208.0</v>
      </c>
      <c r="N817" s="312"/>
      <c r="O817" s="312"/>
      <c r="P817" s="315">
        <v>42756.0</v>
      </c>
      <c r="Q817" s="312">
        <v>86130.0</v>
      </c>
      <c r="R817" s="312">
        <v>378.0</v>
      </c>
      <c r="S817" s="316"/>
      <c r="T817" s="317">
        <v>382.78</v>
      </c>
      <c r="U817" s="312" t="s">
        <v>1366</v>
      </c>
      <c r="V817" s="312" t="s">
        <v>1367</v>
      </c>
      <c r="W817" s="50"/>
      <c r="X817" s="50"/>
      <c r="Y817" s="50"/>
      <c r="Z817" s="312"/>
      <c r="AA817" s="50"/>
      <c r="AB817" s="50"/>
      <c r="AC817" s="50"/>
      <c r="AD817" s="50"/>
      <c r="AE817" s="50"/>
    </row>
    <row r="818">
      <c r="A818" s="307">
        <v>42808.5125</v>
      </c>
      <c r="B818" s="312" t="s">
        <v>700</v>
      </c>
      <c r="C818" s="303" t="s">
        <v>1177</v>
      </c>
      <c r="D818" s="303" t="s">
        <v>1178</v>
      </c>
      <c r="E818" s="315">
        <v>41942.0</v>
      </c>
      <c r="F818" s="312" t="s">
        <v>30</v>
      </c>
      <c r="G818" s="303" t="s">
        <v>1203</v>
      </c>
      <c r="H818" s="303" t="s">
        <v>1180</v>
      </c>
      <c r="I818" s="303" t="s">
        <v>1187</v>
      </c>
      <c r="J818" s="306">
        <v>0.9</v>
      </c>
      <c r="K818" s="50"/>
      <c r="L818" s="312"/>
      <c r="M818" s="312">
        <v>206.0</v>
      </c>
      <c r="N818" s="312"/>
      <c r="O818" s="312"/>
      <c r="P818" s="315">
        <v>42808.0</v>
      </c>
      <c r="Q818" s="312">
        <v>93406.0</v>
      </c>
      <c r="R818" s="312">
        <v>380.0</v>
      </c>
      <c r="S818" s="316"/>
      <c r="T818" s="317">
        <v>384.81</v>
      </c>
      <c r="U818" s="312" t="s">
        <v>1366</v>
      </c>
      <c r="V818" s="312" t="s">
        <v>1367</v>
      </c>
      <c r="W818" s="50"/>
      <c r="X818" s="50"/>
      <c r="Y818" s="50"/>
      <c r="Z818" s="312"/>
      <c r="AA818" s="50"/>
      <c r="AB818" s="50"/>
      <c r="AC818" s="50"/>
      <c r="AD818" s="50"/>
      <c r="AE818" s="50"/>
    </row>
    <row r="819">
      <c r="A819" s="307">
        <v>42821.51597222222</v>
      </c>
      <c r="B819" s="312" t="s">
        <v>700</v>
      </c>
      <c r="C819" s="303" t="s">
        <v>1177</v>
      </c>
      <c r="D819" s="303" t="s">
        <v>1178</v>
      </c>
      <c r="E819" s="315">
        <v>41942.0</v>
      </c>
      <c r="F819" s="312" t="s">
        <v>30</v>
      </c>
      <c r="G819" s="312"/>
      <c r="H819" s="312"/>
      <c r="I819" s="312"/>
      <c r="J819" s="306"/>
      <c r="K819" s="50"/>
      <c r="L819" s="312"/>
      <c r="M819" s="312">
        <v>205.0</v>
      </c>
      <c r="N819" s="312"/>
      <c r="O819" s="312"/>
      <c r="P819" s="315">
        <v>42821.0</v>
      </c>
      <c r="Q819" s="312">
        <v>95393.0</v>
      </c>
      <c r="R819" s="312">
        <v>380.0</v>
      </c>
      <c r="S819" s="316"/>
      <c r="T819" s="317">
        <v>384.81</v>
      </c>
      <c r="U819" s="312" t="s">
        <v>1366</v>
      </c>
      <c r="V819" s="312" t="s">
        <v>1367</v>
      </c>
      <c r="W819" s="50"/>
      <c r="X819" s="50"/>
      <c r="Y819" s="50"/>
      <c r="Z819" s="312"/>
      <c r="AA819" s="50"/>
      <c r="AB819" s="50"/>
      <c r="AC819" s="50"/>
      <c r="AD819" s="50"/>
      <c r="AE819" s="50"/>
    </row>
    <row r="820">
      <c r="A820" s="307">
        <v>42858.529861111114</v>
      </c>
      <c r="B820" s="312" t="s">
        <v>700</v>
      </c>
      <c r="C820" s="303" t="s">
        <v>1177</v>
      </c>
      <c r="D820" s="303" t="s">
        <v>1178</v>
      </c>
      <c r="E820" s="315">
        <v>41942.0</v>
      </c>
      <c r="F820" s="312" t="s">
        <v>30</v>
      </c>
      <c r="G820" s="312"/>
      <c r="H820" s="312"/>
      <c r="I820" s="312"/>
      <c r="J820" s="306"/>
      <c r="K820" s="50"/>
      <c r="L820" s="312"/>
      <c r="M820" s="312">
        <v>204.0</v>
      </c>
      <c r="N820" s="312"/>
      <c r="O820" s="312"/>
      <c r="P820" s="315">
        <v>42858.0</v>
      </c>
      <c r="Q820" s="312">
        <v>97893.0</v>
      </c>
      <c r="R820" s="312">
        <v>378.5</v>
      </c>
      <c r="S820" s="316"/>
      <c r="T820" s="317">
        <v>383.29</v>
      </c>
      <c r="U820" s="312" t="s">
        <v>1366</v>
      </c>
      <c r="V820" s="312" t="s">
        <v>1367</v>
      </c>
      <c r="W820" s="50"/>
      <c r="X820" s="50"/>
      <c r="Y820" s="50"/>
      <c r="Z820" s="312"/>
      <c r="AA820" s="50"/>
      <c r="AB820" s="50"/>
      <c r="AC820" s="50"/>
      <c r="AD820" s="50"/>
      <c r="AE820" s="50"/>
    </row>
    <row r="821">
      <c r="A821" s="307">
        <v>42871.53611111111</v>
      </c>
      <c r="B821" s="312" t="s">
        <v>700</v>
      </c>
      <c r="C821" s="303" t="s">
        <v>1177</v>
      </c>
      <c r="D821" s="303" t="s">
        <v>1178</v>
      </c>
      <c r="E821" s="315">
        <v>41942.0</v>
      </c>
      <c r="F821" s="312" t="s">
        <v>30</v>
      </c>
      <c r="G821" s="312"/>
      <c r="H821" s="312"/>
      <c r="I821" s="312"/>
      <c r="J821" s="306"/>
      <c r="K821" s="50"/>
      <c r="L821" s="312"/>
      <c r="M821" s="312">
        <v>206.0</v>
      </c>
      <c r="N821" s="312"/>
      <c r="O821" s="312"/>
      <c r="P821" s="315">
        <v>42871.0</v>
      </c>
      <c r="Q821" s="312">
        <v>99100.0</v>
      </c>
      <c r="R821" s="312">
        <v>379.0</v>
      </c>
      <c r="S821" s="316"/>
      <c r="T821" s="317">
        <v>383.8</v>
      </c>
      <c r="U821" s="312" t="s">
        <v>1366</v>
      </c>
      <c r="V821" s="312" t="s">
        <v>1367</v>
      </c>
      <c r="W821" s="50"/>
      <c r="X821" s="50"/>
      <c r="Y821" s="50"/>
      <c r="Z821" s="312"/>
      <c r="AA821" s="50"/>
      <c r="AB821" s="50"/>
      <c r="AC821" s="50"/>
      <c r="AD821" s="50"/>
      <c r="AE821" s="50"/>
    </row>
    <row r="822">
      <c r="A822" s="307">
        <v>42897.54652777778</v>
      </c>
      <c r="B822" s="312" t="s">
        <v>700</v>
      </c>
      <c r="C822" s="303" t="s">
        <v>1177</v>
      </c>
      <c r="D822" s="303" t="s">
        <v>1178</v>
      </c>
      <c r="E822" s="315">
        <v>41942.0</v>
      </c>
      <c r="F822" s="312" t="s">
        <v>30</v>
      </c>
      <c r="G822" s="312"/>
      <c r="H822" s="312"/>
      <c r="I822" s="312"/>
      <c r="J822" s="306"/>
      <c r="K822" s="50"/>
      <c r="L822" s="312"/>
      <c r="M822" s="312">
        <v>206.0</v>
      </c>
      <c r="N822" s="312"/>
      <c r="O822" s="312"/>
      <c r="P822" s="315">
        <v>42897.0</v>
      </c>
      <c r="Q822" s="312">
        <v>100315.0</v>
      </c>
      <c r="R822" s="312">
        <v>380.0</v>
      </c>
      <c r="S822" s="316"/>
      <c r="T822" s="317">
        <v>384.81</v>
      </c>
      <c r="U822" s="312" t="s">
        <v>1366</v>
      </c>
      <c r="V822" s="312" t="s">
        <v>1367</v>
      </c>
      <c r="W822" s="50"/>
      <c r="X822" s="50"/>
      <c r="Y822" s="50"/>
      <c r="Z822" s="312"/>
      <c r="AA822" s="50"/>
      <c r="AB822" s="50"/>
      <c r="AC822" s="50"/>
      <c r="AD822" s="50"/>
      <c r="AE822" s="50"/>
    </row>
    <row r="823">
      <c r="A823" s="307">
        <v>43026.62777777778</v>
      </c>
      <c r="B823" s="312" t="s">
        <v>700</v>
      </c>
      <c r="C823" s="303" t="s">
        <v>1177</v>
      </c>
      <c r="D823" s="303" t="s">
        <v>1178</v>
      </c>
      <c r="E823" s="315">
        <v>41942.0</v>
      </c>
      <c r="F823" s="312" t="s">
        <v>30</v>
      </c>
      <c r="G823" s="312"/>
      <c r="H823" s="312"/>
      <c r="I823" s="312"/>
      <c r="J823" s="306"/>
      <c r="K823" s="50"/>
      <c r="L823" s="312"/>
      <c r="M823" s="312">
        <v>204.0</v>
      </c>
      <c r="N823" s="312"/>
      <c r="O823" s="312"/>
      <c r="P823" s="315">
        <v>43026.0</v>
      </c>
      <c r="Q823" s="312">
        <v>110360.0</v>
      </c>
      <c r="R823" s="312">
        <v>377.0</v>
      </c>
      <c r="S823" s="316"/>
      <c r="T823" s="317">
        <v>381.77</v>
      </c>
      <c r="U823" s="312" t="s">
        <v>1366</v>
      </c>
      <c r="V823" s="312" t="s">
        <v>1367</v>
      </c>
      <c r="W823" s="50"/>
      <c r="X823" s="50"/>
      <c r="Y823" s="50"/>
      <c r="Z823" s="312"/>
      <c r="AA823" s="50"/>
      <c r="AB823" s="50"/>
      <c r="AC823" s="50"/>
      <c r="AD823" s="50"/>
      <c r="AE823" s="50"/>
    </row>
    <row r="824">
      <c r="A824" s="307">
        <v>42454.3125</v>
      </c>
      <c r="B824" s="312" t="s">
        <v>818</v>
      </c>
      <c r="C824" s="303" t="s">
        <v>1177</v>
      </c>
      <c r="D824" s="303" t="s">
        <v>1178</v>
      </c>
      <c r="E824" s="315">
        <v>41628.0</v>
      </c>
      <c r="F824" s="312" t="s">
        <v>30</v>
      </c>
      <c r="G824" s="303" t="s">
        <v>1181</v>
      </c>
      <c r="H824" s="303" t="s">
        <v>1181</v>
      </c>
      <c r="I824" s="303" t="s">
        <v>1186</v>
      </c>
      <c r="J824" s="306">
        <v>0.8</v>
      </c>
      <c r="K824" s="50"/>
      <c r="L824" s="312"/>
      <c r="M824" s="312">
        <v>222.0</v>
      </c>
      <c r="N824" s="312"/>
      <c r="O824" s="312"/>
      <c r="P824" s="315">
        <v>42454.0</v>
      </c>
      <c r="Q824" s="312">
        <v>51000.0</v>
      </c>
      <c r="R824" s="312">
        <v>369.0</v>
      </c>
      <c r="S824" s="316"/>
      <c r="T824" s="317">
        <v>373.67</v>
      </c>
      <c r="U824" s="312" t="s">
        <v>1366</v>
      </c>
      <c r="V824" s="312" t="s">
        <v>1367</v>
      </c>
      <c r="W824" s="50"/>
      <c r="X824" s="50"/>
      <c r="Y824" s="50"/>
      <c r="Z824" s="312"/>
      <c r="AA824" s="50"/>
      <c r="AB824" s="50"/>
      <c r="AC824" s="50"/>
      <c r="AD824" s="50"/>
      <c r="AE824" s="50"/>
    </row>
    <row r="825">
      <c r="A825" s="307">
        <v>41906.013194444444</v>
      </c>
      <c r="B825" s="50" t="s">
        <v>811</v>
      </c>
      <c r="C825" s="303" t="s">
        <v>1177</v>
      </c>
      <c r="D825" s="303" t="s">
        <v>1178</v>
      </c>
      <c r="E825" s="310">
        <v>41724.0</v>
      </c>
      <c r="F825" s="50" t="s">
        <v>32</v>
      </c>
      <c r="G825" s="303" t="s">
        <v>1181</v>
      </c>
      <c r="H825" s="303" t="s">
        <v>1186</v>
      </c>
      <c r="I825" s="303" t="s">
        <v>1187</v>
      </c>
      <c r="J825" s="306"/>
      <c r="K825" s="50"/>
      <c r="L825" s="50"/>
      <c r="M825" s="50">
        <v>163.0</v>
      </c>
      <c r="N825" s="50"/>
      <c r="O825" s="312"/>
      <c r="P825" s="310">
        <v>41906.0</v>
      </c>
      <c r="Q825" s="50">
        <v>19800.0</v>
      </c>
      <c r="R825" s="50">
        <v>385.0</v>
      </c>
      <c r="S825" s="318"/>
      <c r="T825" s="317">
        <v>385.0</v>
      </c>
      <c r="U825" s="312" t="s">
        <v>1369</v>
      </c>
      <c r="V825" s="312" t="s">
        <v>1367</v>
      </c>
      <c r="W825" s="50"/>
      <c r="X825" s="50"/>
      <c r="Y825" s="50"/>
      <c r="Z825" s="312"/>
      <c r="AA825" s="50" t="s">
        <v>1373</v>
      </c>
      <c r="AB825" s="50"/>
      <c r="AC825" s="50"/>
      <c r="AD825" s="50"/>
      <c r="AE825" s="50"/>
    </row>
    <row r="826">
      <c r="A826" s="307">
        <v>41978.04375</v>
      </c>
      <c r="B826" s="50" t="s">
        <v>811</v>
      </c>
      <c r="C826" s="303" t="s">
        <v>1177</v>
      </c>
      <c r="D826" s="303" t="s">
        <v>1178</v>
      </c>
      <c r="E826" s="310">
        <v>41724.0</v>
      </c>
      <c r="F826" s="312" t="s">
        <v>32</v>
      </c>
      <c r="G826" s="303" t="s">
        <v>1180</v>
      </c>
      <c r="H826" s="303" t="s">
        <v>1181</v>
      </c>
      <c r="I826" s="303" t="s">
        <v>1187</v>
      </c>
      <c r="J826" s="306"/>
      <c r="K826" s="50"/>
      <c r="L826" s="50"/>
      <c r="M826" s="50">
        <v>167.0</v>
      </c>
      <c r="N826" s="50"/>
      <c r="O826" s="312"/>
      <c r="P826" s="310">
        <v>41978.0</v>
      </c>
      <c r="Q826" s="50">
        <v>24325.0</v>
      </c>
      <c r="R826" s="50">
        <v>387.0</v>
      </c>
      <c r="S826" s="318"/>
      <c r="T826" s="317">
        <v>387.0</v>
      </c>
      <c r="U826" s="312" t="s">
        <v>1369</v>
      </c>
      <c r="V826" s="312" t="s">
        <v>1367</v>
      </c>
      <c r="W826" s="50"/>
      <c r="X826" s="50"/>
      <c r="Y826" s="50"/>
      <c r="Z826" s="312"/>
      <c r="AA826" s="50" t="s">
        <v>1373</v>
      </c>
      <c r="AB826" s="50"/>
      <c r="AC826" s="50"/>
      <c r="AD826" s="50"/>
      <c r="AE826" s="50"/>
    </row>
    <row r="827">
      <c r="A827" s="307">
        <v>42079.084027777775</v>
      </c>
      <c r="B827" s="50" t="s">
        <v>811</v>
      </c>
      <c r="C827" s="303" t="s">
        <v>1177</v>
      </c>
      <c r="D827" s="303" t="s">
        <v>1178</v>
      </c>
      <c r="E827" s="310">
        <v>41724.0</v>
      </c>
      <c r="F827" s="312" t="s">
        <v>32</v>
      </c>
      <c r="G827" s="303" t="s">
        <v>1179</v>
      </c>
      <c r="H827" s="303" t="s">
        <v>1181</v>
      </c>
      <c r="I827" s="303" t="s">
        <v>1187</v>
      </c>
      <c r="J827" s="306"/>
      <c r="K827" s="50"/>
      <c r="L827" s="50"/>
      <c r="M827" s="50">
        <v>173.0</v>
      </c>
      <c r="N827" s="50"/>
      <c r="O827" s="312"/>
      <c r="P827" s="310">
        <v>42079.0</v>
      </c>
      <c r="Q827" s="50">
        <v>33240.0</v>
      </c>
      <c r="R827" s="50">
        <v>383.0</v>
      </c>
      <c r="S827" s="318"/>
      <c r="T827" s="317">
        <v>387.85</v>
      </c>
      <c r="U827" s="312" t="s">
        <v>1366</v>
      </c>
      <c r="V827" s="312" t="s">
        <v>1367</v>
      </c>
      <c r="W827" s="50"/>
      <c r="X827" s="50"/>
      <c r="Y827" s="50"/>
      <c r="Z827" s="312"/>
      <c r="AA827" s="50" t="s">
        <v>1373</v>
      </c>
      <c r="AB827" s="50"/>
      <c r="AC827" s="50"/>
      <c r="AD827" s="50"/>
      <c r="AE827" s="50"/>
    </row>
    <row r="828">
      <c r="A828" s="307">
        <v>42114.10277777778</v>
      </c>
      <c r="B828" s="312" t="s">
        <v>811</v>
      </c>
      <c r="C828" s="303" t="s">
        <v>1177</v>
      </c>
      <c r="D828" s="303" t="s">
        <v>1178</v>
      </c>
      <c r="E828" s="315">
        <v>41724.0</v>
      </c>
      <c r="F828" s="312" t="s">
        <v>32</v>
      </c>
      <c r="G828" s="303" t="s">
        <v>1179</v>
      </c>
      <c r="H828" s="303" t="s">
        <v>1181</v>
      </c>
      <c r="I828" s="303" t="s">
        <v>1187</v>
      </c>
      <c r="J828" s="306"/>
      <c r="K828" s="50"/>
      <c r="L828" s="312"/>
      <c r="M828" s="312">
        <v>173.0</v>
      </c>
      <c r="N828" s="50"/>
      <c r="O828" s="312"/>
      <c r="P828" s="315">
        <v>42114.0</v>
      </c>
      <c r="Q828" s="312">
        <v>35350.0</v>
      </c>
      <c r="R828" s="312">
        <v>383.0</v>
      </c>
      <c r="S828" s="316"/>
      <c r="T828" s="317">
        <v>383.0</v>
      </c>
      <c r="U828" s="312" t="s">
        <v>1369</v>
      </c>
      <c r="V828" s="312" t="s">
        <v>1367</v>
      </c>
      <c r="W828" s="50"/>
      <c r="X828" s="50"/>
      <c r="Y828" s="50"/>
      <c r="Z828" s="312"/>
      <c r="AA828" s="312" t="s">
        <v>1373</v>
      </c>
      <c r="AB828" s="50"/>
      <c r="AC828" s="50"/>
      <c r="AD828" s="50"/>
      <c r="AE828" s="50"/>
    </row>
    <row r="829">
      <c r="A829" s="307">
        <v>42168.14027777778</v>
      </c>
      <c r="B829" s="312" t="s">
        <v>811</v>
      </c>
      <c r="C829" s="303" t="s">
        <v>1177</v>
      </c>
      <c r="D829" s="303" t="s">
        <v>1178</v>
      </c>
      <c r="E829" s="315">
        <v>41724.0</v>
      </c>
      <c r="F829" s="312" t="s">
        <v>32</v>
      </c>
      <c r="G829" s="303" t="s">
        <v>1179</v>
      </c>
      <c r="H829" s="303" t="s">
        <v>1181</v>
      </c>
      <c r="I829" s="303" t="s">
        <v>1187</v>
      </c>
      <c r="J829" s="306">
        <v>0.8</v>
      </c>
      <c r="K829" s="50"/>
      <c r="L829" s="312"/>
      <c r="M829" s="312">
        <v>173.0</v>
      </c>
      <c r="N829" s="312"/>
      <c r="O829" s="312"/>
      <c r="P829" s="315">
        <v>42168.0</v>
      </c>
      <c r="Q829" s="312">
        <v>38128.0</v>
      </c>
      <c r="R829" s="312">
        <v>384.0</v>
      </c>
      <c r="S829" s="316"/>
      <c r="T829" s="317">
        <v>384.0</v>
      </c>
      <c r="U829" s="312" t="s">
        <v>1369</v>
      </c>
      <c r="V829" s="312" t="s">
        <v>1367</v>
      </c>
      <c r="W829" s="50"/>
      <c r="X829" s="50"/>
      <c r="Y829" s="50"/>
      <c r="Z829" s="312"/>
      <c r="AA829" s="312" t="s">
        <v>1373</v>
      </c>
      <c r="AB829" s="50"/>
      <c r="AC829" s="50"/>
      <c r="AD829" s="50"/>
      <c r="AE829" s="50"/>
    </row>
    <row r="830">
      <c r="A830" s="307">
        <v>42217.149305555555</v>
      </c>
      <c r="B830" s="312" t="s">
        <v>811</v>
      </c>
      <c r="C830" s="303" t="s">
        <v>1177</v>
      </c>
      <c r="D830" s="303" t="s">
        <v>1178</v>
      </c>
      <c r="E830" s="315">
        <v>41724.0</v>
      </c>
      <c r="F830" s="312" t="s">
        <v>32</v>
      </c>
      <c r="G830" s="303" t="s">
        <v>1179</v>
      </c>
      <c r="H830" s="303" t="s">
        <v>1181</v>
      </c>
      <c r="I830" s="303" t="s">
        <v>1187</v>
      </c>
      <c r="J830" s="306">
        <v>0.8</v>
      </c>
      <c r="K830" s="50"/>
      <c r="L830" s="312"/>
      <c r="M830" s="312">
        <v>171.0</v>
      </c>
      <c r="N830" s="312"/>
      <c r="O830" s="312"/>
      <c r="P830" s="315">
        <v>42217.0</v>
      </c>
      <c r="Q830" s="312">
        <v>41924.0</v>
      </c>
      <c r="R830" s="312">
        <v>384.0</v>
      </c>
      <c r="S830" s="316"/>
      <c r="T830" s="317">
        <v>384.0</v>
      </c>
      <c r="U830" s="312" t="s">
        <v>1369</v>
      </c>
      <c r="V830" s="312" t="s">
        <v>1367</v>
      </c>
      <c r="W830" s="50"/>
      <c r="X830" s="50"/>
      <c r="Y830" s="50"/>
      <c r="Z830" s="312"/>
      <c r="AA830" s="312" t="s">
        <v>1373</v>
      </c>
      <c r="AB830" s="50"/>
      <c r="AC830" s="50"/>
      <c r="AD830" s="50"/>
      <c r="AE830" s="50"/>
    </row>
    <row r="831">
      <c r="A831" s="307">
        <v>42461.319444444445</v>
      </c>
      <c r="B831" s="312" t="s">
        <v>811</v>
      </c>
      <c r="C831" s="303" t="s">
        <v>1177</v>
      </c>
      <c r="D831" s="303" t="s">
        <v>1178</v>
      </c>
      <c r="E831" s="315">
        <v>41724.0</v>
      </c>
      <c r="F831" s="312" t="s">
        <v>32</v>
      </c>
      <c r="G831" s="303" t="s">
        <v>1180</v>
      </c>
      <c r="H831" s="303" t="s">
        <v>1181</v>
      </c>
      <c r="I831" s="303" t="s">
        <v>1186</v>
      </c>
      <c r="J831" s="306">
        <v>0.8</v>
      </c>
      <c r="K831" s="50"/>
      <c r="L831" s="312"/>
      <c r="M831" s="312">
        <v>171.0</v>
      </c>
      <c r="N831" s="312"/>
      <c r="O831" s="312"/>
      <c r="P831" s="315">
        <v>42461.0</v>
      </c>
      <c r="Q831" s="312">
        <v>54700.0</v>
      </c>
      <c r="R831" s="312">
        <v>384.0</v>
      </c>
      <c r="S831" s="316"/>
      <c r="T831" s="317">
        <v>384.0</v>
      </c>
      <c r="U831" s="312" t="s">
        <v>1369</v>
      </c>
      <c r="V831" s="312" t="s">
        <v>1367</v>
      </c>
      <c r="W831" s="50"/>
      <c r="X831" s="50"/>
      <c r="Y831" s="50"/>
      <c r="Z831" s="312"/>
      <c r="AA831" s="50"/>
      <c r="AB831" s="50"/>
      <c r="AC831" s="50"/>
      <c r="AD831" s="50"/>
      <c r="AE831" s="50"/>
    </row>
    <row r="832">
      <c r="A832" s="307">
        <v>42969.584027777775</v>
      </c>
      <c r="B832" s="312" t="s">
        <v>968</v>
      </c>
      <c r="C832" s="303" t="s">
        <v>1177</v>
      </c>
      <c r="D832" s="303" t="s">
        <v>1178</v>
      </c>
      <c r="E832" s="315">
        <v>41820.0</v>
      </c>
      <c r="F832" s="312" t="s">
        <v>32</v>
      </c>
      <c r="G832" s="303" t="s">
        <v>1181</v>
      </c>
      <c r="H832" s="303" t="s">
        <v>1181</v>
      </c>
      <c r="I832" s="303" t="s">
        <v>1186</v>
      </c>
      <c r="J832" s="306">
        <v>0.8</v>
      </c>
      <c r="K832" s="50"/>
      <c r="L832" s="312"/>
      <c r="M832" s="312">
        <v>205.0</v>
      </c>
      <c r="N832" s="312"/>
      <c r="O832" s="312"/>
      <c r="P832" s="315">
        <v>42969.0</v>
      </c>
      <c r="Q832" s="312">
        <v>73397.0</v>
      </c>
      <c r="R832" s="312">
        <v>379.0</v>
      </c>
      <c r="S832" s="316"/>
      <c r="T832" s="317">
        <v>379.0</v>
      </c>
      <c r="U832" s="312" t="s">
        <v>1369</v>
      </c>
      <c r="V832" s="312" t="s">
        <v>1367</v>
      </c>
      <c r="W832" s="50"/>
      <c r="X832" s="50"/>
      <c r="Y832" s="50"/>
      <c r="Z832" s="312"/>
      <c r="AA832" s="50"/>
      <c r="AB832" s="50"/>
      <c r="AC832" s="50"/>
      <c r="AD832" s="50"/>
      <c r="AE832" s="50"/>
    </row>
    <row r="833">
      <c r="A833" s="307">
        <v>41920.03055555555</v>
      </c>
      <c r="B833" s="50" t="s">
        <v>748</v>
      </c>
      <c r="C833" s="303" t="s">
        <v>1177</v>
      </c>
      <c r="D833" s="303" t="s">
        <v>1178</v>
      </c>
      <c r="E833" s="310">
        <v>41639.0</v>
      </c>
      <c r="F833" s="312" t="s">
        <v>1370</v>
      </c>
      <c r="G833" s="303" t="s">
        <v>1181</v>
      </c>
      <c r="H833" s="303" t="s">
        <v>1179</v>
      </c>
      <c r="I833" s="303" t="s">
        <v>1187</v>
      </c>
      <c r="J833" s="306"/>
      <c r="K833" s="50"/>
      <c r="L833" s="50"/>
      <c r="M833" s="50">
        <v>214.0</v>
      </c>
      <c r="N833" s="50"/>
      <c r="O833" s="312"/>
      <c r="P833" s="310">
        <v>41920.0</v>
      </c>
      <c r="Q833" s="50">
        <v>21845.0</v>
      </c>
      <c r="R833" s="50">
        <v>394.0</v>
      </c>
      <c r="S833" s="318"/>
      <c r="T833" s="317">
        <v>397.98</v>
      </c>
      <c r="U833" s="312" t="s">
        <v>1407</v>
      </c>
      <c r="V833" s="312" t="s">
        <v>1367</v>
      </c>
      <c r="W833" s="50"/>
      <c r="X833" s="50"/>
      <c r="Y833" s="50"/>
      <c r="Z833" s="312"/>
      <c r="AA833" s="50" t="s">
        <v>1373</v>
      </c>
      <c r="AB833" s="50"/>
      <c r="AC833" s="50"/>
      <c r="AD833" s="50"/>
      <c r="AE833" s="50"/>
    </row>
    <row r="834">
      <c r="A834" s="307">
        <v>42024.061111111114</v>
      </c>
      <c r="B834" s="50" t="s">
        <v>748</v>
      </c>
      <c r="C834" s="303" t="s">
        <v>1177</v>
      </c>
      <c r="D834" s="303" t="s">
        <v>1178</v>
      </c>
      <c r="E834" s="310">
        <v>41639.0</v>
      </c>
      <c r="F834" s="312" t="s">
        <v>1370</v>
      </c>
      <c r="G834" s="303" t="s">
        <v>1186</v>
      </c>
      <c r="H834" s="303" t="s">
        <v>1179</v>
      </c>
      <c r="I834" s="303" t="s">
        <v>1187</v>
      </c>
      <c r="J834" s="306"/>
      <c r="K834" s="50"/>
      <c r="L834" s="50"/>
      <c r="M834" s="50">
        <v>221.0</v>
      </c>
      <c r="N834" s="50"/>
      <c r="O834" s="312"/>
      <c r="P834" s="310">
        <v>42024.0</v>
      </c>
      <c r="Q834" s="50">
        <v>30000.0</v>
      </c>
      <c r="R834" s="50">
        <v>384.0</v>
      </c>
      <c r="S834" s="318"/>
      <c r="T834" s="317">
        <v>387.88</v>
      </c>
      <c r="U834" s="312" t="s">
        <v>1407</v>
      </c>
      <c r="V834" s="312" t="s">
        <v>1367</v>
      </c>
      <c r="W834" s="50"/>
      <c r="X834" s="50"/>
      <c r="Y834" s="50"/>
      <c r="Z834" s="312"/>
      <c r="AA834" s="50" t="s">
        <v>1373</v>
      </c>
      <c r="AB834" s="50"/>
      <c r="AC834" s="50"/>
      <c r="AD834" s="50"/>
      <c r="AE834" s="50"/>
    </row>
    <row r="835">
      <c r="A835" s="307">
        <v>42266.76111111111</v>
      </c>
      <c r="B835" s="312" t="s">
        <v>1007</v>
      </c>
      <c r="C835" s="312" t="s">
        <v>1184</v>
      </c>
      <c r="D835" s="303" t="s">
        <v>1185</v>
      </c>
      <c r="E835" s="315">
        <v>41995.0</v>
      </c>
      <c r="F835" s="312" t="s">
        <v>38</v>
      </c>
      <c r="G835" s="303" t="s">
        <v>1179</v>
      </c>
      <c r="H835" s="303" t="s">
        <v>1179</v>
      </c>
      <c r="I835" s="303" t="s">
        <v>1180</v>
      </c>
      <c r="J835" s="306">
        <v>0.9</v>
      </c>
      <c r="K835" s="312">
        <v>253.0</v>
      </c>
      <c r="L835" s="312"/>
      <c r="M835" s="312">
        <v>381.0</v>
      </c>
      <c r="N835" s="312"/>
      <c r="O835" s="312"/>
      <c r="P835" s="315">
        <v>42266.0</v>
      </c>
      <c r="Q835" s="312">
        <v>19918.0</v>
      </c>
      <c r="R835" s="312">
        <v>244.0</v>
      </c>
      <c r="S835" s="316"/>
      <c r="T835" s="317">
        <v>247.09</v>
      </c>
      <c r="U835" s="312" t="s">
        <v>1366</v>
      </c>
      <c r="V835" s="312" t="s">
        <v>1367</v>
      </c>
      <c r="W835" s="50"/>
      <c r="X835" s="50"/>
      <c r="Y835" s="50"/>
      <c r="Z835" s="312"/>
      <c r="AA835" s="50"/>
      <c r="AB835" s="50"/>
      <c r="AC835" s="50"/>
      <c r="AD835" s="50"/>
      <c r="AE835" s="50"/>
    </row>
    <row r="836">
      <c r="A836" s="307">
        <v>42349.782638888886</v>
      </c>
      <c r="B836" s="312" t="s">
        <v>1007</v>
      </c>
      <c r="C836" s="312" t="s">
        <v>1184</v>
      </c>
      <c r="D836" s="303" t="s">
        <v>1185</v>
      </c>
      <c r="E836" s="315">
        <v>41995.0</v>
      </c>
      <c r="F836" s="312" t="s">
        <v>38</v>
      </c>
      <c r="G836" s="303" t="s">
        <v>1179</v>
      </c>
      <c r="H836" s="303" t="s">
        <v>1179</v>
      </c>
      <c r="I836" s="303" t="s">
        <v>1180</v>
      </c>
      <c r="J836" s="306">
        <v>0.9</v>
      </c>
      <c r="K836" s="50"/>
      <c r="L836" s="312"/>
      <c r="M836" s="312">
        <v>379.0</v>
      </c>
      <c r="N836" s="312"/>
      <c r="O836" s="312"/>
      <c r="P836" s="315">
        <v>42349.0</v>
      </c>
      <c r="Q836" s="312">
        <v>28747.0</v>
      </c>
      <c r="R836" s="312">
        <v>242.0</v>
      </c>
      <c r="S836" s="316"/>
      <c r="T836" s="317">
        <v>245.06</v>
      </c>
      <c r="U836" s="312" t="s">
        <v>1366</v>
      </c>
      <c r="V836" s="312" t="s">
        <v>1367</v>
      </c>
      <c r="W836" s="50"/>
      <c r="X836" s="50"/>
      <c r="Y836" s="50"/>
      <c r="Z836" s="312"/>
      <c r="AA836" s="50"/>
      <c r="AB836" s="50"/>
      <c r="AC836" s="50"/>
      <c r="AD836" s="50"/>
      <c r="AE836" s="50"/>
    </row>
    <row r="837">
      <c r="A837" s="307">
        <v>42125.74097222222</v>
      </c>
      <c r="B837" s="50" t="s">
        <v>854</v>
      </c>
      <c r="C837" s="50" t="s">
        <v>1184</v>
      </c>
      <c r="D837" s="303" t="s">
        <v>1185</v>
      </c>
      <c r="E837" s="310">
        <v>41760.0</v>
      </c>
      <c r="F837" s="50" t="s">
        <v>12</v>
      </c>
      <c r="G837" s="303" t="s">
        <v>1179</v>
      </c>
      <c r="H837" s="303" t="s">
        <v>1179</v>
      </c>
      <c r="I837" s="303" t="s">
        <v>1186</v>
      </c>
      <c r="J837" s="306">
        <v>0.9</v>
      </c>
      <c r="K837" s="50"/>
      <c r="L837" s="50"/>
      <c r="M837" s="312">
        <v>316.0</v>
      </c>
      <c r="N837" s="312"/>
      <c r="O837" s="312"/>
      <c r="P837" s="310">
        <v>42125.0</v>
      </c>
      <c r="Q837" s="50">
        <v>24903.0</v>
      </c>
      <c r="R837" s="312">
        <v>190.0</v>
      </c>
      <c r="S837" s="316"/>
      <c r="T837" s="317">
        <v>190.0</v>
      </c>
      <c r="U837" s="312" t="s">
        <v>1369</v>
      </c>
      <c r="V837" s="312" t="s">
        <v>1367</v>
      </c>
      <c r="W837" s="50"/>
      <c r="X837" s="50"/>
      <c r="Y837" s="50"/>
      <c r="Z837" s="312"/>
      <c r="AA837" s="50"/>
      <c r="AB837" s="50"/>
      <c r="AC837" s="50"/>
      <c r="AD837" s="50"/>
      <c r="AE837" s="50"/>
    </row>
    <row r="838">
      <c r="A838" s="307">
        <v>42552.79861111111</v>
      </c>
      <c r="B838" s="312" t="s">
        <v>916</v>
      </c>
      <c r="C838" s="312" t="s">
        <v>1184</v>
      </c>
      <c r="D838" s="303" t="s">
        <v>1185</v>
      </c>
      <c r="E838" s="315">
        <v>42432.0</v>
      </c>
      <c r="F838" s="312" t="s">
        <v>43</v>
      </c>
      <c r="G838" s="303" t="s">
        <v>1179</v>
      </c>
      <c r="H838" s="303" t="s">
        <v>1186</v>
      </c>
      <c r="I838" s="303" t="s">
        <v>1187</v>
      </c>
      <c r="J838" s="306">
        <v>0.8</v>
      </c>
      <c r="K838" s="312">
        <v>293.0</v>
      </c>
      <c r="L838" s="312"/>
      <c r="M838" s="312">
        <v>322.0</v>
      </c>
      <c r="N838" s="312"/>
      <c r="O838" s="312"/>
      <c r="P838" s="315">
        <v>42552.0</v>
      </c>
      <c r="Q838" s="312">
        <v>6861.0</v>
      </c>
      <c r="R838" s="312">
        <v>291.71</v>
      </c>
      <c r="S838" s="316"/>
      <c r="T838" s="317">
        <v>291.71</v>
      </c>
      <c r="U838" s="312" t="s">
        <v>1369</v>
      </c>
      <c r="V838" s="312" t="s">
        <v>1367</v>
      </c>
      <c r="W838" s="50"/>
      <c r="X838" s="50"/>
      <c r="Y838" s="50"/>
      <c r="Z838" s="312"/>
      <c r="AA838" s="50"/>
      <c r="AB838" s="50"/>
      <c r="AC838" s="50"/>
      <c r="AD838" s="50"/>
      <c r="AE838" s="50"/>
    </row>
    <row r="839">
      <c r="A839" s="307">
        <v>42974.59722222222</v>
      </c>
      <c r="B839" s="312" t="s">
        <v>978</v>
      </c>
      <c r="C839" s="303" t="s">
        <v>1177</v>
      </c>
      <c r="D839" s="303" t="s">
        <v>1178</v>
      </c>
      <c r="E839" s="315">
        <v>42756.0</v>
      </c>
      <c r="F839" s="312" t="s">
        <v>43</v>
      </c>
      <c r="G839" s="303" t="s">
        <v>1179</v>
      </c>
      <c r="H839" s="303" t="s">
        <v>1181</v>
      </c>
      <c r="I839" s="303" t="s">
        <v>1187</v>
      </c>
      <c r="J839" s="306">
        <v>0.8</v>
      </c>
      <c r="K839" s="50"/>
      <c r="L839" s="312"/>
      <c r="M839" s="312">
        <v>184.0</v>
      </c>
      <c r="N839" s="312"/>
      <c r="O839" s="312"/>
      <c r="P839" s="315">
        <v>42974.0</v>
      </c>
      <c r="Q839" s="312">
        <v>17966.0</v>
      </c>
      <c r="R839" s="312">
        <v>448.0</v>
      </c>
      <c r="S839" s="316"/>
      <c r="T839" s="317">
        <v>453.67</v>
      </c>
      <c r="U839" s="312" t="s">
        <v>1366</v>
      </c>
      <c r="V839" s="312" t="s">
        <v>1367</v>
      </c>
      <c r="W839" s="50"/>
      <c r="X839" s="50"/>
      <c r="Y839" s="50"/>
      <c r="Z839" s="312"/>
      <c r="AA839" s="312" t="s">
        <v>1556</v>
      </c>
      <c r="AB839" s="50"/>
      <c r="AC839" s="50"/>
      <c r="AD839" s="50"/>
      <c r="AE839" s="50"/>
    </row>
    <row r="840">
      <c r="A840" s="307">
        <v>43123.674305555556</v>
      </c>
      <c r="B840" s="312" t="s">
        <v>978</v>
      </c>
      <c r="C840" s="303" t="s">
        <v>1177</v>
      </c>
      <c r="D840" s="303" t="s">
        <v>1178</v>
      </c>
      <c r="E840" s="315">
        <v>42756.0</v>
      </c>
      <c r="F840" s="312" t="s">
        <v>43</v>
      </c>
      <c r="G840" s="303" t="s">
        <v>1179</v>
      </c>
      <c r="H840" s="303" t="s">
        <v>1181</v>
      </c>
      <c r="I840" s="303" t="s">
        <v>1181</v>
      </c>
      <c r="J840" s="306">
        <v>0.8</v>
      </c>
      <c r="K840" s="312">
        <v>450.0</v>
      </c>
      <c r="L840" s="312"/>
      <c r="M840" s="312">
        <v>194.0</v>
      </c>
      <c r="N840" s="312"/>
      <c r="O840" s="312"/>
      <c r="P840" s="315">
        <v>43123.0</v>
      </c>
      <c r="Q840" s="312">
        <v>33608.0</v>
      </c>
      <c r="R840" s="312">
        <v>442.0</v>
      </c>
      <c r="S840" s="316"/>
      <c r="T840" s="317">
        <v>447.59</v>
      </c>
      <c r="U840" s="312" t="s">
        <v>1366</v>
      </c>
      <c r="V840" s="312" t="s">
        <v>1367</v>
      </c>
      <c r="W840" s="50"/>
      <c r="X840" s="50"/>
      <c r="Y840" s="50"/>
      <c r="Z840" s="312"/>
      <c r="AA840" s="312" t="s">
        <v>1557</v>
      </c>
      <c r="AB840" s="50"/>
      <c r="AC840" s="50"/>
      <c r="AD840" s="50"/>
      <c r="AE840" s="50"/>
    </row>
    <row r="841">
      <c r="A841" s="307">
        <v>43163.70277777778</v>
      </c>
      <c r="B841" s="312" t="s">
        <v>978</v>
      </c>
      <c r="C841" s="303" t="s">
        <v>1177</v>
      </c>
      <c r="D841" s="303" t="s">
        <v>1178</v>
      </c>
      <c r="E841" s="315">
        <v>42756.0</v>
      </c>
      <c r="F841" s="312" t="s">
        <v>43</v>
      </c>
      <c r="G841" s="303" t="s">
        <v>1179</v>
      </c>
      <c r="H841" s="303" t="s">
        <v>1181</v>
      </c>
      <c r="I841" s="303" t="s">
        <v>1181</v>
      </c>
      <c r="J841" s="306">
        <v>0.8</v>
      </c>
      <c r="K841" s="312">
        <v>450.0</v>
      </c>
      <c r="L841" s="312"/>
      <c r="M841" s="312">
        <v>198.0</v>
      </c>
      <c r="N841" s="312"/>
      <c r="O841" s="312"/>
      <c r="P841" s="315">
        <v>43163.0</v>
      </c>
      <c r="Q841" s="312">
        <v>38003.0</v>
      </c>
      <c r="R841" s="312">
        <v>440.0</v>
      </c>
      <c r="S841" s="316"/>
      <c r="T841" s="317">
        <v>445.57</v>
      </c>
      <c r="U841" s="312" t="s">
        <v>1366</v>
      </c>
      <c r="V841" s="312" t="s">
        <v>1367</v>
      </c>
      <c r="W841" s="50"/>
      <c r="X841" s="50"/>
      <c r="Y841" s="50"/>
      <c r="Z841" s="312"/>
      <c r="AA841" s="50"/>
      <c r="AB841" s="50"/>
      <c r="AC841" s="50"/>
      <c r="AD841" s="50"/>
      <c r="AE841" s="50"/>
    </row>
    <row r="842">
      <c r="A842" s="307">
        <v>43148.87291666667</v>
      </c>
      <c r="B842" s="312" t="s">
        <v>1558</v>
      </c>
      <c r="C842" s="312" t="s">
        <v>1184</v>
      </c>
      <c r="D842" s="303" t="s">
        <v>1185</v>
      </c>
      <c r="E842" s="315">
        <v>42627.0</v>
      </c>
      <c r="F842" s="312" t="s">
        <v>25</v>
      </c>
      <c r="G842" s="303" t="s">
        <v>1180</v>
      </c>
      <c r="H842" s="303" t="s">
        <v>1181</v>
      </c>
      <c r="I842" s="303" t="s">
        <v>1187</v>
      </c>
      <c r="J842" s="306">
        <v>0.8</v>
      </c>
      <c r="K842" s="50"/>
      <c r="L842" s="312"/>
      <c r="M842" s="312">
        <v>282.0</v>
      </c>
      <c r="N842" s="312"/>
      <c r="O842" s="312"/>
      <c r="P842" s="315">
        <v>43148.0</v>
      </c>
      <c r="Q842" s="312">
        <v>28993.0</v>
      </c>
      <c r="R842" s="312">
        <v>240.0</v>
      </c>
      <c r="S842" s="316"/>
      <c r="T842" s="317">
        <v>243.04</v>
      </c>
      <c r="U842" s="312" t="s">
        <v>1366</v>
      </c>
      <c r="V842" s="312" t="s">
        <v>1367</v>
      </c>
      <c r="W842" s="50"/>
      <c r="X842" s="50"/>
      <c r="Y842" s="50"/>
      <c r="Z842" s="312"/>
      <c r="AA842" s="312" t="s">
        <v>1559</v>
      </c>
      <c r="AB842" s="50"/>
      <c r="AC842" s="50"/>
      <c r="AD842" s="50"/>
      <c r="AE842" s="50"/>
    </row>
    <row r="843">
      <c r="A843" s="307">
        <v>43058.634722222225</v>
      </c>
      <c r="B843" s="312" t="s">
        <v>1560</v>
      </c>
      <c r="C843" s="303" t="s">
        <v>1177</v>
      </c>
      <c r="D843" s="303" t="s">
        <v>1178</v>
      </c>
      <c r="E843" s="315">
        <v>42461.0</v>
      </c>
      <c r="F843" s="312" t="s">
        <v>43</v>
      </c>
      <c r="G843" s="303" t="s">
        <v>1181</v>
      </c>
      <c r="H843" s="303" t="s">
        <v>1179</v>
      </c>
      <c r="I843" s="303" t="s">
        <v>1186</v>
      </c>
      <c r="J843" s="306">
        <v>0.8</v>
      </c>
      <c r="K843" s="312">
        <v>458.0</v>
      </c>
      <c r="L843" s="312"/>
      <c r="M843" s="312"/>
      <c r="N843" s="312"/>
      <c r="O843" s="312"/>
      <c r="P843" s="315">
        <v>43058.0</v>
      </c>
      <c r="Q843" s="312">
        <v>37425.0</v>
      </c>
      <c r="R843" s="312">
        <v>436.0</v>
      </c>
      <c r="S843" s="316"/>
      <c r="T843" s="317">
        <v>441.52</v>
      </c>
      <c r="U843" s="312" t="s">
        <v>1366</v>
      </c>
      <c r="V843" s="312" t="s">
        <v>1367</v>
      </c>
      <c r="W843" s="50"/>
      <c r="X843" s="50"/>
      <c r="Y843" s="50"/>
      <c r="Z843" s="312"/>
      <c r="AA843" s="312" t="s">
        <v>1561</v>
      </c>
      <c r="AB843" s="50"/>
      <c r="AC843" s="50"/>
      <c r="AD843" s="50"/>
      <c r="AE843" s="50"/>
    </row>
    <row r="844">
      <c r="A844" s="307">
        <v>43217.731944444444</v>
      </c>
      <c r="B844" s="312" t="s">
        <v>1562</v>
      </c>
      <c r="C844" s="303" t="s">
        <v>1177</v>
      </c>
      <c r="D844" s="303" t="s">
        <v>1178</v>
      </c>
      <c r="E844" s="315">
        <v>42980.0</v>
      </c>
      <c r="F844" s="312" t="s">
        <v>25</v>
      </c>
      <c r="G844" s="303" t="s">
        <v>1179</v>
      </c>
      <c r="H844" s="312"/>
      <c r="I844" s="303" t="s">
        <v>1187</v>
      </c>
      <c r="J844" s="306"/>
      <c r="K844" s="50"/>
      <c r="L844" s="312"/>
      <c r="M844" s="312">
        <v>180.0</v>
      </c>
      <c r="N844" s="312"/>
      <c r="O844" s="312"/>
      <c r="P844" s="315">
        <v>43217.0</v>
      </c>
      <c r="Q844" s="312">
        <v>12474.0</v>
      </c>
      <c r="R844" s="312">
        <v>350.0</v>
      </c>
      <c r="S844" s="316"/>
      <c r="T844" s="317">
        <v>354.43</v>
      </c>
      <c r="U844" s="312" t="s">
        <v>1366</v>
      </c>
      <c r="V844" s="312" t="s">
        <v>1367</v>
      </c>
      <c r="W844" s="50"/>
      <c r="X844" s="50"/>
      <c r="Y844" s="50"/>
      <c r="Z844" s="312"/>
      <c r="AA844" s="50"/>
      <c r="AB844" s="50"/>
      <c r="AC844" s="50"/>
      <c r="AD844" s="50"/>
      <c r="AE844" s="50"/>
    </row>
    <row r="845">
      <c r="A845" s="307">
        <v>42356.254166666666</v>
      </c>
      <c r="B845" s="312" t="s">
        <v>1112</v>
      </c>
      <c r="C845" s="303" t="s">
        <v>1177</v>
      </c>
      <c r="D845" s="303" t="s">
        <v>1178</v>
      </c>
      <c r="E845" s="315">
        <v>42158.0</v>
      </c>
      <c r="F845" s="312" t="s">
        <v>36</v>
      </c>
      <c r="G845" s="303" t="s">
        <v>1190</v>
      </c>
      <c r="H845" s="303" t="s">
        <v>1181</v>
      </c>
      <c r="I845" s="303" t="s">
        <v>1187</v>
      </c>
      <c r="J845" s="306">
        <v>0.9</v>
      </c>
      <c r="K845" s="312">
        <v>405.0</v>
      </c>
      <c r="L845" s="312"/>
      <c r="M845" s="312">
        <v>209.0</v>
      </c>
      <c r="N845" s="312"/>
      <c r="O845" s="312"/>
      <c r="P845" s="315">
        <v>42356.0</v>
      </c>
      <c r="Q845" s="312">
        <v>24300.0</v>
      </c>
      <c r="R845" s="312">
        <v>399.0</v>
      </c>
      <c r="S845" s="316"/>
      <c r="T845" s="317">
        <v>404.05</v>
      </c>
      <c r="U845" s="312" t="s">
        <v>1366</v>
      </c>
      <c r="V845" s="312" t="s">
        <v>1367</v>
      </c>
      <c r="W845" s="50"/>
      <c r="X845" s="50"/>
      <c r="Y845" s="50"/>
      <c r="Z845" s="312"/>
      <c r="AA845" s="50"/>
      <c r="AB845" s="50"/>
      <c r="AC845" s="50"/>
      <c r="AD845" s="50"/>
      <c r="AE845" s="50"/>
    </row>
    <row r="846">
      <c r="A846" s="307">
        <v>42319.23055555556</v>
      </c>
      <c r="B846" s="312" t="s">
        <v>795</v>
      </c>
      <c r="C846" s="303" t="s">
        <v>1177</v>
      </c>
      <c r="D846" s="303" t="s">
        <v>1178</v>
      </c>
      <c r="E846" s="315">
        <v>41715.0</v>
      </c>
      <c r="F846" s="312" t="s">
        <v>32</v>
      </c>
      <c r="G846" s="303" t="s">
        <v>1181</v>
      </c>
      <c r="H846" s="303" t="s">
        <v>1180</v>
      </c>
      <c r="I846" s="303" t="s">
        <v>1187</v>
      </c>
      <c r="J846" s="306">
        <v>0.9</v>
      </c>
      <c r="K846" s="312">
        <v>392.0</v>
      </c>
      <c r="L846" s="312"/>
      <c r="M846" s="312">
        <v>198.0</v>
      </c>
      <c r="N846" s="312"/>
      <c r="O846" s="312"/>
      <c r="P846" s="315">
        <v>42319.0</v>
      </c>
      <c r="Q846" s="312">
        <v>57000.0</v>
      </c>
      <c r="R846" s="312">
        <v>382.0</v>
      </c>
      <c r="S846" s="316"/>
      <c r="T846" s="317">
        <v>386.84</v>
      </c>
      <c r="U846" s="312" t="s">
        <v>1366</v>
      </c>
      <c r="V846" s="312" t="s">
        <v>1367</v>
      </c>
      <c r="W846" s="50"/>
      <c r="X846" s="50"/>
      <c r="Y846" s="50"/>
      <c r="Z846" s="312"/>
      <c r="AA846" s="50"/>
      <c r="AB846" s="50"/>
      <c r="AC846" s="50"/>
      <c r="AD846" s="50"/>
      <c r="AE846" s="50"/>
    </row>
    <row r="847">
      <c r="A847" s="307">
        <v>42345.23888888889</v>
      </c>
      <c r="B847" s="312" t="s">
        <v>795</v>
      </c>
      <c r="C847" s="303" t="s">
        <v>1177</v>
      </c>
      <c r="D847" s="303" t="s">
        <v>1178</v>
      </c>
      <c r="E847" s="315">
        <v>41715.0</v>
      </c>
      <c r="F847" s="312" t="s">
        <v>32</v>
      </c>
      <c r="G847" s="303" t="s">
        <v>1181</v>
      </c>
      <c r="H847" s="303" t="s">
        <v>1180</v>
      </c>
      <c r="I847" s="303" t="s">
        <v>1187</v>
      </c>
      <c r="J847" s="306">
        <v>0.9</v>
      </c>
      <c r="K847" s="312">
        <v>392.0</v>
      </c>
      <c r="L847" s="312"/>
      <c r="M847" s="312">
        <v>199.0</v>
      </c>
      <c r="N847" s="312"/>
      <c r="O847" s="312"/>
      <c r="P847" s="315">
        <v>42345.0</v>
      </c>
      <c r="Q847" s="312">
        <v>60000.0</v>
      </c>
      <c r="R847" s="312">
        <v>379.0</v>
      </c>
      <c r="S847" s="316"/>
      <c r="T847" s="317">
        <v>383.8</v>
      </c>
      <c r="U847" s="312" t="s">
        <v>1366</v>
      </c>
      <c r="V847" s="312" t="s">
        <v>1367</v>
      </c>
      <c r="W847" s="50"/>
      <c r="X847" s="50"/>
      <c r="Y847" s="50"/>
      <c r="Z847" s="312"/>
      <c r="AA847" s="50"/>
      <c r="AB847" s="50"/>
      <c r="AC847" s="50"/>
      <c r="AD847" s="50"/>
      <c r="AE847" s="50"/>
    </row>
    <row r="848">
      <c r="A848" s="307">
        <v>42461.31875</v>
      </c>
      <c r="B848" s="312" t="s">
        <v>795</v>
      </c>
      <c r="C848" s="303" t="s">
        <v>1177</v>
      </c>
      <c r="D848" s="303" t="s">
        <v>1178</v>
      </c>
      <c r="E848" s="315">
        <v>41715.0</v>
      </c>
      <c r="F848" s="312" t="s">
        <v>32</v>
      </c>
      <c r="G848" s="303" t="s">
        <v>1181</v>
      </c>
      <c r="H848" s="303" t="s">
        <v>1181</v>
      </c>
      <c r="I848" s="303" t="s">
        <v>1187</v>
      </c>
      <c r="J848" s="306">
        <v>0.9</v>
      </c>
      <c r="K848" s="312">
        <v>392.0</v>
      </c>
      <c r="L848" s="312"/>
      <c r="M848" s="312">
        <v>203.0</v>
      </c>
      <c r="N848" s="312"/>
      <c r="O848" s="312"/>
      <c r="P848" s="315">
        <v>42461.0</v>
      </c>
      <c r="Q848" s="312">
        <v>70000.0</v>
      </c>
      <c r="R848" s="312">
        <v>384.0</v>
      </c>
      <c r="S848" s="316"/>
      <c r="T848" s="317">
        <v>388.86</v>
      </c>
      <c r="U848" s="312" t="s">
        <v>1366</v>
      </c>
      <c r="V848" s="312" t="s">
        <v>1367</v>
      </c>
      <c r="W848" s="50"/>
      <c r="X848" s="50"/>
      <c r="Y848" s="50"/>
      <c r="Z848" s="312"/>
      <c r="AA848" s="312" t="s">
        <v>1563</v>
      </c>
      <c r="AB848" s="50"/>
      <c r="AC848" s="50"/>
      <c r="AD848" s="50"/>
      <c r="AE848" s="50"/>
    </row>
    <row r="849">
      <c r="A849" s="307">
        <v>42583.370833333334</v>
      </c>
      <c r="B849" s="312" t="s">
        <v>795</v>
      </c>
      <c r="C849" s="303" t="s">
        <v>1177</v>
      </c>
      <c r="D849" s="303" t="s">
        <v>1178</v>
      </c>
      <c r="E849" s="315">
        <v>41715.0</v>
      </c>
      <c r="F849" s="312" t="s">
        <v>32</v>
      </c>
      <c r="G849" s="303" t="s">
        <v>1181</v>
      </c>
      <c r="H849" s="303" t="s">
        <v>1181</v>
      </c>
      <c r="I849" s="303" t="s">
        <v>1187</v>
      </c>
      <c r="J849" s="306">
        <v>0.9</v>
      </c>
      <c r="K849" s="312">
        <v>392.0</v>
      </c>
      <c r="L849" s="312"/>
      <c r="M849" s="312">
        <v>201.0</v>
      </c>
      <c r="N849" s="312"/>
      <c r="O849" s="312"/>
      <c r="P849" s="315">
        <v>42583.0</v>
      </c>
      <c r="Q849" s="312">
        <v>80000.0</v>
      </c>
      <c r="R849" s="312">
        <v>377.0</v>
      </c>
      <c r="S849" s="316"/>
      <c r="T849" s="317">
        <v>381.77</v>
      </c>
      <c r="U849" s="312" t="s">
        <v>1366</v>
      </c>
      <c r="V849" s="312" t="s">
        <v>1367</v>
      </c>
      <c r="W849" s="50"/>
      <c r="X849" s="50"/>
      <c r="Y849" s="50"/>
      <c r="Z849" s="312"/>
      <c r="AA849" s="312" t="s">
        <v>1564</v>
      </c>
      <c r="AB849" s="50"/>
      <c r="AC849" s="50"/>
      <c r="AD849" s="50"/>
      <c r="AE849" s="50"/>
    </row>
    <row r="850">
      <c r="A850" s="307">
        <v>42686.436111111114</v>
      </c>
      <c r="B850" s="312" t="s">
        <v>795</v>
      </c>
      <c r="C850" s="303" t="s">
        <v>1177</v>
      </c>
      <c r="D850" s="303" t="s">
        <v>1178</v>
      </c>
      <c r="E850" s="315">
        <v>41715.0</v>
      </c>
      <c r="F850" s="312" t="s">
        <v>32</v>
      </c>
      <c r="G850" s="303" t="s">
        <v>1181</v>
      </c>
      <c r="H850" s="303" t="s">
        <v>1181</v>
      </c>
      <c r="I850" s="303" t="s">
        <v>1187</v>
      </c>
      <c r="J850" s="306">
        <v>0.9</v>
      </c>
      <c r="K850" s="312">
        <v>392.0</v>
      </c>
      <c r="L850" s="312"/>
      <c r="M850" s="312">
        <v>200.0</v>
      </c>
      <c r="N850" s="312"/>
      <c r="O850" s="312"/>
      <c r="P850" s="315">
        <v>42686.0</v>
      </c>
      <c r="Q850" s="312">
        <v>90000.0</v>
      </c>
      <c r="R850" s="312">
        <v>374.0</v>
      </c>
      <c r="S850" s="316"/>
      <c r="T850" s="317">
        <v>378.73</v>
      </c>
      <c r="U850" s="312" t="s">
        <v>1366</v>
      </c>
      <c r="V850" s="312" t="s">
        <v>1367</v>
      </c>
      <c r="W850" s="50"/>
      <c r="X850" s="50"/>
      <c r="Y850" s="50"/>
      <c r="Z850" s="312"/>
      <c r="AA850" s="312" t="s">
        <v>1565</v>
      </c>
      <c r="AB850" s="50"/>
      <c r="AC850" s="50"/>
      <c r="AD850" s="50"/>
      <c r="AE850" s="50"/>
    </row>
    <row r="851">
      <c r="A851" s="307">
        <v>42794.50486111111</v>
      </c>
      <c r="B851" s="312" t="s">
        <v>795</v>
      </c>
      <c r="C851" s="303" t="s">
        <v>1177</v>
      </c>
      <c r="D851" s="303" t="s">
        <v>1178</v>
      </c>
      <c r="E851" s="315">
        <v>41715.0</v>
      </c>
      <c r="F851" s="312" t="s">
        <v>32</v>
      </c>
      <c r="G851" s="303" t="s">
        <v>1181</v>
      </c>
      <c r="H851" s="303" t="s">
        <v>1181</v>
      </c>
      <c r="I851" s="303" t="s">
        <v>1187</v>
      </c>
      <c r="J851" s="306">
        <v>0.9</v>
      </c>
      <c r="K851" s="312">
        <v>392.0</v>
      </c>
      <c r="L851" s="312"/>
      <c r="M851" s="312">
        <v>202.0</v>
      </c>
      <c r="N851" s="312"/>
      <c r="O851" s="312"/>
      <c r="P851" s="315">
        <v>42794.0</v>
      </c>
      <c r="Q851" s="312">
        <v>100000.0</v>
      </c>
      <c r="R851" s="312">
        <v>376.0</v>
      </c>
      <c r="S851" s="316"/>
      <c r="T851" s="317">
        <v>380.76</v>
      </c>
      <c r="U851" s="312" t="s">
        <v>1366</v>
      </c>
      <c r="V851" s="312" t="s">
        <v>1367</v>
      </c>
      <c r="W851" s="50"/>
      <c r="X851" s="50"/>
      <c r="Y851" s="50"/>
      <c r="Z851" s="312"/>
      <c r="AA851" s="312" t="s">
        <v>1566</v>
      </c>
      <c r="AB851" s="50"/>
      <c r="AC851" s="50"/>
      <c r="AD851" s="50"/>
      <c r="AE851" s="50"/>
    </row>
    <row r="852">
      <c r="A852" s="307">
        <v>42908.549305555556</v>
      </c>
      <c r="B852" s="312" t="s">
        <v>795</v>
      </c>
      <c r="C852" s="303" t="s">
        <v>1177</v>
      </c>
      <c r="D852" s="303" t="s">
        <v>1178</v>
      </c>
      <c r="E852" s="315">
        <v>41715.0</v>
      </c>
      <c r="F852" s="312" t="s">
        <v>32</v>
      </c>
      <c r="G852" s="303" t="s">
        <v>1181</v>
      </c>
      <c r="H852" s="303" t="s">
        <v>1181</v>
      </c>
      <c r="I852" s="303" t="s">
        <v>1187</v>
      </c>
      <c r="J852" s="306">
        <v>0.9</v>
      </c>
      <c r="K852" s="312">
        <v>392.0</v>
      </c>
      <c r="L852" s="312"/>
      <c r="M852" s="312">
        <v>201.0</v>
      </c>
      <c r="N852" s="312"/>
      <c r="O852" s="312"/>
      <c r="P852" s="315">
        <v>42908.0</v>
      </c>
      <c r="Q852" s="312">
        <v>110000.0</v>
      </c>
      <c r="R852" s="312">
        <v>382.0</v>
      </c>
      <c r="S852" s="316"/>
      <c r="T852" s="317">
        <v>386.84</v>
      </c>
      <c r="U852" s="312" t="s">
        <v>1366</v>
      </c>
      <c r="V852" s="312" t="s">
        <v>1367</v>
      </c>
      <c r="W852" s="50"/>
      <c r="X852" s="50"/>
      <c r="Y852" s="50"/>
      <c r="Z852" s="312"/>
      <c r="AA852" s="312" t="s">
        <v>1567</v>
      </c>
      <c r="AB852" s="50"/>
      <c r="AC852" s="50"/>
      <c r="AD852" s="50"/>
      <c r="AE852" s="50"/>
    </row>
    <row r="853">
      <c r="A853" s="307">
        <v>43085.64722222222</v>
      </c>
      <c r="B853" s="312" t="s">
        <v>795</v>
      </c>
      <c r="C853" s="303" t="s">
        <v>1177</v>
      </c>
      <c r="D853" s="303" t="s">
        <v>1178</v>
      </c>
      <c r="E853" s="315">
        <v>41715.0</v>
      </c>
      <c r="F853" s="312" t="s">
        <v>32</v>
      </c>
      <c r="G853" s="303" t="s">
        <v>1181</v>
      </c>
      <c r="H853" s="303" t="s">
        <v>1181</v>
      </c>
      <c r="I853" s="303" t="s">
        <v>1187</v>
      </c>
      <c r="J853" s="306">
        <v>0.9</v>
      </c>
      <c r="K853" s="312">
        <v>392.0</v>
      </c>
      <c r="L853" s="312"/>
      <c r="M853" s="312">
        <v>200.0</v>
      </c>
      <c r="N853" s="312"/>
      <c r="O853" s="312"/>
      <c r="P853" s="315">
        <v>43085.0</v>
      </c>
      <c r="Q853" s="312">
        <v>120000.0</v>
      </c>
      <c r="R853" s="312">
        <v>373.0</v>
      </c>
      <c r="S853" s="316"/>
      <c r="T853" s="317">
        <v>377.72</v>
      </c>
      <c r="U853" s="312" t="s">
        <v>1366</v>
      </c>
      <c r="V853" s="312" t="s">
        <v>1367</v>
      </c>
      <c r="W853" s="50"/>
      <c r="X853" s="50"/>
      <c r="Y853" s="50"/>
      <c r="Z853" s="312"/>
      <c r="AA853" s="50"/>
      <c r="AB853" s="50"/>
      <c r="AC853" s="50"/>
      <c r="AD853" s="50"/>
      <c r="AE853" s="50"/>
    </row>
    <row r="854">
      <c r="A854" s="307">
        <v>43182.70972222222</v>
      </c>
      <c r="B854" s="312" t="s">
        <v>795</v>
      </c>
      <c r="C854" s="303" t="s">
        <v>1177</v>
      </c>
      <c r="D854" s="303" t="s">
        <v>1178</v>
      </c>
      <c r="E854" s="315">
        <v>41715.0</v>
      </c>
      <c r="F854" s="312" t="s">
        <v>32</v>
      </c>
      <c r="G854" s="303" t="s">
        <v>1181</v>
      </c>
      <c r="H854" s="303" t="s">
        <v>1180</v>
      </c>
      <c r="I854" s="303" t="s">
        <v>1187</v>
      </c>
      <c r="J854" s="306">
        <v>0.9</v>
      </c>
      <c r="K854" s="312">
        <v>392.0</v>
      </c>
      <c r="L854" s="312"/>
      <c r="M854" s="312">
        <v>203.0</v>
      </c>
      <c r="N854" s="312"/>
      <c r="O854" s="312"/>
      <c r="P854" s="315">
        <v>43182.0</v>
      </c>
      <c r="Q854" s="312">
        <v>130075.0</v>
      </c>
      <c r="R854" s="312">
        <v>376.0</v>
      </c>
      <c r="S854" s="316"/>
      <c r="T854" s="317">
        <v>380.76</v>
      </c>
      <c r="U854" s="312" t="s">
        <v>1366</v>
      </c>
      <c r="V854" s="312" t="s">
        <v>1367</v>
      </c>
      <c r="W854" s="50"/>
      <c r="X854" s="50"/>
      <c r="Y854" s="50"/>
      <c r="Z854" s="312"/>
      <c r="AA854" s="50"/>
      <c r="AB854" s="50"/>
      <c r="AC854" s="50"/>
      <c r="AD854" s="50"/>
      <c r="AE854" s="50"/>
    </row>
    <row r="855">
      <c r="A855" s="307">
        <v>42328.77361111111</v>
      </c>
      <c r="B855" s="312" t="s">
        <v>1088</v>
      </c>
      <c r="C855" s="312" t="s">
        <v>1184</v>
      </c>
      <c r="D855" s="303" t="s">
        <v>1185</v>
      </c>
      <c r="E855" s="315">
        <v>42248.0</v>
      </c>
      <c r="F855" s="312" t="s">
        <v>1512</v>
      </c>
      <c r="G855" s="303" t="s">
        <v>1181</v>
      </c>
      <c r="H855" s="303" t="s">
        <v>1186</v>
      </c>
      <c r="I855" s="303" t="s">
        <v>1187</v>
      </c>
      <c r="J855" s="306">
        <v>0.9</v>
      </c>
      <c r="K855" s="312">
        <v>283.0</v>
      </c>
      <c r="L855" s="312"/>
      <c r="M855" s="312">
        <v>334.0</v>
      </c>
      <c r="N855" s="312"/>
      <c r="O855" s="312"/>
      <c r="P855" s="315">
        <v>42328.0</v>
      </c>
      <c r="Q855" s="312">
        <v>2135.0</v>
      </c>
      <c r="R855" s="312">
        <v>278.0</v>
      </c>
      <c r="S855" s="316"/>
      <c r="T855" s="317">
        <v>278.0</v>
      </c>
      <c r="U855" s="312" t="s">
        <v>1369</v>
      </c>
      <c r="V855" s="312" t="s">
        <v>1367</v>
      </c>
      <c r="W855" s="50"/>
      <c r="X855" s="50"/>
      <c r="Y855" s="50"/>
      <c r="Z855" s="312"/>
      <c r="AA855" s="312" t="s">
        <v>1568</v>
      </c>
      <c r="AB855" s="50"/>
      <c r="AC855" s="50"/>
      <c r="AD855" s="50"/>
      <c r="AE855" s="50"/>
    </row>
    <row r="856">
      <c r="A856" s="307">
        <v>42348.779861111114</v>
      </c>
      <c r="B856" s="312" t="s">
        <v>1104</v>
      </c>
      <c r="C856" s="312" t="s">
        <v>1184</v>
      </c>
      <c r="D856" s="303" t="s">
        <v>1185</v>
      </c>
      <c r="E856" s="315">
        <v>41281.0</v>
      </c>
      <c r="F856" s="312" t="s">
        <v>34</v>
      </c>
      <c r="G856" s="303" t="s">
        <v>1180</v>
      </c>
      <c r="H856" s="303" t="s">
        <v>1186</v>
      </c>
      <c r="I856" s="303" t="s">
        <v>1180</v>
      </c>
      <c r="J856" s="306">
        <v>0.8</v>
      </c>
      <c r="K856" s="312">
        <v>268.0</v>
      </c>
      <c r="L856" s="312"/>
      <c r="M856" s="312">
        <v>332.0</v>
      </c>
      <c r="N856" s="312"/>
      <c r="O856" s="312"/>
      <c r="P856" s="315">
        <v>42348.0</v>
      </c>
      <c r="Q856" s="312">
        <v>38000.0</v>
      </c>
      <c r="R856" s="312">
        <v>258.0</v>
      </c>
      <c r="S856" s="316"/>
      <c r="T856" s="317">
        <v>261.27</v>
      </c>
      <c r="U856" s="312" t="s">
        <v>1366</v>
      </c>
      <c r="V856" s="312" t="s">
        <v>1367</v>
      </c>
      <c r="W856" s="50"/>
      <c r="X856" s="50"/>
      <c r="Y856" s="50"/>
      <c r="Z856" s="312"/>
      <c r="AA856" s="312" t="s">
        <v>1569</v>
      </c>
      <c r="AB856" s="50"/>
      <c r="AC856" s="50"/>
      <c r="AD856" s="50"/>
      <c r="AE856" s="50"/>
    </row>
    <row r="857">
      <c r="A857" s="307">
        <v>42047.072222222225</v>
      </c>
      <c r="B857" s="312" t="s">
        <v>778</v>
      </c>
      <c r="C857" s="303" t="s">
        <v>1177</v>
      </c>
      <c r="D857" s="303" t="s">
        <v>1178</v>
      </c>
      <c r="E857" s="315">
        <v>41600.0</v>
      </c>
      <c r="F857" s="312" t="s">
        <v>12</v>
      </c>
      <c r="G857" s="303" t="s">
        <v>1187</v>
      </c>
      <c r="H857" s="303" t="s">
        <v>1187</v>
      </c>
      <c r="I857" s="303" t="s">
        <v>1187</v>
      </c>
      <c r="J857" s="306"/>
      <c r="K857" s="50"/>
      <c r="L857" s="312"/>
      <c r="M857" s="312">
        <v>193.0</v>
      </c>
      <c r="N857" s="312"/>
      <c r="O857" s="312"/>
      <c r="P857" s="315">
        <v>42047.0</v>
      </c>
      <c r="Q857" s="312">
        <v>33000.0</v>
      </c>
      <c r="R857" s="312">
        <v>277.0</v>
      </c>
      <c r="S857" s="316"/>
      <c r="T857" s="317">
        <v>279.8</v>
      </c>
      <c r="U857" s="312" t="s">
        <v>1407</v>
      </c>
      <c r="V857" s="312" t="s">
        <v>1367</v>
      </c>
      <c r="W857" s="50"/>
      <c r="X857" s="50"/>
      <c r="Y857" s="50"/>
      <c r="Z857" s="312"/>
      <c r="AA857" s="50"/>
      <c r="AB857" s="50"/>
      <c r="AC857" s="50"/>
      <c r="AD857" s="50"/>
      <c r="AE857" s="50"/>
    </row>
    <row r="858">
      <c r="A858" s="307">
        <v>42842.52291666667</v>
      </c>
      <c r="B858" s="312" t="s">
        <v>472</v>
      </c>
      <c r="C858" s="303" t="s">
        <v>1177</v>
      </c>
      <c r="D858" s="303" t="s">
        <v>1178</v>
      </c>
      <c r="E858" s="315">
        <v>42641.0</v>
      </c>
      <c r="F858" s="312" t="s">
        <v>57</v>
      </c>
      <c r="G858" s="303" t="s">
        <v>1179</v>
      </c>
      <c r="H858" s="303" t="s">
        <v>1181</v>
      </c>
      <c r="I858" s="303" t="s">
        <v>1181</v>
      </c>
      <c r="J858" s="306">
        <v>0.9</v>
      </c>
      <c r="K858" s="312">
        <v>402.0</v>
      </c>
      <c r="L858" s="312"/>
      <c r="M858" s="312">
        <v>302.0</v>
      </c>
      <c r="N858" s="312"/>
      <c r="O858" s="312"/>
      <c r="P858" s="315">
        <v>42842.0</v>
      </c>
      <c r="Q858" s="312">
        <v>24980.0</v>
      </c>
      <c r="R858" s="312">
        <v>398.0</v>
      </c>
      <c r="S858" s="316"/>
      <c r="T858" s="317">
        <v>398.0</v>
      </c>
      <c r="U858" s="312" t="s">
        <v>1369</v>
      </c>
      <c r="V858" s="312" t="s">
        <v>1367</v>
      </c>
      <c r="W858" s="50"/>
      <c r="X858" s="50"/>
      <c r="Y858" s="50"/>
      <c r="Z858" s="312"/>
      <c r="AA858" s="312"/>
      <c r="AB858" s="50"/>
      <c r="AC858" s="50"/>
      <c r="AD858" s="50"/>
      <c r="AE858" s="50"/>
    </row>
    <row r="859">
      <c r="A859" s="307">
        <v>43040.63125</v>
      </c>
      <c r="B859" s="312" t="s">
        <v>472</v>
      </c>
      <c r="C859" s="303" t="s">
        <v>1177</v>
      </c>
      <c r="D859" s="303" t="s">
        <v>1178</v>
      </c>
      <c r="E859" s="315">
        <v>42641.0</v>
      </c>
      <c r="F859" s="312" t="s">
        <v>57</v>
      </c>
      <c r="G859" s="303" t="s">
        <v>1180</v>
      </c>
      <c r="H859" s="303" t="s">
        <v>1179</v>
      </c>
      <c r="I859" s="303" t="s">
        <v>1179</v>
      </c>
      <c r="J859" s="306">
        <v>0.8</v>
      </c>
      <c r="K859" s="50"/>
      <c r="L859" s="312"/>
      <c r="M859" s="312">
        <v>289.0</v>
      </c>
      <c r="N859" s="312"/>
      <c r="O859" s="312"/>
      <c r="P859" s="315">
        <v>43040.0</v>
      </c>
      <c r="Q859" s="312">
        <v>52783.0</v>
      </c>
      <c r="R859" s="312">
        <v>372.0</v>
      </c>
      <c r="S859" s="316"/>
      <c r="T859" s="317">
        <v>372.0</v>
      </c>
      <c r="U859" s="312" t="s">
        <v>1369</v>
      </c>
      <c r="V859" s="312" t="s">
        <v>1367</v>
      </c>
      <c r="W859" s="50"/>
      <c r="X859" s="50"/>
      <c r="Y859" s="50"/>
      <c r="Z859" s="312"/>
      <c r="AA859" s="50"/>
      <c r="AB859" s="50"/>
      <c r="AC859" s="50"/>
      <c r="AD859" s="50"/>
      <c r="AE859" s="50"/>
    </row>
    <row r="860">
      <c r="A860" s="307">
        <v>43070.63888888889</v>
      </c>
      <c r="B860" s="312" t="s">
        <v>472</v>
      </c>
      <c r="C860" s="303" t="s">
        <v>1177</v>
      </c>
      <c r="D860" s="303" t="s">
        <v>1178</v>
      </c>
      <c r="E860" s="315">
        <v>42641.0</v>
      </c>
      <c r="F860" s="312" t="s">
        <v>57</v>
      </c>
      <c r="G860" s="312"/>
      <c r="H860" s="312"/>
      <c r="I860" s="312"/>
      <c r="J860" s="306"/>
      <c r="K860" s="50"/>
      <c r="L860" s="312"/>
      <c r="M860" s="312"/>
      <c r="N860" s="312"/>
      <c r="O860" s="312"/>
      <c r="P860" s="315">
        <v>43070.0</v>
      </c>
      <c r="Q860" s="312">
        <v>56417.0</v>
      </c>
      <c r="R860" s="312">
        <v>370.0</v>
      </c>
      <c r="S860" s="316"/>
      <c r="T860" s="317">
        <v>370.0</v>
      </c>
      <c r="U860" s="312" t="s">
        <v>1369</v>
      </c>
      <c r="V860" s="312" t="s">
        <v>1367</v>
      </c>
      <c r="W860" s="50"/>
      <c r="X860" s="50"/>
      <c r="Y860" s="50"/>
      <c r="Z860" s="312"/>
      <c r="AA860" s="50"/>
      <c r="AB860" s="50"/>
      <c r="AC860" s="50"/>
      <c r="AD860" s="50"/>
      <c r="AE860" s="50"/>
    </row>
    <row r="861">
      <c r="A861" s="307">
        <v>43171.70625</v>
      </c>
      <c r="B861" s="50" t="s">
        <v>472</v>
      </c>
      <c r="C861" s="303" t="s">
        <v>1177</v>
      </c>
      <c r="D861" s="303" t="s">
        <v>1178</v>
      </c>
      <c r="E861" s="310">
        <v>42641.0</v>
      </c>
      <c r="F861" s="50" t="s">
        <v>57</v>
      </c>
      <c r="G861" s="303" t="s">
        <v>1190</v>
      </c>
      <c r="H861" s="312"/>
      <c r="I861" s="303" t="s">
        <v>1181</v>
      </c>
      <c r="J861" s="306"/>
      <c r="K861" s="50"/>
      <c r="L861" s="312"/>
      <c r="M861" s="312">
        <v>298.0</v>
      </c>
      <c r="N861" s="312"/>
      <c r="O861" s="312"/>
      <c r="P861" s="315">
        <v>43171.0</v>
      </c>
      <c r="Q861" s="50">
        <v>67374.0</v>
      </c>
      <c r="R861" s="312">
        <v>371.0</v>
      </c>
      <c r="S861" s="316"/>
      <c r="T861" s="317">
        <v>371.0</v>
      </c>
      <c r="U861" s="312" t="s">
        <v>1369</v>
      </c>
      <c r="V861" s="312" t="s">
        <v>1367</v>
      </c>
      <c r="W861" s="50"/>
      <c r="X861" s="50"/>
      <c r="Y861" s="50"/>
      <c r="Z861" s="312"/>
      <c r="AA861" s="50"/>
      <c r="AB861" s="50"/>
      <c r="AC861" s="50"/>
      <c r="AD861" s="50"/>
      <c r="AE861" s="50"/>
    </row>
    <row r="862">
      <c r="A862" s="307">
        <v>43205.725</v>
      </c>
      <c r="B862" s="312" t="s">
        <v>472</v>
      </c>
      <c r="C862" s="303" t="s">
        <v>1177</v>
      </c>
      <c r="D862" s="303" t="s">
        <v>1178</v>
      </c>
      <c r="E862" s="315">
        <v>42641.0</v>
      </c>
      <c r="F862" s="312" t="s">
        <v>57</v>
      </c>
      <c r="G862" s="303" t="s">
        <v>1180</v>
      </c>
      <c r="H862" s="303" t="s">
        <v>1180</v>
      </c>
      <c r="I862" s="303" t="s">
        <v>1181</v>
      </c>
      <c r="J862" s="306">
        <v>0.9</v>
      </c>
      <c r="K862" s="50"/>
      <c r="L862" s="312"/>
      <c r="M862" s="312">
        <v>294.0</v>
      </c>
      <c r="N862" s="312"/>
      <c r="O862" s="312"/>
      <c r="P862" s="315">
        <v>43205.0</v>
      </c>
      <c r="Q862" s="312">
        <v>72019.0</v>
      </c>
      <c r="R862" s="312">
        <v>372.0</v>
      </c>
      <c r="S862" s="316"/>
      <c r="T862" s="317">
        <v>372.0</v>
      </c>
      <c r="U862" s="312" t="s">
        <v>1369</v>
      </c>
      <c r="V862" s="312" t="s">
        <v>1367</v>
      </c>
      <c r="W862" s="50"/>
      <c r="X862" s="50"/>
      <c r="Y862" s="50"/>
      <c r="Z862" s="312"/>
      <c r="AA862" s="50"/>
      <c r="AB862" s="50"/>
      <c r="AC862" s="50"/>
      <c r="AD862" s="50"/>
      <c r="AE862" s="50"/>
    </row>
    <row r="863">
      <c r="A863" s="307">
        <v>41913.02569444444</v>
      </c>
      <c r="B863" s="50" t="s">
        <v>820</v>
      </c>
      <c r="C863" s="303" t="s">
        <v>1177</v>
      </c>
      <c r="D863" s="303" t="s">
        <v>1178</v>
      </c>
      <c r="E863" s="310">
        <v>41592.0</v>
      </c>
      <c r="F863" s="312" t="s">
        <v>1370</v>
      </c>
      <c r="G863" s="303" t="s">
        <v>1180</v>
      </c>
      <c r="H863" s="303" t="s">
        <v>1179</v>
      </c>
      <c r="I863" s="303" t="s">
        <v>1186</v>
      </c>
      <c r="J863" s="306"/>
      <c r="K863" s="50"/>
      <c r="L863" s="50"/>
      <c r="M863" s="50">
        <v>255.0</v>
      </c>
      <c r="N863" s="50"/>
      <c r="O863" s="312"/>
      <c r="P863" s="310">
        <v>41913.0</v>
      </c>
      <c r="Q863" s="50">
        <v>36369.0</v>
      </c>
      <c r="R863" s="50">
        <v>377.0</v>
      </c>
      <c r="S863" s="318"/>
      <c r="T863" s="317">
        <v>380.81</v>
      </c>
      <c r="U863" s="312" t="s">
        <v>1407</v>
      </c>
      <c r="V863" s="312" t="s">
        <v>1367</v>
      </c>
      <c r="W863" s="50"/>
      <c r="X863" s="50"/>
      <c r="Y863" s="50"/>
      <c r="Z863" s="312"/>
      <c r="AA863" s="50" t="s">
        <v>1570</v>
      </c>
      <c r="AB863" s="50"/>
      <c r="AC863" s="50"/>
      <c r="AD863" s="50"/>
      <c r="AE863" s="50"/>
    </row>
    <row r="864">
      <c r="A864" s="307">
        <v>42089.08819444444</v>
      </c>
      <c r="B864" s="312" t="s">
        <v>820</v>
      </c>
      <c r="C864" s="303" t="s">
        <v>1177</v>
      </c>
      <c r="D864" s="303" t="s">
        <v>1178</v>
      </c>
      <c r="E864" s="315">
        <v>41592.0</v>
      </c>
      <c r="F864" s="312" t="s">
        <v>1370</v>
      </c>
      <c r="G864" s="303" t="s">
        <v>1180</v>
      </c>
      <c r="H864" s="303" t="s">
        <v>1179</v>
      </c>
      <c r="I864" s="303" t="s">
        <v>1181</v>
      </c>
      <c r="J864" s="306"/>
      <c r="K864" s="50"/>
      <c r="L864" s="312"/>
      <c r="M864" s="312">
        <v>255.0</v>
      </c>
      <c r="N864" s="50"/>
      <c r="O864" s="312"/>
      <c r="P864" s="315">
        <v>42089.0</v>
      </c>
      <c r="Q864" s="312">
        <v>51255.0</v>
      </c>
      <c r="R864" s="312">
        <v>375.0</v>
      </c>
      <c r="S864" s="316"/>
      <c r="T864" s="317">
        <v>379.75</v>
      </c>
      <c r="U864" s="312" t="s">
        <v>1366</v>
      </c>
      <c r="V864" s="312" t="s">
        <v>1367</v>
      </c>
      <c r="W864" s="50"/>
      <c r="X864" s="50"/>
      <c r="Y864" s="50"/>
      <c r="Z864" s="312"/>
      <c r="AA864" s="50"/>
      <c r="AB864" s="50"/>
      <c r="AC864" s="50"/>
      <c r="AD864" s="50"/>
      <c r="AE864" s="50"/>
    </row>
    <row r="865">
      <c r="A865" s="307">
        <v>42288.768055555556</v>
      </c>
      <c r="B865" s="312" t="s">
        <v>1034</v>
      </c>
      <c r="C865" s="312" t="s">
        <v>1184</v>
      </c>
      <c r="D865" s="303" t="s">
        <v>1185</v>
      </c>
      <c r="E865" s="315">
        <v>42248.0</v>
      </c>
      <c r="F865" s="312" t="s">
        <v>1512</v>
      </c>
      <c r="G865" s="303" t="s">
        <v>1181</v>
      </c>
      <c r="H865" s="303" t="s">
        <v>1181</v>
      </c>
      <c r="I865" s="303" t="s">
        <v>1187</v>
      </c>
      <c r="J865" s="306">
        <v>0.9</v>
      </c>
      <c r="K865" s="312">
        <v>283.0</v>
      </c>
      <c r="L865" s="312"/>
      <c r="M865" s="312">
        <v>318.0</v>
      </c>
      <c r="N865" s="312"/>
      <c r="O865" s="312"/>
      <c r="P865" s="315">
        <v>42288.0</v>
      </c>
      <c r="Q865" s="312">
        <v>975.0</v>
      </c>
      <c r="R865" s="312">
        <v>283.0</v>
      </c>
      <c r="S865" s="316"/>
      <c r="T865" s="317">
        <v>283.0</v>
      </c>
      <c r="U865" s="312" t="s">
        <v>1369</v>
      </c>
      <c r="V865" s="312" t="s">
        <v>1367</v>
      </c>
      <c r="W865" s="50"/>
      <c r="X865" s="50"/>
      <c r="Y865" s="50"/>
      <c r="Z865" s="312"/>
      <c r="AA865" s="312" t="s">
        <v>1571</v>
      </c>
      <c r="AB865" s="50"/>
      <c r="AC865" s="50"/>
      <c r="AD865" s="50"/>
      <c r="AE865" s="50"/>
    </row>
    <row r="866">
      <c r="A866" s="307">
        <v>43186.71111111111</v>
      </c>
      <c r="B866" s="312" t="s">
        <v>1572</v>
      </c>
      <c r="C866" s="303" t="s">
        <v>1177</v>
      </c>
      <c r="D866" s="303" t="s">
        <v>1178</v>
      </c>
      <c r="E866" s="315">
        <v>42597.0</v>
      </c>
      <c r="F866" s="312" t="s">
        <v>43</v>
      </c>
      <c r="G866" s="303" t="s">
        <v>1180</v>
      </c>
      <c r="H866" s="303" t="s">
        <v>1181</v>
      </c>
      <c r="I866" s="303" t="s">
        <v>1187</v>
      </c>
      <c r="J866" s="306">
        <v>0.8</v>
      </c>
      <c r="K866" s="312">
        <v>440.0</v>
      </c>
      <c r="L866" s="312"/>
      <c r="M866" s="312">
        <v>216.0</v>
      </c>
      <c r="N866" s="312"/>
      <c r="O866" s="312"/>
      <c r="P866" s="315">
        <v>43186.0</v>
      </c>
      <c r="Q866" s="312">
        <v>47414.0</v>
      </c>
      <c r="R866" s="312">
        <v>426.0</v>
      </c>
      <c r="S866" s="316"/>
      <c r="T866" s="317">
        <v>431.39</v>
      </c>
      <c r="U866" s="312" t="s">
        <v>1366</v>
      </c>
      <c r="V866" s="312" t="s">
        <v>1367</v>
      </c>
      <c r="W866" s="50"/>
      <c r="X866" s="50"/>
      <c r="Y866" s="50"/>
      <c r="Z866" s="312"/>
      <c r="AA866" s="312" t="s">
        <v>1573</v>
      </c>
      <c r="AB866" s="50"/>
      <c r="AC866" s="50"/>
      <c r="AD866" s="50"/>
      <c r="AE866" s="50"/>
    </row>
    <row r="867">
      <c r="A867" s="307">
        <v>42672.41875</v>
      </c>
      <c r="B867" s="312" t="s">
        <v>921</v>
      </c>
      <c r="C867" s="303" t="s">
        <v>1177</v>
      </c>
      <c r="D867" s="303" t="s">
        <v>1178</v>
      </c>
      <c r="E867" s="315">
        <v>42200.0</v>
      </c>
      <c r="F867" s="312" t="s">
        <v>30</v>
      </c>
      <c r="G867" s="312"/>
      <c r="H867" s="312"/>
      <c r="I867" s="312"/>
      <c r="J867" s="306"/>
      <c r="K867" s="50"/>
      <c r="L867" s="312"/>
      <c r="M867" s="312">
        <v>218.0</v>
      </c>
      <c r="N867" s="312"/>
      <c r="O867" s="312"/>
      <c r="P867" s="315">
        <v>42672.0</v>
      </c>
      <c r="Q867" s="312">
        <v>66849.0</v>
      </c>
      <c r="R867" s="312">
        <v>391.0</v>
      </c>
      <c r="S867" s="316"/>
      <c r="T867" s="317">
        <v>391.0</v>
      </c>
      <c r="U867" s="312" t="s">
        <v>1369</v>
      </c>
      <c r="V867" s="312" t="s">
        <v>1367</v>
      </c>
      <c r="W867" s="50"/>
      <c r="X867" s="50"/>
      <c r="Y867" s="50"/>
      <c r="Z867" s="312"/>
      <c r="AA867" s="50"/>
      <c r="AB867" s="50"/>
      <c r="AC867" s="50"/>
      <c r="AD867" s="50"/>
      <c r="AE867" s="50"/>
    </row>
    <row r="868">
      <c r="A868" s="307">
        <v>42925.55902777778</v>
      </c>
      <c r="B868" s="312" t="s">
        <v>921</v>
      </c>
      <c r="C868" s="303" t="s">
        <v>1177</v>
      </c>
      <c r="D868" s="303" t="s">
        <v>1178</v>
      </c>
      <c r="E868" s="315">
        <v>42200.0</v>
      </c>
      <c r="F868" s="312" t="s">
        <v>30</v>
      </c>
      <c r="G868" s="303" t="s">
        <v>1190</v>
      </c>
      <c r="H868" s="303" t="s">
        <v>1181</v>
      </c>
      <c r="I868" s="303" t="s">
        <v>1180</v>
      </c>
      <c r="J868" s="306">
        <v>0.9</v>
      </c>
      <c r="K868" s="50"/>
      <c r="L868" s="312"/>
      <c r="M868" s="312">
        <v>212.0</v>
      </c>
      <c r="N868" s="312"/>
      <c r="O868" s="312"/>
      <c r="P868" s="315">
        <v>42925.0</v>
      </c>
      <c r="Q868" s="312">
        <v>113000.0</v>
      </c>
      <c r="R868" s="312">
        <v>381.0</v>
      </c>
      <c r="S868" s="316"/>
      <c r="T868" s="317">
        <v>381.0</v>
      </c>
      <c r="U868" s="312" t="s">
        <v>1369</v>
      </c>
      <c r="V868" s="312" t="s">
        <v>1367</v>
      </c>
      <c r="W868" s="50"/>
      <c r="X868" s="50"/>
      <c r="Y868" s="50"/>
      <c r="Z868" s="312"/>
      <c r="AA868" s="50"/>
      <c r="AB868" s="50"/>
      <c r="AC868" s="50"/>
      <c r="AD868" s="50"/>
      <c r="AE868" s="50"/>
    </row>
    <row r="869">
      <c r="A869" s="307">
        <v>42714.55972222222</v>
      </c>
      <c r="B869" s="312" t="s">
        <v>921</v>
      </c>
      <c r="C869" s="303" t="s">
        <v>1177</v>
      </c>
      <c r="D869" s="303" t="s">
        <v>1178</v>
      </c>
      <c r="E869" s="315">
        <v>42200.0</v>
      </c>
      <c r="F869" s="312" t="s">
        <v>30</v>
      </c>
      <c r="G869" s="312"/>
      <c r="H869" s="312"/>
      <c r="I869" s="312"/>
      <c r="J869" s="306"/>
      <c r="K869" s="50"/>
      <c r="L869" s="312"/>
      <c r="M869" s="312">
        <v>214.0</v>
      </c>
      <c r="N869" s="312"/>
      <c r="O869" s="312"/>
      <c r="P869" s="315">
        <v>42714.0</v>
      </c>
      <c r="Q869" s="312">
        <v>70518.0</v>
      </c>
      <c r="R869" s="312">
        <v>388.0</v>
      </c>
      <c r="S869" s="316"/>
      <c r="T869" s="317">
        <v>388.0</v>
      </c>
      <c r="U869" s="312" t="s">
        <v>1369</v>
      </c>
      <c r="V869" s="312" t="s">
        <v>1367</v>
      </c>
      <c r="W869" s="50"/>
      <c r="X869" s="50"/>
      <c r="Y869" s="50"/>
      <c r="Z869" s="312"/>
      <c r="AA869" s="50"/>
      <c r="AB869" s="50"/>
      <c r="AC869" s="50"/>
      <c r="AD869" s="50"/>
      <c r="AE869" s="50"/>
    </row>
    <row r="870">
      <c r="A870" s="307">
        <v>42987.62152777778</v>
      </c>
      <c r="B870" s="312" t="s">
        <v>921</v>
      </c>
      <c r="C870" s="303" t="s">
        <v>1177</v>
      </c>
      <c r="D870" s="303" t="s">
        <v>1178</v>
      </c>
      <c r="E870" s="315">
        <v>42200.0</v>
      </c>
      <c r="F870" s="312" t="s">
        <v>30</v>
      </c>
      <c r="G870" s="303" t="s">
        <v>1190</v>
      </c>
      <c r="H870" s="303" t="s">
        <v>1180</v>
      </c>
      <c r="I870" s="303" t="s">
        <v>1181</v>
      </c>
      <c r="J870" s="306">
        <v>0.9</v>
      </c>
      <c r="K870" s="50"/>
      <c r="L870" s="312"/>
      <c r="M870" s="312">
        <v>214.0</v>
      </c>
      <c r="N870" s="312"/>
      <c r="O870" s="312"/>
      <c r="P870" s="315">
        <v>42987.0</v>
      </c>
      <c r="Q870" s="312">
        <v>128867.2</v>
      </c>
      <c r="R870" s="312">
        <v>379.0</v>
      </c>
      <c r="S870" s="316"/>
      <c r="T870" s="317">
        <v>379.0</v>
      </c>
      <c r="U870" s="312" t="s">
        <v>1369</v>
      </c>
      <c r="V870" s="312" t="s">
        <v>1367</v>
      </c>
      <c r="W870" s="50"/>
      <c r="X870" s="50"/>
      <c r="Y870" s="50"/>
      <c r="Z870" s="312"/>
      <c r="AA870" s="50"/>
      <c r="AB870" s="50"/>
      <c r="AC870" s="50"/>
      <c r="AD870" s="50"/>
      <c r="AE870" s="50"/>
    </row>
    <row r="871">
      <c r="A871" s="307">
        <v>43137.691666666666</v>
      </c>
      <c r="B871" s="312" t="s">
        <v>921</v>
      </c>
      <c r="C871" s="303" t="s">
        <v>1177</v>
      </c>
      <c r="D871" s="303" t="s">
        <v>1178</v>
      </c>
      <c r="E871" s="315">
        <v>42200.0</v>
      </c>
      <c r="F871" s="312" t="s">
        <v>30</v>
      </c>
      <c r="G871" s="303" t="s">
        <v>1179</v>
      </c>
      <c r="H871" s="303" t="s">
        <v>1179</v>
      </c>
      <c r="I871" s="303" t="s">
        <v>1179</v>
      </c>
      <c r="J871" s="306">
        <v>0.9</v>
      </c>
      <c r="K871" s="50"/>
      <c r="L871" s="312"/>
      <c r="M871" s="312">
        <v>216.0</v>
      </c>
      <c r="N871" s="312"/>
      <c r="O871" s="312"/>
      <c r="P871" s="315">
        <v>43137.0</v>
      </c>
      <c r="Q871" s="312">
        <v>157267.0</v>
      </c>
      <c r="R871" s="312">
        <v>368.0</v>
      </c>
      <c r="S871" s="316"/>
      <c r="T871" s="317">
        <v>372.66</v>
      </c>
      <c r="U871" s="312" t="s">
        <v>1366</v>
      </c>
      <c r="V871" s="312" t="s">
        <v>1367</v>
      </c>
      <c r="W871" s="50"/>
      <c r="X871" s="50"/>
      <c r="Y871" s="50"/>
      <c r="Z871" s="312"/>
      <c r="AA871" s="50"/>
      <c r="AB871" s="50"/>
      <c r="AC871" s="50"/>
      <c r="AD871" s="50"/>
      <c r="AE871" s="50"/>
    </row>
    <row r="872">
      <c r="A872" s="307">
        <v>43160.7</v>
      </c>
      <c r="B872" s="312" t="s">
        <v>921</v>
      </c>
      <c r="C872" s="303" t="s">
        <v>1177</v>
      </c>
      <c r="D872" s="303" t="s">
        <v>1178</v>
      </c>
      <c r="E872" s="315">
        <v>42200.0</v>
      </c>
      <c r="F872" s="312" t="s">
        <v>30</v>
      </c>
      <c r="G872" s="312"/>
      <c r="H872" s="312"/>
      <c r="I872" s="312"/>
      <c r="J872" s="306"/>
      <c r="K872" s="50"/>
      <c r="L872" s="312"/>
      <c r="M872" s="312">
        <v>217.0</v>
      </c>
      <c r="N872" s="312"/>
      <c r="O872" s="312"/>
      <c r="P872" s="315">
        <v>43160.0</v>
      </c>
      <c r="Q872" s="312">
        <v>162000.0</v>
      </c>
      <c r="R872" s="312">
        <v>369.0</v>
      </c>
      <c r="S872" s="316"/>
      <c r="T872" s="317">
        <v>373.67</v>
      </c>
      <c r="U872" s="312" t="s">
        <v>1366</v>
      </c>
      <c r="V872" s="312" t="s">
        <v>1367</v>
      </c>
      <c r="W872" s="50"/>
      <c r="X872" s="50"/>
      <c r="Y872" s="50"/>
      <c r="Z872" s="312"/>
      <c r="AA872" s="50"/>
      <c r="AB872" s="50"/>
      <c r="AC872" s="50"/>
      <c r="AD872" s="50"/>
      <c r="AE872" s="50"/>
    </row>
    <row r="873">
      <c r="A873" s="307">
        <v>43161.700694444444</v>
      </c>
      <c r="B873" s="312" t="s">
        <v>1574</v>
      </c>
      <c r="C873" s="303" t="s">
        <v>1177</v>
      </c>
      <c r="D873" s="303" t="s">
        <v>1178</v>
      </c>
      <c r="E873" s="315">
        <v>42201.0</v>
      </c>
      <c r="F873" s="312" t="s">
        <v>20</v>
      </c>
      <c r="G873" s="312"/>
      <c r="H873" s="312"/>
      <c r="I873" s="312"/>
      <c r="J873" s="306"/>
      <c r="K873" s="50"/>
      <c r="L873" s="312"/>
      <c r="M873" s="312">
        <v>216.0</v>
      </c>
      <c r="N873" s="312"/>
      <c r="O873" s="312"/>
      <c r="P873" s="315">
        <v>43161.0</v>
      </c>
      <c r="Q873" s="312">
        <v>50000.0</v>
      </c>
      <c r="R873" s="312">
        <v>360.0</v>
      </c>
      <c r="S873" s="316"/>
      <c r="T873" s="317">
        <v>360.0</v>
      </c>
      <c r="U873" s="312" t="s">
        <v>1369</v>
      </c>
      <c r="V873" s="312" t="s">
        <v>1367</v>
      </c>
      <c r="W873" s="50"/>
      <c r="X873" s="50"/>
      <c r="Y873" s="50"/>
      <c r="Z873" s="312"/>
      <c r="AA873" s="50"/>
      <c r="AB873" s="50"/>
      <c r="AC873" s="50"/>
      <c r="AD873" s="50"/>
      <c r="AE873" s="50"/>
    </row>
    <row r="874">
      <c r="A874" s="307">
        <v>42968.58263888889</v>
      </c>
      <c r="B874" s="312" t="s">
        <v>966</v>
      </c>
      <c r="C874" s="303" t="s">
        <v>1177</v>
      </c>
      <c r="D874" s="303" t="s">
        <v>1178</v>
      </c>
      <c r="E874" s="315">
        <v>42353.0</v>
      </c>
      <c r="F874" s="312" t="s">
        <v>20</v>
      </c>
      <c r="G874" s="303" t="s">
        <v>1179</v>
      </c>
      <c r="H874" s="303" t="s">
        <v>1181</v>
      </c>
      <c r="I874" s="303" t="s">
        <v>1181</v>
      </c>
      <c r="J874" s="306">
        <v>0.9</v>
      </c>
      <c r="K874" s="50"/>
      <c r="L874" s="312"/>
      <c r="M874" s="312">
        <v>227.0</v>
      </c>
      <c r="N874" s="312"/>
      <c r="O874" s="312"/>
      <c r="P874" s="315">
        <v>42968.0</v>
      </c>
      <c r="Q874" s="312">
        <v>67565.0</v>
      </c>
      <c r="R874" s="312">
        <v>356.0</v>
      </c>
      <c r="S874" s="316"/>
      <c r="T874" s="317">
        <v>356.0</v>
      </c>
      <c r="U874" s="312" t="s">
        <v>1369</v>
      </c>
      <c r="V874" s="312" t="s">
        <v>1367</v>
      </c>
      <c r="W874" s="50"/>
      <c r="X874" s="50"/>
      <c r="Y874" s="50"/>
      <c r="Z874" s="312"/>
      <c r="AA874" s="50"/>
      <c r="AB874" s="50"/>
      <c r="AC874" s="50"/>
      <c r="AD874" s="50"/>
      <c r="AE874" s="50"/>
    </row>
    <row r="875">
      <c r="A875" s="307">
        <v>42962.847916666666</v>
      </c>
      <c r="B875" s="312" t="s">
        <v>958</v>
      </c>
      <c r="C875" s="312" t="s">
        <v>1184</v>
      </c>
      <c r="D875" s="303" t="s">
        <v>1185</v>
      </c>
      <c r="E875" s="315">
        <v>42718.0</v>
      </c>
      <c r="F875" s="312" t="s">
        <v>25</v>
      </c>
      <c r="G875" s="303" t="s">
        <v>1180</v>
      </c>
      <c r="H875" s="303" t="s">
        <v>1187</v>
      </c>
      <c r="I875" s="303" t="s">
        <v>1187</v>
      </c>
      <c r="J875" s="306">
        <v>0.9</v>
      </c>
      <c r="K875" s="312">
        <v>245.0</v>
      </c>
      <c r="L875" s="312"/>
      <c r="M875" s="312">
        <v>316.0</v>
      </c>
      <c r="N875" s="312"/>
      <c r="O875" s="312"/>
      <c r="P875" s="315">
        <v>42962.0</v>
      </c>
      <c r="Q875" s="312">
        <v>7287.0</v>
      </c>
      <c r="R875" s="312">
        <v>241.0</v>
      </c>
      <c r="S875" s="316"/>
      <c r="T875" s="317">
        <v>244.05</v>
      </c>
      <c r="U875" s="312" t="s">
        <v>1366</v>
      </c>
      <c r="V875" s="312" t="s">
        <v>1367</v>
      </c>
      <c r="W875" s="50"/>
      <c r="X875" s="50"/>
      <c r="Y875" s="50"/>
      <c r="Z875" s="312"/>
      <c r="AA875" s="312" t="s">
        <v>1575</v>
      </c>
      <c r="AB875" s="50"/>
      <c r="AC875" s="50"/>
      <c r="AD875" s="50"/>
      <c r="AE875" s="50"/>
    </row>
    <row r="876">
      <c r="A876" s="307">
        <v>42138.11944444444</v>
      </c>
      <c r="B876" s="312" t="s">
        <v>868</v>
      </c>
      <c r="C876" s="303" t="s">
        <v>1177</v>
      </c>
      <c r="D876" s="303" t="s">
        <v>1178</v>
      </c>
      <c r="E876" s="315">
        <v>41613.0</v>
      </c>
      <c r="F876" s="312" t="s">
        <v>32</v>
      </c>
      <c r="G876" s="303" t="s">
        <v>1179</v>
      </c>
      <c r="H876" s="303" t="s">
        <v>1181</v>
      </c>
      <c r="I876" s="303" t="s">
        <v>1187</v>
      </c>
      <c r="J876" s="306">
        <v>0.7</v>
      </c>
      <c r="K876" s="50"/>
      <c r="L876" s="312"/>
      <c r="M876" s="312">
        <v>218.0</v>
      </c>
      <c r="N876" s="50"/>
      <c r="O876" s="312"/>
      <c r="P876" s="315">
        <v>42138.0</v>
      </c>
      <c r="Q876" s="312">
        <v>78527.0</v>
      </c>
      <c r="R876" s="312">
        <v>372.0</v>
      </c>
      <c r="S876" s="316"/>
      <c r="T876" s="317">
        <v>376.71</v>
      </c>
      <c r="U876" s="312" t="s">
        <v>1366</v>
      </c>
      <c r="V876" s="312" t="s">
        <v>1367</v>
      </c>
      <c r="W876" s="50"/>
      <c r="X876" s="50"/>
      <c r="Y876" s="50"/>
      <c r="Z876" s="312"/>
      <c r="AA876" s="50"/>
      <c r="AB876" s="50"/>
      <c r="AC876" s="50"/>
      <c r="AD876" s="50"/>
      <c r="AE876" s="50"/>
    </row>
    <row r="877">
      <c r="A877" s="307">
        <v>42248.177083333336</v>
      </c>
      <c r="B877" s="312" t="s">
        <v>868</v>
      </c>
      <c r="C877" s="303" t="s">
        <v>1177</v>
      </c>
      <c r="D877" s="303" t="s">
        <v>1178</v>
      </c>
      <c r="E877" s="315">
        <v>41613.0</v>
      </c>
      <c r="F877" s="312" t="s">
        <v>32</v>
      </c>
      <c r="G877" s="303" t="s">
        <v>1180</v>
      </c>
      <c r="H877" s="303" t="s">
        <v>1181</v>
      </c>
      <c r="I877" s="303" t="s">
        <v>1187</v>
      </c>
      <c r="J877" s="306">
        <v>0.6</v>
      </c>
      <c r="K877" s="50"/>
      <c r="L877" s="312"/>
      <c r="M877" s="312">
        <v>216.0</v>
      </c>
      <c r="N877" s="312"/>
      <c r="O877" s="312"/>
      <c r="P877" s="315">
        <v>42248.0</v>
      </c>
      <c r="Q877" s="312">
        <v>96560.0</v>
      </c>
      <c r="R877" s="312">
        <v>370.0</v>
      </c>
      <c r="S877" s="316"/>
      <c r="T877" s="317">
        <v>374.68</v>
      </c>
      <c r="U877" s="312" t="s">
        <v>1366</v>
      </c>
      <c r="V877" s="312" t="s">
        <v>1367</v>
      </c>
      <c r="W877" s="50"/>
      <c r="X877" s="50"/>
      <c r="Y877" s="50"/>
      <c r="Z877" s="312"/>
      <c r="AA877" s="312" t="s">
        <v>1576</v>
      </c>
      <c r="AB877" s="50"/>
      <c r="AC877" s="50"/>
      <c r="AD877" s="50"/>
      <c r="AE877" s="50"/>
    </row>
    <row r="878">
      <c r="A878" s="307">
        <v>41909.02291666667</v>
      </c>
      <c r="B878" s="50" t="s">
        <v>754</v>
      </c>
      <c r="C878" s="303" t="s">
        <v>1177</v>
      </c>
      <c r="D878" s="303" t="s">
        <v>1178</v>
      </c>
      <c r="E878" s="310">
        <v>41530.0</v>
      </c>
      <c r="F878" s="312" t="s">
        <v>34</v>
      </c>
      <c r="G878" s="303" t="s">
        <v>1180</v>
      </c>
      <c r="H878" s="303" t="s">
        <v>1181</v>
      </c>
      <c r="I878" s="303" t="s">
        <v>1186</v>
      </c>
      <c r="J878" s="306"/>
      <c r="K878" s="50"/>
      <c r="L878" s="50"/>
      <c r="M878" s="50">
        <v>233.0</v>
      </c>
      <c r="N878" s="50">
        <v>22600.0</v>
      </c>
      <c r="O878" s="303" t="s">
        <v>1323</v>
      </c>
      <c r="P878" s="310">
        <v>41909.0</v>
      </c>
      <c r="Q878" s="50">
        <v>28600.0</v>
      </c>
      <c r="R878" s="50">
        <v>394.0</v>
      </c>
      <c r="S878" s="318"/>
      <c r="T878" s="317">
        <v>397.98</v>
      </c>
      <c r="U878" s="312" t="s">
        <v>1407</v>
      </c>
      <c r="V878" s="312" t="s">
        <v>1399</v>
      </c>
      <c r="W878" s="50"/>
      <c r="X878" s="50"/>
      <c r="Y878" s="50"/>
      <c r="Z878" s="312"/>
      <c r="AA878" s="50"/>
      <c r="AB878" s="50"/>
      <c r="AC878" s="50"/>
      <c r="AD878" s="50"/>
      <c r="AE878" s="50"/>
    </row>
    <row r="879">
      <c r="A879" s="307">
        <v>42028.06458333333</v>
      </c>
      <c r="B879" s="50" t="s">
        <v>754</v>
      </c>
      <c r="C879" s="303" t="s">
        <v>1177</v>
      </c>
      <c r="D879" s="303" t="s">
        <v>1178</v>
      </c>
      <c r="E879" s="310">
        <v>41530.0</v>
      </c>
      <c r="F879" s="312" t="s">
        <v>34</v>
      </c>
      <c r="G879" s="303" t="s">
        <v>1180</v>
      </c>
      <c r="H879" s="303" t="s">
        <v>1180</v>
      </c>
      <c r="I879" s="303" t="s">
        <v>1186</v>
      </c>
      <c r="J879" s="306"/>
      <c r="K879" s="50"/>
      <c r="L879" s="50"/>
      <c r="M879" s="50">
        <v>233.0</v>
      </c>
      <c r="N879" s="50">
        <v>22600.0</v>
      </c>
      <c r="O879" s="303" t="s">
        <v>1323</v>
      </c>
      <c r="P879" s="310">
        <v>42028.0</v>
      </c>
      <c r="Q879" s="50">
        <v>39600.0</v>
      </c>
      <c r="R879" s="50">
        <v>385.0</v>
      </c>
      <c r="S879" s="318"/>
      <c r="T879" s="317">
        <v>388.89</v>
      </c>
      <c r="U879" s="312" t="s">
        <v>1407</v>
      </c>
      <c r="V879" s="312" t="s">
        <v>1399</v>
      </c>
      <c r="W879" s="50"/>
      <c r="X879" s="50"/>
      <c r="Y879" s="50"/>
      <c r="Z879" s="312"/>
      <c r="AA879" s="50" t="s">
        <v>1515</v>
      </c>
      <c r="AB879" s="50"/>
      <c r="AC879" s="50"/>
      <c r="AD879" s="50"/>
      <c r="AE879" s="50"/>
    </row>
    <row r="880">
      <c r="A880" s="307">
        <v>42081.08541666667</v>
      </c>
      <c r="B880" s="50" t="s">
        <v>754</v>
      </c>
      <c r="C880" s="303" t="s">
        <v>1177</v>
      </c>
      <c r="D880" s="303" t="s">
        <v>1178</v>
      </c>
      <c r="E880" s="310">
        <v>41530.0</v>
      </c>
      <c r="F880" s="312" t="s">
        <v>34</v>
      </c>
      <c r="G880" s="303" t="s">
        <v>1181</v>
      </c>
      <c r="H880" s="303" t="s">
        <v>1181</v>
      </c>
      <c r="I880" s="303" t="s">
        <v>1186</v>
      </c>
      <c r="J880" s="306"/>
      <c r="K880" s="50"/>
      <c r="L880" s="312"/>
      <c r="M880" s="312">
        <v>235.0</v>
      </c>
      <c r="N880" s="50">
        <v>22600.0</v>
      </c>
      <c r="O880" s="303" t="s">
        <v>1323</v>
      </c>
      <c r="P880" s="315">
        <v>42081.0</v>
      </c>
      <c r="Q880" s="312">
        <v>43500.0</v>
      </c>
      <c r="R880" s="312">
        <v>392.0</v>
      </c>
      <c r="S880" s="316"/>
      <c r="T880" s="317">
        <v>392.0</v>
      </c>
      <c r="U880" s="312" t="s">
        <v>1369</v>
      </c>
      <c r="V880" s="312" t="s">
        <v>1399</v>
      </c>
      <c r="W880" s="50"/>
      <c r="X880" s="50"/>
      <c r="Y880" s="50"/>
      <c r="Z880" s="312"/>
      <c r="AA880" s="312" t="s">
        <v>1577</v>
      </c>
      <c r="AB880" s="50"/>
      <c r="AC880" s="50"/>
      <c r="AD880" s="50"/>
      <c r="AE880" s="50"/>
    </row>
    <row r="881">
      <c r="A881" s="307">
        <v>42134.115277777775</v>
      </c>
      <c r="B881" s="312" t="s">
        <v>754</v>
      </c>
      <c r="C881" s="303" t="s">
        <v>1177</v>
      </c>
      <c r="D881" s="303" t="s">
        <v>1178</v>
      </c>
      <c r="E881" s="315">
        <v>41530.0</v>
      </c>
      <c r="F881" s="312" t="s">
        <v>34</v>
      </c>
      <c r="G881" s="303" t="s">
        <v>1180</v>
      </c>
      <c r="H881" s="303" t="s">
        <v>1179</v>
      </c>
      <c r="I881" s="303" t="s">
        <v>1186</v>
      </c>
      <c r="J881" s="306">
        <v>0.9</v>
      </c>
      <c r="K881" s="50"/>
      <c r="L881" s="312"/>
      <c r="M881" s="312">
        <v>225.0</v>
      </c>
      <c r="N881" s="312">
        <v>22600.0</v>
      </c>
      <c r="O881" s="303" t="s">
        <v>1323</v>
      </c>
      <c r="P881" s="315">
        <v>42134.0</v>
      </c>
      <c r="Q881" s="312">
        <v>50000.0</v>
      </c>
      <c r="R881" s="312">
        <v>390.0</v>
      </c>
      <c r="S881" s="316"/>
      <c r="T881" s="317">
        <v>390.0</v>
      </c>
      <c r="U881" s="312" t="s">
        <v>1369</v>
      </c>
      <c r="V881" s="312" t="s">
        <v>1399</v>
      </c>
      <c r="W881" s="50"/>
      <c r="X881" s="50"/>
      <c r="Y881" s="50"/>
      <c r="Z881" s="312"/>
      <c r="AA881" s="312" t="s">
        <v>1578</v>
      </c>
      <c r="AB881" s="50"/>
      <c r="AC881" s="50"/>
      <c r="AD881" s="50"/>
      <c r="AE881" s="50"/>
    </row>
    <row r="882">
      <c r="A882" s="307">
        <v>42663.41527777778</v>
      </c>
      <c r="B882" s="312" t="s">
        <v>1047</v>
      </c>
      <c r="C882" s="303" t="s">
        <v>1177</v>
      </c>
      <c r="D882" s="303" t="s">
        <v>1178</v>
      </c>
      <c r="E882" s="315">
        <v>42646.0</v>
      </c>
      <c r="F882" s="312" t="s">
        <v>67</v>
      </c>
      <c r="G882" s="303" t="s">
        <v>1203</v>
      </c>
      <c r="H882" s="303" t="s">
        <v>1181</v>
      </c>
      <c r="I882" s="303" t="s">
        <v>1181</v>
      </c>
      <c r="J882" s="306">
        <v>0.9</v>
      </c>
      <c r="K882" s="50"/>
      <c r="L882" s="312"/>
      <c r="M882" s="312">
        <v>261.0</v>
      </c>
      <c r="N882" s="312"/>
      <c r="O882" s="312"/>
      <c r="P882" s="315">
        <v>42663.0</v>
      </c>
      <c r="Q882" s="312">
        <v>2746.0</v>
      </c>
      <c r="R882" s="312">
        <v>378.0</v>
      </c>
      <c r="S882" s="316"/>
      <c r="T882" s="317">
        <v>382.78</v>
      </c>
      <c r="U882" s="312" t="s">
        <v>1366</v>
      </c>
      <c r="V882" s="312" t="s">
        <v>1367</v>
      </c>
      <c r="W882" s="50"/>
      <c r="X882" s="50"/>
      <c r="Y882" s="50"/>
      <c r="Z882" s="312"/>
      <c r="AA882" s="50"/>
      <c r="AB882" s="50"/>
      <c r="AC882" s="50"/>
      <c r="AD882" s="50"/>
      <c r="AE882" s="50"/>
    </row>
    <row r="883">
      <c r="A883" s="307">
        <v>42972.62291666667</v>
      </c>
      <c r="B883" s="312" t="s">
        <v>975</v>
      </c>
      <c r="C883" s="303" t="s">
        <v>1177</v>
      </c>
      <c r="D883" s="303" t="s">
        <v>1178</v>
      </c>
      <c r="E883" s="315">
        <v>42361.0</v>
      </c>
      <c r="F883" s="312" t="s">
        <v>36</v>
      </c>
      <c r="G883" s="303" t="s">
        <v>1181</v>
      </c>
      <c r="H883" s="303" t="s">
        <v>1186</v>
      </c>
      <c r="I883" s="303" t="s">
        <v>1187</v>
      </c>
      <c r="J883" s="306">
        <v>0.7</v>
      </c>
      <c r="K883" s="50"/>
      <c r="L883" s="312"/>
      <c r="M883" s="312">
        <v>205.0</v>
      </c>
      <c r="N883" s="312"/>
      <c r="O883" s="312"/>
      <c r="P883" s="315">
        <v>42972.0</v>
      </c>
      <c r="Q883" s="312">
        <v>44000.0</v>
      </c>
      <c r="R883" s="312">
        <v>424.0</v>
      </c>
      <c r="S883" s="316"/>
      <c r="T883" s="317">
        <v>424.0</v>
      </c>
      <c r="U883" s="312" t="s">
        <v>1369</v>
      </c>
      <c r="V883" s="312" t="s">
        <v>1367</v>
      </c>
      <c r="W883" s="50"/>
      <c r="X883" s="50"/>
      <c r="Y883" s="50"/>
      <c r="Z883" s="312"/>
      <c r="AA883" s="50"/>
      <c r="AB883" s="50"/>
      <c r="AC883" s="50"/>
      <c r="AD883" s="50"/>
      <c r="AE883" s="50"/>
    </row>
    <row r="884">
      <c r="A884" s="307">
        <v>42050.7625</v>
      </c>
      <c r="B884" s="312" t="s">
        <v>787</v>
      </c>
      <c r="C884" s="312" t="s">
        <v>1184</v>
      </c>
      <c r="D884" s="303" t="s">
        <v>1185</v>
      </c>
      <c r="E884" s="315">
        <v>41985.0</v>
      </c>
      <c r="F884" s="312" t="s">
        <v>38</v>
      </c>
      <c r="G884" s="303" t="s">
        <v>1190</v>
      </c>
      <c r="H884" s="303" t="s">
        <v>1190</v>
      </c>
      <c r="I884" s="303" t="s">
        <v>1187</v>
      </c>
      <c r="J884" s="306">
        <v>0.9</v>
      </c>
      <c r="K884" s="312">
        <v>256.0</v>
      </c>
      <c r="L884" s="312"/>
      <c r="M884" s="312">
        <v>411.0</v>
      </c>
      <c r="N884" s="312"/>
      <c r="O884" s="312"/>
      <c r="P884" s="315">
        <v>42050.0</v>
      </c>
      <c r="Q884" s="312">
        <v>5311.0</v>
      </c>
      <c r="R884" s="312">
        <v>256.0</v>
      </c>
      <c r="S884" s="316"/>
      <c r="T884" s="317">
        <v>256.0</v>
      </c>
      <c r="U884" s="312" t="s">
        <v>1369</v>
      </c>
      <c r="V884" s="312" t="s">
        <v>1367</v>
      </c>
      <c r="W884" s="50"/>
      <c r="X884" s="50"/>
      <c r="Y884" s="50"/>
      <c r="Z884" s="312"/>
      <c r="AA884" s="50"/>
      <c r="AB884" s="50"/>
      <c r="AC884" s="50"/>
      <c r="AD884" s="50"/>
      <c r="AE884" s="50"/>
    </row>
    <row r="885">
      <c r="A885" s="307">
        <v>42064.763194444444</v>
      </c>
      <c r="B885" s="312" t="s">
        <v>787</v>
      </c>
      <c r="C885" s="312" t="s">
        <v>1184</v>
      </c>
      <c r="D885" s="303" t="s">
        <v>1185</v>
      </c>
      <c r="E885" s="315">
        <v>41985.0</v>
      </c>
      <c r="F885" s="312" t="s">
        <v>38</v>
      </c>
      <c r="G885" s="303" t="s">
        <v>1190</v>
      </c>
      <c r="H885" s="303" t="s">
        <v>1190</v>
      </c>
      <c r="I885" s="303" t="s">
        <v>1187</v>
      </c>
      <c r="J885" s="306">
        <v>0.9</v>
      </c>
      <c r="K885" s="312">
        <v>256.0</v>
      </c>
      <c r="L885" s="312"/>
      <c r="M885" s="312">
        <v>405.0</v>
      </c>
      <c r="N885" s="312"/>
      <c r="O885" s="312"/>
      <c r="P885" s="315">
        <v>42064.0</v>
      </c>
      <c r="Q885" s="312">
        <v>6063.0</v>
      </c>
      <c r="R885" s="312">
        <v>255.0</v>
      </c>
      <c r="S885" s="316"/>
      <c r="T885" s="317">
        <v>255.0</v>
      </c>
      <c r="U885" s="312" t="s">
        <v>1369</v>
      </c>
      <c r="V885" s="312" t="s">
        <v>1367</v>
      </c>
      <c r="W885" s="50"/>
      <c r="X885" s="50"/>
      <c r="Y885" s="50"/>
      <c r="Z885" s="312"/>
      <c r="AA885" s="50"/>
      <c r="AB885" s="50"/>
      <c r="AC885" s="50"/>
      <c r="AD885" s="50"/>
      <c r="AE885" s="50"/>
    </row>
    <row r="886">
      <c r="A886" s="307">
        <v>42080.76388888889</v>
      </c>
      <c r="B886" s="312" t="s">
        <v>787</v>
      </c>
      <c r="C886" s="312" t="s">
        <v>1184</v>
      </c>
      <c r="D886" s="303" t="s">
        <v>1185</v>
      </c>
      <c r="E886" s="315">
        <v>41985.0</v>
      </c>
      <c r="F886" s="312" t="s">
        <v>38</v>
      </c>
      <c r="G886" s="303" t="s">
        <v>1190</v>
      </c>
      <c r="H886" s="303" t="s">
        <v>1190</v>
      </c>
      <c r="I886" s="303" t="s">
        <v>1187</v>
      </c>
      <c r="J886" s="306">
        <v>0.9</v>
      </c>
      <c r="K886" s="312">
        <v>256.0</v>
      </c>
      <c r="L886" s="312"/>
      <c r="M886" s="312">
        <v>397.0</v>
      </c>
      <c r="N886" s="312"/>
      <c r="O886" s="312"/>
      <c r="P886" s="315">
        <v>42080.0</v>
      </c>
      <c r="Q886" s="312">
        <v>7814.0</v>
      </c>
      <c r="R886" s="312">
        <v>254.0</v>
      </c>
      <c r="S886" s="316"/>
      <c r="T886" s="317">
        <v>254.0</v>
      </c>
      <c r="U886" s="312" t="s">
        <v>1369</v>
      </c>
      <c r="V886" s="312" t="s">
        <v>1367</v>
      </c>
      <c r="W886" s="50"/>
      <c r="X886" s="50"/>
      <c r="Y886" s="50"/>
      <c r="Z886" s="312"/>
      <c r="AA886" s="50"/>
      <c r="AB886" s="50"/>
      <c r="AC886" s="50"/>
      <c r="AD886" s="50"/>
      <c r="AE886" s="50"/>
    </row>
    <row r="887">
      <c r="A887" s="307">
        <v>42102.76458333333</v>
      </c>
      <c r="B887" s="312" t="s">
        <v>787</v>
      </c>
      <c r="C887" s="312" t="s">
        <v>1184</v>
      </c>
      <c r="D887" s="303" t="s">
        <v>1185</v>
      </c>
      <c r="E887" s="315">
        <v>41985.0</v>
      </c>
      <c r="F887" s="312" t="s">
        <v>38</v>
      </c>
      <c r="G887" s="303" t="s">
        <v>1190</v>
      </c>
      <c r="H887" s="303" t="s">
        <v>1179</v>
      </c>
      <c r="I887" s="303" t="s">
        <v>1187</v>
      </c>
      <c r="J887" s="306">
        <v>0.9</v>
      </c>
      <c r="K887" s="312">
        <v>256.0</v>
      </c>
      <c r="L887" s="312"/>
      <c r="M887" s="312">
        <v>388.0</v>
      </c>
      <c r="N887" s="312"/>
      <c r="O887" s="312"/>
      <c r="P887" s="315">
        <v>42102.0</v>
      </c>
      <c r="Q887" s="312">
        <v>9432.0</v>
      </c>
      <c r="R887" s="312">
        <v>253.0</v>
      </c>
      <c r="S887" s="316"/>
      <c r="T887" s="317">
        <v>253.0</v>
      </c>
      <c r="U887" s="312" t="s">
        <v>1369</v>
      </c>
      <c r="V887" s="312" t="s">
        <v>1367</v>
      </c>
      <c r="W887" s="50"/>
      <c r="X887" s="50"/>
      <c r="Y887" s="50"/>
      <c r="Z887" s="312"/>
      <c r="AA887" s="50"/>
      <c r="AB887" s="50"/>
      <c r="AC887" s="50"/>
      <c r="AD887" s="50"/>
      <c r="AE887" s="50"/>
    </row>
    <row r="888">
      <c r="A888" s="307">
        <v>42134.76527777778</v>
      </c>
      <c r="B888" s="312" t="s">
        <v>787</v>
      </c>
      <c r="C888" s="312" t="s">
        <v>1184</v>
      </c>
      <c r="D888" s="303" t="s">
        <v>1185</v>
      </c>
      <c r="E888" s="315">
        <v>41985.0</v>
      </c>
      <c r="F888" s="312" t="s">
        <v>38</v>
      </c>
      <c r="G888" s="303" t="s">
        <v>1190</v>
      </c>
      <c r="H888" s="303" t="s">
        <v>1179</v>
      </c>
      <c r="I888" s="303" t="s">
        <v>1187</v>
      </c>
      <c r="J888" s="306">
        <v>0.9</v>
      </c>
      <c r="K888" s="312">
        <v>256.0</v>
      </c>
      <c r="L888" s="312"/>
      <c r="M888" s="312">
        <v>373.0</v>
      </c>
      <c r="N888" s="312"/>
      <c r="O888" s="312"/>
      <c r="P888" s="315">
        <v>42134.0</v>
      </c>
      <c r="Q888" s="312">
        <v>11329.0</v>
      </c>
      <c r="R888" s="312">
        <v>252.0</v>
      </c>
      <c r="S888" s="316"/>
      <c r="T888" s="317">
        <v>252.0</v>
      </c>
      <c r="U888" s="312" t="s">
        <v>1369</v>
      </c>
      <c r="V888" s="312" t="s">
        <v>1367</v>
      </c>
      <c r="W888" s="50"/>
      <c r="X888" s="50"/>
      <c r="Y888" s="50"/>
      <c r="Z888" s="312"/>
      <c r="AA888" s="50"/>
      <c r="AB888" s="50"/>
      <c r="AC888" s="50"/>
      <c r="AD888" s="50"/>
      <c r="AE888" s="50"/>
    </row>
    <row r="889">
      <c r="A889" s="307">
        <v>42176.76597222222</v>
      </c>
      <c r="B889" s="312" t="s">
        <v>787</v>
      </c>
      <c r="C889" s="312" t="s">
        <v>1184</v>
      </c>
      <c r="D889" s="303" t="s">
        <v>1185</v>
      </c>
      <c r="E889" s="315">
        <v>41985.0</v>
      </c>
      <c r="F889" s="312" t="s">
        <v>38</v>
      </c>
      <c r="G889" s="303" t="s">
        <v>1190</v>
      </c>
      <c r="H889" s="303" t="s">
        <v>1180</v>
      </c>
      <c r="I889" s="303" t="s">
        <v>1187</v>
      </c>
      <c r="J889" s="306">
        <v>0.9</v>
      </c>
      <c r="K889" s="312">
        <v>256.0</v>
      </c>
      <c r="L889" s="312"/>
      <c r="M889" s="312">
        <v>369.0</v>
      </c>
      <c r="N889" s="312"/>
      <c r="O889" s="312"/>
      <c r="P889" s="315">
        <v>42176.0</v>
      </c>
      <c r="Q889" s="312">
        <v>13588.0</v>
      </c>
      <c r="R889" s="312">
        <v>251.0</v>
      </c>
      <c r="S889" s="316"/>
      <c r="T889" s="317">
        <v>251.0</v>
      </c>
      <c r="U889" s="312" t="s">
        <v>1369</v>
      </c>
      <c r="V889" s="312" t="s">
        <v>1367</v>
      </c>
      <c r="W889" s="50"/>
      <c r="X889" s="50"/>
      <c r="Y889" s="50"/>
      <c r="Z889" s="312"/>
      <c r="AA889" s="50"/>
      <c r="AB889" s="50"/>
      <c r="AC889" s="50"/>
      <c r="AD889" s="50"/>
      <c r="AE889" s="50"/>
    </row>
    <row r="890">
      <c r="A890" s="307">
        <v>42266.76666666667</v>
      </c>
      <c r="B890" s="312" t="s">
        <v>787</v>
      </c>
      <c r="C890" s="312" t="s">
        <v>1184</v>
      </c>
      <c r="D890" s="303" t="s">
        <v>1185</v>
      </c>
      <c r="E890" s="315">
        <v>41985.0</v>
      </c>
      <c r="F890" s="312" t="s">
        <v>38</v>
      </c>
      <c r="G890" s="303" t="s">
        <v>1190</v>
      </c>
      <c r="H890" s="303" t="s">
        <v>1180</v>
      </c>
      <c r="I890" s="303" t="s">
        <v>1187</v>
      </c>
      <c r="J890" s="306">
        <v>0.9</v>
      </c>
      <c r="K890" s="312">
        <v>256.0</v>
      </c>
      <c r="L890" s="312"/>
      <c r="M890" s="312">
        <v>365.0</v>
      </c>
      <c r="N890" s="312"/>
      <c r="O890" s="312"/>
      <c r="P890" s="315">
        <v>42266.0</v>
      </c>
      <c r="Q890" s="312">
        <v>17805.0</v>
      </c>
      <c r="R890" s="312">
        <v>250.0</v>
      </c>
      <c r="S890" s="316"/>
      <c r="T890" s="317">
        <v>250.0</v>
      </c>
      <c r="U890" s="312" t="s">
        <v>1369</v>
      </c>
      <c r="V890" s="312" t="s">
        <v>1367</v>
      </c>
      <c r="W890" s="50"/>
      <c r="X890" s="50"/>
      <c r="Y890" s="50"/>
      <c r="Z890" s="312"/>
      <c r="AA890" s="50"/>
      <c r="AB890" s="50"/>
      <c r="AC890" s="50"/>
      <c r="AD890" s="50"/>
      <c r="AE890" s="50"/>
    </row>
    <row r="891">
      <c r="A891" s="307">
        <v>42971.586805555555</v>
      </c>
      <c r="B891" s="312" t="s">
        <v>971</v>
      </c>
      <c r="C891" s="303" t="s">
        <v>1177</v>
      </c>
      <c r="D891" s="303" t="s">
        <v>1178</v>
      </c>
      <c r="E891" s="315">
        <v>42464.0</v>
      </c>
      <c r="F891" s="312" t="s">
        <v>32</v>
      </c>
      <c r="G891" s="303" t="s">
        <v>1181</v>
      </c>
      <c r="H891" s="303" t="s">
        <v>1181</v>
      </c>
      <c r="I891" s="303" t="s">
        <v>1187</v>
      </c>
      <c r="J891" s="306">
        <v>0.8</v>
      </c>
      <c r="K891" s="312">
        <v>411.0</v>
      </c>
      <c r="L891" s="312"/>
      <c r="M891" s="312">
        <v>207.0</v>
      </c>
      <c r="N891" s="312"/>
      <c r="O891" s="312"/>
      <c r="P891" s="315">
        <v>42971.0</v>
      </c>
      <c r="Q891" s="312">
        <v>64103.0</v>
      </c>
      <c r="R891" s="312">
        <v>408.0</v>
      </c>
      <c r="S891" s="316"/>
      <c r="T891" s="317">
        <v>408.0</v>
      </c>
      <c r="U891" s="312" t="s">
        <v>1369</v>
      </c>
      <c r="V891" s="312" t="s">
        <v>1367</v>
      </c>
      <c r="W891" s="312">
        <v>385.0</v>
      </c>
      <c r="X891" s="312">
        <v>296.0</v>
      </c>
      <c r="Y891" s="50"/>
      <c r="Z891" s="312"/>
      <c r="AA891" s="50"/>
      <c r="AB891" s="50"/>
      <c r="AC891" s="50"/>
      <c r="AD891" s="50"/>
      <c r="AE891" s="50"/>
    </row>
    <row r="892">
      <c r="A892" s="307">
        <v>42374.26736111111</v>
      </c>
      <c r="B892" s="312" t="s">
        <v>710</v>
      </c>
      <c r="C892" s="303" t="s">
        <v>1177</v>
      </c>
      <c r="D892" s="303" t="s">
        <v>1178</v>
      </c>
      <c r="E892" s="310">
        <v>41944.0</v>
      </c>
      <c r="F892" s="312" t="s">
        <v>30</v>
      </c>
      <c r="G892" s="312"/>
      <c r="H892" s="312"/>
      <c r="I892" s="312"/>
      <c r="J892" s="306"/>
      <c r="K892" s="50"/>
      <c r="L892" s="312"/>
      <c r="M892" s="312">
        <v>218.0</v>
      </c>
      <c r="N892" s="312"/>
      <c r="O892" s="312"/>
      <c r="P892" s="315">
        <v>42374.0</v>
      </c>
      <c r="Q892" s="312">
        <v>27594.0</v>
      </c>
      <c r="R892" s="312">
        <v>385.0</v>
      </c>
      <c r="S892" s="316"/>
      <c r="T892" s="317">
        <v>389.87</v>
      </c>
      <c r="U892" s="312" t="s">
        <v>1366</v>
      </c>
      <c r="V892" s="312" t="s">
        <v>1367</v>
      </c>
      <c r="W892" s="50"/>
      <c r="X892" s="50"/>
      <c r="Y892" s="50"/>
      <c r="Z892" s="312"/>
      <c r="AA892" s="50"/>
      <c r="AB892" s="50"/>
      <c r="AC892" s="50"/>
      <c r="AD892" s="50"/>
      <c r="AE892" s="50"/>
    </row>
    <row r="893">
      <c r="A893" s="307">
        <v>42379.27013888889</v>
      </c>
      <c r="B893" s="312" t="s">
        <v>717</v>
      </c>
      <c r="C893" s="303" t="s">
        <v>1177</v>
      </c>
      <c r="D893" s="303" t="s">
        <v>1178</v>
      </c>
      <c r="E893" s="310">
        <v>41605.0</v>
      </c>
      <c r="F893" s="312" t="s">
        <v>30</v>
      </c>
      <c r="G893" s="303" t="s">
        <v>1180</v>
      </c>
      <c r="H893" s="303" t="s">
        <v>1179</v>
      </c>
      <c r="I893" s="303" t="s">
        <v>1180</v>
      </c>
      <c r="J893" s="306">
        <v>0.8</v>
      </c>
      <c r="K893" s="312">
        <v>411.0</v>
      </c>
      <c r="L893" s="312"/>
      <c r="M893" s="312">
        <v>240.0</v>
      </c>
      <c r="N893" s="312"/>
      <c r="O893" s="312"/>
      <c r="P893" s="315">
        <v>42379.0</v>
      </c>
      <c r="Q893" s="312">
        <v>48623.0</v>
      </c>
      <c r="R893" s="312">
        <v>380.0</v>
      </c>
      <c r="S893" s="316"/>
      <c r="T893" s="317">
        <v>384.81</v>
      </c>
      <c r="U893" s="312" t="s">
        <v>1366</v>
      </c>
      <c r="V893" s="312" t="s">
        <v>1367</v>
      </c>
      <c r="W893" s="50"/>
      <c r="X893" s="50"/>
      <c r="Y893" s="50"/>
      <c r="Z893" s="312"/>
      <c r="AA893" s="50"/>
      <c r="AB893" s="50"/>
      <c r="AC893" s="50"/>
      <c r="AD893" s="50"/>
      <c r="AE893" s="50"/>
    </row>
    <row r="894">
      <c r="A894" s="307">
        <v>43013.68472222222</v>
      </c>
      <c r="B894" s="312" t="s">
        <v>1579</v>
      </c>
      <c r="C894" s="303" t="s">
        <v>1177</v>
      </c>
      <c r="D894" s="303" t="s">
        <v>1178</v>
      </c>
      <c r="E894" s="315">
        <v>42912.0</v>
      </c>
      <c r="F894" s="312" t="s">
        <v>43</v>
      </c>
      <c r="G894" s="303" t="s">
        <v>1179</v>
      </c>
      <c r="H894" s="303" t="s">
        <v>1186</v>
      </c>
      <c r="I894" s="303" t="s">
        <v>1186</v>
      </c>
      <c r="J894" s="306">
        <v>0.9</v>
      </c>
      <c r="K894" s="312">
        <v>456.0</v>
      </c>
      <c r="L894" s="312"/>
      <c r="M894" s="312">
        <v>217.0</v>
      </c>
      <c r="N894" s="312"/>
      <c r="O894" s="312"/>
      <c r="P894" s="315">
        <v>43013.0</v>
      </c>
      <c r="Q894" s="312">
        <v>9500.0</v>
      </c>
      <c r="R894" s="312">
        <v>456.0</v>
      </c>
      <c r="S894" s="316"/>
      <c r="T894" s="317">
        <v>456.0</v>
      </c>
      <c r="U894" s="312" t="s">
        <v>1369</v>
      </c>
      <c r="V894" s="312" t="s">
        <v>1367</v>
      </c>
      <c r="W894" s="50"/>
      <c r="X894" s="50"/>
      <c r="Y894" s="50"/>
      <c r="Z894" s="312"/>
      <c r="AA894" s="50"/>
      <c r="AB894" s="50"/>
      <c r="AC894" s="50"/>
      <c r="AD894" s="50"/>
      <c r="AE894" s="50"/>
    </row>
    <row r="895">
      <c r="A895" s="307">
        <v>42869.53402777778</v>
      </c>
      <c r="B895" s="312" t="s">
        <v>867</v>
      </c>
      <c r="C895" s="303" t="s">
        <v>1177</v>
      </c>
      <c r="D895" s="303" t="s">
        <v>1178</v>
      </c>
      <c r="E895" s="315">
        <v>41699.0</v>
      </c>
      <c r="F895" s="312" t="s">
        <v>32</v>
      </c>
      <c r="G895" s="303" t="s">
        <v>1190</v>
      </c>
      <c r="H895" s="303" t="s">
        <v>1180</v>
      </c>
      <c r="I895" s="303" t="s">
        <v>1181</v>
      </c>
      <c r="J895" s="306">
        <v>0.6</v>
      </c>
      <c r="K895" s="312">
        <v>404.0</v>
      </c>
      <c r="L895" s="312"/>
      <c r="M895" s="312">
        <v>220.0</v>
      </c>
      <c r="N895" s="312"/>
      <c r="O895" s="312"/>
      <c r="P895" s="315">
        <v>42869.0</v>
      </c>
      <c r="Q895" s="312">
        <v>90375.0</v>
      </c>
      <c r="R895" s="312">
        <v>366.0</v>
      </c>
      <c r="S895" s="316"/>
      <c r="T895" s="317">
        <v>370.63</v>
      </c>
      <c r="U895" s="312" t="s">
        <v>1366</v>
      </c>
      <c r="V895" s="312" t="s">
        <v>1367</v>
      </c>
      <c r="W895" s="50"/>
      <c r="X895" s="50"/>
      <c r="Y895" s="50"/>
      <c r="Z895" s="312"/>
      <c r="AA895" s="50"/>
      <c r="AB895" s="50"/>
      <c r="AC895" s="50"/>
      <c r="AD895" s="50"/>
      <c r="AE895" s="50"/>
    </row>
    <row r="896">
      <c r="A896" s="307">
        <v>43090.64861111111</v>
      </c>
      <c r="B896" s="312" t="s">
        <v>1580</v>
      </c>
      <c r="C896" s="303" t="s">
        <v>1177</v>
      </c>
      <c r="D896" s="303" t="s">
        <v>1178</v>
      </c>
      <c r="E896" s="315">
        <v>42871.0</v>
      </c>
      <c r="F896" s="312" t="s">
        <v>49</v>
      </c>
      <c r="G896" s="303" t="s">
        <v>1203</v>
      </c>
      <c r="H896" s="303" t="s">
        <v>1186</v>
      </c>
      <c r="I896" s="303" t="s">
        <v>1186</v>
      </c>
      <c r="J896" s="306">
        <v>0.8</v>
      </c>
      <c r="K896" s="312">
        <v>488.0</v>
      </c>
      <c r="L896" s="312"/>
      <c r="M896" s="312">
        <v>242.4</v>
      </c>
      <c r="N896" s="312"/>
      <c r="O896" s="312"/>
      <c r="P896" s="315">
        <v>43090.0</v>
      </c>
      <c r="Q896" s="312">
        <v>19588.87</v>
      </c>
      <c r="R896" s="312">
        <v>471.68</v>
      </c>
      <c r="S896" s="316"/>
      <c r="T896" s="317">
        <v>477.65</v>
      </c>
      <c r="U896" s="312" t="s">
        <v>1366</v>
      </c>
      <c r="V896" s="312" t="s">
        <v>1367</v>
      </c>
      <c r="W896" s="50"/>
      <c r="X896" s="50"/>
      <c r="Y896" s="50"/>
      <c r="Z896" s="312"/>
      <c r="AA896" s="50"/>
      <c r="AB896" s="50"/>
      <c r="AC896" s="50"/>
      <c r="AD896" s="50"/>
      <c r="AE896" s="50"/>
    </row>
    <row r="897">
      <c r="A897" s="307">
        <v>42459.31736111111</v>
      </c>
      <c r="B897" s="312" t="s">
        <v>823</v>
      </c>
      <c r="C897" s="303" t="s">
        <v>1177</v>
      </c>
      <c r="D897" s="303" t="s">
        <v>1178</v>
      </c>
      <c r="E897" s="315">
        <v>42156.0</v>
      </c>
      <c r="F897" s="312" t="s">
        <v>22</v>
      </c>
      <c r="G897" s="303" t="s">
        <v>1203</v>
      </c>
      <c r="H897" s="303" t="s">
        <v>1181</v>
      </c>
      <c r="I897" s="303" t="s">
        <v>1187</v>
      </c>
      <c r="J897" s="306"/>
      <c r="K897" s="312">
        <v>366.0</v>
      </c>
      <c r="L897" s="312"/>
      <c r="M897" s="312">
        <v>207.0</v>
      </c>
      <c r="N897" s="312"/>
      <c r="O897" s="312"/>
      <c r="P897" s="315">
        <v>42459.0</v>
      </c>
      <c r="Q897" s="312">
        <v>49987.0</v>
      </c>
      <c r="R897" s="312">
        <v>358.0</v>
      </c>
      <c r="S897" s="316"/>
      <c r="T897" s="317">
        <v>358.0</v>
      </c>
      <c r="U897" s="312" t="s">
        <v>1369</v>
      </c>
      <c r="V897" s="312" t="s">
        <v>1367</v>
      </c>
      <c r="W897" s="50"/>
      <c r="X897" s="50"/>
      <c r="Y897" s="50"/>
      <c r="Z897" s="312"/>
      <c r="AA897" s="312" t="s">
        <v>1581</v>
      </c>
      <c r="AB897" s="50"/>
      <c r="AC897" s="50"/>
      <c r="AD897" s="50"/>
      <c r="AE897" s="50"/>
    </row>
    <row r="898">
      <c r="A898" s="307">
        <v>42351.24513888889</v>
      </c>
      <c r="B898" s="312" t="s">
        <v>1106</v>
      </c>
      <c r="C898" s="303" t="s">
        <v>1177</v>
      </c>
      <c r="D898" s="303" t="s">
        <v>1178</v>
      </c>
      <c r="E898" s="315">
        <v>42262.0</v>
      </c>
      <c r="F898" s="312" t="s">
        <v>1512</v>
      </c>
      <c r="G898" s="303" t="s">
        <v>1181</v>
      </c>
      <c r="H898" s="303" t="s">
        <v>1181</v>
      </c>
      <c r="I898" s="303" t="s">
        <v>1181</v>
      </c>
      <c r="J898" s="306">
        <v>0.9</v>
      </c>
      <c r="K898" s="312">
        <v>421.0</v>
      </c>
      <c r="L898" s="312"/>
      <c r="M898" s="312">
        <v>240.0</v>
      </c>
      <c r="N898" s="312"/>
      <c r="O898" s="312"/>
      <c r="P898" s="315">
        <v>42351.0</v>
      </c>
      <c r="Q898" s="312">
        <v>1000.0</v>
      </c>
      <c r="R898" s="312">
        <v>421.0</v>
      </c>
      <c r="S898" s="316"/>
      <c r="T898" s="317">
        <v>426.33</v>
      </c>
      <c r="U898" s="312" t="s">
        <v>1366</v>
      </c>
      <c r="V898" s="312" t="s">
        <v>1367</v>
      </c>
      <c r="W898" s="50"/>
      <c r="X898" s="50"/>
      <c r="Y898" s="50"/>
      <c r="Z898" s="312"/>
      <c r="AA898" s="312" t="s">
        <v>1582</v>
      </c>
      <c r="AB898" s="50"/>
      <c r="AC898" s="50"/>
      <c r="AD898" s="50"/>
      <c r="AE898" s="50"/>
    </row>
    <row r="899">
      <c r="A899" s="307">
        <v>42136.89861111111</v>
      </c>
      <c r="B899" s="312" t="s">
        <v>219</v>
      </c>
      <c r="C899" s="312" t="s">
        <v>1197</v>
      </c>
      <c r="D899" s="303" t="s">
        <v>1178</v>
      </c>
      <c r="E899" s="315">
        <v>41761.0</v>
      </c>
      <c r="F899" s="312" t="s">
        <v>34</v>
      </c>
      <c r="G899" s="303" t="s">
        <v>1181</v>
      </c>
      <c r="H899" s="303" t="s">
        <v>1181</v>
      </c>
      <c r="I899" s="303" t="s">
        <v>1181</v>
      </c>
      <c r="J899" s="306">
        <v>0.7</v>
      </c>
      <c r="K899" s="50"/>
      <c r="L899" s="312"/>
      <c r="M899" s="312">
        <v>201.0</v>
      </c>
      <c r="N899" s="312"/>
      <c r="O899" s="312"/>
      <c r="P899" s="315">
        <v>42136.0</v>
      </c>
      <c r="Q899" s="312">
        <v>29628.8</v>
      </c>
      <c r="R899" s="312">
        <v>414.0</v>
      </c>
      <c r="S899" s="316"/>
      <c r="T899" s="317">
        <v>419.24</v>
      </c>
      <c r="U899" s="312" t="s">
        <v>1366</v>
      </c>
      <c r="V899" s="312" t="s">
        <v>1367</v>
      </c>
      <c r="W899" s="312">
        <v>414.0</v>
      </c>
      <c r="X899" s="312">
        <v>-24.2</v>
      </c>
      <c r="Y899" s="50"/>
      <c r="Z899" s="312" t="s">
        <v>1366</v>
      </c>
      <c r="AA899" s="312" t="s">
        <v>1583</v>
      </c>
      <c r="AB899" s="50"/>
      <c r="AC899" s="50"/>
      <c r="AD899" s="50"/>
      <c r="AE899" s="50"/>
    </row>
    <row r="900">
      <c r="A900" s="307">
        <v>42230.75277777778</v>
      </c>
      <c r="B900" s="312" t="s">
        <v>759</v>
      </c>
      <c r="C900" s="312" t="s">
        <v>1184</v>
      </c>
      <c r="D900" s="303" t="s">
        <v>1185</v>
      </c>
      <c r="E900" s="315">
        <v>41958.0</v>
      </c>
      <c r="F900" s="312" t="s">
        <v>30</v>
      </c>
      <c r="G900" s="303" t="s">
        <v>1179</v>
      </c>
      <c r="H900" s="303" t="s">
        <v>1179</v>
      </c>
      <c r="I900" s="303" t="s">
        <v>1186</v>
      </c>
      <c r="J900" s="306">
        <v>0.8</v>
      </c>
      <c r="K900" s="312">
        <v>265.0</v>
      </c>
      <c r="L900" s="312"/>
      <c r="M900" s="312">
        <v>307.0</v>
      </c>
      <c r="N900" s="312"/>
      <c r="O900" s="312"/>
      <c r="P900" s="315">
        <v>42230.0</v>
      </c>
      <c r="Q900" s="312">
        <v>13734.0</v>
      </c>
      <c r="R900" s="312">
        <v>262.0</v>
      </c>
      <c r="S900" s="316"/>
      <c r="T900" s="317">
        <v>265.32</v>
      </c>
      <c r="U900" s="312" t="s">
        <v>1366</v>
      </c>
      <c r="V900" s="312" t="s">
        <v>1367</v>
      </c>
      <c r="W900" s="50"/>
      <c r="X900" s="50"/>
      <c r="Y900" s="50"/>
      <c r="Z900" s="312"/>
      <c r="AA900" s="312" t="s">
        <v>1584</v>
      </c>
      <c r="AB900" s="50"/>
      <c r="AC900" s="50"/>
      <c r="AD900" s="50"/>
      <c r="AE900" s="50"/>
    </row>
    <row r="901">
      <c r="A901" s="307">
        <v>42398.7875</v>
      </c>
      <c r="B901" s="312" t="s">
        <v>759</v>
      </c>
      <c r="C901" s="312" t="s">
        <v>1184</v>
      </c>
      <c r="D901" s="303" t="s">
        <v>1185</v>
      </c>
      <c r="E901" s="315">
        <v>41958.0</v>
      </c>
      <c r="F901" s="312" t="s">
        <v>30</v>
      </c>
      <c r="G901" s="303" t="s">
        <v>1179</v>
      </c>
      <c r="H901" s="303" t="s">
        <v>1179</v>
      </c>
      <c r="I901" s="303" t="s">
        <v>1180</v>
      </c>
      <c r="J901" s="306">
        <v>0.8</v>
      </c>
      <c r="K901" s="312">
        <v>265.0</v>
      </c>
      <c r="L901" s="312"/>
      <c r="M901" s="312">
        <v>310.0</v>
      </c>
      <c r="N901" s="312"/>
      <c r="O901" s="312"/>
      <c r="P901" s="315">
        <v>42398.0</v>
      </c>
      <c r="Q901" s="312">
        <v>25283.0</v>
      </c>
      <c r="R901" s="312">
        <v>257.0</v>
      </c>
      <c r="S901" s="316"/>
      <c r="T901" s="317">
        <v>257.0</v>
      </c>
      <c r="U901" s="312" t="s">
        <v>1369</v>
      </c>
      <c r="V901" s="312" t="s">
        <v>1367</v>
      </c>
      <c r="W901" s="50"/>
      <c r="X901" s="50"/>
      <c r="Y901" s="50"/>
      <c r="Z901" s="312"/>
      <c r="AA901" s="312" t="s">
        <v>1584</v>
      </c>
      <c r="AB901" s="50"/>
      <c r="AC901" s="50"/>
      <c r="AD901" s="50"/>
      <c r="AE901" s="50"/>
    </row>
    <row r="902">
      <c r="A902" s="307">
        <v>42601.80347222222</v>
      </c>
      <c r="B902" s="312" t="s">
        <v>759</v>
      </c>
      <c r="C902" s="312" t="s">
        <v>1184</v>
      </c>
      <c r="D902" s="303" t="s">
        <v>1185</v>
      </c>
      <c r="E902" s="315">
        <v>41958.0</v>
      </c>
      <c r="F902" s="312" t="s">
        <v>30</v>
      </c>
      <c r="G902" s="303" t="s">
        <v>1179</v>
      </c>
      <c r="H902" s="303" t="s">
        <v>1180</v>
      </c>
      <c r="I902" s="303" t="s">
        <v>1180</v>
      </c>
      <c r="J902" s="306">
        <v>0.8</v>
      </c>
      <c r="K902" s="312">
        <v>265.0</v>
      </c>
      <c r="L902" s="312"/>
      <c r="M902" s="312">
        <v>312.0</v>
      </c>
      <c r="N902" s="312"/>
      <c r="O902" s="312"/>
      <c r="P902" s="315">
        <v>42601.0</v>
      </c>
      <c r="Q902" s="312">
        <v>36967.0</v>
      </c>
      <c r="R902" s="312">
        <v>256.0</v>
      </c>
      <c r="S902" s="316"/>
      <c r="T902" s="317">
        <v>259.24</v>
      </c>
      <c r="U902" s="312" t="s">
        <v>1366</v>
      </c>
      <c r="V902" s="312" t="s">
        <v>1367</v>
      </c>
      <c r="W902" s="50"/>
      <c r="X902" s="50"/>
      <c r="Y902" s="50"/>
      <c r="Z902" s="312"/>
      <c r="AA902" s="50"/>
      <c r="AB902" s="50"/>
      <c r="AC902" s="50"/>
      <c r="AD902" s="50"/>
      <c r="AE902" s="50"/>
    </row>
    <row r="903">
      <c r="A903" s="307">
        <v>42317.75763888889</v>
      </c>
      <c r="B903" s="312" t="s">
        <v>1080</v>
      </c>
      <c r="C903" s="312" t="s">
        <v>1184</v>
      </c>
      <c r="D903" s="303" t="s">
        <v>1185</v>
      </c>
      <c r="E903" s="315">
        <v>42013.0</v>
      </c>
      <c r="F903" s="312" t="s">
        <v>32</v>
      </c>
      <c r="G903" s="303" t="s">
        <v>1180</v>
      </c>
      <c r="H903" s="303" t="s">
        <v>1181</v>
      </c>
      <c r="I903" s="303" t="s">
        <v>1181</v>
      </c>
      <c r="J903" s="306">
        <v>0.8</v>
      </c>
      <c r="K903" s="50"/>
      <c r="L903" s="312"/>
      <c r="M903" s="312">
        <v>355.0</v>
      </c>
      <c r="N903" s="312"/>
      <c r="O903" s="312"/>
      <c r="P903" s="315">
        <v>42317.0</v>
      </c>
      <c r="Q903" s="312">
        <v>34500.0</v>
      </c>
      <c r="R903" s="312">
        <v>260.0</v>
      </c>
      <c r="S903" s="316"/>
      <c r="T903" s="317">
        <v>260.0</v>
      </c>
      <c r="U903" s="312" t="s">
        <v>1369</v>
      </c>
      <c r="V903" s="312" t="s">
        <v>1367</v>
      </c>
      <c r="W903" s="50"/>
      <c r="X903" s="50"/>
      <c r="Y903" s="50"/>
      <c r="Z903" s="312"/>
      <c r="AA903" s="50"/>
      <c r="AB903" s="50"/>
      <c r="AC903" s="50"/>
      <c r="AD903" s="50"/>
      <c r="AE903" s="50"/>
    </row>
    <row r="904">
      <c r="A904" s="307">
        <v>42676.89166666667</v>
      </c>
      <c r="B904" s="312" t="s">
        <v>1068</v>
      </c>
      <c r="C904" s="312" t="s">
        <v>1292</v>
      </c>
      <c r="D904" s="303" t="s">
        <v>1185</v>
      </c>
      <c r="E904" s="315">
        <v>42289.0</v>
      </c>
      <c r="F904" s="312" t="s">
        <v>36</v>
      </c>
      <c r="G904" s="303" t="s">
        <v>1205</v>
      </c>
      <c r="H904" s="303" t="s">
        <v>1180</v>
      </c>
      <c r="I904" s="303" t="s">
        <v>1181</v>
      </c>
      <c r="J904" s="306">
        <v>0.9</v>
      </c>
      <c r="K904" s="50"/>
      <c r="L904" s="312"/>
      <c r="M904" s="312">
        <v>345.0</v>
      </c>
      <c r="N904" s="312"/>
      <c r="O904" s="312"/>
      <c r="P904" s="315">
        <v>42676.0</v>
      </c>
      <c r="Q904" s="312">
        <v>34653.0</v>
      </c>
      <c r="R904" s="312">
        <v>256.0</v>
      </c>
      <c r="S904" s="316"/>
      <c r="T904" s="317">
        <v>259.24</v>
      </c>
      <c r="U904" s="312" t="s">
        <v>1366</v>
      </c>
      <c r="V904" s="312" t="s">
        <v>1367</v>
      </c>
      <c r="W904" s="50"/>
      <c r="X904" s="50"/>
      <c r="Y904" s="50"/>
      <c r="Z904" s="312"/>
      <c r="AA904" s="312" t="s">
        <v>1585</v>
      </c>
      <c r="AB904" s="50"/>
      <c r="AC904" s="50"/>
      <c r="AD904" s="50"/>
      <c r="AE904" s="50"/>
    </row>
    <row r="905">
      <c r="A905" s="307">
        <v>41900.00347222222</v>
      </c>
      <c r="B905" s="50" t="s">
        <v>93</v>
      </c>
      <c r="C905" s="303" t="s">
        <v>1177</v>
      </c>
      <c r="D905" s="303" t="s">
        <v>1178</v>
      </c>
      <c r="E905" s="310">
        <v>41596.0</v>
      </c>
      <c r="F905" s="50" t="s">
        <v>30</v>
      </c>
      <c r="G905" s="303" t="s">
        <v>1187</v>
      </c>
      <c r="H905" s="303" t="s">
        <v>1187</v>
      </c>
      <c r="I905" s="303" t="s">
        <v>1187</v>
      </c>
      <c r="J905" s="306"/>
      <c r="K905" s="50"/>
      <c r="L905" s="50"/>
      <c r="M905" s="50">
        <v>224.0</v>
      </c>
      <c r="N905" s="50"/>
      <c r="O905" s="312"/>
      <c r="P905" s="310">
        <v>41900.0</v>
      </c>
      <c r="Q905" s="50">
        <v>35000.0</v>
      </c>
      <c r="R905" s="50">
        <v>381.0</v>
      </c>
      <c r="S905" s="318"/>
      <c r="T905" s="317">
        <v>381.0</v>
      </c>
      <c r="U905" s="312" t="s">
        <v>1369</v>
      </c>
      <c r="V905" s="312" t="s">
        <v>1367</v>
      </c>
      <c r="W905" s="50"/>
      <c r="X905" s="50"/>
      <c r="Y905" s="50"/>
      <c r="Z905" s="312"/>
      <c r="AA905" s="50"/>
      <c r="AB905" s="50"/>
      <c r="AC905" s="50"/>
      <c r="AD905" s="50"/>
      <c r="AE905" s="50"/>
    </row>
    <row r="906">
      <c r="A906" s="307">
        <v>41959.03888888889</v>
      </c>
      <c r="B906" s="50" t="s">
        <v>93</v>
      </c>
      <c r="C906" s="303" t="s">
        <v>1177</v>
      </c>
      <c r="D906" s="303" t="s">
        <v>1178</v>
      </c>
      <c r="E906" s="310">
        <v>41596.0</v>
      </c>
      <c r="F906" s="312" t="s">
        <v>30</v>
      </c>
      <c r="G906" s="303" t="s">
        <v>1180</v>
      </c>
      <c r="H906" s="303" t="s">
        <v>1179</v>
      </c>
      <c r="I906" s="303" t="s">
        <v>1180</v>
      </c>
      <c r="J906" s="306"/>
      <c r="K906" s="50"/>
      <c r="L906" s="50"/>
      <c r="M906" s="50">
        <v>223.0</v>
      </c>
      <c r="N906" s="50"/>
      <c r="O906" s="312"/>
      <c r="P906" s="310">
        <v>41959.0</v>
      </c>
      <c r="Q906" s="50">
        <v>42000.0</v>
      </c>
      <c r="R906" s="50">
        <v>380.0</v>
      </c>
      <c r="S906" s="318"/>
      <c r="T906" s="317">
        <v>380.0</v>
      </c>
      <c r="U906" s="312" t="s">
        <v>1369</v>
      </c>
      <c r="V906" s="312" t="s">
        <v>1367</v>
      </c>
      <c r="W906" s="50"/>
      <c r="X906" s="50"/>
      <c r="Y906" s="50"/>
      <c r="Z906" s="312"/>
      <c r="AA906" s="50" t="s">
        <v>1586</v>
      </c>
      <c r="AB906" s="50"/>
      <c r="AC906" s="50"/>
      <c r="AD906" s="50"/>
      <c r="AE906" s="50"/>
    </row>
    <row r="907">
      <c r="A907" s="307">
        <v>41989.04583333333</v>
      </c>
      <c r="B907" s="50" t="s">
        <v>93</v>
      </c>
      <c r="C907" s="303" t="s">
        <v>1177</v>
      </c>
      <c r="D907" s="303" t="s">
        <v>1178</v>
      </c>
      <c r="E907" s="310">
        <v>41596.0</v>
      </c>
      <c r="F907" s="312" t="s">
        <v>30</v>
      </c>
      <c r="G907" s="303" t="s">
        <v>1179</v>
      </c>
      <c r="H907" s="303" t="s">
        <v>1179</v>
      </c>
      <c r="I907" s="303" t="s">
        <v>1180</v>
      </c>
      <c r="J907" s="306"/>
      <c r="K907" s="50"/>
      <c r="L907" s="50"/>
      <c r="M907" s="50">
        <v>225.0</v>
      </c>
      <c r="N907" s="50"/>
      <c r="O907" s="312"/>
      <c r="P907" s="310">
        <v>41989.0</v>
      </c>
      <c r="Q907" s="50">
        <v>45000.0</v>
      </c>
      <c r="R907" s="50">
        <v>378.0</v>
      </c>
      <c r="S907" s="318"/>
      <c r="T907" s="317">
        <v>378.0</v>
      </c>
      <c r="U907" s="312" t="s">
        <v>1369</v>
      </c>
      <c r="V907" s="312" t="s">
        <v>1367</v>
      </c>
      <c r="W907" s="50"/>
      <c r="X907" s="50"/>
      <c r="Y907" s="50"/>
      <c r="Z907" s="312"/>
      <c r="AA907" s="50" t="s">
        <v>1587</v>
      </c>
      <c r="AB907" s="50"/>
      <c r="AC907" s="50"/>
      <c r="AD907" s="50"/>
      <c r="AE907" s="50"/>
    </row>
    <row r="908">
      <c r="A908" s="307">
        <v>42055.075694444444</v>
      </c>
      <c r="B908" s="50" t="s">
        <v>93</v>
      </c>
      <c r="C908" s="303" t="s">
        <v>1177</v>
      </c>
      <c r="D908" s="303" t="s">
        <v>1178</v>
      </c>
      <c r="E908" s="310">
        <v>41596.0</v>
      </c>
      <c r="F908" s="312" t="s">
        <v>30</v>
      </c>
      <c r="G908" s="303" t="s">
        <v>1179</v>
      </c>
      <c r="H908" s="303" t="s">
        <v>1179</v>
      </c>
      <c r="I908" s="303" t="s">
        <v>1181</v>
      </c>
      <c r="J908" s="306"/>
      <c r="K908" s="50"/>
      <c r="L908" s="50"/>
      <c r="M908" s="50">
        <v>228.0</v>
      </c>
      <c r="N908" s="50"/>
      <c r="O908" s="312"/>
      <c r="P908" s="310">
        <v>42055.0</v>
      </c>
      <c r="Q908" s="50">
        <v>54432.0</v>
      </c>
      <c r="R908" s="50">
        <v>376.0</v>
      </c>
      <c r="S908" s="318"/>
      <c r="T908" s="317">
        <v>376.0</v>
      </c>
      <c r="U908" s="312" t="s">
        <v>1369</v>
      </c>
      <c r="V908" s="312" t="s">
        <v>1367</v>
      </c>
      <c r="W908" s="50"/>
      <c r="X908" s="50"/>
      <c r="Y908" s="50"/>
      <c r="Z908" s="312"/>
      <c r="AA908" s="50" t="s">
        <v>1588</v>
      </c>
      <c r="AB908" s="50"/>
      <c r="AC908" s="50"/>
      <c r="AD908" s="50"/>
      <c r="AE908" s="50"/>
    </row>
    <row r="909">
      <c r="A909" s="307">
        <v>42112.1</v>
      </c>
      <c r="B909" s="50" t="s">
        <v>93</v>
      </c>
      <c r="C909" s="303" t="s">
        <v>1177</v>
      </c>
      <c r="D909" s="303" t="s">
        <v>1178</v>
      </c>
      <c r="E909" s="310">
        <v>41596.0</v>
      </c>
      <c r="F909" s="312" t="s">
        <v>30</v>
      </c>
      <c r="G909" s="303" t="s">
        <v>1179</v>
      </c>
      <c r="H909" s="303" t="s">
        <v>1179</v>
      </c>
      <c r="I909" s="303" t="s">
        <v>1180</v>
      </c>
      <c r="J909" s="306"/>
      <c r="K909" s="50"/>
      <c r="L909" s="312"/>
      <c r="M909" s="312">
        <v>229.0</v>
      </c>
      <c r="N909" s="50"/>
      <c r="O909" s="312"/>
      <c r="P909" s="315">
        <v>42112.0</v>
      </c>
      <c r="Q909" s="312">
        <v>60555.0</v>
      </c>
      <c r="R909" s="312">
        <v>369.0</v>
      </c>
      <c r="S909" s="316"/>
      <c r="T909" s="317">
        <v>373.67</v>
      </c>
      <c r="U909" s="312" t="s">
        <v>1366</v>
      </c>
      <c r="V909" s="312" t="s">
        <v>1367</v>
      </c>
      <c r="W909" s="50"/>
      <c r="X909" s="50"/>
      <c r="Y909" s="50"/>
      <c r="Z909" s="312"/>
      <c r="AA909" s="312" t="s">
        <v>1589</v>
      </c>
      <c r="AB909" s="50"/>
      <c r="AC909" s="50"/>
      <c r="AD909" s="50"/>
      <c r="AE909" s="50"/>
    </row>
    <row r="910">
      <c r="A910" s="307">
        <v>42957.57083333333</v>
      </c>
      <c r="B910" s="312" t="s">
        <v>947</v>
      </c>
      <c r="C910" s="303" t="s">
        <v>1177</v>
      </c>
      <c r="D910" s="303" t="s">
        <v>1178</v>
      </c>
      <c r="E910" s="315">
        <v>42180.0</v>
      </c>
      <c r="F910" s="312" t="s">
        <v>36</v>
      </c>
      <c r="G910" s="303" t="s">
        <v>1179</v>
      </c>
      <c r="H910" s="303" t="s">
        <v>1181</v>
      </c>
      <c r="I910" s="303" t="s">
        <v>1181</v>
      </c>
      <c r="J910" s="306">
        <v>0.9</v>
      </c>
      <c r="K910" s="312">
        <v>405.0</v>
      </c>
      <c r="L910" s="312"/>
      <c r="M910" s="312">
        <v>230.0</v>
      </c>
      <c r="N910" s="312"/>
      <c r="O910" s="312"/>
      <c r="P910" s="315">
        <v>42957.0</v>
      </c>
      <c r="Q910" s="312">
        <v>114321.0</v>
      </c>
      <c r="R910" s="312">
        <v>408.0</v>
      </c>
      <c r="S910" s="316"/>
      <c r="T910" s="317">
        <v>413.16</v>
      </c>
      <c r="U910" s="312" t="s">
        <v>1366</v>
      </c>
      <c r="V910" s="312" t="s">
        <v>1367</v>
      </c>
      <c r="W910" s="50"/>
      <c r="X910" s="50"/>
      <c r="Y910" s="50"/>
      <c r="Z910" s="312"/>
      <c r="AA910" s="50"/>
      <c r="AB910" s="50"/>
      <c r="AC910" s="50"/>
      <c r="AD910" s="50"/>
      <c r="AE910" s="50"/>
    </row>
    <row r="911">
      <c r="A911" s="307">
        <v>43182.72986111111</v>
      </c>
      <c r="B911" s="312" t="s">
        <v>1590</v>
      </c>
      <c r="C911" s="303" t="s">
        <v>1177</v>
      </c>
      <c r="D911" s="303" t="s">
        <v>1178</v>
      </c>
      <c r="E911" s="315">
        <v>43077.0</v>
      </c>
      <c r="F911" s="312" t="s">
        <v>28</v>
      </c>
      <c r="G911" s="303" t="s">
        <v>1203</v>
      </c>
      <c r="H911" s="303" t="s">
        <v>1179</v>
      </c>
      <c r="I911" s="303" t="s">
        <v>1181</v>
      </c>
      <c r="J911" s="306">
        <v>0.5</v>
      </c>
      <c r="K911" s="312">
        <v>393.0</v>
      </c>
      <c r="L911" s="312"/>
      <c r="M911" s="312">
        <v>239.0</v>
      </c>
      <c r="N911" s="312"/>
      <c r="O911" s="312"/>
      <c r="P911" s="315">
        <v>43182.0</v>
      </c>
      <c r="Q911" s="312">
        <v>10245.0</v>
      </c>
      <c r="R911" s="312">
        <v>389.0</v>
      </c>
      <c r="S911" s="316"/>
      <c r="T911" s="317">
        <v>393.92</v>
      </c>
      <c r="U911" s="312" t="s">
        <v>1366</v>
      </c>
      <c r="V911" s="312" t="s">
        <v>1367</v>
      </c>
      <c r="W911" s="312">
        <v>350.0</v>
      </c>
      <c r="X911" s="312">
        <v>20.0</v>
      </c>
      <c r="Y911" s="312">
        <v>239.0</v>
      </c>
      <c r="Z911" s="312" t="s">
        <v>1366</v>
      </c>
      <c r="AA911" s="312" t="s">
        <v>1591</v>
      </c>
      <c r="AB911" s="50"/>
      <c r="AC911" s="50"/>
      <c r="AD911" s="50"/>
      <c r="AE911" s="50"/>
    </row>
    <row r="912">
      <c r="A912" s="307">
        <v>43024.626388888886</v>
      </c>
      <c r="B912" s="312" t="s">
        <v>1040</v>
      </c>
      <c r="C912" s="303" t="s">
        <v>1177</v>
      </c>
      <c r="D912" s="303" t="s">
        <v>1178</v>
      </c>
      <c r="E912" s="315">
        <v>42339.0</v>
      </c>
      <c r="F912" s="312" t="s">
        <v>36</v>
      </c>
      <c r="G912" s="303" t="s">
        <v>1179</v>
      </c>
      <c r="H912" s="303" t="s">
        <v>1180</v>
      </c>
      <c r="I912" s="303" t="s">
        <v>1181</v>
      </c>
      <c r="J912" s="306">
        <v>0.8</v>
      </c>
      <c r="K912" s="312">
        <v>428.0</v>
      </c>
      <c r="L912" s="312"/>
      <c r="M912" s="312">
        <v>222.0</v>
      </c>
      <c r="N912" s="312"/>
      <c r="O912" s="312"/>
      <c r="P912" s="315">
        <v>43024.0</v>
      </c>
      <c r="Q912" s="312">
        <v>52000.0</v>
      </c>
      <c r="R912" s="312">
        <v>417.0</v>
      </c>
      <c r="S912" s="316"/>
      <c r="T912" s="317">
        <v>422.28</v>
      </c>
      <c r="U912" s="312" t="s">
        <v>1366</v>
      </c>
      <c r="V912" s="312" t="s">
        <v>1367</v>
      </c>
      <c r="W912" s="50"/>
      <c r="X912" s="50"/>
      <c r="Y912" s="50"/>
      <c r="Z912" s="312"/>
      <c r="AA912" s="50"/>
      <c r="AB912" s="50"/>
      <c r="AC912" s="50"/>
      <c r="AD912" s="50"/>
      <c r="AE912" s="50"/>
    </row>
    <row r="913">
      <c r="A913" s="307">
        <v>43157.87430555555</v>
      </c>
      <c r="B913" s="312" t="s">
        <v>598</v>
      </c>
      <c r="C913" s="312" t="s">
        <v>1184</v>
      </c>
      <c r="D913" s="303" t="s">
        <v>1185</v>
      </c>
      <c r="E913" s="315">
        <v>41285.0</v>
      </c>
      <c r="F913" s="312" t="s">
        <v>30</v>
      </c>
      <c r="G913" s="303" t="s">
        <v>1190</v>
      </c>
      <c r="H913" s="303" t="s">
        <v>1180</v>
      </c>
      <c r="I913" s="303" t="s">
        <v>1179</v>
      </c>
      <c r="J913" s="306">
        <v>0.8</v>
      </c>
      <c r="K913" s="50"/>
      <c r="L913" s="312"/>
      <c r="M913" s="312">
        <v>317.0</v>
      </c>
      <c r="N913" s="312"/>
      <c r="O913" s="312"/>
      <c r="P913" s="315">
        <v>43157.0</v>
      </c>
      <c r="Q913" s="312">
        <v>88024.0</v>
      </c>
      <c r="R913" s="312">
        <v>256.0</v>
      </c>
      <c r="S913" s="316"/>
      <c r="T913" s="317">
        <v>259.24</v>
      </c>
      <c r="U913" s="312" t="s">
        <v>1366</v>
      </c>
      <c r="V913" s="312" t="s">
        <v>1367</v>
      </c>
      <c r="W913" s="50"/>
      <c r="X913" s="50"/>
      <c r="Y913" s="50"/>
      <c r="Z913" s="312"/>
      <c r="AA913" s="50"/>
      <c r="AB913" s="50"/>
      <c r="AC913" s="50"/>
      <c r="AD913" s="50"/>
      <c r="AE913" s="50"/>
    </row>
    <row r="914">
      <c r="A914" s="307">
        <v>42861.82916666667</v>
      </c>
      <c r="B914" s="312" t="s">
        <v>860</v>
      </c>
      <c r="C914" s="312" t="s">
        <v>1184</v>
      </c>
      <c r="D914" s="303" t="s">
        <v>1185</v>
      </c>
      <c r="E914" s="315">
        <v>42528.0</v>
      </c>
      <c r="F914" s="312" t="s">
        <v>57</v>
      </c>
      <c r="G914" s="303" t="s">
        <v>1179</v>
      </c>
      <c r="H914" s="303" t="s">
        <v>1179</v>
      </c>
      <c r="I914" s="303" t="s">
        <v>1181</v>
      </c>
      <c r="J914" s="306">
        <v>0.7</v>
      </c>
      <c r="K914" s="312">
        <v>259.0</v>
      </c>
      <c r="L914" s="312"/>
      <c r="M914" s="312">
        <v>347.0</v>
      </c>
      <c r="N914" s="312"/>
      <c r="O914" s="312"/>
      <c r="P914" s="315">
        <v>42861.0</v>
      </c>
      <c r="Q914" s="312">
        <v>14391.0</v>
      </c>
      <c r="R914" s="312">
        <v>257.0</v>
      </c>
      <c r="S914" s="316"/>
      <c r="T914" s="317">
        <v>257.0</v>
      </c>
      <c r="U914" s="312" t="s">
        <v>1369</v>
      </c>
      <c r="V914" s="312" t="s">
        <v>1367</v>
      </c>
      <c r="W914" s="312">
        <v>251.0</v>
      </c>
      <c r="X914" s="312">
        <v>17.0</v>
      </c>
      <c r="Y914" s="50"/>
      <c r="Z914" s="312" t="s">
        <v>1369</v>
      </c>
      <c r="AA914" s="50"/>
      <c r="AB914" s="50"/>
      <c r="AC914" s="50"/>
      <c r="AD914" s="50"/>
      <c r="AE914" s="50"/>
    </row>
    <row r="915">
      <c r="A915" s="307">
        <v>42802.510416666664</v>
      </c>
      <c r="B915" s="312" t="s">
        <v>804</v>
      </c>
      <c r="C915" s="303" t="s">
        <v>1177</v>
      </c>
      <c r="D915" s="303" t="s">
        <v>1178</v>
      </c>
      <c r="E915" s="315">
        <v>42448.0</v>
      </c>
      <c r="F915" s="312" t="s">
        <v>36</v>
      </c>
      <c r="G915" s="303" t="s">
        <v>1190</v>
      </c>
      <c r="H915" s="303" t="s">
        <v>1187</v>
      </c>
      <c r="I915" s="303" t="s">
        <v>1181</v>
      </c>
      <c r="J915" s="306">
        <v>0.5</v>
      </c>
      <c r="K915" s="312">
        <v>430.0</v>
      </c>
      <c r="L915" s="312"/>
      <c r="M915" s="312">
        <v>211.0</v>
      </c>
      <c r="N915" s="312"/>
      <c r="O915" s="312"/>
      <c r="P915" s="315">
        <v>42802.0</v>
      </c>
      <c r="Q915" s="312">
        <v>26663.0</v>
      </c>
      <c r="R915" s="312">
        <v>430.0</v>
      </c>
      <c r="S915" s="316"/>
      <c r="T915" s="317">
        <v>435.44</v>
      </c>
      <c r="U915" s="312" t="s">
        <v>1366</v>
      </c>
      <c r="V915" s="312" t="s">
        <v>1367</v>
      </c>
      <c r="W915" s="312">
        <v>292.0</v>
      </c>
      <c r="X915" s="312">
        <v>82.7</v>
      </c>
      <c r="Y915" s="312">
        <v>46.7</v>
      </c>
      <c r="Z915" s="312" t="s">
        <v>1366</v>
      </c>
      <c r="AA915" s="312" t="s">
        <v>1592</v>
      </c>
      <c r="AB915" s="50"/>
      <c r="AC915" s="50"/>
      <c r="AD915" s="50"/>
      <c r="AE915" s="50"/>
    </row>
    <row r="916">
      <c r="A916" s="307">
        <v>43013.61597222222</v>
      </c>
      <c r="B916" s="312" t="s">
        <v>804</v>
      </c>
      <c r="C916" s="303" t="s">
        <v>1177</v>
      </c>
      <c r="D916" s="303" t="s">
        <v>1178</v>
      </c>
      <c r="E916" s="315">
        <v>42448.0</v>
      </c>
      <c r="F916" s="312" t="s">
        <v>36</v>
      </c>
      <c r="G916" s="303" t="s">
        <v>1190</v>
      </c>
      <c r="H916" s="303" t="s">
        <v>1187</v>
      </c>
      <c r="I916" s="303" t="s">
        <v>1187</v>
      </c>
      <c r="J916" s="306">
        <v>0.7</v>
      </c>
      <c r="K916" s="312">
        <v>430.0</v>
      </c>
      <c r="L916" s="312"/>
      <c r="M916" s="312">
        <v>206.2</v>
      </c>
      <c r="N916" s="312"/>
      <c r="O916" s="312"/>
      <c r="P916" s="315">
        <v>43013.0</v>
      </c>
      <c r="Q916" s="312">
        <v>39929.0</v>
      </c>
      <c r="R916" s="312">
        <v>429.0</v>
      </c>
      <c r="S916" s="316"/>
      <c r="T916" s="317">
        <v>434.43</v>
      </c>
      <c r="U916" s="312" t="s">
        <v>1366</v>
      </c>
      <c r="V916" s="312" t="s">
        <v>1367</v>
      </c>
      <c r="W916" s="312">
        <v>309.0</v>
      </c>
      <c r="X916" s="312">
        <v>71.0</v>
      </c>
      <c r="Y916" s="312">
        <v>41.0</v>
      </c>
      <c r="Z916" s="312" t="s">
        <v>1366</v>
      </c>
      <c r="AA916" s="50"/>
      <c r="AB916" s="50"/>
      <c r="AC916" s="50"/>
      <c r="AD916" s="50"/>
      <c r="AE916" s="50"/>
    </row>
    <row r="917">
      <c r="A917" s="307">
        <v>42921.55694444444</v>
      </c>
      <c r="B917" s="312" t="s">
        <v>919</v>
      </c>
      <c r="C917" s="303" t="s">
        <v>1177</v>
      </c>
      <c r="D917" s="303" t="s">
        <v>1178</v>
      </c>
      <c r="E917" s="315">
        <v>41927.0</v>
      </c>
      <c r="F917" s="312" t="s">
        <v>30</v>
      </c>
      <c r="G917" s="303" t="s">
        <v>1181</v>
      </c>
      <c r="H917" s="303" t="s">
        <v>1181</v>
      </c>
      <c r="I917" s="303" t="s">
        <v>1186</v>
      </c>
      <c r="J917" s="306">
        <v>0.8</v>
      </c>
      <c r="K917" s="50"/>
      <c r="L917" s="312"/>
      <c r="M917" s="312">
        <v>218.0</v>
      </c>
      <c r="N917" s="312"/>
      <c r="O917" s="312"/>
      <c r="P917" s="315">
        <v>42921.0</v>
      </c>
      <c r="Q917" s="312">
        <v>26726.0</v>
      </c>
      <c r="R917" s="312">
        <v>378.0</v>
      </c>
      <c r="S917" s="316"/>
      <c r="T917" s="317">
        <v>382.78</v>
      </c>
      <c r="U917" s="312" t="s">
        <v>1366</v>
      </c>
      <c r="V917" s="312" t="s">
        <v>1367</v>
      </c>
      <c r="W917" s="50"/>
      <c r="X917" s="50"/>
      <c r="Y917" s="50"/>
      <c r="Z917" s="312"/>
      <c r="AA917" s="50"/>
      <c r="AB917" s="50"/>
      <c r="AC917" s="50"/>
      <c r="AD917" s="50"/>
      <c r="AE917" s="50"/>
    </row>
    <row r="918">
      <c r="A918" s="307">
        <v>42037.07013888889</v>
      </c>
      <c r="B918" s="50" t="s">
        <v>768</v>
      </c>
      <c r="C918" s="303" t="s">
        <v>1177</v>
      </c>
      <c r="D918" s="303" t="s">
        <v>1178</v>
      </c>
      <c r="E918" s="310">
        <v>41609.0</v>
      </c>
      <c r="F918" s="312" t="s">
        <v>1370</v>
      </c>
      <c r="G918" s="303" t="s">
        <v>1187</v>
      </c>
      <c r="H918" s="303" t="s">
        <v>1187</v>
      </c>
      <c r="I918" s="303" t="s">
        <v>1187</v>
      </c>
      <c r="J918" s="306"/>
      <c r="K918" s="50"/>
      <c r="L918" s="50"/>
      <c r="M918" s="312">
        <v>218.0</v>
      </c>
      <c r="N918" s="50"/>
      <c r="O918" s="312"/>
      <c r="P918" s="310">
        <v>42037.0</v>
      </c>
      <c r="Q918" s="50">
        <v>50000.0</v>
      </c>
      <c r="R918" s="50">
        <v>386.0</v>
      </c>
      <c r="S918" s="318"/>
      <c r="T918" s="317">
        <v>389.9</v>
      </c>
      <c r="U918" s="312" t="s">
        <v>1407</v>
      </c>
      <c r="V918" s="312" t="s">
        <v>1367</v>
      </c>
      <c r="W918" s="50"/>
      <c r="X918" s="50"/>
      <c r="Y918" s="50"/>
      <c r="Z918" s="312"/>
      <c r="AA918" s="50"/>
      <c r="AB918" s="50"/>
      <c r="AC918" s="50"/>
      <c r="AD918" s="50"/>
      <c r="AE918" s="50"/>
    </row>
    <row r="919">
      <c r="A919" s="307">
        <v>42794.504166666666</v>
      </c>
      <c r="B919" s="312" t="s">
        <v>794</v>
      </c>
      <c r="C919" s="303" t="s">
        <v>1177</v>
      </c>
      <c r="D919" s="303" t="s">
        <v>1178</v>
      </c>
      <c r="E919" s="315">
        <v>41814.0</v>
      </c>
      <c r="F919" s="312" t="s">
        <v>12</v>
      </c>
      <c r="G919" s="303" t="s">
        <v>1181</v>
      </c>
      <c r="H919" s="303" t="s">
        <v>1186</v>
      </c>
      <c r="I919" s="303" t="s">
        <v>1187</v>
      </c>
      <c r="J919" s="306">
        <v>0.9</v>
      </c>
      <c r="K919" s="312">
        <v>280.0</v>
      </c>
      <c r="L919" s="312"/>
      <c r="M919" s="312">
        <v>223.0</v>
      </c>
      <c r="N919" s="312"/>
      <c r="O919" s="312"/>
      <c r="P919" s="315">
        <v>42794.0</v>
      </c>
      <c r="Q919" s="312">
        <v>49800.0</v>
      </c>
      <c r="R919" s="312">
        <v>260.0</v>
      </c>
      <c r="S919" s="316"/>
      <c r="T919" s="317">
        <v>260.0</v>
      </c>
      <c r="U919" s="312" t="s">
        <v>1369</v>
      </c>
      <c r="V919" s="312" t="s">
        <v>1367</v>
      </c>
      <c r="W919" s="312">
        <v>220.0</v>
      </c>
      <c r="X919" s="312">
        <v>140.0</v>
      </c>
      <c r="Y919" s="312">
        <v>19.3</v>
      </c>
      <c r="Z919" s="312" t="s">
        <v>1369</v>
      </c>
      <c r="AA919" s="50"/>
      <c r="AB919" s="50"/>
      <c r="AC919" s="50"/>
      <c r="AD919" s="50"/>
      <c r="AE919" s="50"/>
    </row>
    <row r="920">
      <c r="A920" s="307">
        <v>42296.19930555556</v>
      </c>
      <c r="B920" s="312" t="s">
        <v>1044</v>
      </c>
      <c r="C920" s="303" t="s">
        <v>1177</v>
      </c>
      <c r="D920" s="303" t="s">
        <v>1178</v>
      </c>
      <c r="E920" s="315">
        <v>41739.0</v>
      </c>
      <c r="F920" s="312" t="s">
        <v>30</v>
      </c>
      <c r="G920" s="303" t="s">
        <v>1179</v>
      </c>
      <c r="H920" s="303" t="s">
        <v>1180</v>
      </c>
      <c r="I920" s="303" t="s">
        <v>1186</v>
      </c>
      <c r="J920" s="306">
        <v>0.9</v>
      </c>
      <c r="K920" s="312">
        <v>409.0</v>
      </c>
      <c r="L920" s="312"/>
      <c r="M920" s="312">
        <v>205.0</v>
      </c>
      <c r="N920" s="312"/>
      <c r="O920" s="312"/>
      <c r="P920" s="315">
        <v>42296.0</v>
      </c>
      <c r="Q920" s="312">
        <v>47500.0</v>
      </c>
      <c r="R920" s="312">
        <v>383.0</v>
      </c>
      <c r="S920" s="316"/>
      <c r="T920" s="317">
        <v>387.85</v>
      </c>
      <c r="U920" s="312" t="s">
        <v>1366</v>
      </c>
      <c r="V920" s="312" t="s">
        <v>1367</v>
      </c>
      <c r="W920" s="50"/>
      <c r="X920" s="50"/>
      <c r="Y920" s="50"/>
      <c r="Z920" s="312"/>
      <c r="AA920" s="50"/>
      <c r="AB920" s="50"/>
      <c r="AC920" s="50"/>
      <c r="AD920" s="50"/>
      <c r="AE920" s="50"/>
    </row>
    <row r="921">
      <c r="A921" s="307">
        <v>42671.427777777775</v>
      </c>
      <c r="B921" s="312" t="s">
        <v>1063</v>
      </c>
      <c r="C921" s="303" t="s">
        <v>1177</v>
      </c>
      <c r="D921" s="303" t="s">
        <v>1178</v>
      </c>
      <c r="E921" s="315">
        <v>41988.0</v>
      </c>
      <c r="F921" s="312" t="s">
        <v>30</v>
      </c>
      <c r="G921" s="303" t="s">
        <v>1186</v>
      </c>
      <c r="H921" s="303" t="s">
        <v>1181</v>
      </c>
      <c r="I921" s="303" t="s">
        <v>1187</v>
      </c>
      <c r="J921" s="306">
        <v>0.8</v>
      </c>
      <c r="K921" s="312">
        <v>383.0</v>
      </c>
      <c r="L921" s="312"/>
      <c r="M921" s="312">
        <v>213.0</v>
      </c>
      <c r="N921" s="312"/>
      <c r="O921" s="312"/>
      <c r="P921" s="315">
        <v>42671.0</v>
      </c>
      <c r="Q921" s="312">
        <v>26110.0</v>
      </c>
      <c r="R921" s="312">
        <v>381.0</v>
      </c>
      <c r="S921" s="316"/>
      <c r="T921" s="317">
        <v>385.82</v>
      </c>
      <c r="U921" s="312" t="s">
        <v>1366</v>
      </c>
      <c r="V921" s="312" t="s">
        <v>1367</v>
      </c>
      <c r="W921" s="50"/>
      <c r="X921" s="50"/>
      <c r="Y921" s="50"/>
      <c r="Z921" s="312"/>
      <c r="AA921" s="50"/>
      <c r="AB921" s="50"/>
      <c r="AC921" s="50"/>
      <c r="AD921" s="50"/>
      <c r="AE921" s="50"/>
    </row>
    <row r="922">
      <c r="A922" s="307">
        <v>42673.42847222222</v>
      </c>
      <c r="B922" s="312" t="s">
        <v>1063</v>
      </c>
      <c r="C922" s="303" t="s">
        <v>1177</v>
      </c>
      <c r="D922" s="303" t="s">
        <v>1178</v>
      </c>
      <c r="E922" s="315">
        <v>42382.0</v>
      </c>
      <c r="F922" s="312" t="s">
        <v>43</v>
      </c>
      <c r="G922" s="303" t="s">
        <v>1179</v>
      </c>
      <c r="H922" s="303" t="s">
        <v>1181</v>
      </c>
      <c r="I922" s="303" t="s">
        <v>1186</v>
      </c>
      <c r="J922" s="306">
        <v>0.8</v>
      </c>
      <c r="K922" s="312">
        <v>460.0</v>
      </c>
      <c r="L922" s="312"/>
      <c r="M922" s="312">
        <v>195.0</v>
      </c>
      <c r="N922" s="312"/>
      <c r="O922" s="312"/>
      <c r="P922" s="315">
        <v>42673.0</v>
      </c>
      <c r="Q922" s="312">
        <v>23990.0</v>
      </c>
      <c r="R922" s="312">
        <v>450.0</v>
      </c>
      <c r="S922" s="316"/>
      <c r="T922" s="317">
        <v>455.7</v>
      </c>
      <c r="U922" s="312" t="s">
        <v>1366</v>
      </c>
      <c r="V922" s="312" t="s">
        <v>1367</v>
      </c>
      <c r="W922" s="50"/>
      <c r="X922" s="50"/>
      <c r="Y922" s="50"/>
      <c r="Z922" s="312"/>
      <c r="AA922" s="50"/>
      <c r="AB922" s="50"/>
      <c r="AC922" s="50"/>
      <c r="AD922" s="50"/>
      <c r="AE922" s="50"/>
    </row>
    <row r="923">
      <c r="A923" s="307">
        <v>41906.01388888889</v>
      </c>
      <c r="B923" s="50" t="s">
        <v>963</v>
      </c>
      <c r="C923" s="303" t="s">
        <v>1177</v>
      </c>
      <c r="D923" s="303" t="s">
        <v>1178</v>
      </c>
      <c r="E923" s="310">
        <v>41619.0</v>
      </c>
      <c r="F923" s="50" t="s">
        <v>32</v>
      </c>
      <c r="G923" s="303" t="s">
        <v>1179</v>
      </c>
      <c r="H923" s="303" t="s">
        <v>1180</v>
      </c>
      <c r="I923" s="303" t="s">
        <v>1186</v>
      </c>
      <c r="J923" s="306"/>
      <c r="K923" s="50"/>
      <c r="L923" s="50"/>
      <c r="M923" s="50">
        <v>202.0</v>
      </c>
      <c r="N923" s="50"/>
      <c r="O923" s="312"/>
      <c r="P923" s="310">
        <v>41906.0</v>
      </c>
      <c r="Q923" s="50">
        <v>33598.0</v>
      </c>
      <c r="R923" s="50">
        <v>384.0</v>
      </c>
      <c r="S923" s="318"/>
      <c r="T923" s="317">
        <v>388.86</v>
      </c>
      <c r="U923" s="312" t="s">
        <v>1366</v>
      </c>
      <c r="V923" s="312" t="s">
        <v>1367</v>
      </c>
      <c r="W923" s="50"/>
      <c r="X923" s="50"/>
      <c r="Y923" s="50"/>
      <c r="Z923" s="312"/>
      <c r="AA923" s="50"/>
      <c r="AB923" s="50"/>
      <c r="AC923" s="50"/>
      <c r="AD923" s="50"/>
      <c r="AE923" s="50"/>
    </row>
    <row r="924">
      <c r="A924" s="307">
        <v>42234.16875</v>
      </c>
      <c r="B924" s="312" t="s">
        <v>963</v>
      </c>
      <c r="C924" s="303" t="s">
        <v>1177</v>
      </c>
      <c r="D924" s="303" t="s">
        <v>1178</v>
      </c>
      <c r="E924" s="315">
        <v>41619.0</v>
      </c>
      <c r="F924" s="312" t="s">
        <v>32</v>
      </c>
      <c r="G924" s="303" t="s">
        <v>1179</v>
      </c>
      <c r="H924" s="303" t="s">
        <v>1179</v>
      </c>
      <c r="I924" s="303" t="s">
        <v>1181</v>
      </c>
      <c r="J924" s="306">
        <v>0.9</v>
      </c>
      <c r="K924" s="50"/>
      <c r="L924" s="312"/>
      <c r="M924" s="312">
        <v>232.0</v>
      </c>
      <c r="N924" s="312"/>
      <c r="O924" s="312"/>
      <c r="P924" s="315">
        <v>42234.0</v>
      </c>
      <c r="Q924" s="312">
        <v>68000.0</v>
      </c>
      <c r="R924" s="312">
        <v>384.0</v>
      </c>
      <c r="S924" s="316"/>
      <c r="T924" s="317">
        <v>388.86</v>
      </c>
      <c r="U924" s="312" t="s">
        <v>1366</v>
      </c>
      <c r="V924" s="312" t="s">
        <v>1367</v>
      </c>
      <c r="W924" s="50"/>
      <c r="X924" s="50"/>
      <c r="Y924" s="50"/>
      <c r="Z924" s="312"/>
      <c r="AA924" s="50"/>
      <c r="AB924" s="50"/>
      <c r="AC924" s="50"/>
      <c r="AD924" s="50"/>
      <c r="AE924" s="50"/>
    </row>
    <row r="925">
      <c r="A925" s="307">
        <v>42369.26527777778</v>
      </c>
      <c r="B925" s="312" t="s">
        <v>963</v>
      </c>
      <c r="C925" s="303" t="s">
        <v>1177</v>
      </c>
      <c r="D925" s="303" t="s">
        <v>1178</v>
      </c>
      <c r="E925" s="310">
        <v>41619.0</v>
      </c>
      <c r="F925" s="312" t="s">
        <v>32</v>
      </c>
      <c r="G925" s="303" t="s">
        <v>1203</v>
      </c>
      <c r="H925" s="303" t="s">
        <v>1203</v>
      </c>
      <c r="I925" s="303" t="s">
        <v>1180</v>
      </c>
      <c r="J925" s="306">
        <v>0.9</v>
      </c>
      <c r="K925" s="50"/>
      <c r="L925" s="312"/>
      <c r="M925" s="312">
        <v>222.0</v>
      </c>
      <c r="N925" s="312"/>
      <c r="O925" s="312"/>
      <c r="P925" s="315">
        <v>42369.0</v>
      </c>
      <c r="Q925" s="312">
        <v>90000.0</v>
      </c>
      <c r="R925" s="312">
        <v>385.0</v>
      </c>
      <c r="S925" s="316"/>
      <c r="T925" s="317">
        <v>389.87</v>
      </c>
      <c r="U925" s="312" t="s">
        <v>1366</v>
      </c>
      <c r="V925" s="312" t="s">
        <v>1367</v>
      </c>
      <c r="W925" s="50"/>
      <c r="X925" s="50"/>
      <c r="Y925" s="50"/>
      <c r="Z925" s="312"/>
      <c r="AA925" s="50"/>
      <c r="AB925" s="50"/>
      <c r="AC925" s="50"/>
      <c r="AD925" s="50"/>
      <c r="AE925" s="50"/>
    </row>
    <row r="926">
      <c r="A926" s="307">
        <v>43097.65625</v>
      </c>
      <c r="B926" s="312" t="s">
        <v>963</v>
      </c>
      <c r="C926" s="303" t="s">
        <v>1177</v>
      </c>
      <c r="D926" s="303" t="s">
        <v>1178</v>
      </c>
      <c r="E926" s="315">
        <v>41619.0</v>
      </c>
      <c r="F926" s="312" t="s">
        <v>32</v>
      </c>
      <c r="G926" s="303" t="s">
        <v>1179</v>
      </c>
      <c r="H926" s="303" t="s">
        <v>1181</v>
      </c>
      <c r="I926" s="303" t="s">
        <v>1181</v>
      </c>
      <c r="J926" s="306">
        <v>0.9</v>
      </c>
      <c r="K926" s="50"/>
      <c r="L926" s="312"/>
      <c r="M926" s="312">
        <v>225.0</v>
      </c>
      <c r="N926" s="312"/>
      <c r="O926" s="312"/>
      <c r="P926" s="315">
        <v>43097.0</v>
      </c>
      <c r="Q926" s="312">
        <v>164858.0</v>
      </c>
      <c r="R926" s="312">
        <v>368.0</v>
      </c>
      <c r="S926" s="316"/>
      <c r="T926" s="317">
        <v>372.66</v>
      </c>
      <c r="U926" s="312" t="s">
        <v>1366</v>
      </c>
      <c r="V926" s="312" t="s">
        <v>1367</v>
      </c>
      <c r="W926" s="50"/>
      <c r="X926" s="50"/>
      <c r="Y926" s="50"/>
      <c r="Z926" s="312"/>
      <c r="AA926" s="50"/>
      <c r="AB926" s="50"/>
      <c r="AC926" s="50"/>
      <c r="AD926" s="50"/>
      <c r="AE926" s="50"/>
    </row>
    <row r="927">
      <c r="A927" s="307">
        <v>42337.24166666667</v>
      </c>
      <c r="B927" s="312" t="s">
        <v>1096</v>
      </c>
      <c r="C927" s="303" t="s">
        <v>1177</v>
      </c>
      <c r="D927" s="303" t="s">
        <v>1178</v>
      </c>
      <c r="E927" s="315">
        <v>42230.0</v>
      </c>
      <c r="F927" s="312" t="s">
        <v>36</v>
      </c>
      <c r="G927" s="303" t="s">
        <v>1181</v>
      </c>
      <c r="H927" s="303" t="s">
        <v>1181</v>
      </c>
      <c r="I927" s="303" t="s">
        <v>1181</v>
      </c>
      <c r="J927" s="306">
        <v>0.7</v>
      </c>
      <c r="K927" s="312">
        <v>405.0</v>
      </c>
      <c r="L927" s="312"/>
      <c r="M927" s="312">
        <v>209.0</v>
      </c>
      <c r="N927" s="312"/>
      <c r="O927" s="312"/>
      <c r="P927" s="315">
        <v>42337.0</v>
      </c>
      <c r="Q927" s="312">
        <v>9535.0</v>
      </c>
      <c r="R927" s="312">
        <v>406.0</v>
      </c>
      <c r="S927" s="316"/>
      <c r="T927" s="317">
        <v>411.14</v>
      </c>
      <c r="U927" s="312" t="s">
        <v>1366</v>
      </c>
      <c r="V927" s="312" t="s">
        <v>1367</v>
      </c>
      <c r="W927" s="312">
        <v>282.0</v>
      </c>
      <c r="X927" s="312">
        <v>214.0</v>
      </c>
      <c r="Y927" s="312">
        <v>11.1</v>
      </c>
      <c r="Z927" s="312" t="s">
        <v>1366</v>
      </c>
      <c r="AA927" s="50"/>
      <c r="AB927" s="50"/>
      <c r="AC927" s="50"/>
      <c r="AD927" s="50"/>
      <c r="AE927" s="50"/>
    </row>
    <row r="928">
      <c r="A928" s="307">
        <v>42162.902083333334</v>
      </c>
      <c r="B928" s="312" t="s">
        <v>897</v>
      </c>
      <c r="C928" s="312" t="s">
        <v>1197</v>
      </c>
      <c r="D928" s="303" t="s">
        <v>1178</v>
      </c>
      <c r="E928" s="315">
        <v>41342.0</v>
      </c>
      <c r="F928" s="312" t="s">
        <v>30</v>
      </c>
      <c r="G928" s="303" t="s">
        <v>1181</v>
      </c>
      <c r="H928" s="303" t="s">
        <v>1186</v>
      </c>
      <c r="I928" s="303" t="s">
        <v>1187</v>
      </c>
      <c r="J928" s="306">
        <v>0.9</v>
      </c>
      <c r="K928" s="312">
        <v>426.0</v>
      </c>
      <c r="L928" s="312"/>
      <c r="M928" s="312">
        <v>211.0</v>
      </c>
      <c r="N928" s="312"/>
      <c r="O928" s="312"/>
      <c r="P928" s="315">
        <v>42162.0</v>
      </c>
      <c r="Q928" s="312">
        <v>82059.0</v>
      </c>
      <c r="R928" s="312">
        <v>389.0</v>
      </c>
      <c r="S928" s="316"/>
      <c r="T928" s="317">
        <v>393.92</v>
      </c>
      <c r="U928" s="312" t="s">
        <v>1366</v>
      </c>
      <c r="V928" s="312" t="s">
        <v>1367</v>
      </c>
      <c r="W928" s="312"/>
      <c r="X928" s="312"/>
      <c r="Y928" s="50"/>
      <c r="Z928" s="312"/>
      <c r="AA928" s="50"/>
      <c r="AB928" s="50"/>
      <c r="AC928" s="50"/>
      <c r="AD928" s="50"/>
      <c r="AE928" s="50"/>
    </row>
    <row r="929">
      <c r="A929" s="307">
        <v>42230.75208333333</v>
      </c>
      <c r="B929" s="312" t="s">
        <v>957</v>
      </c>
      <c r="C929" s="312" t="s">
        <v>1184</v>
      </c>
      <c r="D929" s="303" t="s">
        <v>1185</v>
      </c>
      <c r="E929" s="315">
        <v>42114.0</v>
      </c>
      <c r="F929" s="312" t="s">
        <v>36</v>
      </c>
      <c r="G929" s="303" t="s">
        <v>1179</v>
      </c>
      <c r="H929" s="303" t="s">
        <v>1180</v>
      </c>
      <c r="I929" s="303" t="s">
        <v>1187</v>
      </c>
      <c r="J929" s="306">
        <v>0.8</v>
      </c>
      <c r="K929" s="312">
        <v>270.0</v>
      </c>
      <c r="L929" s="312"/>
      <c r="M929" s="312">
        <v>298.0</v>
      </c>
      <c r="N929" s="312"/>
      <c r="O929" s="312"/>
      <c r="P929" s="315">
        <v>42230.0</v>
      </c>
      <c r="Q929" s="312">
        <v>12500.0</v>
      </c>
      <c r="R929" s="312">
        <v>261.0</v>
      </c>
      <c r="S929" s="316"/>
      <c r="T929" s="317">
        <v>264.3</v>
      </c>
      <c r="U929" s="312" t="s">
        <v>1366</v>
      </c>
      <c r="V929" s="312" t="s">
        <v>1367</v>
      </c>
      <c r="W929" s="50"/>
      <c r="X929" s="50"/>
      <c r="Y929" s="50"/>
      <c r="Z929" s="312"/>
      <c r="AA929" s="50"/>
      <c r="AB929" s="50"/>
      <c r="AC929" s="50"/>
      <c r="AD929" s="50"/>
      <c r="AE929" s="50"/>
    </row>
    <row r="930">
      <c r="A930" s="307">
        <v>42345.77916666667</v>
      </c>
      <c r="B930" s="312" t="s">
        <v>957</v>
      </c>
      <c r="C930" s="312" t="s">
        <v>1184</v>
      </c>
      <c r="D930" s="303" t="s">
        <v>1185</v>
      </c>
      <c r="E930" s="315">
        <v>42114.0</v>
      </c>
      <c r="F930" s="312" t="s">
        <v>36</v>
      </c>
      <c r="G930" s="303" t="s">
        <v>1179</v>
      </c>
      <c r="H930" s="303" t="s">
        <v>1179</v>
      </c>
      <c r="I930" s="303" t="s">
        <v>1187</v>
      </c>
      <c r="J930" s="306">
        <v>0.9</v>
      </c>
      <c r="K930" s="312">
        <v>270.0</v>
      </c>
      <c r="L930" s="312"/>
      <c r="M930" s="312">
        <v>323.0</v>
      </c>
      <c r="N930" s="312"/>
      <c r="O930" s="312"/>
      <c r="P930" s="315">
        <v>42345.0</v>
      </c>
      <c r="Q930" s="312">
        <v>21000.0</v>
      </c>
      <c r="R930" s="312">
        <v>261.0</v>
      </c>
      <c r="S930" s="316"/>
      <c r="T930" s="317">
        <v>264.3</v>
      </c>
      <c r="U930" s="312" t="s">
        <v>1366</v>
      </c>
      <c r="V930" s="312" t="s">
        <v>1367</v>
      </c>
      <c r="W930" s="50"/>
      <c r="X930" s="50"/>
      <c r="Y930" s="50"/>
      <c r="Z930" s="312"/>
      <c r="AA930" s="50"/>
      <c r="AB930" s="50"/>
      <c r="AC930" s="50"/>
      <c r="AD930" s="50"/>
      <c r="AE930" s="50"/>
    </row>
    <row r="931">
      <c r="A931" s="307">
        <v>42670.81041666667</v>
      </c>
      <c r="B931" s="312" t="s">
        <v>957</v>
      </c>
      <c r="C931" s="312" t="s">
        <v>1184</v>
      </c>
      <c r="D931" s="303" t="s">
        <v>1185</v>
      </c>
      <c r="E931" s="315">
        <v>42114.0</v>
      </c>
      <c r="F931" s="312" t="s">
        <v>36</v>
      </c>
      <c r="G931" s="303" t="s">
        <v>1179</v>
      </c>
      <c r="H931" s="303" t="s">
        <v>1179</v>
      </c>
      <c r="I931" s="303" t="s">
        <v>1187</v>
      </c>
      <c r="J931" s="306">
        <v>0.9</v>
      </c>
      <c r="K931" s="312">
        <v>270.0</v>
      </c>
      <c r="L931" s="312"/>
      <c r="M931" s="312">
        <v>318.0</v>
      </c>
      <c r="N931" s="312"/>
      <c r="O931" s="312"/>
      <c r="P931" s="315">
        <v>42670.0</v>
      </c>
      <c r="Q931" s="312">
        <v>50081.0</v>
      </c>
      <c r="R931" s="312">
        <v>262.0</v>
      </c>
      <c r="S931" s="316"/>
      <c r="T931" s="317">
        <v>265.32</v>
      </c>
      <c r="U931" s="312" t="s">
        <v>1366</v>
      </c>
      <c r="V931" s="312" t="s">
        <v>1367</v>
      </c>
      <c r="W931" s="50"/>
      <c r="X931" s="50"/>
      <c r="Y931" s="50"/>
      <c r="Z931" s="312"/>
      <c r="AA931" s="50"/>
      <c r="AB931" s="50"/>
      <c r="AC931" s="50"/>
      <c r="AD931" s="50"/>
      <c r="AE931" s="50"/>
    </row>
    <row r="932">
      <c r="A932" s="307">
        <v>42699.81597222222</v>
      </c>
      <c r="B932" s="312" t="s">
        <v>1093</v>
      </c>
      <c r="C932" s="312" t="s">
        <v>1184</v>
      </c>
      <c r="D932" s="303" t="s">
        <v>1185</v>
      </c>
      <c r="E932" s="315">
        <v>41530.0</v>
      </c>
      <c r="F932" s="312" t="s">
        <v>30</v>
      </c>
      <c r="G932" s="303" t="s">
        <v>1180</v>
      </c>
      <c r="H932" s="303" t="s">
        <v>1181</v>
      </c>
      <c r="I932" s="303" t="s">
        <v>1186</v>
      </c>
      <c r="J932" s="306">
        <v>0.6</v>
      </c>
      <c r="K932" s="50"/>
      <c r="L932" s="312"/>
      <c r="M932" s="312">
        <v>311.0</v>
      </c>
      <c r="N932" s="312">
        <v>17000.0</v>
      </c>
      <c r="O932" s="303" t="s">
        <v>1323</v>
      </c>
      <c r="P932" s="315">
        <v>42699.0</v>
      </c>
      <c r="Q932" s="312">
        <v>67000.0</v>
      </c>
      <c r="R932" s="312">
        <v>243.0</v>
      </c>
      <c r="S932" s="316"/>
      <c r="T932" s="317">
        <v>246.08</v>
      </c>
      <c r="U932" s="312" t="s">
        <v>1366</v>
      </c>
      <c r="V932" s="312" t="s">
        <v>1399</v>
      </c>
      <c r="W932" s="50"/>
      <c r="X932" s="50"/>
      <c r="Y932" s="50"/>
      <c r="Z932" s="312"/>
      <c r="AA932" s="50"/>
      <c r="AB932" s="50"/>
      <c r="AC932" s="50"/>
      <c r="AD932" s="50"/>
      <c r="AE932" s="50"/>
    </row>
    <row r="933">
      <c r="A933" s="307">
        <v>43180.87986111111</v>
      </c>
      <c r="B933" s="312" t="s">
        <v>1593</v>
      </c>
      <c r="C933" s="312" t="s">
        <v>1184</v>
      </c>
      <c r="D933" s="303" t="s">
        <v>1185</v>
      </c>
      <c r="E933" s="315">
        <v>42867.0</v>
      </c>
      <c r="F933" s="312" t="s">
        <v>25</v>
      </c>
      <c r="G933" s="303" t="s">
        <v>1181</v>
      </c>
      <c r="H933" s="303" t="s">
        <v>1181</v>
      </c>
      <c r="I933" s="303" t="s">
        <v>1186</v>
      </c>
      <c r="J933" s="306">
        <v>0.9</v>
      </c>
      <c r="K933" s="50"/>
      <c r="L933" s="312"/>
      <c r="M933" s="312">
        <v>297.0</v>
      </c>
      <c r="N933" s="312"/>
      <c r="O933" s="312"/>
      <c r="P933" s="315">
        <v>43180.0</v>
      </c>
      <c r="Q933" s="312">
        <v>14638.0</v>
      </c>
      <c r="R933" s="312">
        <v>242.0</v>
      </c>
      <c r="S933" s="316"/>
      <c r="T933" s="317">
        <v>245.06</v>
      </c>
      <c r="U933" s="312" t="s">
        <v>1366</v>
      </c>
      <c r="V933" s="312" t="s">
        <v>1367</v>
      </c>
      <c r="W933" s="50"/>
      <c r="X933" s="50"/>
      <c r="Y933" s="50"/>
      <c r="Z933" s="312"/>
      <c r="AA933" s="50"/>
      <c r="AB933" s="50"/>
      <c r="AC933" s="50"/>
      <c r="AD933" s="50"/>
      <c r="AE933" s="50"/>
    </row>
    <row r="934">
      <c r="A934" s="307">
        <v>42422.29513888889</v>
      </c>
      <c r="B934" s="50" t="s">
        <v>791</v>
      </c>
      <c r="C934" s="303" t="s">
        <v>1177</v>
      </c>
      <c r="D934" s="303" t="s">
        <v>1178</v>
      </c>
      <c r="E934" s="310">
        <v>42267.0</v>
      </c>
      <c r="F934" s="50" t="s">
        <v>36</v>
      </c>
      <c r="G934" s="303" t="s">
        <v>1180</v>
      </c>
      <c r="H934" s="303" t="s">
        <v>1181</v>
      </c>
      <c r="I934" s="303" t="s">
        <v>1181</v>
      </c>
      <c r="J934" s="306">
        <v>0.9</v>
      </c>
      <c r="K934" s="312">
        <v>421.0</v>
      </c>
      <c r="L934" s="312"/>
      <c r="M934" s="312">
        <v>269.0</v>
      </c>
      <c r="N934" s="312"/>
      <c r="O934" s="312"/>
      <c r="P934" s="310">
        <v>42422.0</v>
      </c>
      <c r="Q934" s="50">
        <v>3856.0</v>
      </c>
      <c r="R934" s="312">
        <v>421.0</v>
      </c>
      <c r="S934" s="316"/>
      <c r="T934" s="317">
        <v>426.33</v>
      </c>
      <c r="U934" s="312" t="s">
        <v>1366</v>
      </c>
      <c r="V934" s="312" t="s">
        <v>1367</v>
      </c>
      <c r="W934" s="50"/>
      <c r="X934" s="50"/>
      <c r="Y934" s="50"/>
      <c r="Z934" s="312"/>
      <c r="AA934" s="50"/>
      <c r="AB934" s="50"/>
      <c r="AC934" s="50"/>
      <c r="AD934" s="50"/>
      <c r="AE934" s="50"/>
    </row>
    <row r="935">
      <c r="A935" s="307">
        <v>42832.54375</v>
      </c>
      <c r="B935" s="312" t="s">
        <v>828</v>
      </c>
      <c r="C935" s="303" t="s">
        <v>1177</v>
      </c>
      <c r="D935" s="303" t="s">
        <v>1178</v>
      </c>
      <c r="E935" s="315">
        <v>41871.0</v>
      </c>
      <c r="F935" s="312" t="s">
        <v>30</v>
      </c>
      <c r="G935" s="303" t="s">
        <v>1180</v>
      </c>
      <c r="H935" s="303" t="s">
        <v>1186</v>
      </c>
      <c r="I935" s="303" t="s">
        <v>1187</v>
      </c>
      <c r="J935" s="306">
        <v>0.8</v>
      </c>
      <c r="K935" s="50"/>
      <c r="L935" s="312"/>
      <c r="M935" s="312">
        <v>210.0</v>
      </c>
      <c r="N935" s="312"/>
      <c r="O935" s="312"/>
      <c r="P935" s="315">
        <v>42832.0</v>
      </c>
      <c r="Q935" s="312">
        <v>14857.0</v>
      </c>
      <c r="R935" s="312">
        <v>389.0</v>
      </c>
      <c r="S935" s="316"/>
      <c r="T935" s="317">
        <v>393.92</v>
      </c>
      <c r="U935" s="312" t="s">
        <v>1366</v>
      </c>
      <c r="V935" s="312" t="s">
        <v>1367</v>
      </c>
      <c r="W935" s="50"/>
      <c r="X935" s="50"/>
      <c r="Y935" s="50"/>
      <c r="Z935" s="312"/>
      <c r="AA935" s="312" t="s">
        <v>1594</v>
      </c>
      <c r="AB935" s="50"/>
      <c r="AC935" s="50"/>
      <c r="AD935" s="50"/>
      <c r="AE935" s="50"/>
    </row>
    <row r="936">
      <c r="A936" s="307">
        <v>43197.72638888889</v>
      </c>
      <c r="B936" s="312" t="s">
        <v>828</v>
      </c>
      <c r="C936" s="303" t="s">
        <v>1177</v>
      </c>
      <c r="D936" s="303" t="s">
        <v>1178</v>
      </c>
      <c r="E936" s="315">
        <v>41871.0</v>
      </c>
      <c r="F936" s="312" t="s">
        <v>30</v>
      </c>
      <c r="G936" s="303" t="s">
        <v>1180</v>
      </c>
      <c r="H936" s="303" t="s">
        <v>1186</v>
      </c>
      <c r="I936" s="303" t="s">
        <v>1187</v>
      </c>
      <c r="J936" s="306">
        <v>0.7</v>
      </c>
      <c r="K936" s="50"/>
      <c r="L936" s="312"/>
      <c r="M936" s="312">
        <v>210.0</v>
      </c>
      <c r="N936" s="312"/>
      <c r="O936" s="312"/>
      <c r="P936" s="315">
        <v>43197.0</v>
      </c>
      <c r="Q936" s="312">
        <v>17888.0</v>
      </c>
      <c r="R936" s="312">
        <v>388.0</v>
      </c>
      <c r="S936" s="316"/>
      <c r="T936" s="317">
        <v>392.91</v>
      </c>
      <c r="U936" s="312" t="s">
        <v>1366</v>
      </c>
      <c r="V936" s="312" t="s">
        <v>1367</v>
      </c>
      <c r="W936" s="50"/>
      <c r="X936" s="50"/>
      <c r="Y936" s="50"/>
      <c r="Z936" s="312"/>
      <c r="AA936" s="312" t="s">
        <v>1595</v>
      </c>
      <c r="AB936" s="50"/>
      <c r="AC936" s="50"/>
      <c r="AD936" s="50"/>
      <c r="AE936" s="50"/>
    </row>
    <row r="937">
      <c r="A937" s="307">
        <v>42826.544444444444</v>
      </c>
      <c r="B937" s="312" t="s">
        <v>824</v>
      </c>
      <c r="C937" s="303" t="s">
        <v>1177</v>
      </c>
      <c r="D937" s="303" t="s">
        <v>1178</v>
      </c>
      <c r="E937" s="315">
        <v>42802.0</v>
      </c>
      <c r="F937" s="312" t="s">
        <v>57</v>
      </c>
      <c r="G937" s="303" t="s">
        <v>1180</v>
      </c>
      <c r="H937" s="303" t="s">
        <v>1186</v>
      </c>
      <c r="I937" s="303" t="s">
        <v>1187</v>
      </c>
      <c r="J937" s="306">
        <v>0.8</v>
      </c>
      <c r="K937" s="312">
        <v>395.0</v>
      </c>
      <c r="L937" s="312"/>
      <c r="M937" s="312">
        <v>225.0</v>
      </c>
      <c r="N937" s="312"/>
      <c r="O937" s="312"/>
      <c r="P937" s="315">
        <v>42826.0</v>
      </c>
      <c r="Q937" s="312">
        <v>100.0</v>
      </c>
      <c r="R937" s="312">
        <v>395.0</v>
      </c>
      <c r="S937" s="316"/>
      <c r="T937" s="317">
        <v>400.0</v>
      </c>
      <c r="U937" s="312" t="s">
        <v>1366</v>
      </c>
      <c r="V937" s="312" t="s">
        <v>1367</v>
      </c>
      <c r="W937" s="50"/>
      <c r="X937" s="50"/>
      <c r="Y937" s="50"/>
      <c r="Z937" s="312"/>
      <c r="AA937" s="312" t="s">
        <v>1596</v>
      </c>
      <c r="AB937" s="50"/>
      <c r="AC937" s="50"/>
      <c r="AD937" s="50"/>
      <c r="AE937" s="50"/>
    </row>
    <row r="938">
      <c r="A938" s="307">
        <v>43210.72708333333</v>
      </c>
      <c r="B938" s="312" t="s">
        <v>824</v>
      </c>
      <c r="C938" s="303" t="s">
        <v>1177</v>
      </c>
      <c r="D938" s="303" t="s">
        <v>1178</v>
      </c>
      <c r="E938" s="315">
        <v>42802.0</v>
      </c>
      <c r="F938" s="312" t="s">
        <v>57</v>
      </c>
      <c r="G938" s="303" t="s">
        <v>1180</v>
      </c>
      <c r="H938" s="303" t="s">
        <v>1186</v>
      </c>
      <c r="I938" s="303" t="s">
        <v>1187</v>
      </c>
      <c r="J938" s="306">
        <v>0.7</v>
      </c>
      <c r="K938" s="312">
        <v>395.0</v>
      </c>
      <c r="L938" s="312"/>
      <c r="M938" s="312">
        <v>210.0</v>
      </c>
      <c r="N938" s="312"/>
      <c r="O938" s="312"/>
      <c r="P938" s="315">
        <v>43210.0</v>
      </c>
      <c r="Q938" s="312">
        <v>3442.0</v>
      </c>
      <c r="R938" s="312">
        <v>393.0</v>
      </c>
      <c r="S938" s="316"/>
      <c r="T938" s="317">
        <v>397.97</v>
      </c>
      <c r="U938" s="312" t="s">
        <v>1366</v>
      </c>
      <c r="V938" s="312" t="s">
        <v>1367</v>
      </c>
      <c r="W938" s="50"/>
      <c r="X938" s="50"/>
      <c r="Y938" s="50"/>
      <c r="Z938" s="312"/>
      <c r="AA938" s="312" t="s">
        <v>1597</v>
      </c>
      <c r="AB938" s="50"/>
      <c r="AC938" s="50"/>
      <c r="AD938" s="50"/>
      <c r="AE938" s="50"/>
    </row>
    <row r="939">
      <c r="A939" s="307">
        <v>42568.365277777775</v>
      </c>
      <c r="B939" s="312" t="s">
        <v>929</v>
      </c>
      <c r="C939" s="303" t="s">
        <v>1177</v>
      </c>
      <c r="D939" s="303" t="s">
        <v>1178</v>
      </c>
      <c r="E939" s="315">
        <v>42541.0</v>
      </c>
      <c r="F939" s="312" t="s">
        <v>43</v>
      </c>
      <c r="G939" s="303" t="s">
        <v>1190</v>
      </c>
      <c r="H939" s="303" t="s">
        <v>1190</v>
      </c>
      <c r="I939" s="303" t="s">
        <v>1180</v>
      </c>
      <c r="J939" s="306">
        <v>0.9</v>
      </c>
      <c r="K939" s="312">
        <v>456.0</v>
      </c>
      <c r="L939" s="312"/>
      <c r="M939" s="312">
        <v>194.0</v>
      </c>
      <c r="N939" s="312"/>
      <c r="O939" s="312"/>
      <c r="P939" s="315">
        <v>42568.0</v>
      </c>
      <c r="Q939" s="312">
        <v>1512.0</v>
      </c>
      <c r="R939" s="312">
        <v>456.0</v>
      </c>
      <c r="S939" s="316"/>
      <c r="T939" s="317">
        <v>461.77</v>
      </c>
      <c r="U939" s="312" t="s">
        <v>1366</v>
      </c>
      <c r="V939" s="312" t="s">
        <v>1367</v>
      </c>
      <c r="W939" s="50"/>
      <c r="X939" s="50"/>
      <c r="Y939" s="50"/>
      <c r="Z939" s="312"/>
      <c r="AA939" s="50"/>
      <c r="AB939" s="50"/>
      <c r="AC939" s="50"/>
      <c r="AD939" s="50"/>
      <c r="AE939" s="50"/>
    </row>
    <row r="940">
      <c r="A940" s="307">
        <v>42906.84027777778</v>
      </c>
      <c r="B940" s="312" t="s">
        <v>765</v>
      </c>
      <c r="C940" s="312" t="s">
        <v>1184</v>
      </c>
      <c r="D940" s="303" t="s">
        <v>1185</v>
      </c>
      <c r="E940" s="315">
        <v>42643.0</v>
      </c>
      <c r="F940" s="312" t="s">
        <v>25</v>
      </c>
      <c r="G940" s="303" t="s">
        <v>1190</v>
      </c>
      <c r="H940" s="303" t="s">
        <v>1186</v>
      </c>
      <c r="I940" s="303" t="s">
        <v>1186</v>
      </c>
      <c r="J940" s="306">
        <v>0.9</v>
      </c>
      <c r="K940" s="50"/>
      <c r="L940" s="312"/>
      <c r="M940" s="312">
        <v>297.0</v>
      </c>
      <c r="N940" s="312"/>
      <c r="O940" s="312"/>
      <c r="P940" s="315">
        <v>42906.0</v>
      </c>
      <c r="Q940" s="312">
        <v>11536.0</v>
      </c>
      <c r="R940" s="312">
        <v>238.0</v>
      </c>
      <c r="S940" s="316"/>
      <c r="T940" s="317">
        <v>238.0</v>
      </c>
      <c r="U940" s="312" t="s">
        <v>1369</v>
      </c>
      <c r="V940" s="312" t="s">
        <v>1367</v>
      </c>
      <c r="W940" s="50"/>
      <c r="X940" s="50"/>
      <c r="Y940" s="50"/>
      <c r="Z940" s="312"/>
      <c r="AA940" s="50"/>
      <c r="AB940" s="50"/>
      <c r="AC940" s="50"/>
      <c r="AD940" s="50"/>
      <c r="AE940" s="50"/>
    </row>
    <row r="941">
      <c r="A941" s="307">
        <v>42767.84097222222</v>
      </c>
      <c r="B941" s="312" t="s">
        <v>765</v>
      </c>
      <c r="C941" s="312" t="s">
        <v>1184</v>
      </c>
      <c r="D941" s="303" t="s">
        <v>1185</v>
      </c>
      <c r="E941" s="315">
        <v>42643.0</v>
      </c>
      <c r="F941" s="312" t="s">
        <v>25</v>
      </c>
      <c r="G941" s="303" t="s">
        <v>1179</v>
      </c>
      <c r="H941" s="303" t="s">
        <v>1186</v>
      </c>
      <c r="I941" s="303" t="s">
        <v>1186</v>
      </c>
      <c r="J941" s="306">
        <v>0.9</v>
      </c>
      <c r="K941" s="50"/>
      <c r="L941" s="312"/>
      <c r="M941" s="312">
        <v>290.0</v>
      </c>
      <c r="N941" s="312"/>
      <c r="O941" s="312"/>
      <c r="P941" s="315">
        <v>42767.0</v>
      </c>
      <c r="Q941" s="312">
        <v>3000.0</v>
      </c>
      <c r="R941" s="312">
        <v>241.0</v>
      </c>
      <c r="S941" s="316"/>
      <c r="T941" s="317">
        <v>241.0</v>
      </c>
      <c r="U941" s="312" t="s">
        <v>1369</v>
      </c>
      <c r="V941" s="312" t="s">
        <v>1367</v>
      </c>
      <c r="W941" s="50"/>
      <c r="X941" s="50"/>
      <c r="Y941" s="50"/>
      <c r="Z941" s="312"/>
      <c r="AA941" s="50"/>
      <c r="AB941" s="50"/>
      <c r="AC941" s="50"/>
      <c r="AD941" s="50"/>
      <c r="AE941" s="50"/>
    </row>
    <row r="942">
      <c r="A942" s="307">
        <v>43136.87708333333</v>
      </c>
      <c r="B942" s="312" t="s">
        <v>1598</v>
      </c>
      <c r="C942" s="312" t="s">
        <v>1184</v>
      </c>
      <c r="D942" s="303" t="s">
        <v>1185</v>
      </c>
      <c r="E942" s="315">
        <v>43028.0</v>
      </c>
      <c r="F942" s="312" t="s">
        <v>45</v>
      </c>
      <c r="G942" s="303" t="s">
        <v>1181</v>
      </c>
      <c r="H942" s="303" t="s">
        <v>1186</v>
      </c>
      <c r="I942" s="303" t="s">
        <v>1187</v>
      </c>
      <c r="J942" s="306">
        <v>0.8</v>
      </c>
      <c r="K942" s="50"/>
      <c r="L942" s="312"/>
      <c r="M942" s="312">
        <v>356.0</v>
      </c>
      <c r="N942" s="312"/>
      <c r="O942" s="312"/>
      <c r="P942" s="315">
        <v>43136.0</v>
      </c>
      <c r="Q942" s="312">
        <v>4407.0</v>
      </c>
      <c r="R942" s="312">
        <v>333.0</v>
      </c>
      <c r="S942" s="316"/>
      <c r="T942" s="317">
        <v>337.22</v>
      </c>
      <c r="U942" s="312" t="s">
        <v>1366</v>
      </c>
      <c r="V942" s="312" t="s">
        <v>1367</v>
      </c>
      <c r="W942" s="50"/>
      <c r="X942" s="50"/>
      <c r="Y942" s="50"/>
      <c r="Z942" s="312"/>
      <c r="AA942" s="312" t="s">
        <v>1599</v>
      </c>
      <c r="AB942" s="50"/>
      <c r="AC942" s="50"/>
      <c r="AD942" s="50"/>
      <c r="AE942" s="50"/>
    </row>
    <row r="943">
      <c r="A943" s="307">
        <v>42298.20138888889</v>
      </c>
      <c r="B943" s="312" t="s">
        <v>1051</v>
      </c>
      <c r="C943" s="303" t="s">
        <v>1177</v>
      </c>
      <c r="D943" s="303" t="s">
        <v>1178</v>
      </c>
      <c r="E943" s="315">
        <v>41577.0</v>
      </c>
      <c r="F943" s="312" t="s">
        <v>32</v>
      </c>
      <c r="G943" s="303" t="s">
        <v>1180</v>
      </c>
      <c r="H943" s="303" t="s">
        <v>1181</v>
      </c>
      <c r="I943" s="303" t="s">
        <v>1186</v>
      </c>
      <c r="J943" s="306">
        <v>0.7</v>
      </c>
      <c r="K943" s="312">
        <v>394.0</v>
      </c>
      <c r="L943" s="312"/>
      <c r="M943" s="312">
        <v>195.0</v>
      </c>
      <c r="N943" s="312"/>
      <c r="O943" s="312"/>
      <c r="P943" s="315">
        <v>42298.0</v>
      </c>
      <c r="Q943" s="312">
        <v>92000.0</v>
      </c>
      <c r="R943" s="312">
        <v>359.0</v>
      </c>
      <c r="S943" s="316"/>
      <c r="T943" s="317">
        <v>363.54</v>
      </c>
      <c r="U943" s="312" t="s">
        <v>1366</v>
      </c>
      <c r="V943" s="312" t="s">
        <v>1367</v>
      </c>
      <c r="W943" s="312">
        <v>356.0</v>
      </c>
      <c r="X943" s="312">
        <v>0.0</v>
      </c>
      <c r="Y943" s="312">
        <v>68.5</v>
      </c>
      <c r="Z943" s="312" t="s">
        <v>1366</v>
      </c>
      <c r="AA943" s="50"/>
      <c r="AB943" s="50"/>
      <c r="AC943" s="50"/>
      <c r="AD943" s="50"/>
      <c r="AE943" s="50"/>
    </row>
    <row r="944">
      <c r="A944" s="307">
        <v>41737.73611111111</v>
      </c>
      <c r="B944" s="50" t="s">
        <v>829</v>
      </c>
      <c r="C944" s="50" t="s">
        <v>1184</v>
      </c>
      <c r="D944" s="303" t="s">
        <v>1185</v>
      </c>
      <c r="E944" s="310">
        <v>41720.0</v>
      </c>
      <c r="F944" s="50" t="s">
        <v>30</v>
      </c>
      <c r="G944" s="303" t="s">
        <v>1180</v>
      </c>
      <c r="H944" s="303" t="s">
        <v>1186</v>
      </c>
      <c r="I944" s="303" t="s">
        <v>1187</v>
      </c>
      <c r="J944" s="306">
        <v>0.7</v>
      </c>
      <c r="K944" s="50"/>
      <c r="L944" s="50"/>
      <c r="M944" s="312">
        <v>303.0</v>
      </c>
      <c r="N944" s="312"/>
      <c r="O944" s="312"/>
      <c r="P944" s="310">
        <v>41737.0</v>
      </c>
      <c r="Q944" s="50">
        <v>2000.0</v>
      </c>
      <c r="R944" s="312">
        <v>271.0</v>
      </c>
      <c r="S944" s="316"/>
      <c r="T944" s="317">
        <v>271.0</v>
      </c>
      <c r="U944" s="312" t="s">
        <v>1369</v>
      </c>
      <c r="V944" s="312" t="s">
        <v>1367</v>
      </c>
      <c r="W944" s="50"/>
      <c r="X944" s="50"/>
      <c r="Y944" s="50"/>
      <c r="Z944" s="312"/>
      <c r="AA944" s="50"/>
      <c r="AB944" s="50"/>
      <c r="AC944" s="50"/>
      <c r="AD944" s="50"/>
      <c r="AE944" s="50"/>
    </row>
    <row r="945">
      <c r="A945" s="307">
        <v>42110.736805555556</v>
      </c>
      <c r="B945" s="50" t="s">
        <v>829</v>
      </c>
      <c r="C945" s="50" t="s">
        <v>1184</v>
      </c>
      <c r="D945" s="303" t="s">
        <v>1185</v>
      </c>
      <c r="E945" s="310">
        <v>41720.0</v>
      </c>
      <c r="F945" s="50" t="s">
        <v>30</v>
      </c>
      <c r="G945" s="303" t="s">
        <v>1180</v>
      </c>
      <c r="H945" s="303" t="s">
        <v>1186</v>
      </c>
      <c r="I945" s="303" t="s">
        <v>1187</v>
      </c>
      <c r="J945" s="306">
        <v>0.7</v>
      </c>
      <c r="K945" s="312"/>
      <c r="L945" s="50"/>
      <c r="M945" s="312">
        <v>303.0</v>
      </c>
      <c r="N945" s="312"/>
      <c r="O945" s="312"/>
      <c r="P945" s="310">
        <v>42110.0</v>
      </c>
      <c r="Q945" s="50">
        <v>21000.0</v>
      </c>
      <c r="R945" s="312">
        <v>256.0</v>
      </c>
      <c r="S945" s="316"/>
      <c r="T945" s="317">
        <v>256.0</v>
      </c>
      <c r="U945" s="312" t="s">
        <v>1369</v>
      </c>
      <c r="V945" s="312" t="s">
        <v>1367</v>
      </c>
      <c r="W945" s="50"/>
      <c r="X945" s="50"/>
      <c r="Y945" s="50"/>
      <c r="Z945" s="312"/>
      <c r="AA945" s="312"/>
      <c r="AB945" s="50"/>
      <c r="AC945" s="50"/>
      <c r="AD945" s="50"/>
      <c r="AE945" s="50"/>
    </row>
    <row r="946">
      <c r="A946" s="307">
        <v>42196.14513888889</v>
      </c>
      <c r="B946" s="312" t="s">
        <v>922</v>
      </c>
      <c r="C946" s="303" t="s">
        <v>1177</v>
      </c>
      <c r="D946" s="303" t="s">
        <v>1178</v>
      </c>
      <c r="E946" s="315">
        <v>41984.0</v>
      </c>
      <c r="F946" s="312" t="s">
        <v>30</v>
      </c>
      <c r="G946" s="303" t="s">
        <v>1205</v>
      </c>
      <c r="H946" s="303" t="s">
        <v>1179</v>
      </c>
      <c r="I946" s="303" t="s">
        <v>1186</v>
      </c>
      <c r="J946" s="306">
        <v>0.8</v>
      </c>
      <c r="K946" s="312">
        <v>396.0</v>
      </c>
      <c r="L946" s="312"/>
      <c r="M946" s="312">
        <v>225.0</v>
      </c>
      <c r="N946" s="312"/>
      <c r="O946" s="312"/>
      <c r="P946" s="315">
        <v>42196.0</v>
      </c>
      <c r="Q946" s="312">
        <v>48500.0</v>
      </c>
      <c r="R946" s="312">
        <v>385.0</v>
      </c>
      <c r="S946" s="316"/>
      <c r="T946" s="317">
        <v>385.0</v>
      </c>
      <c r="U946" s="312" t="s">
        <v>1369</v>
      </c>
      <c r="V946" s="312" t="s">
        <v>1367</v>
      </c>
      <c r="W946" s="312">
        <v>345.0</v>
      </c>
      <c r="X946" s="312">
        <v>215.0</v>
      </c>
      <c r="Y946" s="50"/>
      <c r="Z946" s="312" t="s">
        <v>1369</v>
      </c>
      <c r="AA946" s="50"/>
      <c r="AB946" s="50"/>
      <c r="AC946" s="50"/>
      <c r="AD946" s="50"/>
      <c r="AE946" s="50"/>
    </row>
    <row r="947">
      <c r="A947" s="307">
        <v>42454.33611111111</v>
      </c>
      <c r="B947" s="312" t="s">
        <v>819</v>
      </c>
      <c r="C947" s="303" t="s">
        <v>1177</v>
      </c>
      <c r="D947" s="303" t="s">
        <v>1178</v>
      </c>
      <c r="E947" s="315">
        <v>41594.0</v>
      </c>
      <c r="F947" s="312" t="s">
        <v>30</v>
      </c>
      <c r="G947" s="303" t="s">
        <v>1190</v>
      </c>
      <c r="H947" s="303" t="s">
        <v>1181</v>
      </c>
      <c r="I947" s="303" t="s">
        <v>1186</v>
      </c>
      <c r="J947" s="306">
        <v>0.9</v>
      </c>
      <c r="K947" s="50"/>
      <c r="L947" s="312"/>
      <c r="M947" s="312">
        <v>219.0</v>
      </c>
      <c r="N947" s="312"/>
      <c r="O947" s="312"/>
      <c r="P947" s="315">
        <v>42454.0</v>
      </c>
      <c r="Q947" s="312">
        <v>36410.0</v>
      </c>
      <c r="R947" s="312">
        <v>379.0</v>
      </c>
      <c r="S947" s="316"/>
      <c r="T947" s="317">
        <v>379.0</v>
      </c>
      <c r="U947" s="312" t="s">
        <v>1369</v>
      </c>
      <c r="V947" s="312" t="s">
        <v>1367</v>
      </c>
      <c r="W947" s="50"/>
      <c r="X947" s="50"/>
      <c r="Y947" s="50"/>
      <c r="Z947" s="312"/>
      <c r="AA947" s="312" t="s">
        <v>1600</v>
      </c>
      <c r="AB947" s="50"/>
      <c r="AC947" s="50"/>
      <c r="AD947" s="50"/>
      <c r="AE947" s="50"/>
    </row>
    <row r="948">
      <c r="A948" s="307">
        <v>42616.396527777775</v>
      </c>
      <c r="B948" s="312" t="s">
        <v>819</v>
      </c>
      <c r="C948" s="303" t="s">
        <v>1177</v>
      </c>
      <c r="D948" s="303" t="s">
        <v>1178</v>
      </c>
      <c r="E948" s="315">
        <v>41594.0</v>
      </c>
      <c r="F948" s="312" t="s">
        <v>30</v>
      </c>
      <c r="G948" s="303" t="s">
        <v>1190</v>
      </c>
      <c r="H948" s="303" t="s">
        <v>1181</v>
      </c>
      <c r="I948" s="303" t="s">
        <v>1186</v>
      </c>
      <c r="J948" s="306">
        <v>0.9</v>
      </c>
      <c r="K948" s="50"/>
      <c r="L948" s="312"/>
      <c r="M948" s="312">
        <v>195.0</v>
      </c>
      <c r="N948" s="312"/>
      <c r="O948" s="312"/>
      <c r="P948" s="315">
        <v>42616.0</v>
      </c>
      <c r="Q948" s="312">
        <v>53756.1</v>
      </c>
      <c r="R948" s="312">
        <v>381.0</v>
      </c>
      <c r="S948" s="316"/>
      <c r="T948" s="317">
        <v>381.0</v>
      </c>
      <c r="U948" s="312" t="s">
        <v>1369</v>
      </c>
      <c r="V948" s="312" t="s">
        <v>1367</v>
      </c>
      <c r="W948" s="50"/>
      <c r="X948" s="50"/>
      <c r="Y948" s="50"/>
      <c r="Z948" s="312"/>
      <c r="AA948" s="312" t="s">
        <v>1600</v>
      </c>
      <c r="AB948" s="50"/>
      <c r="AC948" s="50"/>
      <c r="AD948" s="50"/>
      <c r="AE948" s="50"/>
    </row>
    <row r="949">
      <c r="A949" s="307">
        <v>43038.85972222222</v>
      </c>
      <c r="B949" s="312" t="s">
        <v>1064</v>
      </c>
      <c r="C949" s="312" t="s">
        <v>1184</v>
      </c>
      <c r="D949" s="303" t="s">
        <v>1185</v>
      </c>
      <c r="E949" s="315">
        <v>42736.0</v>
      </c>
      <c r="F949" s="312" t="s">
        <v>28</v>
      </c>
      <c r="G949" s="50"/>
      <c r="H949" s="50"/>
      <c r="I949" s="50"/>
      <c r="J949" s="306"/>
      <c r="K949" s="50"/>
      <c r="L949" s="312"/>
      <c r="M949" s="50"/>
      <c r="N949" s="312"/>
      <c r="O949" s="312"/>
      <c r="P949" s="315">
        <v>43038.0</v>
      </c>
      <c r="Q949" s="312">
        <v>18827.0</v>
      </c>
      <c r="R949" s="312">
        <v>256.0</v>
      </c>
      <c r="S949" s="316"/>
      <c r="T949" s="317">
        <v>256.0</v>
      </c>
      <c r="U949" s="312" t="s">
        <v>1369</v>
      </c>
      <c r="V949" s="312" t="s">
        <v>1367</v>
      </c>
      <c r="W949" s="50"/>
      <c r="X949" s="50"/>
      <c r="Y949" s="50"/>
      <c r="Z949" s="312"/>
      <c r="AA949" s="50"/>
      <c r="AB949" s="50"/>
      <c r="AC949" s="50"/>
      <c r="AD949" s="50"/>
      <c r="AE949" s="50"/>
    </row>
    <row r="950">
      <c r="A950" s="307">
        <v>42408.28472222222</v>
      </c>
      <c r="B950" s="312" t="s">
        <v>775</v>
      </c>
      <c r="C950" s="303" t="s">
        <v>1177</v>
      </c>
      <c r="D950" s="303" t="s">
        <v>1178</v>
      </c>
      <c r="E950" s="315">
        <v>42341.0</v>
      </c>
      <c r="F950" s="312" t="s">
        <v>36</v>
      </c>
      <c r="G950" s="303" t="s">
        <v>1180</v>
      </c>
      <c r="H950" s="303" t="s">
        <v>1186</v>
      </c>
      <c r="I950" s="303" t="s">
        <v>1186</v>
      </c>
      <c r="J950" s="306">
        <v>0.9</v>
      </c>
      <c r="K950" s="50"/>
      <c r="L950" s="312"/>
      <c r="M950" s="312">
        <v>220.0</v>
      </c>
      <c r="N950" s="312"/>
      <c r="O950" s="312"/>
      <c r="P950" s="315">
        <v>42408.0</v>
      </c>
      <c r="Q950" s="312">
        <v>6900.0</v>
      </c>
      <c r="R950" s="312">
        <v>423.0</v>
      </c>
      <c r="S950" s="316"/>
      <c r="T950" s="317">
        <v>428.35</v>
      </c>
      <c r="U950" s="312" t="s">
        <v>1366</v>
      </c>
      <c r="V950" s="312" t="s">
        <v>1367</v>
      </c>
      <c r="W950" s="50"/>
      <c r="X950" s="50"/>
      <c r="Y950" s="50"/>
      <c r="Z950" s="312"/>
      <c r="AA950" s="50"/>
      <c r="AB950" s="50"/>
      <c r="AC950" s="50"/>
      <c r="AD950" s="50"/>
      <c r="AE950" s="50"/>
    </row>
    <row r="951">
      <c r="A951" s="307">
        <v>42891.555555555555</v>
      </c>
      <c r="B951" s="312" t="s">
        <v>775</v>
      </c>
      <c r="C951" s="303" t="s">
        <v>1177</v>
      </c>
      <c r="D951" s="303" t="s">
        <v>1178</v>
      </c>
      <c r="E951" s="315">
        <v>42341.0</v>
      </c>
      <c r="F951" s="312" t="s">
        <v>36</v>
      </c>
      <c r="G951" s="303" t="s">
        <v>1181</v>
      </c>
      <c r="H951" s="303" t="s">
        <v>1186</v>
      </c>
      <c r="I951" s="303" t="s">
        <v>1187</v>
      </c>
      <c r="J951" s="306">
        <v>0.8</v>
      </c>
      <c r="K951" s="50"/>
      <c r="L951" s="312"/>
      <c r="M951" s="312">
        <v>208.0</v>
      </c>
      <c r="N951" s="312"/>
      <c r="O951" s="312"/>
      <c r="P951" s="315">
        <v>42891.0</v>
      </c>
      <c r="Q951" s="312">
        <v>50000.0</v>
      </c>
      <c r="R951" s="312">
        <v>421.0</v>
      </c>
      <c r="S951" s="316"/>
      <c r="T951" s="317">
        <v>426.33</v>
      </c>
      <c r="U951" s="312" t="s">
        <v>1366</v>
      </c>
      <c r="V951" s="312" t="s">
        <v>1367</v>
      </c>
      <c r="W951" s="50"/>
      <c r="X951" s="50"/>
      <c r="Y951" s="50"/>
      <c r="Z951" s="312"/>
      <c r="AA951" s="50"/>
      <c r="AB951" s="50"/>
      <c r="AC951" s="50"/>
      <c r="AD951" s="50"/>
      <c r="AE951" s="50"/>
    </row>
    <row r="952">
      <c r="A952" s="307">
        <v>42856.82777777778</v>
      </c>
      <c r="B952" s="312" t="s">
        <v>490</v>
      </c>
      <c r="C952" s="312" t="s">
        <v>1184</v>
      </c>
      <c r="D952" s="303" t="s">
        <v>1185</v>
      </c>
      <c r="E952" s="315">
        <v>41258.0</v>
      </c>
      <c r="F952" s="312" t="s">
        <v>32</v>
      </c>
      <c r="G952" s="303" t="s">
        <v>1181</v>
      </c>
      <c r="H952" s="303" t="s">
        <v>1181</v>
      </c>
      <c r="I952" s="303" t="s">
        <v>1187</v>
      </c>
      <c r="J952" s="306">
        <v>0.9</v>
      </c>
      <c r="K952" s="312">
        <v>265.0</v>
      </c>
      <c r="L952" s="312"/>
      <c r="M952" s="312">
        <v>330.0</v>
      </c>
      <c r="N952" s="312"/>
      <c r="O952" s="312"/>
      <c r="P952" s="315">
        <v>42856.0</v>
      </c>
      <c r="Q952" s="312">
        <v>38010.0</v>
      </c>
      <c r="R952" s="312">
        <v>261.0</v>
      </c>
      <c r="S952" s="316"/>
      <c r="T952" s="317">
        <v>264.3</v>
      </c>
      <c r="U952" s="312" t="s">
        <v>1366</v>
      </c>
      <c r="V952" s="312" t="s">
        <v>1367</v>
      </c>
      <c r="W952" s="50"/>
      <c r="X952" s="50"/>
      <c r="Y952" s="50"/>
      <c r="Z952" s="312"/>
      <c r="AA952" s="50"/>
      <c r="AB952" s="50"/>
      <c r="AC952" s="50"/>
      <c r="AD952" s="50"/>
      <c r="AE952" s="50"/>
    </row>
    <row r="953">
      <c r="A953" s="307">
        <v>43072.8625</v>
      </c>
      <c r="B953" s="312" t="s">
        <v>1601</v>
      </c>
      <c r="C953" s="312" t="s">
        <v>1184</v>
      </c>
      <c r="D953" s="303" t="s">
        <v>1185</v>
      </c>
      <c r="E953" s="315">
        <v>41274.0</v>
      </c>
      <c r="F953" s="312" t="s">
        <v>12</v>
      </c>
      <c r="G953" s="303" t="s">
        <v>1180</v>
      </c>
      <c r="H953" s="303" t="s">
        <v>1180</v>
      </c>
      <c r="I953" s="303" t="s">
        <v>1186</v>
      </c>
      <c r="J953" s="306">
        <v>0.9</v>
      </c>
      <c r="K953" s="312">
        <v>224.0</v>
      </c>
      <c r="L953" s="312"/>
      <c r="M953" s="312">
        <v>350.0</v>
      </c>
      <c r="N953" s="312"/>
      <c r="O953" s="312"/>
      <c r="P953" s="315">
        <v>43072.0</v>
      </c>
      <c r="Q953" s="312">
        <v>82000.0</v>
      </c>
      <c r="R953" s="312">
        <v>178.0</v>
      </c>
      <c r="S953" s="316"/>
      <c r="T953" s="317">
        <v>178.0</v>
      </c>
      <c r="U953" s="312" t="s">
        <v>1369</v>
      </c>
      <c r="V953" s="312" t="s">
        <v>1367</v>
      </c>
      <c r="W953" s="312">
        <v>197.0</v>
      </c>
      <c r="X953" s="312">
        <v>24.0</v>
      </c>
      <c r="Y953" s="312">
        <v>58.0</v>
      </c>
      <c r="Z953" s="312" t="s">
        <v>1369</v>
      </c>
      <c r="AA953" s="312" t="s">
        <v>1602</v>
      </c>
      <c r="AB953" s="50"/>
      <c r="AC953" s="50"/>
      <c r="AD953" s="50"/>
      <c r="AE953" s="50"/>
    </row>
    <row r="954">
      <c r="A954" s="307">
        <v>42616.39097222222</v>
      </c>
      <c r="B954" s="312" t="s">
        <v>745</v>
      </c>
      <c r="C954" s="303" t="s">
        <v>1177</v>
      </c>
      <c r="D954" s="303" t="s">
        <v>1178</v>
      </c>
      <c r="E954" s="315">
        <v>42480.0</v>
      </c>
      <c r="F954" s="312" t="s">
        <v>43</v>
      </c>
      <c r="G954" s="303" t="s">
        <v>1180</v>
      </c>
      <c r="H954" s="303" t="s">
        <v>1181</v>
      </c>
      <c r="I954" s="303" t="s">
        <v>1180</v>
      </c>
      <c r="J954" s="306">
        <v>0.9</v>
      </c>
      <c r="K954" s="312">
        <v>455.0</v>
      </c>
      <c r="L954" s="312"/>
      <c r="M954" s="312">
        <v>220.0</v>
      </c>
      <c r="N954" s="312"/>
      <c r="O954" s="312"/>
      <c r="P954" s="315">
        <v>42616.0</v>
      </c>
      <c r="Q954" s="312">
        <v>5444.0</v>
      </c>
      <c r="R954" s="312">
        <v>446.0</v>
      </c>
      <c r="S954" s="316"/>
      <c r="T954" s="317">
        <v>451.65</v>
      </c>
      <c r="U954" s="312" t="s">
        <v>1366</v>
      </c>
      <c r="V954" s="312" t="s">
        <v>1367</v>
      </c>
      <c r="W954" s="50"/>
      <c r="X954" s="50"/>
      <c r="Y954" s="50"/>
      <c r="Z954" s="312"/>
      <c r="AA954" s="50"/>
      <c r="AB954" s="50"/>
      <c r="AC954" s="50"/>
      <c r="AD954" s="50"/>
      <c r="AE954" s="50"/>
    </row>
    <row r="955">
      <c r="A955" s="307">
        <v>42754.49236111111</v>
      </c>
      <c r="B955" s="312" t="s">
        <v>745</v>
      </c>
      <c r="C955" s="303" t="s">
        <v>1177</v>
      </c>
      <c r="D955" s="303" t="s">
        <v>1178</v>
      </c>
      <c r="E955" s="315">
        <v>42480.0</v>
      </c>
      <c r="F955" s="312" t="s">
        <v>43</v>
      </c>
      <c r="G955" s="303" t="s">
        <v>1179</v>
      </c>
      <c r="H955" s="303" t="s">
        <v>1179</v>
      </c>
      <c r="I955" s="303" t="s">
        <v>1180</v>
      </c>
      <c r="J955" s="306">
        <v>0.9</v>
      </c>
      <c r="K955" s="312">
        <v>455.0</v>
      </c>
      <c r="L955" s="312"/>
      <c r="M955" s="312">
        <v>230.0</v>
      </c>
      <c r="N955" s="312"/>
      <c r="O955" s="312"/>
      <c r="P955" s="315">
        <v>42754.0</v>
      </c>
      <c r="Q955" s="312">
        <v>26700.0</v>
      </c>
      <c r="R955" s="312">
        <v>430.0</v>
      </c>
      <c r="S955" s="316"/>
      <c r="T955" s="317">
        <v>435.44</v>
      </c>
      <c r="U955" s="312" t="s">
        <v>1366</v>
      </c>
      <c r="V955" s="312" t="s">
        <v>1367</v>
      </c>
      <c r="W955" s="50"/>
      <c r="X955" s="50"/>
      <c r="Y955" s="50"/>
      <c r="Z955" s="312"/>
      <c r="AA955" s="50"/>
      <c r="AB955" s="50"/>
      <c r="AC955" s="50"/>
      <c r="AD955" s="50"/>
      <c r="AE955" s="50"/>
    </row>
    <row r="956">
      <c r="A956" s="307">
        <v>42440.30486111111</v>
      </c>
      <c r="B956" s="312" t="s">
        <v>810</v>
      </c>
      <c r="C956" s="303" t="s">
        <v>1177</v>
      </c>
      <c r="D956" s="303" t="s">
        <v>1178</v>
      </c>
      <c r="E956" s="315">
        <v>41792.0</v>
      </c>
      <c r="F956" s="312" t="s">
        <v>30</v>
      </c>
      <c r="G956" s="303" t="s">
        <v>1181</v>
      </c>
      <c r="H956" s="303" t="s">
        <v>1181</v>
      </c>
      <c r="I956" s="303" t="s">
        <v>1186</v>
      </c>
      <c r="J956" s="306">
        <v>0.9</v>
      </c>
      <c r="K956" s="312">
        <v>407.0</v>
      </c>
      <c r="L956" s="312"/>
      <c r="M956" s="312">
        <v>215.0</v>
      </c>
      <c r="N956" s="312"/>
      <c r="O956" s="312"/>
      <c r="P956" s="315">
        <v>42440.0</v>
      </c>
      <c r="Q956" s="312">
        <v>36500.0</v>
      </c>
      <c r="R956" s="312">
        <v>372.0</v>
      </c>
      <c r="S956" s="316"/>
      <c r="T956" s="317">
        <v>372.0</v>
      </c>
      <c r="U956" s="312" t="s">
        <v>1369</v>
      </c>
      <c r="V956" s="312" t="s">
        <v>1367</v>
      </c>
      <c r="W956" s="50"/>
      <c r="X956" s="50"/>
      <c r="Y956" s="50"/>
      <c r="Z956" s="312"/>
      <c r="AA956" s="50"/>
      <c r="AB956" s="50"/>
      <c r="AC956" s="50"/>
      <c r="AD956" s="50"/>
      <c r="AE956" s="50"/>
    </row>
    <row r="957">
      <c r="A957" s="307">
        <v>43094.65138888889</v>
      </c>
      <c r="B957" s="312" t="s">
        <v>1603</v>
      </c>
      <c r="C957" s="303" t="s">
        <v>1177</v>
      </c>
      <c r="D957" s="303" t="s">
        <v>1178</v>
      </c>
      <c r="E957" s="315">
        <v>42817.0</v>
      </c>
      <c r="F957" s="312" t="s">
        <v>43</v>
      </c>
      <c r="G957" s="303" t="s">
        <v>1190</v>
      </c>
      <c r="H957" s="303" t="s">
        <v>1180</v>
      </c>
      <c r="I957" s="303" t="s">
        <v>1186</v>
      </c>
      <c r="J957" s="306">
        <v>0.9</v>
      </c>
      <c r="K957" s="312">
        <v>448.0</v>
      </c>
      <c r="L957" s="312"/>
      <c r="M957" s="312">
        <v>206.0</v>
      </c>
      <c r="N957" s="312"/>
      <c r="O957" s="312"/>
      <c r="P957" s="315">
        <v>43094.0</v>
      </c>
      <c r="Q957" s="312">
        <v>50153.0</v>
      </c>
      <c r="R957" s="312">
        <v>432.0</v>
      </c>
      <c r="S957" s="316"/>
      <c r="T957" s="317">
        <v>437.47</v>
      </c>
      <c r="U957" s="312" t="s">
        <v>1366</v>
      </c>
      <c r="V957" s="312" t="s">
        <v>1367</v>
      </c>
      <c r="W957" s="50"/>
      <c r="X957" s="50"/>
      <c r="Y957" s="50"/>
      <c r="Z957" s="312"/>
      <c r="AA957" s="50"/>
      <c r="AB957" s="50"/>
      <c r="AC957" s="50"/>
      <c r="AD957" s="50"/>
      <c r="AE957" s="50"/>
    </row>
    <row r="958">
      <c r="A958" s="307">
        <v>42202.74930555555</v>
      </c>
      <c r="B958" s="312" t="s">
        <v>928</v>
      </c>
      <c r="C958" s="312" t="s">
        <v>1184</v>
      </c>
      <c r="D958" s="303" t="s">
        <v>1185</v>
      </c>
      <c r="E958" s="315">
        <v>41963.0</v>
      </c>
      <c r="F958" s="312" t="s">
        <v>12</v>
      </c>
      <c r="G958" s="303" t="s">
        <v>1187</v>
      </c>
      <c r="H958" s="303" t="s">
        <v>1181</v>
      </c>
      <c r="I958" s="303" t="s">
        <v>1181</v>
      </c>
      <c r="J958" s="306">
        <v>0.9</v>
      </c>
      <c r="K958" s="312">
        <v>205.0</v>
      </c>
      <c r="L958" s="312"/>
      <c r="M958" s="312">
        <v>311.0</v>
      </c>
      <c r="N958" s="312"/>
      <c r="O958" s="312"/>
      <c r="P958" s="315">
        <v>42202.0</v>
      </c>
      <c r="Q958" s="312">
        <v>17200.0</v>
      </c>
      <c r="R958" s="312">
        <v>191.0</v>
      </c>
      <c r="S958" s="316"/>
      <c r="T958" s="317">
        <v>193.42</v>
      </c>
      <c r="U958" s="312" t="s">
        <v>1366</v>
      </c>
      <c r="V958" s="312" t="s">
        <v>1367</v>
      </c>
      <c r="W958" s="50"/>
      <c r="X958" s="50"/>
      <c r="Y958" s="50"/>
      <c r="Z958" s="312"/>
      <c r="AA958" s="50"/>
      <c r="AB958" s="50"/>
      <c r="AC958" s="50"/>
      <c r="AD958" s="50"/>
      <c r="AE958" s="50"/>
    </row>
    <row r="959">
      <c r="A959" s="307">
        <v>41988.04513888889</v>
      </c>
      <c r="B959" s="50" t="s">
        <v>716</v>
      </c>
      <c r="C959" s="303" t="s">
        <v>1177</v>
      </c>
      <c r="D959" s="303" t="s">
        <v>1178</v>
      </c>
      <c r="E959" s="315">
        <v>41598.0</v>
      </c>
      <c r="F959" s="312" t="s">
        <v>30</v>
      </c>
      <c r="G959" s="303" t="s">
        <v>1190</v>
      </c>
      <c r="H959" s="303" t="s">
        <v>1186</v>
      </c>
      <c r="I959" s="303" t="s">
        <v>1187</v>
      </c>
      <c r="J959" s="306"/>
      <c r="K959" s="50"/>
      <c r="L959" s="50"/>
      <c r="M959" s="50">
        <v>190.0</v>
      </c>
      <c r="N959" s="50"/>
      <c r="O959" s="312"/>
      <c r="P959" s="310">
        <v>41988.0</v>
      </c>
      <c r="Q959" s="50">
        <v>45050.0</v>
      </c>
      <c r="R959" s="50">
        <v>378.0</v>
      </c>
      <c r="S959" s="318"/>
      <c r="T959" s="317">
        <v>378.0</v>
      </c>
      <c r="U959" s="312" t="s">
        <v>1369</v>
      </c>
      <c r="V959" s="312" t="s">
        <v>1367</v>
      </c>
      <c r="W959" s="50"/>
      <c r="X959" s="50"/>
      <c r="Y959" s="50"/>
      <c r="Z959" s="312"/>
      <c r="AA959" s="50" t="s">
        <v>1604</v>
      </c>
      <c r="AB959" s="50"/>
      <c r="AC959" s="50"/>
      <c r="AD959" s="50"/>
      <c r="AE959" s="50"/>
    </row>
    <row r="960">
      <c r="A960" s="307">
        <v>42041.07152777778</v>
      </c>
      <c r="B960" s="50" t="s">
        <v>716</v>
      </c>
      <c r="C960" s="303" t="s">
        <v>1177</v>
      </c>
      <c r="D960" s="303" t="s">
        <v>1178</v>
      </c>
      <c r="E960" s="315">
        <v>41598.0</v>
      </c>
      <c r="F960" s="312" t="s">
        <v>30</v>
      </c>
      <c r="G960" s="303" t="s">
        <v>1190</v>
      </c>
      <c r="H960" s="303" t="s">
        <v>1186</v>
      </c>
      <c r="I960" s="303" t="s">
        <v>1187</v>
      </c>
      <c r="J960" s="306"/>
      <c r="K960" s="50"/>
      <c r="L960" s="50"/>
      <c r="M960" s="50">
        <v>192.0</v>
      </c>
      <c r="N960" s="50"/>
      <c r="O960" s="312"/>
      <c r="P960" s="310">
        <v>42041.0</v>
      </c>
      <c r="Q960" s="50">
        <v>53833.0</v>
      </c>
      <c r="R960" s="50">
        <v>378.0</v>
      </c>
      <c r="S960" s="318"/>
      <c r="T960" s="317">
        <v>378.0</v>
      </c>
      <c r="U960" s="312" t="s">
        <v>1369</v>
      </c>
      <c r="V960" s="312" t="s">
        <v>1367</v>
      </c>
      <c r="W960" s="50"/>
      <c r="X960" s="50"/>
      <c r="Y960" s="50"/>
      <c r="Z960" s="312"/>
      <c r="AA960" s="50" t="s">
        <v>1605</v>
      </c>
      <c r="AB960" s="50"/>
      <c r="AC960" s="50"/>
      <c r="AD960" s="50"/>
      <c r="AE960" s="50"/>
    </row>
    <row r="961">
      <c r="A961" s="307">
        <v>42141.11666666667</v>
      </c>
      <c r="B961" s="312" t="s">
        <v>716</v>
      </c>
      <c r="C961" s="303" t="s">
        <v>1177</v>
      </c>
      <c r="D961" s="303" t="s">
        <v>1178</v>
      </c>
      <c r="E961" s="315">
        <v>41598.0</v>
      </c>
      <c r="F961" s="312" t="s">
        <v>30</v>
      </c>
      <c r="G961" s="303" t="s">
        <v>1203</v>
      </c>
      <c r="H961" s="303" t="s">
        <v>1180</v>
      </c>
      <c r="I961" s="303" t="s">
        <v>1187</v>
      </c>
      <c r="J961" s="306">
        <v>0.7</v>
      </c>
      <c r="K961" s="50"/>
      <c r="L961" s="312"/>
      <c r="M961" s="312">
        <v>191.0</v>
      </c>
      <c r="N961" s="50"/>
      <c r="O961" s="312"/>
      <c r="P961" s="315">
        <v>42141.0</v>
      </c>
      <c r="Q961" s="312">
        <v>71820.0</v>
      </c>
      <c r="R961" s="312">
        <v>370.0</v>
      </c>
      <c r="S961" s="316"/>
      <c r="T961" s="317">
        <v>374.68</v>
      </c>
      <c r="U961" s="312" t="s">
        <v>1366</v>
      </c>
      <c r="V961" s="312" t="s">
        <v>1367</v>
      </c>
      <c r="W961" s="50"/>
      <c r="X961" s="50"/>
      <c r="Y961" s="50"/>
      <c r="Z961" s="312"/>
      <c r="AA961" s="312" t="s">
        <v>1606</v>
      </c>
      <c r="AB961" s="50"/>
      <c r="AC961" s="50"/>
      <c r="AD961" s="50"/>
      <c r="AE961" s="50"/>
    </row>
    <row r="962">
      <c r="A962" s="307">
        <v>42164.13611111111</v>
      </c>
      <c r="B962" s="312" t="s">
        <v>716</v>
      </c>
      <c r="C962" s="303" t="s">
        <v>1177</v>
      </c>
      <c r="D962" s="303" t="s">
        <v>1178</v>
      </c>
      <c r="E962" s="315">
        <v>41598.0</v>
      </c>
      <c r="F962" s="312" t="s">
        <v>30</v>
      </c>
      <c r="G962" s="303" t="s">
        <v>1203</v>
      </c>
      <c r="H962" s="303" t="s">
        <v>1180</v>
      </c>
      <c r="I962" s="303" t="s">
        <v>1187</v>
      </c>
      <c r="J962" s="306">
        <v>0.7</v>
      </c>
      <c r="K962" s="50"/>
      <c r="L962" s="312"/>
      <c r="M962" s="312">
        <v>190.0</v>
      </c>
      <c r="N962" s="312"/>
      <c r="O962" s="312"/>
      <c r="P962" s="315">
        <v>42164.0</v>
      </c>
      <c r="Q962" s="312">
        <v>76550.0</v>
      </c>
      <c r="R962" s="312">
        <v>378.0</v>
      </c>
      <c r="S962" s="316"/>
      <c r="T962" s="317">
        <v>378.0</v>
      </c>
      <c r="U962" s="312" t="s">
        <v>1369</v>
      </c>
      <c r="V962" s="312" t="s">
        <v>1367</v>
      </c>
      <c r="W962" s="50"/>
      <c r="X962" s="50"/>
      <c r="Y962" s="50"/>
      <c r="Z962" s="312"/>
      <c r="AA962" s="312" t="s">
        <v>1607</v>
      </c>
      <c r="AB962" s="50"/>
      <c r="AC962" s="50"/>
      <c r="AD962" s="50"/>
      <c r="AE962" s="50"/>
    </row>
    <row r="963">
      <c r="A963" s="307">
        <v>42183.14236111111</v>
      </c>
      <c r="B963" s="312" t="s">
        <v>716</v>
      </c>
      <c r="C963" s="303" t="s">
        <v>1177</v>
      </c>
      <c r="D963" s="303" t="s">
        <v>1178</v>
      </c>
      <c r="E963" s="315">
        <v>41598.0</v>
      </c>
      <c r="F963" s="312" t="s">
        <v>30</v>
      </c>
      <c r="G963" s="303" t="s">
        <v>1203</v>
      </c>
      <c r="H963" s="303" t="s">
        <v>1180</v>
      </c>
      <c r="I963" s="303" t="s">
        <v>1187</v>
      </c>
      <c r="J963" s="306">
        <v>0.7</v>
      </c>
      <c r="K963" s="50"/>
      <c r="L963" s="312"/>
      <c r="M963" s="312">
        <v>189.0</v>
      </c>
      <c r="N963" s="312"/>
      <c r="O963" s="312"/>
      <c r="P963" s="315">
        <v>42183.0</v>
      </c>
      <c r="Q963" s="312">
        <v>80840.0</v>
      </c>
      <c r="R963" s="312">
        <v>383.0</v>
      </c>
      <c r="S963" s="316"/>
      <c r="T963" s="317">
        <v>383.0</v>
      </c>
      <c r="U963" s="312" t="s">
        <v>1369</v>
      </c>
      <c r="V963" s="312" t="s">
        <v>1367</v>
      </c>
      <c r="W963" s="50"/>
      <c r="X963" s="50"/>
      <c r="Y963" s="50"/>
      <c r="Z963" s="312"/>
      <c r="AA963" s="50"/>
      <c r="AB963" s="50"/>
      <c r="AC963" s="50"/>
      <c r="AD963" s="50"/>
      <c r="AE963" s="50"/>
    </row>
    <row r="964">
      <c r="A964" s="307">
        <v>42236.17152777778</v>
      </c>
      <c r="B964" s="312" t="s">
        <v>716</v>
      </c>
      <c r="C964" s="303" t="s">
        <v>1177</v>
      </c>
      <c r="D964" s="303" t="s">
        <v>1178</v>
      </c>
      <c r="E964" s="315">
        <v>41598.0</v>
      </c>
      <c r="F964" s="312" t="s">
        <v>30</v>
      </c>
      <c r="G964" s="303" t="s">
        <v>1203</v>
      </c>
      <c r="H964" s="303" t="s">
        <v>1179</v>
      </c>
      <c r="I964" s="303" t="s">
        <v>1187</v>
      </c>
      <c r="J964" s="306">
        <v>0.7</v>
      </c>
      <c r="K964" s="50"/>
      <c r="L964" s="312"/>
      <c r="M964" s="312">
        <v>187.0</v>
      </c>
      <c r="N964" s="312"/>
      <c r="O964" s="312"/>
      <c r="P964" s="315">
        <v>42236.0</v>
      </c>
      <c r="Q964" s="312">
        <v>88160.0</v>
      </c>
      <c r="R964" s="312">
        <v>377.0</v>
      </c>
      <c r="S964" s="316"/>
      <c r="T964" s="317">
        <v>377.0</v>
      </c>
      <c r="U964" s="312" t="s">
        <v>1369</v>
      </c>
      <c r="V964" s="312" t="s">
        <v>1367</v>
      </c>
      <c r="W964" s="50"/>
      <c r="X964" s="50"/>
      <c r="Y964" s="50"/>
      <c r="Z964" s="312"/>
      <c r="AA964" s="50"/>
      <c r="AB964" s="50"/>
      <c r="AC964" s="50"/>
      <c r="AD964" s="50"/>
      <c r="AE964" s="50"/>
    </row>
    <row r="965">
      <c r="A965" s="307">
        <v>42354.25069444445</v>
      </c>
      <c r="B965" s="312" t="s">
        <v>716</v>
      </c>
      <c r="C965" s="303" t="s">
        <v>1177</v>
      </c>
      <c r="D965" s="303" t="s">
        <v>1178</v>
      </c>
      <c r="E965" s="315">
        <v>41598.0</v>
      </c>
      <c r="F965" s="312" t="s">
        <v>30</v>
      </c>
      <c r="G965" s="303" t="s">
        <v>1203</v>
      </c>
      <c r="H965" s="303" t="s">
        <v>1181</v>
      </c>
      <c r="I965" s="303" t="s">
        <v>1186</v>
      </c>
      <c r="J965" s="306">
        <v>0.7</v>
      </c>
      <c r="K965" s="312">
        <v>400.0</v>
      </c>
      <c r="L965" s="312"/>
      <c r="M965" s="312">
        <v>186.0</v>
      </c>
      <c r="N965" s="312"/>
      <c r="O965" s="312"/>
      <c r="P965" s="315">
        <v>42354.0</v>
      </c>
      <c r="Q965" s="312">
        <v>108788.0</v>
      </c>
      <c r="R965" s="312">
        <v>377.0</v>
      </c>
      <c r="S965" s="316"/>
      <c r="T965" s="317">
        <v>377.0</v>
      </c>
      <c r="U965" s="312" t="s">
        <v>1369</v>
      </c>
      <c r="V965" s="312" t="s">
        <v>1367</v>
      </c>
      <c r="W965" s="312">
        <v>270.0</v>
      </c>
      <c r="X965" s="312">
        <v>130.0</v>
      </c>
      <c r="Y965" s="50"/>
      <c r="Z965" s="312" t="s">
        <v>1369</v>
      </c>
      <c r="AA965" s="312" t="s">
        <v>1608</v>
      </c>
      <c r="AB965" s="50"/>
      <c r="AC965" s="50"/>
      <c r="AD965" s="50"/>
      <c r="AE965" s="50"/>
    </row>
    <row r="966">
      <c r="A966" s="307">
        <v>42420.28611111111</v>
      </c>
      <c r="B966" s="312" t="s">
        <v>716</v>
      </c>
      <c r="C966" s="303" t="s">
        <v>1177</v>
      </c>
      <c r="D966" s="303" t="s">
        <v>1178</v>
      </c>
      <c r="E966" s="315">
        <v>41598.0</v>
      </c>
      <c r="F966" s="312" t="s">
        <v>30</v>
      </c>
      <c r="G966" s="303" t="s">
        <v>1190</v>
      </c>
      <c r="H966" s="303" t="s">
        <v>1179</v>
      </c>
      <c r="I966" s="303" t="s">
        <v>1186</v>
      </c>
      <c r="J966" s="306">
        <v>0.8</v>
      </c>
      <c r="K966" s="50"/>
      <c r="L966" s="312"/>
      <c r="M966" s="312">
        <v>186.0</v>
      </c>
      <c r="N966" s="312"/>
      <c r="O966" s="312"/>
      <c r="P966" s="315">
        <v>42420.0</v>
      </c>
      <c r="Q966" s="312">
        <v>117000.0</v>
      </c>
      <c r="R966" s="312">
        <v>368.0</v>
      </c>
      <c r="S966" s="316"/>
      <c r="T966" s="317">
        <v>368.0</v>
      </c>
      <c r="U966" s="312" t="s">
        <v>1369</v>
      </c>
      <c r="V966" s="312" t="s">
        <v>1367</v>
      </c>
      <c r="W966" s="50"/>
      <c r="X966" s="50"/>
      <c r="Y966" s="50"/>
      <c r="Z966" s="312"/>
      <c r="AA966" s="50"/>
      <c r="AB966" s="50"/>
      <c r="AC966" s="50"/>
      <c r="AD966" s="50"/>
      <c r="AE966" s="50"/>
    </row>
    <row r="967">
      <c r="A967" s="307">
        <v>42449.31597222222</v>
      </c>
      <c r="B967" s="312" t="s">
        <v>716</v>
      </c>
      <c r="C967" s="303" t="s">
        <v>1177</v>
      </c>
      <c r="D967" s="303" t="s">
        <v>1178</v>
      </c>
      <c r="E967" s="315">
        <v>41598.0</v>
      </c>
      <c r="F967" s="312" t="s">
        <v>30</v>
      </c>
      <c r="G967" s="303" t="s">
        <v>1203</v>
      </c>
      <c r="H967" s="303" t="s">
        <v>1179</v>
      </c>
      <c r="I967" s="303" t="s">
        <v>1186</v>
      </c>
      <c r="J967" s="306">
        <v>0.7</v>
      </c>
      <c r="K967" s="50"/>
      <c r="L967" s="312"/>
      <c r="M967" s="312">
        <v>187.0</v>
      </c>
      <c r="N967" s="312"/>
      <c r="O967" s="312"/>
      <c r="P967" s="315">
        <v>42449.0</v>
      </c>
      <c r="Q967" s="312">
        <v>126800.0</v>
      </c>
      <c r="R967" s="312">
        <v>372.0</v>
      </c>
      <c r="S967" s="316"/>
      <c r="T967" s="317">
        <v>372.0</v>
      </c>
      <c r="U967" s="312" t="s">
        <v>1369</v>
      </c>
      <c r="V967" s="312" t="s">
        <v>1367</v>
      </c>
      <c r="W967" s="50"/>
      <c r="X967" s="50"/>
      <c r="Y967" s="50"/>
      <c r="Z967" s="312"/>
      <c r="AA967" s="50"/>
      <c r="AB967" s="50"/>
      <c r="AC967" s="50"/>
      <c r="AD967" s="50"/>
      <c r="AE967" s="50"/>
    </row>
    <row r="968">
      <c r="A968" s="307">
        <v>42477.32638888889</v>
      </c>
      <c r="B968" s="312" t="s">
        <v>716</v>
      </c>
      <c r="C968" s="303" t="s">
        <v>1177</v>
      </c>
      <c r="D968" s="303" t="s">
        <v>1178</v>
      </c>
      <c r="E968" s="315">
        <v>41598.0</v>
      </c>
      <c r="F968" s="312" t="s">
        <v>30</v>
      </c>
      <c r="G968" s="303" t="s">
        <v>1203</v>
      </c>
      <c r="H968" s="303" t="s">
        <v>1179</v>
      </c>
      <c r="I968" s="303" t="s">
        <v>1187</v>
      </c>
      <c r="J968" s="306">
        <v>0.7</v>
      </c>
      <c r="K968" s="50"/>
      <c r="L968" s="312"/>
      <c r="M968" s="312">
        <v>187.0</v>
      </c>
      <c r="N968" s="312"/>
      <c r="O968" s="312"/>
      <c r="P968" s="315">
        <v>42477.0</v>
      </c>
      <c r="Q968" s="312">
        <v>130820.0</v>
      </c>
      <c r="R968" s="312">
        <v>377.0</v>
      </c>
      <c r="S968" s="316"/>
      <c r="T968" s="317">
        <v>377.0</v>
      </c>
      <c r="U968" s="312" t="s">
        <v>1369</v>
      </c>
      <c r="V968" s="312" t="s">
        <v>1367</v>
      </c>
      <c r="W968" s="50"/>
      <c r="X968" s="50"/>
      <c r="Y968" s="50"/>
      <c r="Z968" s="312"/>
      <c r="AA968" s="312" t="s">
        <v>1609</v>
      </c>
      <c r="AB968" s="50"/>
      <c r="AC968" s="50"/>
      <c r="AD968" s="50"/>
      <c r="AE968" s="50"/>
    </row>
    <row r="969">
      <c r="A969" s="307">
        <v>42537.35138888889</v>
      </c>
      <c r="B969" s="312" t="s">
        <v>716</v>
      </c>
      <c r="C969" s="303" t="s">
        <v>1177</v>
      </c>
      <c r="D969" s="303" t="s">
        <v>1178</v>
      </c>
      <c r="E969" s="315">
        <v>41598.0</v>
      </c>
      <c r="F969" s="312" t="s">
        <v>30</v>
      </c>
      <c r="G969" s="303" t="s">
        <v>1203</v>
      </c>
      <c r="H969" s="303" t="s">
        <v>1179</v>
      </c>
      <c r="I969" s="303" t="s">
        <v>1187</v>
      </c>
      <c r="J969" s="306">
        <v>0.7</v>
      </c>
      <c r="K969" s="50"/>
      <c r="L969" s="312"/>
      <c r="M969" s="312">
        <v>187.0</v>
      </c>
      <c r="N969" s="312"/>
      <c r="O969" s="312"/>
      <c r="P969" s="315">
        <v>42537.0</v>
      </c>
      <c r="Q969" s="312">
        <v>139100.0</v>
      </c>
      <c r="R969" s="312">
        <v>374.0</v>
      </c>
      <c r="S969" s="316"/>
      <c r="T969" s="317">
        <v>374.0</v>
      </c>
      <c r="U969" s="312" t="s">
        <v>1369</v>
      </c>
      <c r="V969" s="312" t="s">
        <v>1367</v>
      </c>
      <c r="W969" s="50"/>
      <c r="X969" s="50"/>
      <c r="Y969" s="50"/>
      <c r="Z969" s="312"/>
      <c r="AA969" s="50"/>
      <c r="AB969" s="50"/>
      <c r="AC969" s="50"/>
      <c r="AD969" s="50"/>
      <c r="AE969" s="50"/>
    </row>
    <row r="970">
      <c r="A970" s="307">
        <v>42544.35555555556</v>
      </c>
      <c r="B970" s="312" t="s">
        <v>716</v>
      </c>
      <c r="C970" s="303" t="s">
        <v>1177</v>
      </c>
      <c r="D970" s="303" t="s">
        <v>1178</v>
      </c>
      <c r="E970" s="315">
        <v>41598.0</v>
      </c>
      <c r="F970" s="312" t="s">
        <v>30</v>
      </c>
      <c r="G970" s="303" t="s">
        <v>1203</v>
      </c>
      <c r="H970" s="303" t="s">
        <v>1179</v>
      </c>
      <c r="I970" s="303" t="s">
        <v>1187</v>
      </c>
      <c r="J970" s="306">
        <v>0.7</v>
      </c>
      <c r="K970" s="50"/>
      <c r="L970" s="312"/>
      <c r="M970" s="312">
        <v>187.0</v>
      </c>
      <c r="N970" s="312"/>
      <c r="O970" s="312"/>
      <c r="P970" s="315">
        <v>42544.0</v>
      </c>
      <c r="Q970" s="312">
        <v>140050.0</v>
      </c>
      <c r="R970" s="312">
        <v>376.0</v>
      </c>
      <c r="S970" s="316"/>
      <c r="T970" s="317">
        <v>376.0</v>
      </c>
      <c r="U970" s="312" t="s">
        <v>1369</v>
      </c>
      <c r="V970" s="312" t="s">
        <v>1367</v>
      </c>
      <c r="W970" s="50"/>
      <c r="X970" s="50"/>
      <c r="Y970" s="50"/>
      <c r="Z970" s="312"/>
      <c r="AA970" s="50"/>
      <c r="AB970" s="50"/>
      <c r="AC970" s="50"/>
      <c r="AD970" s="50"/>
      <c r="AE970" s="50"/>
    </row>
    <row r="971">
      <c r="A971" s="307">
        <v>42591.376388888886</v>
      </c>
      <c r="B971" s="312" t="s">
        <v>716</v>
      </c>
      <c r="C971" s="303" t="s">
        <v>1177</v>
      </c>
      <c r="D971" s="303" t="s">
        <v>1178</v>
      </c>
      <c r="E971" s="315">
        <v>41598.0</v>
      </c>
      <c r="F971" s="312" t="s">
        <v>30</v>
      </c>
      <c r="G971" s="303" t="s">
        <v>1203</v>
      </c>
      <c r="H971" s="303" t="s">
        <v>1181</v>
      </c>
      <c r="I971" s="303" t="s">
        <v>1186</v>
      </c>
      <c r="J971" s="306">
        <v>0.8</v>
      </c>
      <c r="K971" s="50"/>
      <c r="L971" s="312"/>
      <c r="M971" s="312">
        <v>186.0</v>
      </c>
      <c r="N971" s="312"/>
      <c r="O971" s="312"/>
      <c r="P971" s="315">
        <v>42591.0</v>
      </c>
      <c r="Q971" s="312">
        <v>148150.0</v>
      </c>
      <c r="R971" s="312">
        <v>379.0</v>
      </c>
      <c r="S971" s="316"/>
      <c r="T971" s="317">
        <v>379.0</v>
      </c>
      <c r="U971" s="312" t="s">
        <v>1369</v>
      </c>
      <c r="V971" s="312" t="s">
        <v>1367</v>
      </c>
      <c r="W971" s="50"/>
      <c r="X971" s="50"/>
      <c r="Y971" s="50"/>
      <c r="Z971" s="312"/>
      <c r="AA971" s="312" t="s">
        <v>1373</v>
      </c>
      <c r="AB971" s="50"/>
      <c r="AC971" s="50"/>
      <c r="AD971" s="50"/>
      <c r="AE971" s="50"/>
    </row>
    <row r="972">
      <c r="A972" s="307">
        <v>42619.39375</v>
      </c>
      <c r="B972" s="312" t="s">
        <v>716</v>
      </c>
      <c r="C972" s="303" t="s">
        <v>1177</v>
      </c>
      <c r="D972" s="303" t="s">
        <v>1178</v>
      </c>
      <c r="E972" s="315">
        <v>41598.0</v>
      </c>
      <c r="F972" s="312" t="s">
        <v>30</v>
      </c>
      <c r="G972" s="303" t="s">
        <v>1203</v>
      </c>
      <c r="H972" s="303" t="s">
        <v>1181</v>
      </c>
      <c r="I972" s="303" t="s">
        <v>1186</v>
      </c>
      <c r="J972" s="306">
        <v>0.7</v>
      </c>
      <c r="K972" s="50"/>
      <c r="L972" s="312"/>
      <c r="M972" s="312">
        <v>185.0</v>
      </c>
      <c r="N972" s="312"/>
      <c r="O972" s="312"/>
      <c r="P972" s="315">
        <v>42619.0</v>
      </c>
      <c r="Q972" s="312">
        <v>152250.0</v>
      </c>
      <c r="R972" s="312">
        <v>382.0</v>
      </c>
      <c r="S972" s="316"/>
      <c r="T972" s="317">
        <v>382.0</v>
      </c>
      <c r="U972" s="312" t="s">
        <v>1369</v>
      </c>
      <c r="V972" s="312" t="s">
        <v>1367</v>
      </c>
      <c r="W972" s="50"/>
      <c r="X972" s="50"/>
      <c r="Y972" s="50"/>
      <c r="Z972" s="312"/>
      <c r="AA972" s="50"/>
      <c r="AB972" s="50"/>
      <c r="AC972" s="50"/>
      <c r="AD972" s="50"/>
      <c r="AE972" s="50"/>
    </row>
    <row r="973">
      <c r="A973" s="307">
        <v>42639.4125</v>
      </c>
      <c r="B973" s="312" t="s">
        <v>716</v>
      </c>
      <c r="C973" s="303" t="s">
        <v>1177</v>
      </c>
      <c r="D973" s="303" t="s">
        <v>1178</v>
      </c>
      <c r="E973" s="315">
        <v>41598.0</v>
      </c>
      <c r="F973" s="312" t="s">
        <v>30</v>
      </c>
      <c r="G973" s="303" t="s">
        <v>1203</v>
      </c>
      <c r="H973" s="303" t="s">
        <v>1181</v>
      </c>
      <c r="I973" s="303" t="s">
        <v>1186</v>
      </c>
      <c r="J973" s="306">
        <v>0.7</v>
      </c>
      <c r="K973" s="50"/>
      <c r="L973" s="312"/>
      <c r="M973" s="312">
        <v>185.0</v>
      </c>
      <c r="N973" s="312"/>
      <c r="O973" s="312"/>
      <c r="P973" s="315">
        <v>42639.0</v>
      </c>
      <c r="Q973" s="312">
        <v>156500.0</v>
      </c>
      <c r="R973" s="312">
        <v>376.0</v>
      </c>
      <c r="S973" s="316"/>
      <c r="T973" s="317">
        <v>376.0</v>
      </c>
      <c r="U973" s="312" t="s">
        <v>1369</v>
      </c>
      <c r="V973" s="312" t="s">
        <v>1367</v>
      </c>
      <c r="W973" s="50"/>
      <c r="X973" s="50"/>
      <c r="Y973" s="50"/>
      <c r="Z973" s="312"/>
      <c r="AA973" s="50"/>
      <c r="AB973" s="50"/>
      <c r="AC973" s="50"/>
      <c r="AD973" s="50"/>
      <c r="AE973" s="50"/>
    </row>
    <row r="974">
      <c r="A974" s="307">
        <v>42745.489583333336</v>
      </c>
      <c r="B974" s="312" t="s">
        <v>716</v>
      </c>
      <c r="C974" s="303" t="s">
        <v>1177</v>
      </c>
      <c r="D974" s="303" t="s">
        <v>1178</v>
      </c>
      <c r="E974" s="315">
        <v>41598.0</v>
      </c>
      <c r="F974" s="312" t="s">
        <v>30</v>
      </c>
      <c r="G974" s="303" t="s">
        <v>1190</v>
      </c>
      <c r="H974" s="303" t="s">
        <v>1180</v>
      </c>
      <c r="I974" s="303" t="s">
        <v>1187</v>
      </c>
      <c r="J974" s="306">
        <v>0.7</v>
      </c>
      <c r="K974" s="50"/>
      <c r="L974" s="312"/>
      <c r="M974" s="312">
        <v>185.0</v>
      </c>
      <c r="N974" s="312"/>
      <c r="O974" s="312"/>
      <c r="P974" s="315">
        <v>42745.0</v>
      </c>
      <c r="Q974" s="312">
        <v>171735.0</v>
      </c>
      <c r="R974" s="312">
        <v>365.0</v>
      </c>
      <c r="S974" s="316"/>
      <c r="T974" s="317">
        <v>365.0</v>
      </c>
      <c r="U974" s="312" t="s">
        <v>1369</v>
      </c>
      <c r="V974" s="312" t="s">
        <v>1367</v>
      </c>
      <c r="W974" s="50"/>
      <c r="X974" s="50"/>
      <c r="Y974" s="50"/>
      <c r="Z974" s="312"/>
      <c r="AA974" s="50"/>
      <c r="AB974" s="50"/>
      <c r="AC974" s="50"/>
      <c r="AD974" s="50"/>
      <c r="AE974" s="50"/>
    </row>
    <row r="975">
      <c r="A975" s="307">
        <v>42786.50069444445</v>
      </c>
      <c r="B975" s="312" t="s">
        <v>716</v>
      </c>
      <c r="C975" s="303" t="s">
        <v>1177</v>
      </c>
      <c r="D975" s="303" t="s">
        <v>1178</v>
      </c>
      <c r="E975" s="315">
        <v>41598.0</v>
      </c>
      <c r="F975" s="312" t="s">
        <v>30</v>
      </c>
      <c r="G975" s="303" t="s">
        <v>1190</v>
      </c>
      <c r="H975" s="303" t="s">
        <v>1179</v>
      </c>
      <c r="I975" s="303" t="s">
        <v>1187</v>
      </c>
      <c r="J975" s="306">
        <v>0.6</v>
      </c>
      <c r="K975" s="50"/>
      <c r="L975" s="312"/>
      <c r="M975" s="312">
        <v>185.0</v>
      </c>
      <c r="N975" s="312"/>
      <c r="O975" s="312"/>
      <c r="P975" s="315">
        <v>42786.0</v>
      </c>
      <c r="Q975" s="312">
        <v>176157.0</v>
      </c>
      <c r="R975" s="312">
        <v>368.0</v>
      </c>
      <c r="S975" s="316"/>
      <c r="T975" s="317">
        <v>368.0</v>
      </c>
      <c r="U975" s="312" t="s">
        <v>1369</v>
      </c>
      <c r="V975" s="312" t="s">
        <v>1367</v>
      </c>
      <c r="W975" s="50"/>
      <c r="X975" s="50"/>
      <c r="Y975" s="50"/>
      <c r="Z975" s="312"/>
      <c r="AA975" s="50"/>
      <c r="AB975" s="50"/>
      <c r="AC975" s="50"/>
      <c r="AD975" s="50"/>
      <c r="AE975" s="50"/>
    </row>
    <row r="976">
      <c r="A976" s="307">
        <v>42810.51388888889</v>
      </c>
      <c r="B976" s="312" t="s">
        <v>716</v>
      </c>
      <c r="C976" s="303" t="s">
        <v>1177</v>
      </c>
      <c r="D976" s="303" t="s">
        <v>1178</v>
      </c>
      <c r="E976" s="315">
        <v>41598.0</v>
      </c>
      <c r="F976" s="312" t="s">
        <v>30</v>
      </c>
      <c r="G976" s="303" t="s">
        <v>1203</v>
      </c>
      <c r="H976" s="303" t="s">
        <v>1180</v>
      </c>
      <c r="I976" s="303" t="s">
        <v>1186</v>
      </c>
      <c r="J976" s="306">
        <v>0.7</v>
      </c>
      <c r="K976" s="50"/>
      <c r="L976" s="312"/>
      <c r="M976" s="312">
        <v>186.0</v>
      </c>
      <c r="N976" s="312"/>
      <c r="O976" s="312"/>
      <c r="P976" s="315">
        <v>42810.0</v>
      </c>
      <c r="Q976" s="312">
        <v>180600.0</v>
      </c>
      <c r="R976" s="312">
        <v>365.0</v>
      </c>
      <c r="S976" s="316"/>
      <c r="T976" s="317">
        <v>365.0</v>
      </c>
      <c r="U976" s="312" t="s">
        <v>1369</v>
      </c>
      <c r="V976" s="312" t="s">
        <v>1367</v>
      </c>
      <c r="W976" s="50"/>
      <c r="X976" s="50"/>
      <c r="Y976" s="50"/>
      <c r="Z976" s="312"/>
      <c r="AA976" s="312" t="s">
        <v>1373</v>
      </c>
      <c r="AB976" s="50"/>
      <c r="AC976" s="50"/>
      <c r="AD976" s="50"/>
      <c r="AE976" s="50"/>
    </row>
    <row r="977">
      <c r="A977" s="307">
        <v>42619.39236111111</v>
      </c>
      <c r="B977" s="312" t="s">
        <v>991</v>
      </c>
      <c r="C977" s="303" t="s">
        <v>1177</v>
      </c>
      <c r="D977" s="303" t="s">
        <v>1178</v>
      </c>
      <c r="E977" s="315">
        <v>42347.0</v>
      </c>
      <c r="F977" s="312" t="s">
        <v>43</v>
      </c>
      <c r="G977" s="303" t="s">
        <v>1205</v>
      </c>
      <c r="H977" s="303" t="s">
        <v>1180</v>
      </c>
      <c r="I977" s="303" t="s">
        <v>1179</v>
      </c>
      <c r="J977" s="306">
        <v>0.8</v>
      </c>
      <c r="K977" s="50"/>
      <c r="L977" s="312"/>
      <c r="M977" s="312">
        <v>218.0</v>
      </c>
      <c r="N977" s="312"/>
      <c r="O977" s="312"/>
      <c r="P977" s="315">
        <v>42619.0</v>
      </c>
      <c r="Q977" s="312">
        <v>48000.0</v>
      </c>
      <c r="R977" s="312">
        <v>440.0</v>
      </c>
      <c r="S977" s="316"/>
      <c r="T977" s="317">
        <v>445.57</v>
      </c>
      <c r="U977" s="312" t="s">
        <v>1366</v>
      </c>
      <c r="V977" s="312" t="s">
        <v>1367</v>
      </c>
      <c r="W977" s="50"/>
      <c r="X977" s="50"/>
      <c r="Y977" s="50"/>
      <c r="Z977" s="312"/>
      <c r="AA977" s="50"/>
      <c r="AB977" s="50"/>
      <c r="AC977" s="50"/>
      <c r="AD977" s="50"/>
      <c r="AE977" s="50"/>
    </row>
    <row r="978">
      <c r="A978" s="307">
        <v>42930.84444444445</v>
      </c>
      <c r="B978" s="312" t="s">
        <v>924</v>
      </c>
      <c r="C978" s="312" t="s">
        <v>1184</v>
      </c>
      <c r="D978" s="303" t="s">
        <v>1185</v>
      </c>
      <c r="E978" s="315">
        <v>42342.0</v>
      </c>
      <c r="F978" s="312" t="s">
        <v>30</v>
      </c>
      <c r="G978" s="303" t="s">
        <v>1180</v>
      </c>
      <c r="H978" s="303" t="s">
        <v>1180</v>
      </c>
      <c r="I978" s="303" t="s">
        <v>1187</v>
      </c>
      <c r="J978" s="306">
        <v>0.9</v>
      </c>
      <c r="K978" s="312">
        <v>267.0</v>
      </c>
      <c r="L978" s="312"/>
      <c r="M978" s="312">
        <v>333.0</v>
      </c>
      <c r="N978" s="312"/>
      <c r="O978" s="312"/>
      <c r="P978" s="315">
        <v>42930.0</v>
      </c>
      <c r="Q978" s="312">
        <v>20500.0</v>
      </c>
      <c r="R978" s="312">
        <v>266.0</v>
      </c>
      <c r="S978" s="316"/>
      <c r="T978" s="317">
        <v>269.37</v>
      </c>
      <c r="U978" s="312" t="s">
        <v>1366</v>
      </c>
      <c r="V978" s="312" t="s">
        <v>1367</v>
      </c>
      <c r="W978" s="50"/>
      <c r="X978" s="50"/>
      <c r="Y978" s="50"/>
      <c r="Z978" s="312"/>
      <c r="AA978" s="50"/>
      <c r="AB978" s="50"/>
      <c r="AC978" s="50"/>
      <c r="AD978" s="50"/>
      <c r="AE978" s="50"/>
    </row>
    <row r="979">
      <c r="A979" s="307">
        <v>42825.51666666667</v>
      </c>
      <c r="B979" s="312" t="s">
        <v>822</v>
      </c>
      <c r="C979" s="303" t="s">
        <v>1177</v>
      </c>
      <c r="D979" s="303" t="s">
        <v>1178</v>
      </c>
      <c r="E979" s="315">
        <v>42139.0</v>
      </c>
      <c r="F979" s="312" t="s">
        <v>38</v>
      </c>
      <c r="G979" s="303" t="s">
        <v>1180</v>
      </c>
      <c r="H979" s="303" t="s">
        <v>1179</v>
      </c>
      <c r="I979" s="303" t="s">
        <v>1186</v>
      </c>
      <c r="J979" s="306">
        <v>0.9</v>
      </c>
      <c r="K979" s="312">
        <v>403.0</v>
      </c>
      <c r="L979" s="312"/>
      <c r="M979" s="312">
        <v>212.0</v>
      </c>
      <c r="N979" s="312"/>
      <c r="O979" s="312"/>
      <c r="P979" s="315">
        <v>42825.0</v>
      </c>
      <c r="Q979" s="312">
        <v>51605.0</v>
      </c>
      <c r="R979" s="312">
        <v>388.0</v>
      </c>
      <c r="S979" s="316"/>
      <c r="T979" s="317">
        <v>388.0</v>
      </c>
      <c r="U979" s="312" t="s">
        <v>1369</v>
      </c>
      <c r="V979" s="312" t="s">
        <v>1367</v>
      </c>
      <c r="W979" s="50"/>
      <c r="X979" s="50"/>
      <c r="Y979" s="50"/>
      <c r="Z979" s="312"/>
      <c r="AA979" s="50"/>
      <c r="AB979" s="50"/>
      <c r="AC979" s="50"/>
      <c r="AD979" s="50"/>
      <c r="AE979" s="50"/>
    </row>
    <row r="980">
      <c r="A980" s="307">
        <v>43090.65069444444</v>
      </c>
      <c r="B980" s="312" t="s">
        <v>1610</v>
      </c>
      <c r="C980" s="303" t="s">
        <v>1177</v>
      </c>
      <c r="D980" s="303" t="s">
        <v>1178</v>
      </c>
      <c r="E980" s="315">
        <v>41618.0</v>
      </c>
      <c r="F980" s="312" t="s">
        <v>32</v>
      </c>
      <c r="G980" s="303" t="s">
        <v>1203</v>
      </c>
      <c r="H980" s="303" t="s">
        <v>1179</v>
      </c>
      <c r="I980" s="303" t="s">
        <v>1179</v>
      </c>
      <c r="J980" s="306">
        <v>0.9</v>
      </c>
      <c r="K980" s="312">
        <v>398.0</v>
      </c>
      <c r="L980" s="312"/>
      <c r="M980" s="312">
        <v>203.0</v>
      </c>
      <c r="N980" s="312">
        <v>49000.0</v>
      </c>
      <c r="O980" s="303" t="s">
        <v>1398</v>
      </c>
      <c r="P980" s="315">
        <v>43090.0</v>
      </c>
      <c r="Q980" s="312">
        <v>175896.0</v>
      </c>
      <c r="R980" s="312">
        <v>381.0</v>
      </c>
      <c r="S980" s="316"/>
      <c r="T980" s="317">
        <v>381.0</v>
      </c>
      <c r="U980" s="312" t="s">
        <v>1369</v>
      </c>
      <c r="V980" s="312" t="s">
        <v>1399</v>
      </c>
      <c r="W980" s="50"/>
      <c r="X980" s="50"/>
      <c r="Y980" s="50"/>
      <c r="Z980" s="312"/>
      <c r="AA980" s="50"/>
      <c r="AB980" s="50"/>
      <c r="AC980" s="50"/>
      <c r="AD980" s="50"/>
      <c r="AE980" s="50"/>
    </row>
    <row r="981">
      <c r="A981" s="307">
        <v>42842.89513888889</v>
      </c>
      <c r="B981" s="312" t="s">
        <v>840</v>
      </c>
      <c r="C981" s="312" t="s">
        <v>1292</v>
      </c>
      <c r="D981" s="303" t="s">
        <v>1185</v>
      </c>
      <c r="E981" s="315">
        <v>42003.0</v>
      </c>
      <c r="F981" s="312" t="s">
        <v>30</v>
      </c>
      <c r="G981" s="303" t="s">
        <v>1180</v>
      </c>
      <c r="H981" s="303" t="s">
        <v>1181</v>
      </c>
      <c r="I981" s="303" t="s">
        <v>1187</v>
      </c>
      <c r="J981" s="306">
        <v>0.8</v>
      </c>
      <c r="K981" s="312">
        <v>247.0</v>
      </c>
      <c r="L981" s="312"/>
      <c r="M981" s="312">
        <v>323.0</v>
      </c>
      <c r="N981" s="312"/>
      <c r="O981" s="312"/>
      <c r="P981" s="315">
        <v>42842.0</v>
      </c>
      <c r="Q981" s="312">
        <v>49900.0</v>
      </c>
      <c r="R981" s="312">
        <v>239.0</v>
      </c>
      <c r="S981" s="316"/>
      <c r="T981" s="317">
        <v>239.0</v>
      </c>
      <c r="U981" s="312" t="s">
        <v>1369</v>
      </c>
      <c r="V981" s="312" t="s">
        <v>1367</v>
      </c>
      <c r="W981" s="50"/>
      <c r="X981" s="50"/>
      <c r="Y981" s="50"/>
      <c r="Z981" s="312"/>
      <c r="AA981" s="50"/>
      <c r="AB981" s="50"/>
      <c r="AC981" s="50"/>
      <c r="AD981" s="50"/>
      <c r="AE981" s="50"/>
    </row>
    <row r="982">
      <c r="A982" s="307">
        <v>41904.009722222225</v>
      </c>
      <c r="B982" s="50" t="s">
        <v>994</v>
      </c>
      <c r="C982" s="303" t="s">
        <v>1177</v>
      </c>
      <c r="D982" s="303" t="s">
        <v>1178</v>
      </c>
      <c r="E982" s="310">
        <v>41584.0</v>
      </c>
      <c r="F982" s="50" t="s">
        <v>30</v>
      </c>
      <c r="G982" s="303" t="s">
        <v>1186</v>
      </c>
      <c r="H982" s="303" t="s">
        <v>1180</v>
      </c>
      <c r="I982" s="303" t="s">
        <v>1187</v>
      </c>
      <c r="J982" s="306"/>
      <c r="K982" s="50"/>
      <c r="L982" s="50"/>
      <c r="M982" s="50">
        <v>207.0</v>
      </c>
      <c r="N982" s="50"/>
      <c r="O982" s="312"/>
      <c r="P982" s="310">
        <v>41904.0</v>
      </c>
      <c r="Q982" s="50">
        <v>30650.0</v>
      </c>
      <c r="R982" s="50">
        <v>383.0</v>
      </c>
      <c r="S982" s="318"/>
      <c r="T982" s="317">
        <v>386.87</v>
      </c>
      <c r="U982" s="312" t="s">
        <v>1407</v>
      </c>
      <c r="V982" s="312" t="s">
        <v>1367</v>
      </c>
      <c r="W982" s="50"/>
      <c r="X982" s="50"/>
      <c r="Y982" s="50"/>
      <c r="Z982" s="312"/>
      <c r="AA982" s="50"/>
      <c r="AB982" s="50"/>
      <c r="AC982" s="50"/>
      <c r="AD982" s="50"/>
      <c r="AE982" s="50"/>
    </row>
    <row r="983">
      <c r="A983" s="307">
        <v>42620.39722222222</v>
      </c>
      <c r="B983" s="312" t="s">
        <v>994</v>
      </c>
      <c r="C983" s="303" t="s">
        <v>1177</v>
      </c>
      <c r="D983" s="303" t="s">
        <v>1178</v>
      </c>
      <c r="E983" s="315">
        <v>41584.0</v>
      </c>
      <c r="F983" s="312" t="s">
        <v>30</v>
      </c>
      <c r="G983" s="303" t="s">
        <v>1181</v>
      </c>
      <c r="H983" s="303" t="s">
        <v>1181</v>
      </c>
      <c r="I983" s="303" t="s">
        <v>1181</v>
      </c>
      <c r="J983" s="306">
        <v>0.9</v>
      </c>
      <c r="K983" s="50"/>
      <c r="L983" s="312"/>
      <c r="M983" s="312">
        <v>203.0</v>
      </c>
      <c r="N983" s="312"/>
      <c r="O983" s="312"/>
      <c r="P983" s="315">
        <v>42620.0</v>
      </c>
      <c r="Q983" s="312">
        <v>100250.0</v>
      </c>
      <c r="R983" s="312">
        <v>375.0</v>
      </c>
      <c r="S983" s="316"/>
      <c r="T983" s="317">
        <v>375.0</v>
      </c>
      <c r="U983" s="312" t="s">
        <v>1369</v>
      </c>
      <c r="V983" s="312" t="s">
        <v>1367</v>
      </c>
      <c r="W983" s="50"/>
      <c r="X983" s="50"/>
      <c r="Y983" s="50"/>
      <c r="Z983" s="312"/>
      <c r="AA983" s="50"/>
      <c r="AB983" s="50"/>
      <c r="AC983" s="50"/>
      <c r="AD983" s="50"/>
      <c r="AE983" s="50"/>
    </row>
    <row r="984">
      <c r="A984" s="307">
        <v>43191.88611111111</v>
      </c>
      <c r="B984" s="312" t="s">
        <v>1611</v>
      </c>
      <c r="C984" s="312" t="s">
        <v>1184</v>
      </c>
      <c r="D984" s="303" t="s">
        <v>1185</v>
      </c>
      <c r="E984" s="315">
        <v>42614.0</v>
      </c>
      <c r="F984" s="312" t="s">
        <v>57</v>
      </c>
      <c r="G984" s="303" t="s">
        <v>1179</v>
      </c>
      <c r="H984" s="303" t="s">
        <v>1186</v>
      </c>
      <c r="I984" s="303" t="s">
        <v>1187</v>
      </c>
      <c r="J984" s="306">
        <v>0.7</v>
      </c>
      <c r="K984" s="312">
        <v>257.0</v>
      </c>
      <c r="L984" s="312"/>
      <c r="M984" s="50"/>
      <c r="N984" s="312"/>
      <c r="O984" s="312"/>
      <c r="P984" s="315">
        <v>43191.0</v>
      </c>
      <c r="Q984" s="312">
        <v>17812.0</v>
      </c>
      <c r="R984" s="312">
        <v>247.0</v>
      </c>
      <c r="S984" s="316"/>
      <c r="T984" s="317">
        <v>250.13</v>
      </c>
      <c r="U984" s="312" t="s">
        <v>1366</v>
      </c>
      <c r="V984" s="312" t="s">
        <v>1367</v>
      </c>
      <c r="W984" s="50"/>
      <c r="X984" s="50"/>
      <c r="Y984" s="50"/>
      <c r="Z984" s="312"/>
      <c r="AA984" s="312" t="s">
        <v>1612</v>
      </c>
      <c r="AB984" s="50"/>
      <c r="AC984" s="50"/>
      <c r="AD984" s="50"/>
      <c r="AE984" s="50"/>
    </row>
    <row r="985">
      <c r="A985" s="307">
        <v>42766.51944444444</v>
      </c>
      <c r="B985" s="312" t="s">
        <v>762</v>
      </c>
      <c r="C985" s="303" t="s">
        <v>1177</v>
      </c>
      <c r="D985" s="303" t="s">
        <v>1178</v>
      </c>
      <c r="E985" s="315">
        <v>41729.0</v>
      </c>
      <c r="F985" s="312" t="s">
        <v>30</v>
      </c>
      <c r="G985" s="303" t="s">
        <v>1181</v>
      </c>
      <c r="H985" s="303" t="s">
        <v>1186</v>
      </c>
      <c r="I985" s="303" t="s">
        <v>1187</v>
      </c>
      <c r="J985" s="306">
        <v>0.6</v>
      </c>
      <c r="K985" s="50"/>
      <c r="L985" s="312"/>
      <c r="M985" s="312">
        <v>216.0</v>
      </c>
      <c r="N985" s="312"/>
      <c r="O985" s="312"/>
      <c r="P985" s="315">
        <v>42766.0</v>
      </c>
      <c r="Q985" s="312">
        <v>65500.0</v>
      </c>
      <c r="R985" s="312">
        <v>382.0</v>
      </c>
      <c r="S985" s="316"/>
      <c r="T985" s="317">
        <v>386.84</v>
      </c>
      <c r="U985" s="312" t="s">
        <v>1366</v>
      </c>
      <c r="V985" s="312" t="s">
        <v>1367</v>
      </c>
      <c r="W985" s="50"/>
      <c r="X985" s="50"/>
      <c r="Y985" s="50"/>
      <c r="Z985" s="312"/>
      <c r="AA985" s="50"/>
      <c r="AB985" s="50"/>
      <c r="AC985" s="50"/>
      <c r="AD985" s="50"/>
      <c r="AE985" s="50"/>
    </row>
    <row r="986">
      <c r="A986" s="307">
        <v>42945.56527777778</v>
      </c>
      <c r="B986" s="312" t="s">
        <v>762</v>
      </c>
      <c r="C986" s="303" t="s">
        <v>1177</v>
      </c>
      <c r="D986" s="303" t="s">
        <v>1178</v>
      </c>
      <c r="E986" s="315">
        <v>41729.0</v>
      </c>
      <c r="F986" s="312" t="s">
        <v>30</v>
      </c>
      <c r="G986" s="303" t="s">
        <v>1181</v>
      </c>
      <c r="H986" s="303" t="s">
        <v>1181</v>
      </c>
      <c r="I986" s="303" t="s">
        <v>1187</v>
      </c>
      <c r="J986" s="306">
        <v>0.7</v>
      </c>
      <c r="K986" s="312">
        <v>404.0</v>
      </c>
      <c r="L986" s="312"/>
      <c r="M986" s="312">
        <v>215.0</v>
      </c>
      <c r="N986" s="312"/>
      <c r="O986" s="312"/>
      <c r="P986" s="315">
        <v>42945.0</v>
      </c>
      <c r="Q986" s="312">
        <v>78372.0</v>
      </c>
      <c r="R986" s="312">
        <v>378.0</v>
      </c>
      <c r="S986" s="316"/>
      <c r="T986" s="317">
        <v>382.78</v>
      </c>
      <c r="U986" s="312" t="s">
        <v>1366</v>
      </c>
      <c r="V986" s="312" t="s">
        <v>1367</v>
      </c>
      <c r="W986" s="50"/>
      <c r="X986" s="50"/>
      <c r="Y986" s="50"/>
      <c r="Z986" s="312"/>
      <c r="AA986" s="50"/>
      <c r="AB986" s="50"/>
      <c r="AC986" s="50"/>
      <c r="AD986" s="50"/>
      <c r="AE986" s="50"/>
    </row>
    <row r="987">
      <c r="A987" s="307">
        <v>43161.70486111111</v>
      </c>
      <c r="B987" s="312" t="s">
        <v>762</v>
      </c>
      <c r="C987" s="303" t="s">
        <v>1177</v>
      </c>
      <c r="D987" s="303" t="s">
        <v>1178</v>
      </c>
      <c r="E987" s="315">
        <v>41729.0</v>
      </c>
      <c r="F987" s="312" t="s">
        <v>30</v>
      </c>
      <c r="G987" s="303" t="s">
        <v>1181</v>
      </c>
      <c r="H987" s="303" t="s">
        <v>1186</v>
      </c>
      <c r="I987" s="303" t="s">
        <v>1187</v>
      </c>
      <c r="J987" s="306">
        <v>0.7</v>
      </c>
      <c r="K987" s="312">
        <v>404.0</v>
      </c>
      <c r="L987" s="312"/>
      <c r="M987" s="312">
        <v>218.0</v>
      </c>
      <c r="N987" s="312"/>
      <c r="O987" s="312"/>
      <c r="P987" s="315">
        <v>43161.0</v>
      </c>
      <c r="Q987" s="312">
        <v>90850.0</v>
      </c>
      <c r="R987" s="312">
        <v>377.0</v>
      </c>
      <c r="S987" s="316"/>
      <c r="T987" s="317">
        <v>381.77</v>
      </c>
      <c r="U987" s="312" t="s">
        <v>1366</v>
      </c>
      <c r="V987" s="312" t="s">
        <v>1367</v>
      </c>
      <c r="W987" s="50"/>
      <c r="X987" s="50"/>
      <c r="Y987" s="50"/>
      <c r="Z987" s="312"/>
      <c r="AA987" s="50"/>
      <c r="AB987" s="50"/>
      <c r="AC987" s="50"/>
      <c r="AD987" s="50"/>
      <c r="AE987" s="50"/>
    </row>
    <row r="988">
      <c r="A988" s="307">
        <v>43214.888194444444</v>
      </c>
      <c r="B988" s="312" t="s">
        <v>1613</v>
      </c>
      <c r="C988" s="312" t="s">
        <v>1184</v>
      </c>
      <c r="D988" s="303" t="s">
        <v>1185</v>
      </c>
      <c r="E988" s="315">
        <v>42042.0</v>
      </c>
      <c r="F988" s="312" t="s">
        <v>36</v>
      </c>
      <c r="G988" s="303" t="s">
        <v>1181</v>
      </c>
      <c r="H988" s="303" t="s">
        <v>1186</v>
      </c>
      <c r="I988" s="303" t="s">
        <v>1187</v>
      </c>
      <c r="J988" s="306">
        <v>0.7</v>
      </c>
      <c r="K988" s="50"/>
      <c r="L988" s="312"/>
      <c r="M988" s="312">
        <v>315.0</v>
      </c>
      <c r="N988" s="312"/>
      <c r="O988" s="312"/>
      <c r="P988" s="315">
        <v>43214.0</v>
      </c>
      <c r="Q988" s="312">
        <v>45259.0</v>
      </c>
      <c r="R988" s="312">
        <v>244.0</v>
      </c>
      <c r="S988" s="316"/>
      <c r="T988" s="317">
        <v>247.09</v>
      </c>
      <c r="U988" s="312" t="s">
        <v>1366</v>
      </c>
      <c r="V988" s="312" t="s">
        <v>1367</v>
      </c>
      <c r="W988" s="50"/>
      <c r="X988" s="50"/>
      <c r="Y988" s="50"/>
      <c r="Z988" s="312"/>
      <c r="AA988" s="50"/>
      <c r="AB988" s="50"/>
      <c r="AC988" s="50"/>
      <c r="AD988" s="50"/>
      <c r="AE988" s="50"/>
    </row>
    <row r="989">
      <c r="A989" s="307">
        <v>43213.88888888889</v>
      </c>
      <c r="B989" s="312" t="s">
        <v>1613</v>
      </c>
      <c r="C989" s="312" t="s">
        <v>1184</v>
      </c>
      <c r="D989" s="303" t="s">
        <v>1185</v>
      </c>
      <c r="E989" s="315">
        <v>42923.0</v>
      </c>
      <c r="F989" s="312" t="s">
        <v>45</v>
      </c>
      <c r="G989" s="303" t="s">
        <v>1181</v>
      </c>
      <c r="H989" s="303" t="s">
        <v>1181</v>
      </c>
      <c r="I989" s="303" t="s">
        <v>1187</v>
      </c>
      <c r="J989" s="306">
        <v>0.7</v>
      </c>
      <c r="K989" s="50"/>
      <c r="L989" s="312"/>
      <c r="M989" s="312">
        <v>315.0</v>
      </c>
      <c r="N989" s="312"/>
      <c r="O989" s="312"/>
      <c r="P989" s="315">
        <v>43213.0</v>
      </c>
      <c r="Q989" s="312">
        <v>5923.0</v>
      </c>
      <c r="R989" s="312">
        <v>336.0</v>
      </c>
      <c r="S989" s="316"/>
      <c r="T989" s="317">
        <v>340.25</v>
      </c>
      <c r="U989" s="312" t="s">
        <v>1366</v>
      </c>
      <c r="V989" s="312" t="s">
        <v>1367</v>
      </c>
      <c r="W989" s="50"/>
      <c r="X989" s="50"/>
      <c r="Y989" s="50"/>
      <c r="Z989" s="312"/>
      <c r="AA989" s="50"/>
      <c r="AB989" s="50"/>
      <c r="AC989" s="50"/>
      <c r="AD989" s="50"/>
      <c r="AE989" s="50"/>
    </row>
    <row r="990">
      <c r="A990" s="307">
        <v>41907.01736111111</v>
      </c>
      <c r="B990" s="50" t="s">
        <v>718</v>
      </c>
      <c r="C990" s="303" t="s">
        <v>1177</v>
      </c>
      <c r="D990" s="303" t="s">
        <v>1178</v>
      </c>
      <c r="E990" s="310">
        <v>41591.0</v>
      </c>
      <c r="F990" s="312" t="s">
        <v>34</v>
      </c>
      <c r="G990" s="303" t="s">
        <v>1180</v>
      </c>
      <c r="H990" s="303" t="s">
        <v>1180</v>
      </c>
      <c r="I990" s="303" t="s">
        <v>1181</v>
      </c>
      <c r="J990" s="306"/>
      <c r="K990" s="50"/>
      <c r="L990" s="50"/>
      <c r="M990" s="50">
        <v>225.0</v>
      </c>
      <c r="N990" s="50"/>
      <c r="O990" s="312"/>
      <c r="P990" s="310">
        <v>41907.0</v>
      </c>
      <c r="Q990" s="50">
        <v>21530.0</v>
      </c>
      <c r="R990" s="50">
        <v>388.0</v>
      </c>
      <c r="S990" s="318"/>
      <c r="T990" s="317">
        <v>388.0</v>
      </c>
      <c r="U990" s="312" t="s">
        <v>1369</v>
      </c>
      <c r="V990" s="312" t="s">
        <v>1367</v>
      </c>
      <c r="W990" s="50"/>
      <c r="X990" s="50"/>
      <c r="Y990" s="50"/>
      <c r="Z990" s="312"/>
      <c r="AA990" s="50" t="s">
        <v>1614</v>
      </c>
      <c r="AB990" s="50"/>
      <c r="AC990" s="50"/>
      <c r="AD990" s="50"/>
      <c r="AE990" s="50"/>
    </row>
    <row r="991">
      <c r="A991" s="307">
        <v>42121.10555555556</v>
      </c>
      <c r="B991" s="312" t="s">
        <v>718</v>
      </c>
      <c r="C991" s="303" t="s">
        <v>1177</v>
      </c>
      <c r="D991" s="303" t="s">
        <v>1178</v>
      </c>
      <c r="E991" s="315">
        <v>41591.0</v>
      </c>
      <c r="F991" s="312" t="s">
        <v>34</v>
      </c>
      <c r="G991" s="303" t="s">
        <v>1180</v>
      </c>
      <c r="H991" s="303" t="s">
        <v>1180</v>
      </c>
      <c r="I991" s="303" t="s">
        <v>1186</v>
      </c>
      <c r="J991" s="306"/>
      <c r="K991" s="50"/>
      <c r="L991" s="312"/>
      <c r="M991" s="312">
        <v>235.0</v>
      </c>
      <c r="N991" s="50"/>
      <c r="O991" s="312"/>
      <c r="P991" s="315">
        <v>42121.0</v>
      </c>
      <c r="Q991" s="312">
        <v>31215.0</v>
      </c>
      <c r="R991" s="312">
        <v>385.0</v>
      </c>
      <c r="S991" s="316"/>
      <c r="T991" s="317">
        <v>385.0</v>
      </c>
      <c r="U991" s="312" t="s">
        <v>1369</v>
      </c>
      <c r="V991" s="312" t="s">
        <v>1367</v>
      </c>
      <c r="W991" s="50"/>
      <c r="X991" s="50"/>
      <c r="Y991" s="50"/>
      <c r="Z991" s="312"/>
      <c r="AA991" s="312" t="s">
        <v>1615</v>
      </c>
      <c r="AB991" s="50"/>
      <c r="AC991" s="50"/>
      <c r="AD991" s="50"/>
      <c r="AE991" s="50"/>
    </row>
    <row r="992">
      <c r="A992" s="307">
        <v>42229.15972222222</v>
      </c>
      <c r="B992" s="312" t="s">
        <v>718</v>
      </c>
      <c r="C992" s="303" t="s">
        <v>1177</v>
      </c>
      <c r="D992" s="303" t="s">
        <v>1178</v>
      </c>
      <c r="E992" s="315">
        <v>41591.0</v>
      </c>
      <c r="F992" s="312" t="s">
        <v>34</v>
      </c>
      <c r="G992" s="303" t="s">
        <v>1179</v>
      </c>
      <c r="H992" s="303" t="s">
        <v>1181</v>
      </c>
      <c r="I992" s="303" t="s">
        <v>1186</v>
      </c>
      <c r="J992" s="306">
        <v>0.6</v>
      </c>
      <c r="K992" s="312">
        <v>402.0</v>
      </c>
      <c r="L992" s="312"/>
      <c r="M992" s="312">
        <v>226.0</v>
      </c>
      <c r="N992" s="312"/>
      <c r="O992" s="312"/>
      <c r="P992" s="315">
        <v>42229.0</v>
      </c>
      <c r="Q992" s="312">
        <v>37900.0</v>
      </c>
      <c r="R992" s="312">
        <v>382.0</v>
      </c>
      <c r="S992" s="316"/>
      <c r="T992" s="317">
        <v>382.0</v>
      </c>
      <c r="U992" s="312" t="s">
        <v>1369</v>
      </c>
      <c r="V992" s="312" t="s">
        <v>1367</v>
      </c>
      <c r="W992" s="50"/>
      <c r="X992" s="50"/>
      <c r="Y992" s="50"/>
      <c r="Z992" s="312"/>
      <c r="AA992" s="312" t="s">
        <v>1616</v>
      </c>
      <c r="AB992" s="50"/>
      <c r="AC992" s="50"/>
      <c r="AD992" s="50"/>
      <c r="AE992" s="50"/>
    </row>
    <row r="993">
      <c r="A993" s="307">
        <v>42379.270833333336</v>
      </c>
      <c r="B993" s="312" t="s">
        <v>718</v>
      </c>
      <c r="C993" s="303" t="s">
        <v>1177</v>
      </c>
      <c r="D993" s="303" t="s">
        <v>1178</v>
      </c>
      <c r="E993" s="310">
        <v>41591.0</v>
      </c>
      <c r="F993" s="312" t="s">
        <v>34</v>
      </c>
      <c r="G993" s="303" t="s">
        <v>1179</v>
      </c>
      <c r="H993" s="303" t="s">
        <v>1181</v>
      </c>
      <c r="I993" s="303" t="s">
        <v>1186</v>
      </c>
      <c r="J993" s="306">
        <v>0.8</v>
      </c>
      <c r="K993" s="312">
        <v>402.0</v>
      </c>
      <c r="L993" s="312"/>
      <c r="M993" s="312">
        <v>224.0</v>
      </c>
      <c r="N993" s="312"/>
      <c r="O993" s="312"/>
      <c r="P993" s="315">
        <v>42379.0</v>
      </c>
      <c r="Q993" s="312">
        <v>45400.0</v>
      </c>
      <c r="R993" s="312">
        <v>381.0</v>
      </c>
      <c r="S993" s="316"/>
      <c r="T993" s="317">
        <v>381.0</v>
      </c>
      <c r="U993" s="312" t="s">
        <v>1369</v>
      </c>
      <c r="V993" s="312" t="s">
        <v>1367</v>
      </c>
      <c r="W993" s="50"/>
      <c r="X993" s="50"/>
      <c r="Y993" s="50"/>
      <c r="Z993" s="312"/>
      <c r="AA993" s="312" t="s">
        <v>1617</v>
      </c>
      <c r="AB993" s="50"/>
      <c r="AC993" s="50"/>
      <c r="AD993" s="50"/>
      <c r="AE993" s="50"/>
    </row>
    <row r="994">
      <c r="A994" s="307">
        <v>41905.010416666664</v>
      </c>
      <c r="B994" s="50" t="s">
        <v>1011</v>
      </c>
      <c r="C994" s="303" t="s">
        <v>1177</v>
      </c>
      <c r="D994" s="303" t="s">
        <v>1178</v>
      </c>
      <c r="E994" s="310">
        <v>41620.0</v>
      </c>
      <c r="F994" s="50" t="s">
        <v>1370</v>
      </c>
      <c r="G994" s="303" t="s">
        <v>1180</v>
      </c>
      <c r="H994" s="303" t="s">
        <v>1179</v>
      </c>
      <c r="I994" s="303" t="s">
        <v>1187</v>
      </c>
      <c r="J994" s="306"/>
      <c r="K994" s="50"/>
      <c r="L994" s="50"/>
      <c r="M994" s="50">
        <v>249.0</v>
      </c>
      <c r="N994" s="50"/>
      <c r="O994" s="312"/>
      <c r="P994" s="310">
        <v>41905.0</v>
      </c>
      <c r="Q994" s="50">
        <v>22850.0</v>
      </c>
      <c r="R994" s="50">
        <v>385.0</v>
      </c>
      <c r="S994" s="318"/>
      <c r="T994" s="317">
        <v>388.89</v>
      </c>
      <c r="U994" s="312" t="s">
        <v>1407</v>
      </c>
      <c r="V994" s="312" t="s">
        <v>1367</v>
      </c>
      <c r="W994" s="50"/>
      <c r="X994" s="50"/>
      <c r="Y994" s="50"/>
      <c r="Z994" s="312"/>
      <c r="AA994" s="50"/>
      <c r="AB994" s="50"/>
      <c r="AC994" s="50"/>
      <c r="AD994" s="50"/>
      <c r="AE994" s="50"/>
    </row>
    <row r="995">
      <c r="A995" s="307">
        <v>42371.26597222222</v>
      </c>
      <c r="B995" s="312" t="s">
        <v>706</v>
      </c>
      <c r="C995" s="303" t="s">
        <v>1177</v>
      </c>
      <c r="D995" s="303" t="s">
        <v>1178</v>
      </c>
      <c r="E995" s="310">
        <v>41509.0</v>
      </c>
      <c r="F995" s="312" t="s">
        <v>34</v>
      </c>
      <c r="G995" s="303" t="s">
        <v>1180</v>
      </c>
      <c r="H995" s="303" t="s">
        <v>1181</v>
      </c>
      <c r="I995" s="303" t="s">
        <v>1187</v>
      </c>
      <c r="J995" s="306">
        <v>0.9</v>
      </c>
      <c r="K995" s="50"/>
      <c r="L995" s="312"/>
      <c r="M995" s="312">
        <v>211.0</v>
      </c>
      <c r="N995" s="312"/>
      <c r="O995" s="312"/>
      <c r="P995" s="315">
        <v>42371.0</v>
      </c>
      <c r="Q995" s="312">
        <v>47000.0</v>
      </c>
      <c r="R995" s="312">
        <v>371.0</v>
      </c>
      <c r="S995" s="316"/>
      <c r="T995" s="317">
        <v>371.0</v>
      </c>
      <c r="U995" s="312" t="s">
        <v>1369</v>
      </c>
      <c r="V995" s="312" t="s">
        <v>1367</v>
      </c>
      <c r="W995" s="50"/>
      <c r="X995" s="50"/>
      <c r="Y995" s="50"/>
      <c r="Z995" s="312"/>
      <c r="AA995" s="50"/>
      <c r="AB995" s="50"/>
      <c r="AC995" s="50"/>
      <c r="AD995" s="50"/>
      <c r="AE995" s="50"/>
    </row>
    <row r="996">
      <c r="A996" s="307">
        <v>42567.80069444444</v>
      </c>
      <c r="B996" s="312" t="s">
        <v>400</v>
      </c>
      <c r="C996" s="312" t="s">
        <v>1184</v>
      </c>
      <c r="D996" s="303" t="s">
        <v>1185</v>
      </c>
      <c r="E996" s="315">
        <v>42551.0</v>
      </c>
      <c r="F996" s="312" t="s">
        <v>43</v>
      </c>
      <c r="G996" s="303" t="s">
        <v>1186</v>
      </c>
      <c r="H996" s="303" t="s">
        <v>1187</v>
      </c>
      <c r="I996" s="303" t="s">
        <v>1187</v>
      </c>
      <c r="J996" s="306">
        <v>0.7</v>
      </c>
      <c r="K996" s="312">
        <v>295.0</v>
      </c>
      <c r="L996" s="312"/>
      <c r="M996" s="312">
        <v>274.0</v>
      </c>
      <c r="N996" s="312"/>
      <c r="O996" s="312"/>
      <c r="P996" s="315">
        <v>42567.0</v>
      </c>
      <c r="Q996" s="312">
        <v>812.0</v>
      </c>
      <c r="R996" s="312">
        <v>294.0</v>
      </c>
      <c r="S996" s="316"/>
      <c r="T996" s="317">
        <v>297.72</v>
      </c>
      <c r="U996" s="312" t="s">
        <v>1366</v>
      </c>
      <c r="V996" s="312" t="s">
        <v>1367</v>
      </c>
      <c r="W996" s="312">
        <v>213.0</v>
      </c>
      <c r="X996" s="312">
        <v>139.0</v>
      </c>
      <c r="Y996" s="312">
        <v>18.9</v>
      </c>
      <c r="Z996" s="312" t="s">
        <v>1366</v>
      </c>
      <c r="AA996" s="312" t="s">
        <v>1618</v>
      </c>
      <c r="AB996" s="50"/>
      <c r="AC996" s="50"/>
      <c r="AD996" s="50"/>
      <c r="AE996" s="50"/>
    </row>
    <row r="997">
      <c r="A997" s="307">
        <v>42581.802083333336</v>
      </c>
      <c r="B997" s="312" t="s">
        <v>400</v>
      </c>
      <c r="C997" s="312" t="s">
        <v>1184</v>
      </c>
      <c r="D997" s="303" t="s">
        <v>1185</v>
      </c>
      <c r="E997" s="315">
        <v>42551.0</v>
      </c>
      <c r="F997" s="312" t="s">
        <v>43</v>
      </c>
      <c r="G997" s="303" t="s">
        <v>1186</v>
      </c>
      <c r="H997" s="303" t="s">
        <v>1187</v>
      </c>
      <c r="I997" s="303" t="s">
        <v>1187</v>
      </c>
      <c r="J997" s="306">
        <v>0.8</v>
      </c>
      <c r="K997" s="312">
        <v>295.0</v>
      </c>
      <c r="L997" s="312"/>
      <c r="M997" s="312">
        <v>275.0</v>
      </c>
      <c r="N997" s="312"/>
      <c r="O997" s="312"/>
      <c r="P997" s="315">
        <v>42581.0</v>
      </c>
      <c r="Q997" s="312">
        <v>1358.0</v>
      </c>
      <c r="R997" s="312">
        <v>294.0</v>
      </c>
      <c r="S997" s="316"/>
      <c r="T997" s="317">
        <v>297.72</v>
      </c>
      <c r="U997" s="312" t="s">
        <v>1366</v>
      </c>
      <c r="V997" s="312" t="s">
        <v>1367</v>
      </c>
      <c r="W997" s="312">
        <v>240.0</v>
      </c>
      <c r="X997" s="312">
        <v>86.0</v>
      </c>
      <c r="Y997" s="312">
        <v>40.0</v>
      </c>
      <c r="Z997" s="312" t="s">
        <v>1366</v>
      </c>
      <c r="AA997" s="312" t="s">
        <v>1619</v>
      </c>
      <c r="AB997" s="50"/>
      <c r="AC997" s="50"/>
      <c r="AD997" s="50"/>
      <c r="AE997" s="50"/>
    </row>
    <row r="998">
      <c r="A998" s="307">
        <v>42654.808333333334</v>
      </c>
      <c r="B998" s="312" t="s">
        <v>400</v>
      </c>
      <c r="C998" s="312" t="s">
        <v>1184</v>
      </c>
      <c r="D998" s="303" t="s">
        <v>1185</v>
      </c>
      <c r="E998" s="315">
        <v>42551.0</v>
      </c>
      <c r="F998" s="312" t="s">
        <v>43</v>
      </c>
      <c r="G998" s="303" t="s">
        <v>1181</v>
      </c>
      <c r="H998" s="303" t="s">
        <v>1186</v>
      </c>
      <c r="I998" s="303" t="s">
        <v>1187</v>
      </c>
      <c r="J998" s="306">
        <v>0.8</v>
      </c>
      <c r="K998" s="312">
        <v>295.0</v>
      </c>
      <c r="L998" s="312"/>
      <c r="M998" s="312">
        <v>271.0</v>
      </c>
      <c r="N998" s="312"/>
      <c r="O998" s="312"/>
      <c r="P998" s="315">
        <v>42654.0</v>
      </c>
      <c r="Q998" s="312">
        <v>4330.0</v>
      </c>
      <c r="R998" s="312">
        <v>300.0</v>
      </c>
      <c r="S998" s="316"/>
      <c r="T998" s="317">
        <v>300.0</v>
      </c>
      <c r="U998" s="312" t="s">
        <v>1369</v>
      </c>
      <c r="V998" s="312" t="s">
        <v>1367</v>
      </c>
      <c r="W998" s="50"/>
      <c r="X998" s="50"/>
      <c r="Y998" s="50"/>
      <c r="Z998" s="312"/>
      <c r="AA998" s="312" t="s">
        <v>1619</v>
      </c>
      <c r="AB998" s="50"/>
      <c r="AC998" s="50"/>
      <c r="AD998" s="50"/>
      <c r="AE998" s="50"/>
    </row>
    <row r="999">
      <c r="A999" s="307">
        <v>42704.816666666666</v>
      </c>
      <c r="B999" s="50" t="s">
        <v>400</v>
      </c>
      <c r="C999" s="50" t="s">
        <v>1184</v>
      </c>
      <c r="D999" s="303" t="s">
        <v>1185</v>
      </c>
      <c r="E999" s="310">
        <v>42551.0</v>
      </c>
      <c r="F999" s="50" t="s">
        <v>43</v>
      </c>
      <c r="G999" s="303" t="s">
        <v>1181</v>
      </c>
      <c r="H999" s="303" t="s">
        <v>1181</v>
      </c>
      <c r="I999" s="303" t="s">
        <v>1187</v>
      </c>
      <c r="J999" s="306">
        <v>0.8</v>
      </c>
      <c r="K999" s="312">
        <v>295.0</v>
      </c>
      <c r="L999" s="312"/>
      <c r="M999" s="312">
        <v>273.0</v>
      </c>
      <c r="N999" s="312"/>
      <c r="O999" s="312"/>
      <c r="P999" s="315">
        <v>42704.0</v>
      </c>
      <c r="Q999" s="312">
        <v>5995.0</v>
      </c>
      <c r="R999" s="312">
        <v>298.0</v>
      </c>
      <c r="S999" s="316"/>
      <c r="T999" s="317">
        <v>301.77</v>
      </c>
      <c r="U999" s="312" t="s">
        <v>1366</v>
      </c>
      <c r="V999" s="312" t="s">
        <v>1367</v>
      </c>
      <c r="W999" s="50"/>
      <c r="X999" s="50"/>
      <c r="Y999" s="50"/>
      <c r="Z999" s="312"/>
      <c r="AA999" s="50"/>
      <c r="AB999" s="50"/>
      <c r="AC999" s="50"/>
      <c r="AD999" s="50"/>
      <c r="AE999" s="50"/>
    </row>
    <row r="1000">
      <c r="A1000" s="307">
        <v>42848.8375</v>
      </c>
      <c r="B1000" s="312" t="s">
        <v>400</v>
      </c>
      <c r="C1000" s="312" t="s">
        <v>1184</v>
      </c>
      <c r="D1000" s="303" t="s">
        <v>1185</v>
      </c>
      <c r="E1000" s="315">
        <v>42551.0</v>
      </c>
      <c r="F1000" s="312" t="s">
        <v>43</v>
      </c>
      <c r="G1000" s="303" t="s">
        <v>1180</v>
      </c>
      <c r="H1000" s="303" t="s">
        <v>1181</v>
      </c>
      <c r="I1000" s="303" t="s">
        <v>1187</v>
      </c>
      <c r="J1000" s="306">
        <v>0.8</v>
      </c>
      <c r="K1000" s="312">
        <v>295.0</v>
      </c>
      <c r="L1000" s="312"/>
      <c r="M1000" s="312">
        <v>295.0</v>
      </c>
      <c r="N1000" s="312"/>
      <c r="O1000" s="312"/>
      <c r="P1000" s="315">
        <v>42848.0</v>
      </c>
      <c r="Q1000" s="312">
        <v>12414.0</v>
      </c>
      <c r="R1000" s="312">
        <v>293.0</v>
      </c>
      <c r="S1000" s="316"/>
      <c r="T1000" s="317">
        <v>293.0</v>
      </c>
      <c r="U1000" s="312" t="s">
        <v>1369</v>
      </c>
      <c r="V1000" s="312" t="s">
        <v>1367</v>
      </c>
      <c r="W1000" s="50"/>
      <c r="X1000" s="50"/>
      <c r="Y1000" s="50"/>
      <c r="Z1000" s="312"/>
      <c r="AA1000" s="50"/>
      <c r="AB1000" s="50"/>
      <c r="AC1000" s="50"/>
      <c r="AD1000" s="50"/>
      <c r="AE1000" s="50"/>
    </row>
    <row r="1001">
      <c r="A1001" s="307">
        <v>42911.84305555555</v>
      </c>
      <c r="B1001" s="312" t="s">
        <v>400</v>
      </c>
      <c r="C1001" s="312" t="s">
        <v>1184</v>
      </c>
      <c r="D1001" s="303" t="s">
        <v>1185</v>
      </c>
      <c r="E1001" s="315">
        <v>42551.0</v>
      </c>
      <c r="F1001" s="312" t="s">
        <v>43</v>
      </c>
      <c r="G1001" s="303" t="s">
        <v>1179</v>
      </c>
      <c r="H1001" s="303" t="s">
        <v>1181</v>
      </c>
      <c r="I1001" s="303" t="s">
        <v>1187</v>
      </c>
      <c r="J1001" s="306">
        <v>0.8</v>
      </c>
      <c r="K1001" s="312">
        <v>295.0</v>
      </c>
      <c r="L1001" s="312"/>
      <c r="M1001" s="312">
        <v>290.0</v>
      </c>
      <c r="N1001" s="312"/>
      <c r="O1001" s="312"/>
      <c r="P1001" s="315">
        <v>42911.0</v>
      </c>
      <c r="Q1001" s="312">
        <v>14472.0</v>
      </c>
      <c r="R1001" s="312">
        <v>291.0</v>
      </c>
      <c r="S1001" s="316"/>
      <c r="T1001" s="317">
        <v>291.0</v>
      </c>
      <c r="U1001" s="312" t="s">
        <v>1369</v>
      </c>
      <c r="V1001" s="312" t="s">
        <v>1367</v>
      </c>
      <c r="W1001" s="50"/>
      <c r="X1001" s="50"/>
      <c r="Y1001" s="50"/>
      <c r="Z1001" s="312"/>
      <c r="AA1001" s="50"/>
      <c r="AB1001" s="50"/>
      <c r="AC1001" s="50"/>
      <c r="AD1001" s="50"/>
      <c r="AE1001" s="50"/>
    </row>
    <row r="1002">
      <c r="A1002" s="307">
        <v>43018.856944444444</v>
      </c>
      <c r="B1002" s="312" t="s">
        <v>400</v>
      </c>
      <c r="C1002" s="312" t="s">
        <v>1184</v>
      </c>
      <c r="D1002" s="303" t="s">
        <v>1185</v>
      </c>
      <c r="E1002" s="315">
        <v>42551.0</v>
      </c>
      <c r="F1002" s="312" t="s">
        <v>43</v>
      </c>
      <c r="G1002" s="303" t="s">
        <v>1179</v>
      </c>
      <c r="H1002" s="303" t="s">
        <v>1181</v>
      </c>
      <c r="I1002" s="303" t="s">
        <v>1187</v>
      </c>
      <c r="J1002" s="306">
        <v>0.8</v>
      </c>
      <c r="K1002" s="312">
        <v>295.0</v>
      </c>
      <c r="L1002" s="312"/>
      <c r="M1002" s="312">
        <v>279.0</v>
      </c>
      <c r="N1002" s="312"/>
      <c r="O1002" s="312"/>
      <c r="P1002" s="315">
        <v>43018.0</v>
      </c>
      <c r="Q1002" s="312">
        <v>20649.1</v>
      </c>
      <c r="R1002" s="312">
        <v>287.4</v>
      </c>
      <c r="S1002" s="316"/>
      <c r="T1002" s="317">
        <v>287.4</v>
      </c>
      <c r="U1002" s="312" t="s">
        <v>1369</v>
      </c>
      <c r="V1002" s="312" t="s">
        <v>1367</v>
      </c>
      <c r="W1002" s="312">
        <v>287.0</v>
      </c>
      <c r="X1002" s="312">
        <v>19.0</v>
      </c>
      <c r="Y1002" s="312">
        <v>73.0</v>
      </c>
      <c r="Z1002" s="312" t="s">
        <v>1369</v>
      </c>
      <c r="AA1002" s="312" t="s">
        <v>1620</v>
      </c>
      <c r="AB1002" s="50"/>
      <c r="AC1002" s="50"/>
      <c r="AD1002" s="50"/>
      <c r="AE1002" s="50"/>
    </row>
    <row r="1003">
      <c r="A1003" s="307">
        <v>43128.870833333334</v>
      </c>
      <c r="B1003" s="312" t="s">
        <v>400</v>
      </c>
      <c r="C1003" s="312" t="s">
        <v>1184</v>
      </c>
      <c r="D1003" s="303" t="s">
        <v>1185</v>
      </c>
      <c r="E1003" s="315">
        <v>42551.0</v>
      </c>
      <c r="F1003" s="312" t="s">
        <v>43</v>
      </c>
      <c r="G1003" s="303" t="s">
        <v>1179</v>
      </c>
      <c r="H1003" s="303" t="s">
        <v>1181</v>
      </c>
      <c r="I1003" s="303" t="s">
        <v>1187</v>
      </c>
      <c r="J1003" s="306">
        <v>0.8</v>
      </c>
      <c r="K1003" s="312">
        <v>295.0</v>
      </c>
      <c r="L1003" s="312"/>
      <c r="M1003" s="312">
        <v>283.0</v>
      </c>
      <c r="N1003" s="312"/>
      <c r="O1003" s="312"/>
      <c r="P1003" s="315">
        <v>43128.0</v>
      </c>
      <c r="Q1003" s="312">
        <v>24881.0</v>
      </c>
      <c r="R1003" s="312">
        <v>288.07</v>
      </c>
      <c r="S1003" s="316"/>
      <c r="T1003" s="317">
        <v>288.07</v>
      </c>
      <c r="U1003" s="312" t="s">
        <v>1369</v>
      </c>
      <c r="V1003" s="312" t="s">
        <v>1367</v>
      </c>
      <c r="W1003" s="50"/>
      <c r="X1003" s="50"/>
      <c r="Y1003" s="50"/>
      <c r="Z1003" s="312"/>
      <c r="AA1003" s="50"/>
      <c r="AB1003" s="50"/>
      <c r="AC1003" s="50"/>
      <c r="AD1003" s="50"/>
      <c r="AE1003" s="50"/>
    </row>
    <row r="1004">
      <c r="A1004" s="307">
        <v>43159.875</v>
      </c>
      <c r="B1004" s="312" t="s">
        <v>400</v>
      </c>
      <c r="C1004" s="312" t="s">
        <v>1184</v>
      </c>
      <c r="D1004" s="303" t="s">
        <v>1185</v>
      </c>
      <c r="E1004" s="315">
        <v>42551.0</v>
      </c>
      <c r="F1004" s="312" t="s">
        <v>43</v>
      </c>
      <c r="G1004" s="303" t="s">
        <v>1179</v>
      </c>
      <c r="H1004" s="303" t="s">
        <v>1181</v>
      </c>
      <c r="I1004" s="303" t="s">
        <v>1187</v>
      </c>
      <c r="J1004" s="306">
        <v>0.8</v>
      </c>
      <c r="K1004" s="312">
        <v>295.0</v>
      </c>
      <c r="L1004" s="312"/>
      <c r="M1004" s="312">
        <v>284.0</v>
      </c>
      <c r="N1004" s="312"/>
      <c r="O1004" s="312"/>
      <c r="P1004" s="315">
        <v>43159.0</v>
      </c>
      <c r="Q1004" s="312">
        <v>25604.0</v>
      </c>
      <c r="R1004" s="312">
        <v>288.4</v>
      </c>
      <c r="S1004" s="316"/>
      <c r="T1004" s="317">
        <v>288.4</v>
      </c>
      <c r="U1004" s="312" t="s">
        <v>1369</v>
      </c>
      <c r="V1004" s="312" t="s">
        <v>1367</v>
      </c>
      <c r="W1004" s="50"/>
      <c r="X1004" s="50"/>
      <c r="Y1004" s="50"/>
      <c r="Z1004" s="312"/>
      <c r="AA1004" s="50"/>
      <c r="AB1004" s="50"/>
      <c r="AC1004" s="50"/>
      <c r="AD1004" s="50"/>
      <c r="AE1004" s="50"/>
    </row>
    <row r="1005">
      <c r="A1005" s="307">
        <v>43198.88333333333</v>
      </c>
      <c r="B1005" s="312" t="s">
        <v>400</v>
      </c>
      <c r="C1005" s="312" t="s">
        <v>1184</v>
      </c>
      <c r="D1005" s="303" t="s">
        <v>1185</v>
      </c>
      <c r="E1005" s="315">
        <v>42551.0</v>
      </c>
      <c r="F1005" s="312" t="s">
        <v>43</v>
      </c>
      <c r="G1005" s="303" t="s">
        <v>1179</v>
      </c>
      <c r="H1005" s="303" t="s">
        <v>1181</v>
      </c>
      <c r="I1005" s="303" t="s">
        <v>1187</v>
      </c>
      <c r="J1005" s="306">
        <v>0.8</v>
      </c>
      <c r="K1005" s="312">
        <v>295.0</v>
      </c>
      <c r="L1005" s="312"/>
      <c r="M1005" s="312">
        <v>285.0</v>
      </c>
      <c r="N1005" s="312"/>
      <c r="O1005" s="312"/>
      <c r="P1005" s="315">
        <v>43198.0</v>
      </c>
      <c r="Q1005" s="312">
        <v>26565.8</v>
      </c>
      <c r="R1005" s="312">
        <v>288.8</v>
      </c>
      <c r="S1005" s="316"/>
      <c r="T1005" s="317">
        <v>288.8</v>
      </c>
      <c r="U1005" s="312" t="s">
        <v>1369</v>
      </c>
      <c r="V1005" s="312" t="s">
        <v>1367</v>
      </c>
      <c r="W1005" s="50"/>
      <c r="X1005" s="50"/>
      <c r="Y1005" s="50"/>
      <c r="Z1005" s="312"/>
      <c r="AA1005" s="50"/>
      <c r="AB1005" s="50"/>
      <c r="AC1005" s="50"/>
      <c r="AD1005" s="50"/>
      <c r="AE1005" s="50"/>
    </row>
    <row r="1006">
      <c r="A1006" s="307">
        <v>42350.78402777778</v>
      </c>
      <c r="B1006" s="312" t="s">
        <v>825</v>
      </c>
      <c r="C1006" s="312" t="s">
        <v>1184</v>
      </c>
      <c r="D1006" s="303" t="s">
        <v>1185</v>
      </c>
      <c r="E1006" s="315">
        <v>41506.0</v>
      </c>
      <c r="F1006" s="312" t="s">
        <v>32</v>
      </c>
      <c r="G1006" s="303" t="s">
        <v>1180</v>
      </c>
      <c r="H1006" s="303" t="s">
        <v>1181</v>
      </c>
      <c r="I1006" s="303" t="s">
        <v>1187</v>
      </c>
      <c r="J1006" s="306">
        <v>0.7</v>
      </c>
      <c r="K1006" s="312">
        <v>268.0</v>
      </c>
      <c r="L1006" s="312"/>
      <c r="M1006" s="312">
        <v>319.0</v>
      </c>
      <c r="N1006" s="312"/>
      <c r="O1006" s="312"/>
      <c r="P1006" s="315">
        <v>42350.0</v>
      </c>
      <c r="Q1006" s="312">
        <v>30389.0</v>
      </c>
      <c r="R1006" s="312">
        <v>249.0</v>
      </c>
      <c r="S1006" s="316"/>
      <c r="T1006" s="317">
        <v>249.0</v>
      </c>
      <c r="U1006" s="312" t="s">
        <v>1369</v>
      </c>
      <c r="V1006" s="312" t="s">
        <v>1367</v>
      </c>
      <c r="W1006" s="312">
        <v>178.0</v>
      </c>
      <c r="X1006" s="312">
        <v>120.0</v>
      </c>
      <c r="Y1006" s="312" t="s">
        <v>1621</v>
      </c>
      <c r="Z1006" s="312" t="s">
        <v>1369</v>
      </c>
      <c r="AA1006" s="312" t="s">
        <v>1622</v>
      </c>
      <c r="AB1006" s="50"/>
      <c r="AC1006" s="50"/>
      <c r="AD1006" s="50"/>
      <c r="AE1006" s="50"/>
    </row>
    <row r="1007">
      <c r="A1007" s="307">
        <v>42461.791666666664</v>
      </c>
      <c r="B1007" s="312" t="s">
        <v>825</v>
      </c>
      <c r="C1007" s="312" t="s">
        <v>1184</v>
      </c>
      <c r="D1007" s="303" t="s">
        <v>1185</v>
      </c>
      <c r="E1007" s="315">
        <v>41506.0</v>
      </c>
      <c r="F1007" s="312" t="s">
        <v>32</v>
      </c>
      <c r="G1007" s="303" t="s">
        <v>1181</v>
      </c>
      <c r="H1007" s="303" t="s">
        <v>1181</v>
      </c>
      <c r="I1007" s="303" t="s">
        <v>1187</v>
      </c>
      <c r="J1007" s="306">
        <v>0.9</v>
      </c>
      <c r="K1007" s="312">
        <v>265.0</v>
      </c>
      <c r="L1007" s="312"/>
      <c r="M1007" s="312">
        <v>322.0</v>
      </c>
      <c r="N1007" s="312"/>
      <c r="O1007" s="312"/>
      <c r="P1007" s="315">
        <v>42461.0</v>
      </c>
      <c r="Q1007" s="312">
        <v>32750.0</v>
      </c>
      <c r="R1007" s="312">
        <v>255.0</v>
      </c>
      <c r="S1007" s="316"/>
      <c r="T1007" s="317">
        <v>255.0</v>
      </c>
      <c r="U1007" s="312" t="s">
        <v>1369</v>
      </c>
      <c r="V1007" s="312" t="s">
        <v>1367</v>
      </c>
      <c r="W1007" s="312">
        <v>230.0</v>
      </c>
      <c r="X1007" s="312">
        <v>176.0</v>
      </c>
      <c r="Y1007" s="312">
        <v>14.7</v>
      </c>
      <c r="Z1007" s="312" t="s">
        <v>1369</v>
      </c>
      <c r="AA1007" s="312" t="s">
        <v>1623</v>
      </c>
      <c r="AB1007" s="50"/>
      <c r="AC1007" s="50"/>
      <c r="AD1007" s="50"/>
      <c r="AE1007" s="50"/>
    </row>
    <row r="1008">
      <c r="A1008" s="307">
        <v>42433.299305555556</v>
      </c>
      <c r="B1008" s="312" t="s">
        <v>801</v>
      </c>
      <c r="C1008" s="303" t="s">
        <v>1177</v>
      </c>
      <c r="D1008" s="303" t="s">
        <v>1178</v>
      </c>
      <c r="E1008" s="315">
        <v>42376.0</v>
      </c>
      <c r="F1008" s="312" t="s">
        <v>36</v>
      </c>
      <c r="G1008" s="312"/>
      <c r="H1008" s="312"/>
      <c r="I1008" s="312"/>
      <c r="J1008" s="306">
        <v>0.9</v>
      </c>
      <c r="K1008" s="312">
        <v>426.0</v>
      </c>
      <c r="L1008" s="312"/>
      <c r="M1008" s="312">
        <v>248.0</v>
      </c>
      <c r="N1008" s="312"/>
      <c r="O1008" s="312"/>
      <c r="P1008" s="315">
        <v>42433.0</v>
      </c>
      <c r="Q1008" s="312">
        <v>370.0</v>
      </c>
      <c r="R1008" s="312">
        <v>426.0</v>
      </c>
      <c r="S1008" s="316"/>
      <c r="T1008" s="317">
        <v>431.39</v>
      </c>
      <c r="U1008" s="312" t="s">
        <v>1366</v>
      </c>
      <c r="V1008" s="312" t="s">
        <v>1367</v>
      </c>
      <c r="W1008" s="50"/>
      <c r="X1008" s="50"/>
      <c r="Y1008" s="50"/>
      <c r="Z1008" s="312"/>
      <c r="AA1008" s="50"/>
      <c r="AB1008" s="50"/>
      <c r="AC1008" s="50"/>
      <c r="AD1008" s="50"/>
      <c r="AE1008" s="50"/>
    </row>
    <row r="1009">
      <c r="A1009" s="307">
        <v>42624.399305555555</v>
      </c>
      <c r="B1009" s="312" t="s">
        <v>801</v>
      </c>
      <c r="C1009" s="303" t="s">
        <v>1177</v>
      </c>
      <c r="D1009" s="303" t="s">
        <v>1178</v>
      </c>
      <c r="E1009" s="315">
        <v>42432.0</v>
      </c>
      <c r="F1009" s="312" t="s">
        <v>36</v>
      </c>
      <c r="G1009" s="303" t="s">
        <v>1180</v>
      </c>
      <c r="H1009" s="303" t="s">
        <v>1181</v>
      </c>
      <c r="I1009" s="303" t="s">
        <v>1186</v>
      </c>
      <c r="J1009" s="306">
        <v>0.9</v>
      </c>
      <c r="K1009" s="50"/>
      <c r="L1009" s="312"/>
      <c r="M1009" s="312">
        <v>220.0</v>
      </c>
      <c r="N1009" s="312"/>
      <c r="O1009" s="312"/>
      <c r="P1009" s="315">
        <v>42624.0</v>
      </c>
      <c r="Q1009" s="312">
        <v>20147.0</v>
      </c>
      <c r="R1009" s="312">
        <v>428.0</v>
      </c>
      <c r="S1009" s="316"/>
      <c r="T1009" s="317">
        <v>433.42</v>
      </c>
      <c r="U1009" s="312" t="s">
        <v>1366</v>
      </c>
      <c r="V1009" s="312" t="s">
        <v>1367</v>
      </c>
      <c r="W1009" s="50"/>
      <c r="X1009" s="50"/>
      <c r="Y1009" s="50"/>
      <c r="Z1009" s="312"/>
      <c r="AA1009" s="50"/>
      <c r="AB1009" s="50"/>
      <c r="AC1009" s="50"/>
      <c r="AD1009" s="50"/>
      <c r="AE1009" s="50"/>
    </row>
    <row r="1010">
      <c r="A1010" s="307">
        <v>42875.54027777778</v>
      </c>
      <c r="B1010" s="312" t="s">
        <v>876</v>
      </c>
      <c r="C1010" s="303" t="s">
        <v>1177</v>
      </c>
      <c r="D1010" s="303" t="s">
        <v>1178</v>
      </c>
      <c r="E1010" s="315">
        <v>42789.0</v>
      </c>
      <c r="F1010" s="312" t="s">
        <v>43</v>
      </c>
      <c r="G1010" s="303" t="s">
        <v>1179</v>
      </c>
      <c r="H1010" s="303" t="s">
        <v>1179</v>
      </c>
      <c r="I1010" s="303" t="s">
        <v>1186</v>
      </c>
      <c r="J1010" s="306">
        <v>0.9</v>
      </c>
      <c r="K1010" s="312">
        <v>460.0</v>
      </c>
      <c r="L1010" s="312"/>
      <c r="M1010" s="312">
        <v>214.0</v>
      </c>
      <c r="N1010" s="312"/>
      <c r="O1010" s="312"/>
      <c r="P1010" s="315">
        <v>42875.0</v>
      </c>
      <c r="Q1010" s="312">
        <v>8600.0</v>
      </c>
      <c r="R1010" s="312">
        <v>455.0</v>
      </c>
      <c r="S1010" s="316"/>
      <c r="T1010" s="317">
        <v>460.76</v>
      </c>
      <c r="U1010" s="312" t="s">
        <v>1366</v>
      </c>
      <c r="V1010" s="312" t="s">
        <v>1367</v>
      </c>
      <c r="W1010" s="50"/>
      <c r="X1010" s="50"/>
      <c r="Y1010" s="50"/>
      <c r="Z1010" s="312"/>
      <c r="AA1010" s="50"/>
      <c r="AB1010" s="50"/>
      <c r="AC1010" s="50"/>
      <c r="AD1010" s="50"/>
      <c r="AE1010" s="50"/>
    </row>
    <row r="1011">
      <c r="A1011" s="307">
        <v>42936.56319444445</v>
      </c>
      <c r="B1011" s="312" t="s">
        <v>876</v>
      </c>
      <c r="C1011" s="303" t="s">
        <v>1177</v>
      </c>
      <c r="D1011" s="303" t="s">
        <v>1178</v>
      </c>
      <c r="E1011" s="315">
        <v>42789.0</v>
      </c>
      <c r="F1011" s="312" t="s">
        <v>43</v>
      </c>
      <c r="G1011" s="303" t="s">
        <v>1179</v>
      </c>
      <c r="H1011" s="303" t="s">
        <v>1180</v>
      </c>
      <c r="I1011" s="303" t="s">
        <v>1181</v>
      </c>
      <c r="J1011" s="306">
        <v>0.9</v>
      </c>
      <c r="K1011" s="312">
        <v>460.0</v>
      </c>
      <c r="L1011" s="312"/>
      <c r="M1011" s="312">
        <v>207.0</v>
      </c>
      <c r="N1011" s="312"/>
      <c r="O1011" s="312"/>
      <c r="P1011" s="315">
        <v>42936.0</v>
      </c>
      <c r="Q1011" s="312">
        <v>13977.0</v>
      </c>
      <c r="R1011" s="312">
        <v>453.0</v>
      </c>
      <c r="S1011" s="316"/>
      <c r="T1011" s="317">
        <v>458.73</v>
      </c>
      <c r="U1011" s="312" t="s">
        <v>1366</v>
      </c>
      <c r="V1011" s="312" t="s">
        <v>1367</v>
      </c>
      <c r="W1011" s="50"/>
      <c r="X1011" s="50"/>
      <c r="Y1011" s="50"/>
      <c r="Z1011" s="312"/>
      <c r="AA1011" s="50"/>
      <c r="AB1011" s="50"/>
      <c r="AC1011" s="50"/>
      <c r="AD1011" s="50"/>
      <c r="AE1011" s="50"/>
    </row>
    <row r="1012">
      <c r="A1012" s="307">
        <v>42968.583333333336</v>
      </c>
      <c r="B1012" s="312" t="s">
        <v>967</v>
      </c>
      <c r="C1012" s="303" t="s">
        <v>1177</v>
      </c>
      <c r="D1012" s="303" t="s">
        <v>1178</v>
      </c>
      <c r="E1012" s="315">
        <v>42551.0</v>
      </c>
      <c r="F1012" s="312" t="s">
        <v>43</v>
      </c>
      <c r="G1012" s="303" t="s">
        <v>1203</v>
      </c>
      <c r="H1012" s="303" t="s">
        <v>1181</v>
      </c>
      <c r="I1012" s="303" t="s">
        <v>1179</v>
      </c>
      <c r="J1012" s="306">
        <v>0.6</v>
      </c>
      <c r="K1012" s="50"/>
      <c r="L1012" s="312"/>
      <c r="M1012" s="312">
        <v>216.0</v>
      </c>
      <c r="N1012" s="312"/>
      <c r="O1012" s="312"/>
      <c r="P1012" s="315">
        <v>42968.0</v>
      </c>
      <c r="Q1012" s="312">
        <v>45389.0</v>
      </c>
      <c r="R1012" s="312">
        <v>425.0</v>
      </c>
      <c r="S1012" s="316"/>
      <c r="T1012" s="317">
        <v>430.38</v>
      </c>
      <c r="U1012" s="312" t="s">
        <v>1366</v>
      </c>
      <c r="V1012" s="312" t="s">
        <v>1367</v>
      </c>
      <c r="W1012" s="50"/>
      <c r="X1012" s="50"/>
      <c r="Y1012" s="50"/>
      <c r="Z1012" s="312"/>
      <c r="AA1012" s="50"/>
      <c r="AB1012" s="50"/>
      <c r="AC1012" s="50"/>
      <c r="AD1012" s="50"/>
      <c r="AE1012" s="50"/>
    </row>
    <row r="1013">
      <c r="A1013" s="307">
        <v>43201.71875</v>
      </c>
      <c r="B1013" s="312" t="s">
        <v>967</v>
      </c>
      <c r="C1013" s="303" t="s">
        <v>1177</v>
      </c>
      <c r="D1013" s="303" t="s">
        <v>1178</v>
      </c>
      <c r="E1013" s="315">
        <v>42551.0</v>
      </c>
      <c r="F1013" s="312" t="s">
        <v>43</v>
      </c>
      <c r="G1013" s="303" t="s">
        <v>1205</v>
      </c>
      <c r="H1013" s="303" t="s">
        <v>1186</v>
      </c>
      <c r="I1013" s="303" t="s">
        <v>1181</v>
      </c>
      <c r="J1013" s="306">
        <v>0.6</v>
      </c>
      <c r="K1013" s="50"/>
      <c r="L1013" s="312"/>
      <c r="M1013" s="312">
        <v>217.0</v>
      </c>
      <c r="N1013" s="312"/>
      <c r="O1013" s="312"/>
      <c r="P1013" s="315">
        <v>43201.0</v>
      </c>
      <c r="Q1013" s="312">
        <v>74117.0</v>
      </c>
      <c r="R1013" s="312">
        <v>422.0</v>
      </c>
      <c r="S1013" s="316"/>
      <c r="T1013" s="317">
        <v>422.0</v>
      </c>
      <c r="U1013" s="312" t="s">
        <v>1369</v>
      </c>
      <c r="V1013" s="312" t="s">
        <v>1367</v>
      </c>
      <c r="W1013" s="50"/>
      <c r="X1013" s="50"/>
      <c r="Y1013" s="50"/>
      <c r="Z1013" s="312"/>
      <c r="AA1013" s="50"/>
      <c r="AB1013" s="50"/>
      <c r="AC1013" s="50"/>
      <c r="AD1013" s="50"/>
      <c r="AE1013" s="50"/>
    </row>
    <row r="1014">
      <c r="A1014" s="307">
        <v>42359.25833333333</v>
      </c>
      <c r="B1014" s="312" t="s">
        <v>1073</v>
      </c>
      <c r="C1014" s="303" t="s">
        <v>1177</v>
      </c>
      <c r="D1014" s="303" t="s">
        <v>1178</v>
      </c>
      <c r="E1014" s="315">
        <v>42271.0</v>
      </c>
      <c r="F1014" s="312" t="s">
        <v>22</v>
      </c>
      <c r="G1014" s="303" t="s">
        <v>1181</v>
      </c>
      <c r="H1014" s="303" t="s">
        <v>1180</v>
      </c>
      <c r="I1014" s="303" t="s">
        <v>1181</v>
      </c>
      <c r="J1014" s="306">
        <v>0.9</v>
      </c>
      <c r="K1014" s="312">
        <v>365.0</v>
      </c>
      <c r="L1014" s="312"/>
      <c r="M1014" s="312">
        <v>233.0</v>
      </c>
      <c r="N1014" s="312"/>
      <c r="O1014" s="312"/>
      <c r="P1014" s="315">
        <v>42359.0</v>
      </c>
      <c r="Q1014" s="312">
        <v>3000.0</v>
      </c>
      <c r="R1014" s="312">
        <v>368.0</v>
      </c>
      <c r="S1014" s="316"/>
      <c r="T1014" s="317">
        <v>368.0</v>
      </c>
      <c r="U1014" s="312" t="s">
        <v>1369</v>
      </c>
      <c r="V1014" s="312" t="s">
        <v>1367</v>
      </c>
      <c r="W1014" s="50"/>
      <c r="X1014" s="50"/>
      <c r="Y1014" s="50"/>
      <c r="Z1014" s="312"/>
      <c r="AA1014" s="50"/>
      <c r="AB1014" s="50"/>
      <c r="AC1014" s="50"/>
      <c r="AD1014" s="50"/>
      <c r="AE1014" s="50"/>
    </row>
    <row r="1015">
      <c r="A1015" s="307">
        <v>42359.325</v>
      </c>
      <c r="B1015" s="312" t="s">
        <v>1073</v>
      </c>
      <c r="C1015" s="303" t="s">
        <v>1177</v>
      </c>
      <c r="D1015" s="303" t="s">
        <v>1178</v>
      </c>
      <c r="E1015" s="315">
        <v>42271.0</v>
      </c>
      <c r="F1015" s="312" t="s">
        <v>22</v>
      </c>
      <c r="G1015" s="303" t="s">
        <v>1181</v>
      </c>
      <c r="H1015" s="303" t="s">
        <v>1180</v>
      </c>
      <c r="I1015" s="303" t="s">
        <v>1181</v>
      </c>
      <c r="J1015" s="306">
        <v>0.9</v>
      </c>
      <c r="K1015" s="312">
        <v>365.0</v>
      </c>
      <c r="L1015" s="312"/>
      <c r="M1015" s="312">
        <v>220.0</v>
      </c>
      <c r="N1015" s="312"/>
      <c r="O1015" s="312"/>
      <c r="P1015" s="315">
        <v>42359.0</v>
      </c>
      <c r="Q1015" s="312">
        <v>7800.0</v>
      </c>
      <c r="R1015" s="312">
        <v>358.0</v>
      </c>
      <c r="S1015" s="316"/>
      <c r="T1015" s="317">
        <v>362.53</v>
      </c>
      <c r="U1015" s="312" t="s">
        <v>1366</v>
      </c>
      <c r="V1015" s="312" t="s">
        <v>1367</v>
      </c>
      <c r="W1015" s="50"/>
      <c r="X1015" s="50"/>
      <c r="Y1015" s="50"/>
      <c r="Z1015" s="312"/>
      <c r="AA1015" s="312" t="s">
        <v>1624</v>
      </c>
      <c r="AB1015" s="50"/>
      <c r="AC1015" s="50"/>
      <c r="AD1015" s="50"/>
      <c r="AE1015" s="50"/>
    </row>
    <row r="1016">
      <c r="A1016" s="307">
        <v>43045.631944444445</v>
      </c>
      <c r="B1016" s="312" t="s">
        <v>1073</v>
      </c>
      <c r="C1016" s="303" t="s">
        <v>1177</v>
      </c>
      <c r="D1016" s="303" t="s">
        <v>1178</v>
      </c>
      <c r="E1016" s="315">
        <v>42551.0</v>
      </c>
      <c r="F1016" s="312" t="s">
        <v>43</v>
      </c>
      <c r="G1016" s="303" t="s">
        <v>1203</v>
      </c>
      <c r="H1016" s="303" t="s">
        <v>1181</v>
      </c>
      <c r="I1016" s="303" t="s">
        <v>1190</v>
      </c>
      <c r="J1016" s="306">
        <v>0.5</v>
      </c>
      <c r="K1016" s="50"/>
      <c r="L1016" s="312"/>
      <c r="M1016" s="312">
        <v>213.0</v>
      </c>
      <c r="N1016" s="312"/>
      <c r="O1016" s="312"/>
      <c r="P1016" s="315">
        <v>43045.0</v>
      </c>
      <c r="Q1016" s="312">
        <v>55961.0</v>
      </c>
      <c r="R1016" s="312">
        <v>424.0</v>
      </c>
      <c r="S1016" s="316"/>
      <c r="T1016" s="317">
        <v>424.0</v>
      </c>
      <c r="U1016" s="312" t="s">
        <v>1369</v>
      </c>
      <c r="V1016" s="312" t="s">
        <v>1367</v>
      </c>
      <c r="W1016" s="50"/>
      <c r="X1016" s="50"/>
      <c r="Y1016" s="50"/>
      <c r="Z1016" s="312"/>
      <c r="AA1016" s="50"/>
      <c r="AB1016" s="50"/>
      <c r="AC1016" s="50"/>
      <c r="AD1016" s="50"/>
      <c r="AE1016" s="50"/>
    </row>
    <row r="1017">
      <c r="A1017" s="307">
        <v>41908.020833333336</v>
      </c>
      <c r="B1017" s="50" t="s">
        <v>852</v>
      </c>
      <c r="C1017" s="303" t="s">
        <v>1177</v>
      </c>
      <c r="D1017" s="303" t="s">
        <v>1178</v>
      </c>
      <c r="E1017" s="310">
        <v>41794.0</v>
      </c>
      <c r="F1017" s="312" t="s">
        <v>32</v>
      </c>
      <c r="G1017" s="303" t="s">
        <v>1186</v>
      </c>
      <c r="H1017" s="303" t="s">
        <v>1180</v>
      </c>
      <c r="I1017" s="303" t="s">
        <v>1186</v>
      </c>
      <c r="J1017" s="306"/>
      <c r="K1017" s="50"/>
      <c r="L1017" s="50"/>
      <c r="M1017" s="50">
        <v>247.0</v>
      </c>
      <c r="N1017" s="50"/>
      <c r="O1017" s="312"/>
      <c r="P1017" s="310">
        <v>41908.0</v>
      </c>
      <c r="Q1017" s="50">
        <v>6548.0</v>
      </c>
      <c r="R1017" s="50">
        <v>385.0</v>
      </c>
      <c r="S1017" s="318"/>
      <c r="T1017" s="317">
        <v>388.89</v>
      </c>
      <c r="U1017" s="312" t="s">
        <v>1407</v>
      </c>
      <c r="V1017" s="312" t="s">
        <v>1367</v>
      </c>
      <c r="W1017" s="50"/>
      <c r="X1017" s="50"/>
      <c r="Y1017" s="50"/>
      <c r="Z1017" s="312"/>
      <c r="AA1017" s="50" t="s">
        <v>1625</v>
      </c>
      <c r="AB1017" s="50"/>
      <c r="AC1017" s="50"/>
      <c r="AD1017" s="50"/>
      <c r="AE1017" s="50"/>
    </row>
    <row r="1018">
      <c r="A1018" s="307">
        <v>42124.10902777778</v>
      </c>
      <c r="B1018" s="312" t="s">
        <v>852</v>
      </c>
      <c r="C1018" s="303" t="s">
        <v>1177</v>
      </c>
      <c r="D1018" s="303" t="s">
        <v>1178</v>
      </c>
      <c r="E1018" s="315">
        <v>41794.0</v>
      </c>
      <c r="F1018" s="312" t="s">
        <v>32</v>
      </c>
      <c r="G1018" s="303" t="s">
        <v>1180</v>
      </c>
      <c r="H1018" s="303" t="s">
        <v>1180</v>
      </c>
      <c r="I1018" s="303" t="s">
        <v>1181</v>
      </c>
      <c r="J1018" s="306"/>
      <c r="K1018" s="50"/>
      <c r="L1018" s="312"/>
      <c r="M1018" s="312">
        <v>273.0</v>
      </c>
      <c r="N1018" s="50"/>
      <c r="O1018" s="312"/>
      <c r="P1018" s="315">
        <v>42124.0</v>
      </c>
      <c r="Q1018" s="312">
        <v>16011.0</v>
      </c>
      <c r="R1018" s="312">
        <v>383.0</v>
      </c>
      <c r="S1018" s="316"/>
      <c r="T1018" s="317">
        <v>387.85</v>
      </c>
      <c r="U1018" s="312" t="s">
        <v>1366</v>
      </c>
      <c r="V1018" s="312" t="s">
        <v>1367</v>
      </c>
      <c r="W1018" s="50"/>
      <c r="X1018" s="50"/>
      <c r="Y1018" s="50"/>
      <c r="Z1018" s="312"/>
      <c r="AA1018" s="50"/>
      <c r="AB1018" s="50"/>
      <c r="AC1018" s="50"/>
      <c r="AD1018" s="50"/>
      <c r="AE1018" s="50"/>
    </row>
    <row r="1019">
      <c r="A1019" s="307">
        <v>42302.770833333336</v>
      </c>
      <c r="B1019" s="312" t="s">
        <v>1060</v>
      </c>
      <c r="C1019" s="312" t="s">
        <v>1184</v>
      </c>
      <c r="D1019" s="303" t="s">
        <v>1185</v>
      </c>
      <c r="E1019" s="315">
        <v>41801.0</v>
      </c>
      <c r="F1019" s="312" t="s">
        <v>12</v>
      </c>
      <c r="G1019" s="303" t="s">
        <v>1187</v>
      </c>
      <c r="H1019" s="303" t="s">
        <v>1186</v>
      </c>
      <c r="I1019" s="303" t="s">
        <v>1187</v>
      </c>
      <c r="J1019" s="306">
        <v>0.8</v>
      </c>
      <c r="K1019" s="50"/>
      <c r="L1019" s="312"/>
      <c r="M1019" s="312">
        <v>323.0</v>
      </c>
      <c r="N1019" s="312"/>
      <c r="O1019" s="312"/>
      <c r="P1019" s="315">
        <v>42302.0</v>
      </c>
      <c r="Q1019" s="312">
        <v>16217.0</v>
      </c>
      <c r="R1019" s="312">
        <v>174.0</v>
      </c>
      <c r="S1019" s="316"/>
      <c r="T1019" s="317">
        <v>176.2</v>
      </c>
      <c r="U1019" s="312" t="s">
        <v>1366</v>
      </c>
      <c r="V1019" s="312" t="s">
        <v>1367</v>
      </c>
      <c r="W1019" s="50"/>
      <c r="X1019" s="50"/>
      <c r="Y1019" s="50"/>
      <c r="Z1019" s="312"/>
      <c r="AA1019" s="312" t="s">
        <v>1626</v>
      </c>
      <c r="AB1019" s="50"/>
      <c r="AC1019" s="50"/>
      <c r="AD1019" s="50"/>
      <c r="AE1019" s="50"/>
    </row>
    <row r="1020">
      <c r="A1020" s="307">
        <v>42347.777083333334</v>
      </c>
      <c r="B1020" s="312" t="s">
        <v>1060</v>
      </c>
      <c r="C1020" s="312" t="s">
        <v>1184</v>
      </c>
      <c r="D1020" s="303" t="s">
        <v>1185</v>
      </c>
      <c r="E1020" s="315">
        <v>41801.0</v>
      </c>
      <c r="F1020" s="312" t="s">
        <v>12</v>
      </c>
      <c r="G1020" s="303" t="s">
        <v>1187</v>
      </c>
      <c r="H1020" s="303" t="s">
        <v>1186</v>
      </c>
      <c r="I1020" s="303" t="s">
        <v>1186</v>
      </c>
      <c r="J1020" s="306">
        <v>0.9</v>
      </c>
      <c r="K1020" s="50"/>
      <c r="L1020" s="312"/>
      <c r="M1020" s="312">
        <v>323.0</v>
      </c>
      <c r="N1020" s="312"/>
      <c r="O1020" s="312"/>
      <c r="P1020" s="315">
        <v>42347.0</v>
      </c>
      <c r="Q1020" s="312">
        <v>17679.0</v>
      </c>
      <c r="R1020" s="312">
        <v>178.0</v>
      </c>
      <c r="S1020" s="316"/>
      <c r="T1020" s="317">
        <v>180.25</v>
      </c>
      <c r="U1020" s="312" t="s">
        <v>1366</v>
      </c>
      <c r="V1020" s="312" t="s">
        <v>1367</v>
      </c>
      <c r="W1020" s="50"/>
      <c r="X1020" s="50"/>
      <c r="Y1020" s="50"/>
      <c r="Z1020" s="312"/>
      <c r="AA1020" s="312" t="s">
        <v>1627</v>
      </c>
      <c r="AB1020" s="50"/>
      <c r="AC1020" s="50"/>
      <c r="AD1020" s="50"/>
      <c r="AE1020" s="50"/>
    </row>
    <row r="1021">
      <c r="A1021" s="307">
        <v>42290.19652777778</v>
      </c>
      <c r="B1021" s="312" t="s">
        <v>1038</v>
      </c>
      <c r="C1021" s="303" t="s">
        <v>1177</v>
      </c>
      <c r="D1021" s="303" t="s">
        <v>1178</v>
      </c>
      <c r="E1021" s="315">
        <v>42037.0</v>
      </c>
      <c r="F1021" s="312" t="s">
        <v>30</v>
      </c>
      <c r="G1021" s="303" t="s">
        <v>1179</v>
      </c>
      <c r="H1021" s="303" t="s">
        <v>1181</v>
      </c>
      <c r="I1021" s="303" t="s">
        <v>1187</v>
      </c>
      <c r="J1021" s="306">
        <v>0.9</v>
      </c>
      <c r="K1021" s="312">
        <v>398.0</v>
      </c>
      <c r="L1021" s="312"/>
      <c r="M1021" s="312">
        <v>203.0</v>
      </c>
      <c r="N1021" s="312"/>
      <c r="O1021" s="312"/>
      <c r="P1021" s="315">
        <v>42290.0</v>
      </c>
      <c r="Q1021" s="312">
        <v>23000.0</v>
      </c>
      <c r="R1021" s="312">
        <v>389.0</v>
      </c>
      <c r="S1021" s="316"/>
      <c r="T1021" s="317">
        <v>389.0</v>
      </c>
      <c r="U1021" s="312" t="s">
        <v>1369</v>
      </c>
      <c r="V1021" s="312" t="s">
        <v>1367</v>
      </c>
      <c r="W1021" s="50"/>
      <c r="X1021" s="50"/>
      <c r="Y1021" s="50"/>
      <c r="Z1021" s="312"/>
      <c r="AA1021" s="50"/>
      <c r="AB1021" s="50"/>
      <c r="AC1021" s="50"/>
      <c r="AD1021" s="50"/>
      <c r="AE1021" s="50"/>
    </row>
    <row r="1022">
      <c r="A1022" s="307">
        <v>41908.021527777775</v>
      </c>
      <c r="B1022" s="50" t="s">
        <v>1018</v>
      </c>
      <c r="C1022" s="303" t="s">
        <v>1177</v>
      </c>
      <c r="D1022" s="303" t="s">
        <v>1178</v>
      </c>
      <c r="E1022" s="310">
        <v>41536.0</v>
      </c>
      <c r="F1022" s="312" t="s">
        <v>1370</v>
      </c>
      <c r="G1022" s="303" t="s">
        <v>1180</v>
      </c>
      <c r="H1022" s="303" t="s">
        <v>1180</v>
      </c>
      <c r="I1022" s="303" t="s">
        <v>1187</v>
      </c>
      <c r="J1022" s="306"/>
      <c r="K1022" s="50"/>
      <c r="L1022" s="50"/>
      <c r="M1022" s="312">
        <v>218.0</v>
      </c>
      <c r="N1022" s="50"/>
      <c r="O1022" s="312"/>
      <c r="P1022" s="310">
        <v>41908.0</v>
      </c>
      <c r="Q1022" s="50">
        <v>26000.0</v>
      </c>
      <c r="R1022" s="50">
        <v>388.0</v>
      </c>
      <c r="S1022" s="318"/>
      <c r="T1022" s="317">
        <v>391.92</v>
      </c>
      <c r="U1022" s="312" t="s">
        <v>1407</v>
      </c>
      <c r="V1022" s="312" t="s">
        <v>1367</v>
      </c>
      <c r="W1022" s="50"/>
      <c r="X1022" s="50"/>
      <c r="Y1022" s="50"/>
      <c r="Z1022" s="312"/>
      <c r="AA1022" s="312" t="s">
        <v>1628</v>
      </c>
      <c r="AB1022" s="50"/>
      <c r="AC1022" s="50"/>
      <c r="AD1022" s="50"/>
      <c r="AE1022" s="50"/>
    </row>
    <row r="1023">
      <c r="A1023" s="307">
        <v>42449.31041666667</v>
      </c>
      <c r="B1023" s="312" t="s">
        <v>346</v>
      </c>
      <c r="C1023" s="303" t="s">
        <v>1177</v>
      </c>
      <c r="D1023" s="303" t="s">
        <v>1178</v>
      </c>
      <c r="E1023" s="315">
        <v>42137.0</v>
      </c>
      <c r="F1023" s="312" t="s">
        <v>30</v>
      </c>
      <c r="G1023" s="303" t="s">
        <v>1190</v>
      </c>
      <c r="H1023" s="303" t="s">
        <v>1180</v>
      </c>
      <c r="I1023" s="303" t="s">
        <v>1181</v>
      </c>
      <c r="J1023" s="306">
        <v>0.8</v>
      </c>
      <c r="K1023" s="50"/>
      <c r="L1023" s="312"/>
      <c r="M1023" s="312">
        <v>212.0</v>
      </c>
      <c r="N1023" s="312"/>
      <c r="O1023" s="312"/>
      <c r="P1023" s="315">
        <v>42449.0</v>
      </c>
      <c r="Q1023" s="312">
        <v>28479.0</v>
      </c>
      <c r="R1023" s="312">
        <v>381.0</v>
      </c>
      <c r="S1023" s="316"/>
      <c r="T1023" s="317">
        <v>385.82</v>
      </c>
      <c r="U1023" s="312" t="s">
        <v>1366</v>
      </c>
      <c r="V1023" s="312" t="s">
        <v>1367</v>
      </c>
      <c r="W1023" s="50"/>
      <c r="X1023" s="50"/>
      <c r="Y1023" s="50"/>
      <c r="Z1023" s="312"/>
      <c r="AA1023" s="312"/>
      <c r="AB1023" s="50"/>
      <c r="AC1023" s="50"/>
      <c r="AD1023" s="50"/>
      <c r="AE1023" s="50"/>
    </row>
    <row r="1024">
      <c r="A1024" s="307">
        <v>42460.31805555556</v>
      </c>
      <c r="B1024" s="312" t="s">
        <v>346</v>
      </c>
      <c r="C1024" s="303" t="s">
        <v>1177</v>
      </c>
      <c r="D1024" s="303" t="s">
        <v>1178</v>
      </c>
      <c r="E1024" s="315">
        <v>42137.0</v>
      </c>
      <c r="F1024" s="312" t="s">
        <v>30</v>
      </c>
      <c r="G1024" s="312"/>
      <c r="H1024" s="312"/>
      <c r="I1024" s="312"/>
      <c r="J1024" s="306"/>
      <c r="K1024" s="50"/>
      <c r="L1024" s="312"/>
      <c r="M1024" s="312">
        <v>210.0</v>
      </c>
      <c r="N1024" s="312"/>
      <c r="O1024" s="312"/>
      <c r="P1024" s="315">
        <v>42460.0</v>
      </c>
      <c r="Q1024" s="312">
        <v>30311.0</v>
      </c>
      <c r="R1024" s="312">
        <v>388.0</v>
      </c>
      <c r="S1024" s="316"/>
      <c r="T1024" s="317">
        <v>388.0</v>
      </c>
      <c r="U1024" s="312" t="s">
        <v>1369</v>
      </c>
      <c r="V1024" s="312" t="s">
        <v>1367</v>
      </c>
      <c r="W1024" s="50"/>
      <c r="X1024" s="50"/>
      <c r="Y1024" s="50"/>
      <c r="Z1024" s="312"/>
      <c r="AA1024" s="50"/>
      <c r="AB1024" s="50"/>
      <c r="AC1024" s="50"/>
      <c r="AD1024" s="50"/>
      <c r="AE1024" s="50"/>
    </row>
    <row r="1025">
      <c r="A1025" s="307">
        <v>42526.34166666667</v>
      </c>
      <c r="B1025" s="312" t="s">
        <v>346</v>
      </c>
      <c r="C1025" s="303" t="s">
        <v>1177</v>
      </c>
      <c r="D1025" s="303" t="s">
        <v>1178</v>
      </c>
      <c r="E1025" s="315">
        <v>42137.0</v>
      </c>
      <c r="F1025" s="312" t="s">
        <v>30</v>
      </c>
      <c r="G1025" s="303" t="s">
        <v>1203</v>
      </c>
      <c r="H1025" s="303" t="s">
        <v>1180</v>
      </c>
      <c r="I1025" s="303" t="s">
        <v>1180</v>
      </c>
      <c r="J1025" s="306">
        <v>0.8</v>
      </c>
      <c r="K1025" s="50"/>
      <c r="L1025" s="312"/>
      <c r="M1025" s="312">
        <v>190.0</v>
      </c>
      <c r="N1025" s="312"/>
      <c r="O1025" s="312"/>
      <c r="P1025" s="315">
        <v>42526.0</v>
      </c>
      <c r="Q1025" s="312">
        <v>43806.0</v>
      </c>
      <c r="R1025" s="312">
        <v>383.0</v>
      </c>
      <c r="S1025" s="316"/>
      <c r="T1025" s="317">
        <v>383.0</v>
      </c>
      <c r="U1025" s="312" t="s">
        <v>1369</v>
      </c>
      <c r="V1025" s="312" t="s">
        <v>1367</v>
      </c>
      <c r="W1025" s="50"/>
      <c r="X1025" s="50"/>
      <c r="Y1025" s="50"/>
      <c r="Z1025" s="312"/>
      <c r="AA1025" s="50"/>
      <c r="AB1025" s="50"/>
      <c r="AC1025" s="50"/>
      <c r="AD1025" s="50"/>
      <c r="AE1025" s="50"/>
    </row>
    <row r="1026">
      <c r="A1026" s="307">
        <v>42595.37986111111</v>
      </c>
      <c r="B1026" s="312" t="s">
        <v>346</v>
      </c>
      <c r="C1026" s="303" t="s">
        <v>1177</v>
      </c>
      <c r="D1026" s="303" t="s">
        <v>1178</v>
      </c>
      <c r="E1026" s="315">
        <v>42137.0</v>
      </c>
      <c r="F1026" s="312" t="s">
        <v>30</v>
      </c>
      <c r="G1026" s="312"/>
      <c r="H1026" s="312"/>
      <c r="I1026" s="312"/>
      <c r="J1026" s="306"/>
      <c r="K1026" s="312"/>
      <c r="L1026" s="312"/>
      <c r="M1026" s="312">
        <v>200.0</v>
      </c>
      <c r="N1026" s="312"/>
      <c r="O1026" s="312"/>
      <c r="P1026" s="315">
        <v>42595.0</v>
      </c>
      <c r="Q1026" s="312">
        <v>60700.0</v>
      </c>
      <c r="R1026" s="312">
        <v>382.0</v>
      </c>
      <c r="S1026" s="316"/>
      <c r="T1026" s="317">
        <v>386.84</v>
      </c>
      <c r="U1026" s="312" t="s">
        <v>1366</v>
      </c>
      <c r="V1026" s="312" t="s">
        <v>1367</v>
      </c>
      <c r="W1026" s="50"/>
      <c r="X1026" s="50"/>
      <c r="Y1026" s="50"/>
      <c r="Z1026" s="312"/>
      <c r="AA1026" s="50"/>
      <c r="AB1026" s="50"/>
      <c r="AC1026" s="50"/>
      <c r="AD1026" s="50"/>
      <c r="AE1026" s="50"/>
    </row>
    <row r="1027">
      <c r="A1027" s="307">
        <v>43023.625</v>
      </c>
      <c r="B1027" s="312" t="s">
        <v>346</v>
      </c>
      <c r="C1027" s="303" t="s">
        <v>1177</v>
      </c>
      <c r="D1027" s="303" t="s">
        <v>1178</v>
      </c>
      <c r="E1027" s="315">
        <v>42137.0</v>
      </c>
      <c r="F1027" s="312" t="s">
        <v>30</v>
      </c>
      <c r="G1027" s="303" t="s">
        <v>1190</v>
      </c>
      <c r="H1027" s="303" t="s">
        <v>1180</v>
      </c>
      <c r="I1027" s="303" t="s">
        <v>1181</v>
      </c>
      <c r="J1027" s="306">
        <v>0.8</v>
      </c>
      <c r="K1027" s="50"/>
      <c r="L1027" s="312"/>
      <c r="M1027" s="312">
        <v>185.0</v>
      </c>
      <c r="N1027" s="312"/>
      <c r="O1027" s="312"/>
      <c r="P1027" s="315">
        <v>43023.0</v>
      </c>
      <c r="Q1027" s="312">
        <v>117055.0</v>
      </c>
      <c r="R1027" s="312">
        <v>375.0</v>
      </c>
      <c r="S1027" s="316"/>
      <c r="T1027" s="317">
        <v>379.75</v>
      </c>
      <c r="U1027" s="312" t="s">
        <v>1366</v>
      </c>
      <c r="V1027" s="312" t="s">
        <v>1367</v>
      </c>
      <c r="W1027" s="312">
        <v>375.0</v>
      </c>
      <c r="X1027" s="312">
        <v>3.0</v>
      </c>
      <c r="Y1027" s="312">
        <v>70.1</v>
      </c>
      <c r="Z1027" s="312" t="s">
        <v>1366</v>
      </c>
      <c r="AA1027" s="50"/>
      <c r="AB1027" s="50"/>
      <c r="AC1027" s="50"/>
      <c r="AD1027" s="50"/>
      <c r="AE1027" s="50"/>
    </row>
    <row r="1028">
      <c r="A1028" s="307">
        <v>42240.760416666664</v>
      </c>
      <c r="B1028" s="312" t="s">
        <v>974</v>
      </c>
      <c r="C1028" s="312" t="s">
        <v>1184</v>
      </c>
      <c r="D1028" s="303" t="s">
        <v>1185</v>
      </c>
      <c r="E1028" s="315">
        <v>42228.0</v>
      </c>
      <c r="F1028" s="312" t="s">
        <v>1512</v>
      </c>
      <c r="G1028" s="50"/>
      <c r="H1028" s="50"/>
      <c r="I1028" s="50"/>
      <c r="J1028" s="306"/>
      <c r="K1028" s="50"/>
      <c r="L1028" s="312"/>
      <c r="M1028" s="312">
        <v>318.0</v>
      </c>
      <c r="N1028" s="312"/>
      <c r="O1028" s="312"/>
      <c r="P1028" s="315">
        <v>42240.0</v>
      </c>
      <c r="Q1028" s="312">
        <v>864.0</v>
      </c>
      <c r="R1028" s="312">
        <v>283.0</v>
      </c>
      <c r="S1028" s="316"/>
      <c r="T1028" s="317">
        <v>286.58</v>
      </c>
      <c r="U1028" s="312" t="s">
        <v>1366</v>
      </c>
      <c r="V1028" s="312" t="s">
        <v>1367</v>
      </c>
      <c r="W1028" s="50"/>
      <c r="X1028" s="50"/>
      <c r="Y1028" s="50"/>
      <c r="Z1028" s="312"/>
      <c r="AA1028" s="312"/>
      <c r="AB1028" s="50"/>
      <c r="AC1028" s="50"/>
      <c r="AD1028" s="50"/>
      <c r="AE1028" s="50"/>
    </row>
    <row r="1029">
      <c r="A1029" s="307">
        <v>42310.77013888889</v>
      </c>
      <c r="B1029" s="312" t="s">
        <v>974</v>
      </c>
      <c r="C1029" s="312" t="s">
        <v>1184</v>
      </c>
      <c r="D1029" s="303" t="s">
        <v>1185</v>
      </c>
      <c r="E1029" s="315">
        <v>42228.0</v>
      </c>
      <c r="F1029" s="312" t="s">
        <v>1512</v>
      </c>
      <c r="G1029" s="303" t="s">
        <v>1205</v>
      </c>
      <c r="H1029" s="303" t="s">
        <v>1179</v>
      </c>
      <c r="I1029" s="303" t="s">
        <v>1186</v>
      </c>
      <c r="J1029" s="306">
        <v>0.9</v>
      </c>
      <c r="K1029" s="312">
        <v>283.0</v>
      </c>
      <c r="L1029" s="312"/>
      <c r="M1029" s="312">
        <v>316.0</v>
      </c>
      <c r="N1029" s="312"/>
      <c r="O1029" s="312"/>
      <c r="P1029" s="315">
        <v>42310.0</v>
      </c>
      <c r="Q1029" s="312">
        <v>4696.0</v>
      </c>
      <c r="R1029" s="312">
        <v>268.0</v>
      </c>
      <c r="S1029" s="316"/>
      <c r="T1029" s="317">
        <v>271.39</v>
      </c>
      <c r="U1029" s="312" t="s">
        <v>1366</v>
      </c>
      <c r="V1029" s="312" t="s">
        <v>1367</v>
      </c>
      <c r="W1029" s="50"/>
      <c r="X1029" s="50"/>
      <c r="Y1029" s="50"/>
      <c r="Z1029" s="312"/>
      <c r="AA1029" s="50"/>
      <c r="AB1029" s="50"/>
      <c r="AC1029" s="50"/>
      <c r="AD1029" s="50"/>
      <c r="AE1029" s="50"/>
    </row>
    <row r="1030">
      <c r="A1030" s="307">
        <v>42348.78194444445</v>
      </c>
      <c r="B1030" s="312" t="s">
        <v>974</v>
      </c>
      <c r="C1030" s="312" t="s">
        <v>1184</v>
      </c>
      <c r="D1030" s="303" t="s">
        <v>1185</v>
      </c>
      <c r="E1030" s="315">
        <v>42228.0</v>
      </c>
      <c r="F1030" s="312" t="s">
        <v>1512</v>
      </c>
      <c r="G1030" s="50"/>
      <c r="H1030" s="50"/>
      <c r="I1030" s="50"/>
      <c r="J1030" s="306"/>
      <c r="K1030" s="50"/>
      <c r="L1030" s="312"/>
      <c r="M1030" s="312">
        <v>318.0</v>
      </c>
      <c r="N1030" s="312"/>
      <c r="O1030" s="312"/>
      <c r="P1030" s="315">
        <v>42348.0</v>
      </c>
      <c r="Q1030" s="312">
        <v>8122.0</v>
      </c>
      <c r="R1030" s="312">
        <v>269.0</v>
      </c>
      <c r="S1030" s="316"/>
      <c r="T1030" s="317">
        <v>272.41</v>
      </c>
      <c r="U1030" s="312" t="s">
        <v>1366</v>
      </c>
      <c r="V1030" s="312" t="s">
        <v>1367</v>
      </c>
      <c r="W1030" s="50"/>
      <c r="X1030" s="50"/>
      <c r="Y1030" s="50"/>
      <c r="Z1030" s="312"/>
      <c r="AA1030" s="312"/>
      <c r="AB1030" s="50"/>
      <c r="AC1030" s="50"/>
      <c r="AD1030" s="50"/>
      <c r="AE1030" s="50"/>
    </row>
    <row r="1031">
      <c r="A1031" s="307">
        <v>42268.18402777778</v>
      </c>
      <c r="B1031" s="312" t="s">
        <v>1008</v>
      </c>
      <c r="C1031" s="303" t="s">
        <v>1177</v>
      </c>
      <c r="D1031" s="303" t="s">
        <v>1178</v>
      </c>
      <c r="E1031" s="315">
        <v>41701.0</v>
      </c>
      <c r="F1031" s="312" t="s">
        <v>34</v>
      </c>
      <c r="G1031" s="303" t="s">
        <v>1180</v>
      </c>
      <c r="H1031" s="303" t="s">
        <v>1181</v>
      </c>
      <c r="I1031" s="303" t="s">
        <v>1186</v>
      </c>
      <c r="J1031" s="306">
        <v>0.8</v>
      </c>
      <c r="K1031" s="50"/>
      <c r="L1031" s="312"/>
      <c r="M1031" s="312">
        <v>239.0</v>
      </c>
      <c r="N1031" s="312"/>
      <c r="O1031" s="312"/>
      <c r="P1031" s="315">
        <v>42268.0</v>
      </c>
      <c r="Q1031" s="312">
        <v>55125.0</v>
      </c>
      <c r="R1031" s="312">
        <v>365.0</v>
      </c>
      <c r="S1031" s="316"/>
      <c r="T1031" s="317">
        <v>365.0</v>
      </c>
      <c r="U1031" s="312" t="s">
        <v>1369</v>
      </c>
      <c r="V1031" s="312" t="s">
        <v>1367</v>
      </c>
      <c r="W1031" s="50"/>
      <c r="X1031" s="50"/>
      <c r="Y1031" s="50"/>
      <c r="Z1031" s="312"/>
      <c r="AA1031" s="312" t="s">
        <v>1629</v>
      </c>
      <c r="AB1031" s="50"/>
      <c r="AC1031" s="50"/>
      <c r="AD1031" s="50"/>
      <c r="AE1031" s="50"/>
    </row>
    <row r="1032">
      <c r="A1032" s="307">
        <v>42281.77222222222</v>
      </c>
      <c r="B1032" s="312" t="s">
        <v>1024</v>
      </c>
      <c r="C1032" s="312" t="s">
        <v>1184</v>
      </c>
      <c r="D1032" s="303" t="s">
        <v>1185</v>
      </c>
      <c r="E1032" s="315">
        <v>41673.0</v>
      </c>
      <c r="F1032" s="312" t="s">
        <v>30</v>
      </c>
      <c r="G1032" s="303" t="s">
        <v>1181</v>
      </c>
      <c r="H1032" s="303" t="s">
        <v>1181</v>
      </c>
      <c r="I1032" s="303" t="s">
        <v>1187</v>
      </c>
      <c r="J1032" s="306">
        <v>0.9</v>
      </c>
      <c r="K1032" s="312">
        <v>265.0</v>
      </c>
      <c r="L1032" s="312"/>
      <c r="M1032" s="312">
        <v>291.0</v>
      </c>
      <c r="N1032" s="312"/>
      <c r="O1032" s="312"/>
      <c r="P1032" s="315">
        <v>42281.0</v>
      </c>
      <c r="Q1032" s="312">
        <v>22300.0</v>
      </c>
      <c r="R1032" s="312">
        <v>264.0</v>
      </c>
      <c r="S1032" s="316"/>
      <c r="T1032" s="317">
        <v>264.0</v>
      </c>
      <c r="U1032" s="312" t="s">
        <v>1369</v>
      </c>
      <c r="V1032" s="312" t="s">
        <v>1367</v>
      </c>
      <c r="W1032" s="50"/>
      <c r="X1032" s="50"/>
      <c r="Y1032" s="50"/>
      <c r="Z1032" s="312"/>
      <c r="AA1032" s="50"/>
      <c r="AB1032" s="50"/>
      <c r="AC1032" s="50"/>
      <c r="AD1032" s="50"/>
      <c r="AE1032" s="50"/>
    </row>
    <row r="1033">
      <c r="A1033" s="307">
        <v>43125.67916666667</v>
      </c>
      <c r="B1033" s="312" t="s">
        <v>1630</v>
      </c>
      <c r="C1033" s="303" t="s">
        <v>1177</v>
      </c>
      <c r="D1033" s="303" t="s">
        <v>1178</v>
      </c>
      <c r="E1033" s="315">
        <v>42716.0</v>
      </c>
      <c r="F1033" s="312" t="s">
        <v>25</v>
      </c>
      <c r="G1033" s="303" t="s">
        <v>1203</v>
      </c>
      <c r="H1033" s="303" t="s">
        <v>1179</v>
      </c>
      <c r="I1033" s="303" t="s">
        <v>1179</v>
      </c>
      <c r="J1033" s="306">
        <v>0.9</v>
      </c>
      <c r="K1033" s="312">
        <v>380.0</v>
      </c>
      <c r="L1033" s="312"/>
      <c r="M1033" s="312">
        <v>206.0</v>
      </c>
      <c r="N1033" s="312"/>
      <c r="O1033" s="312"/>
      <c r="P1033" s="315">
        <v>43125.0</v>
      </c>
      <c r="Q1033" s="312">
        <v>56000.0</v>
      </c>
      <c r="R1033" s="312">
        <v>370.0</v>
      </c>
      <c r="S1033" s="316"/>
      <c r="T1033" s="317">
        <v>370.0</v>
      </c>
      <c r="U1033" s="312" t="s">
        <v>1369</v>
      </c>
      <c r="V1033" s="312" t="s">
        <v>1367</v>
      </c>
      <c r="W1033" s="50"/>
      <c r="X1033" s="50"/>
      <c r="Y1033" s="50"/>
      <c r="Z1033" s="312"/>
      <c r="AA1033" s="50"/>
      <c r="AB1033" s="50"/>
      <c r="AC1033" s="50"/>
      <c r="AD1033" s="50"/>
      <c r="AE1033" s="50"/>
    </row>
    <row r="1034">
      <c r="A1034" s="307">
        <v>43135.69027777778</v>
      </c>
      <c r="B1034" s="312" t="s">
        <v>1631</v>
      </c>
      <c r="C1034" s="303" t="s">
        <v>1177</v>
      </c>
      <c r="D1034" s="303" t="s">
        <v>1178</v>
      </c>
      <c r="E1034" s="315">
        <v>42181.0</v>
      </c>
      <c r="F1034" s="312" t="s">
        <v>38</v>
      </c>
      <c r="G1034" s="303" t="s">
        <v>1203</v>
      </c>
      <c r="H1034" s="303" t="s">
        <v>1181</v>
      </c>
      <c r="I1034" s="303" t="s">
        <v>1181</v>
      </c>
      <c r="J1034" s="306">
        <v>0.8</v>
      </c>
      <c r="K1034" s="50"/>
      <c r="L1034" s="312"/>
      <c r="M1034" s="312">
        <v>234.0</v>
      </c>
      <c r="N1034" s="312"/>
      <c r="O1034" s="312"/>
      <c r="P1034" s="315">
        <v>43135.0</v>
      </c>
      <c r="Q1034" s="312">
        <v>112572.0</v>
      </c>
      <c r="R1034" s="312">
        <v>373.0</v>
      </c>
      <c r="S1034" s="316"/>
      <c r="T1034" s="317">
        <v>373.0</v>
      </c>
      <c r="U1034" s="312" t="s">
        <v>1369</v>
      </c>
      <c r="V1034" s="312" t="s">
        <v>1367</v>
      </c>
      <c r="W1034" s="50"/>
      <c r="X1034" s="50"/>
      <c r="Y1034" s="50"/>
      <c r="Z1034" s="312"/>
      <c r="AA1034" s="50"/>
      <c r="AB1034" s="50"/>
      <c r="AC1034" s="50"/>
      <c r="AD1034" s="50"/>
      <c r="AE1034" s="50"/>
    </row>
    <row r="1035">
      <c r="A1035" s="307">
        <v>42881.834027777775</v>
      </c>
      <c r="B1035" s="312" t="s">
        <v>880</v>
      </c>
      <c r="C1035" s="312" t="s">
        <v>1184</v>
      </c>
      <c r="D1035" s="303" t="s">
        <v>1185</v>
      </c>
      <c r="E1035" s="315">
        <v>42088.0</v>
      </c>
      <c r="F1035" s="312" t="s">
        <v>36</v>
      </c>
      <c r="G1035" s="50"/>
      <c r="H1035" s="50"/>
      <c r="I1035" s="50"/>
      <c r="J1035" s="306"/>
      <c r="K1035" s="50"/>
      <c r="L1035" s="312"/>
      <c r="M1035" s="312">
        <v>318.0</v>
      </c>
      <c r="N1035" s="312"/>
      <c r="O1035" s="312"/>
      <c r="P1035" s="315">
        <v>42881.0</v>
      </c>
      <c r="Q1035" s="312">
        <v>32123.0</v>
      </c>
      <c r="R1035" s="312">
        <v>265.0</v>
      </c>
      <c r="S1035" s="316"/>
      <c r="T1035" s="317">
        <v>268.35</v>
      </c>
      <c r="U1035" s="312" t="s">
        <v>1366</v>
      </c>
      <c r="V1035" s="312" t="s">
        <v>1367</v>
      </c>
      <c r="W1035" s="50"/>
      <c r="X1035" s="50"/>
      <c r="Y1035" s="50"/>
      <c r="Z1035" s="312"/>
      <c r="AA1035" s="50"/>
      <c r="AB1035" s="50"/>
      <c r="AC1035" s="50"/>
      <c r="AD1035" s="50"/>
      <c r="AE1035" s="50"/>
    </row>
    <row r="1036">
      <c r="A1036" s="307">
        <v>41902.006944444445</v>
      </c>
      <c r="B1036" s="50" t="s">
        <v>850</v>
      </c>
      <c r="C1036" s="303" t="s">
        <v>1177</v>
      </c>
      <c r="D1036" s="303" t="s">
        <v>1178</v>
      </c>
      <c r="E1036" s="310">
        <v>41867.0</v>
      </c>
      <c r="F1036" s="50" t="s">
        <v>32</v>
      </c>
      <c r="G1036" s="303" t="s">
        <v>1187</v>
      </c>
      <c r="H1036" s="303" t="s">
        <v>1190</v>
      </c>
      <c r="I1036" s="303" t="s">
        <v>1187</v>
      </c>
      <c r="J1036" s="306"/>
      <c r="K1036" s="50"/>
      <c r="L1036" s="50"/>
      <c r="M1036" s="50">
        <v>224.0</v>
      </c>
      <c r="N1036" s="50"/>
      <c r="O1036" s="312"/>
      <c r="P1036" s="310">
        <v>41902.0</v>
      </c>
      <c r="Q1036" s="50">
        <v>3434.0</v>
      </c>
      <c r="R1036" s="50">
        <v>394.0</v>
      </c>
      <c r="S1036" s="318"/>
      <c r="T1036" s="317">
        <v>397.98</v>
      </c>
      <c r="U1036" s="50" t="s">
        <v>1407</v>
      </c>
      <c r="V1036" s="312" t="s">
        <v>1367</v>
      </c>
      <c r="W1036" s="50"/>
      <c r="X1036" s="50"/>
      <c r="Y1036" s="50"/>
      <c r="Z1036" s="312"/>
      <c r="AA1036" s="50"/>
      <c r="AB1036" s="50"/>
      <c r="AC1036" s="50"/>
      <c r="AD1036" s="50"/>
      <c r="AE1036" s="50"/>
    </row>
    <row r="1037">
      <c r="A1037" s="307">
        <v>41957.038194444445</v>
      </c>
      <c r="B1037" s="50" t="s">
        <v>850</v>
      </c>
      <c r="C1037" s="303" t="s">
        <v>1177</v>
      </c>
      <c r="D1037" s="303" t="s">
        <v>1178</v>
      </c>
      <c r="E1037" s="310">
        <v>41867.0</v>
      </c>
      <c r="F1037" s="312" t="s">
        <v>32</v>
      </c>
      <c r="G1037" s="303" t="s">
        <v>1179</v>
      </c>
      <c r="H1037" s="303" t="s">
        <v>1190</v>
      </c>
      <c r="I1037" s="303" t="s">
        <v>1180</v>
      </c>
      <c r="J1037" s="306"/>
      <c r="K1037" s="50"/>
      <c r="L1037" s="50"/>
      <c r="M1037" s="50">
        <v>229.0</v>
      </c>
      <c r="N1037" s="50"/>
      <c r="O1037" s="312"/>
      <c r="P1037" s="310">
        <v>41957.0</v>
      </c>
      <c r="Q1037" s="50">
        <v>8000.0</v>
      </c>
      <c r="R1037" s="50">
        <v>388.0</v>
      </c>
      <c r="S1037" s="318"/>
      <c r="T1037" s="317">
        <v>392.91</v>
      </c>
      <c r="U1037" s="312" t="s">
        <v>1366</v>
      </c>
      <c r="V1037" s="312" t="s">
        <v>1367</v>
      </c>
      <c r="W1037" s="50"/>
      <c r="X1037" s="50"/>
      <c r="Y1037" s="50"/>
      <c r="Z1037" s="312"/>
      <c r="AA1037" s="50" t="s">
        <v>1632</v>
      </c>
      <c r="AB1037" s="50"/>
      <c r="AC1037" s="50"/>
      <c r="AD1037" s="50"/>
      <c r="AE1037" s="50"/>
    </row>
    <row r="1038">
      <c r="A1038" s="307">
        <v>42121.106944444444</v>
      </c>
      <c r="B1038" s="312" t="s">
        <v>850</v>
      </c>
      <c r="C1038" s="303" t="s">
        <v>1177</v>
      </c>
      <c r="D1038" s="303" t="s">
        <v>1178</v>
      </c>
      <c r="E1038" s="315">
        <v>41867.0</v>
      </c>
      <c r="F1038" s="312" t="s">
        <v>32</v>
      </c>
      <c r="G1038" s="303" t="s">
        <v>1179</v>
      </c>
      <c r="H1038" s="303" t="s">
        <v>1179</v>
      </c>
      <c r="I1038" s="303" t="s">
        <v>1181</v>
      </c>
      <c r="J1038" s="306"/>
      <c r="K1038" s="50"/>
      <c r="L1038" s="312"/>
      <c r="M1038" s="312">
        <v>244.0</v>
      </c>
      <c r="N1038" s="50"/>
      <c r="O1038" s="312"/>
      <c r="P1038" s="315">
        <v>42121.0</v>
      </c>
      <c r="Q1038" s="312">
        <v>20539.0</v>
      </c>
      <c r="R1038" s="312">
        <v>378.0</v>
      </c>
      <c r="S1038" s="316"/>
      <c r="T1038" s="317">
        <v>382.78</v>
      </c>
      <c r="U1038" s="312" t="s">
        <v>1366</v>
      </c>
      <c r="V1038" s="312" t="s">
        <v>1367</v>
      </c>
      <c r="W1038" s="50"/>
      <c r="X1038" s="50"/>
      <c r="Y1038" s="50"/>
      <c r="Z1038" s="312"/>
      <c r="AA1038" s="50"/>
      <c r="AB1038" s="50"/>
      <c r="AC1038" s="50"/>
      <c r="AD1038" s="50"/>
      <c r="AE1038" s="50"/>
    </row>
    <row r="1039">
      <c r="A1039" s="307">
        <v>41901.00625</v>
      </c>
      <c r="B1039" s="50" t="s">
        <v>749</v>
      </c>
      <c r="C1039" s="303" t="s">
        <v>1177</v>
      </c>
      <c r="D1039" s="303" t="s">
        <v>1178</v>
      </c>
      <c r="E1039" s="310">
        <v>41711.0</v>
      </c>
      <c r="F1039" s="50" t="s">
        <v>34</v>
      </c>
      <c r="G1039" s="303" t="s">
        <v>1179</v>
      </c>
      <c r="H1039" s="303" t="s">
        <v>1179</v>
      </c>
      <c r="I1039" s="303" t="s">
        <v>1181</v>
      </c>
      <c r="J1039" s="306"/>
      <c r="K1039" s="50"/>
      <c r="L1039" s="50"/>
      <c r="M1039" s="50">
        <v>245.0</v>
      </c>
      <c r="N1039" s="50"/>
      <c r="O1039" s="312"/>
      <c r="P1039" s="310">
        <v>41901.0</v>
      </c>
      <c r="Q1039" s="50">
        <v>14977.0</v>
      </c>
      <c r="R1039" s="50">
        <v>395.0</v>
      </c>
      <c r="S1039" s="318"/>
      <c r="T1039" s="317">
        <v>398.99</v>
      </c>
      <c r="U1039" s="312" t="s">
        <v>1407</v>
      </c>
      <c r="V1039" s="312" t="s">
        <v>1367</v>
      </c>
      <c r="W1039" s="50"/>
      <c r="X1039" s="50"/>
      <c r="Y1039" s="50"/>
      <c r="Z1039" s="312"/>
      <c r="AA1039" s="50" t="s">
        <v>1633</v>
      </c>
      <c r="AB1039" s="50"/>
      <c r="AC1039" s="50"/>
      <c r="AD1039" s="50"/>
      <c r="AE1039" s="50"/>
    </row>
    <row r="1040">
      <c r="A1040" s="307">
        <v>42024.06180555555</v>
      </c>
      <c r="B1040" s="50" t="s">
        <v>749</v>
      </c>
      <c r="C1040" s="303" t="s">
        <v>1177</v>
      </c>
      <c r="D1040" s="303" t="s">
        <v>1178</v>
      </c>
      <c r="E1040" s="310">
        <v>41711.0</v>
      </c>
      <c r="F1040" s="312" t="s">
        <v>34</v>
      </c>
      <c r="G1040" s="303" t="s">
        <v>1179</v>
      </c>
      <c r="H1040" s="303" t="s">
        <v>1180</v>
      </c>
      <c r="I1040" s="303" t="s">
        <v>1186</v>
      </c>
      <c r="J1040" s="306"/>
      <c r="K1040" s="50"/>
      <c r="L1040" s="50"/>
      <c r="M1040" s="50">
        <v>248.0</v>
      </c>
      <c r="N1040" s="50"/>
      <c r="O1040" s="312"/>
      <c r="P1040" s="310">
        <v>42024.0</v>
      </c>
      <c r="Q1040" s="50">
        <v>23056.0</v>
      </c>
      <c r="R1040" s="50">
        <v>384.0</v>
      </c>
      <c r="S1040" s="318"/>
      <c r="T1040" s="317">
        <v>388.86</v>
      </c>
      <c r="U1040" s="312" t="s">
        <v>1366</v>
      </c>
      <c r="V1040" s="312" t="s">
        <v>1367</v>
      </c>
      <c r="W1040" s="50"/>
      <c r="X1040" s="50"/>
      <c r="Y1040" s="50"/>
      <c r="Z1040" s="312"/>
      <c r="AA1040" s="50" t="s">
        <v>1633</v>
      </c>
      <c r="AB1040" s="50"/>
      <c r="AC1040" s="50"/>
      <c r="AD1040" s="50"/>
      <c r="AE1040" s="50"/>
    </row>
    <row r="1041">
      <c r="A1041" s="307">
        <v>42988.606944444444</v>
      </c>
      <c r="B1041" s="312" t="s">
        <v>997</v>
      </c>
      <c r="C1041" s="303" t="s">
        <v>1177</v>
      </c>
      <c r="D1041" s="303" t="s">
        <v>1178</v>
      </c>
      <c r="E1041" s="315">
        <v>42361.0</v>
      </c>
      <c r="F1041" s="312" t="s">
        <v>43</v>
      </c>
      <c r="G1041" s="303" t="s">
        <v>1190</v>
      </c>
      <c r="H1041" s="303" t="s">
        <v>1181</v>
      </c>
      <c r="I1041" s="303" t="s">
        <v>1181</v>
      </c>
      <c r="J1041" s="306">
        <v>0.8</v>
      </c>
      <c r="K1041" s="50"/>
      <c r="L1041" s="312"/>
      <c r="M1041" s="312">
        <v>214.0</v>
      </c>
      <c r="N1041" s="312"/>
      <c r="O1041" s="312"/>
      <c r="P1041" s="315">
        <v>42988.0</v>
      </c>
      <c r="Q1041" s="312">
        <v>45500.0</v>
      </c>
      <c r="R1041" s="312">
        <v>433.0</v>
      </c>
      <c r="S1041" s="316"/>
      <c r="T1041" s="317">
        <v>438.48</v>
      </c>
      <c r="U1041" s="312" t="s">
        <v>1366</v>
      </c>
      <c r="V1041" s="312" t="s">
        <v>1367</v>
      </c>
      <c r="W1041" s="50"/>
      <c r="X1041" s="50"/>
      <c r="Y1041" s="50"/>
      <c r="Z1041" s="312"/>
      <c r="AA1041" s="50"/>
      <c r="AB1041" s="50"/>
      <c r="AC1041" s="50"/>
      <c r="AD1041" s="50"/>
      <c r="AE1041" s="50"/>
    </row>
    <row r="1042">
      <c r="A1042" s="307">
        <v>43175.709027777775</v>
      </c>
      <c r="B1042" s="312" t="s">
        <v>1195</v>
      </c>
      <c r="C1042" s="303" t="s">
        <v>1177</v>
      </c>
      <c r="D1042" s="303" t="s">
        <v>1178</v>
      </c>
      <c r="E1042" s="315">
        <v>42967.0</v>
      </c>
      <c r="F1042" s="312" t="s">
        <v>45</v>
      </c>
      <c r="G1042" s="303" t="s">
        <v>1179</v>
      </c>
      <c r="H1042" s="303" t="s">
        <v>1180</v>
      </c>
      <c r="I1042" s="303" t="s">
        <v>1181</v>
      </c>
      <c r="J1042" s="306">
        <v>0.9</v>
      </c>
      <c r="K1042" s="312">
        <v>501.0</v>
      </c>
      <c r="L1042" s="312"/>
      <c r="M1042" s="312">
        <v>260.0</v>
      </c>
      <c r="N1042" s="312"/>
      <c r="O1042" s="312"/>
      <c r="P1042" s="315">
        <v>43175.0</v>
      </c>
      <c r="Q1042" s="312">
        <v>16000.0</v>
      </c>
      <c r="R1042" s="312">
        <v>490.0</v>
      </c>
      <c r="S1042" s="316"/>
      <c r="T1042" s="317">
        <v>496.2</v>
      </c>
      <c r="U1042" s="312" t="s">
        <v>1366</v>
      </c>
      <c r="V1042" s="312" t="s">
        <v>1367</v>
      </c>
      <c r="W1042" s="50"/>
      <c r="X1042" s="50"/>
      <c r="Y1042" s="50"/>
      <c r="Z1042" s="312"/>
      <c r="AA1042" s="50"/>
      <c r="AB1042" s="50"/>
      <c r="AC1042" s="50"/>
      <c r="AD1042" s="50"/>
      <c r="AE1042" s="50"/>
    </row>
    <row r="1043">
      <c r="A1043" s="307">
        <v>41944.03402777778</v>
      </c>
      <c r="B1043" s="50" t="s">
        <v>722</v>
      </c>
      <c r="C1043" s="303" t="s">
        <v>1177</v>
      </c>
      <c r="D1043" s="303" t="s">
        <v>1178</v>
      </c>
      <c r="E1043" s="310">
        <v>41600.0</v>
      </c>
      <c r="F1043" s="312" t="s">
        <v>30</v>
      </c>
      <c r="G1043" s="303" t="s">
        <v>1181</v>
      </c>
      <c r="H1043" s="303" t="s">
        <v>1181</v>
      </c>
      <c r="I1043" s="303" t="s">
        <v>1187</v>
      </c>
      <c r="J1043" s="306"/>
      <c r="K1043" s="50"/>
      <c r="L1043" s="50"/>
      <c r="M1043" s="50">
        <v>202.0</v>
      </c>
      <c r="N1043" s="50"/>
      <c r="O1043" s="312"/>
      <c r="P1043" s="310">
        <v>41944.0</v>
      </c>
      <c r="Q1043" s="50">
        <v>39000.0</v>
      </c>
      <c r="R1043" s="50">
        <v>377.0</v>
      </c>
      <c r="S1043" s="318"/>
      <c r="T1043" s="317">
        <v>380.81</v>
      </c>
      <c r="U1043" s="312" t="s">
        <v>1407</v>
      </c>
      <c r="V1043" s="312" t="s">
        <v>1367</v>
      </c>
      <c r="W1043" s="50"/>
      <c r="X1043" s="50"/>
      <c r="Y1043" s="50"/>
      <c r="Z1043" s="312"/>
      <c r="AA1043" s="50"/>
      <c r="AB1043" s="50"/>
      <c r="AC1043" s="50"/>
      <c r="AD1043" s="50"/>
      <c r="AE1043" s="50"/>
    </row>
    <row r="1044">
      <c r="A1044" s="307">
        <v>42192.14444444444</v>
      </c>
      <c r="B1044" s="312" t="s">
        <v>722</v>
      </c>
      <c r="C1044" s="303" t="s">
        <v>1177</v>
      </c>
      <c r="D1044" s="303" t="s">
        <v>1178</v>
      </c>
      <c r="E1044" s="315">
        <v>41600.0</v>
      </c>
      <c r="F1044" s="312" t="s">
        <v>30</v>
      </c>
      <c r="G1044" s="303" t="s">
        <v>1181</v>
      </c>
      <c r="H1044" s="303" t="s">
        <v>1181</v>
      </c>
      <c r="I1044" s="303" t="s">
        <v>1187</v>
      </c>
      <c r="J1044" s="306">
        <v>0.9</v>
      </c>
      <c r="K1044" s="312">
        <v>383.0</v>
      </c>
      <c r="L1044" s="312"/>
      <c r="M1044" s="312">
        <v>203.0</v>
      </c>
      <c r="N1044" s="312"/>
      <c r="O1044" s="312"/>
      <c r="P1044" s="315">
        <v>42192.0</v>
      </c>
      <c r="Q1044" s="312">
        <v>63372.0</v>
      </c>
      <c r="R1044" s="312">
        <v>375.0</v>
      </c>
      <c r="S1044" s="316"/>
      <c r="T1044" s="317">
        <v>375.0</v>
      </c>
      <c r="U1044" s="312" t="s">
        <v>1369</v>
      </c>
      <c r="V1044" s="312" t="s">
        <v>1367</v>
      </c>
      <c r="W1044" s="312">
        <v>335.0</v>
      </c>
      <c r="X1044" s="312">
        <v>283.0</v>
      </c>
      <c r="Y1044" s="312">
        <v>9.7</v>
      </c>
      <c r="Z1044" s="312" t="s">
        <v>1369</v>
      </c>
      <c r="AA1044" s="50"/>
      <c r="AB1044" s="50"/>
      <c r="AC1044" s="50"/>
      <c r="AD1044" s="50"/>
      <c r="AE1044" s="50"/>
    </row>
    <row r="1045">
      <c r="A1045" s="307">
        <v>42263.180555555555</v>
      </c>
      <c r="B1045" s="312" t="s">
        <v>722</v>
      </c>
      <c r="C1045" s="303" t="s">
        <v>1177</v>
      </c>
      <c r="D1045" s="303" t="s">
        <v>1178</v>
      </c>
      <c r="E1045" s="315">
        <v>41600.0</v>
      </c>
      <c r="F1045" s="312" t="s">
        <v>30</v>
      </c>
      <c r="G1045" s="303" t="s">
        <v>1181</v>
      </c>
      <c r="H1045" s="303" t="s">
        <v>1181</v>
      </c>
      <c r="I1045" s="303" t="s">
        <v>1187</v>
      </c>
      <c r="J1045" s="306">
        <v>0.9</v>
      </c>
      <c r="K1045" s="312">
        <v>383.0</v>
      </c>
      <c r="L1045" s="312"/>
      <c r="M1045" s="312">
        <v>202.0</v>
      </c>
      <c r="N1045" s="312"/>
      <c r="O1045" s="312"/>
      <c r="P1045" s="315">
        <v>42263.0</v>
      </c>
      <c r="Q1045" s="312">
        <v>69161.0</v>
      </c>
      <c r="R1045" s="312">
        <v>366.0</v>
      </c>
      <c r="S1045" s="316"/>
      <c r="T1045" s="317">
        <v>366.0</v>
      </c>
      <c r="U1045" s="312" t="s">
        <v>1369</v>
      </c>
      <c r="V1045" s="312" t="s">
        <v>1367</v>
      </c>
      <c r="W1045" s="50"/>
      <c r="X1045" s="50"/>
      <c r="Y1045" s="50"/>
      <c r="Z1045" s="312"/>
      <c r="AA1045" s="50"/>
      <c r="AB1045" s="50"/>
      <c r="AC1045" s="50"/>
      <c r="AD1045" s="50"/>
      <c r="AE1045" s="50"/>
    </row>
    <row r="1046">
      <c r="A1046" s="307">
        <v>42383.27361111111</v>
      </c>
      <c r="B1046" s="312" t="s">
        <v>722</v>
      </c>
      <c r="C1046" s="303" t="s">
        <v>1177</v>
      </c>
      <c r="D1046" s="303" t="s">
        <v>1178</v>
      </c>
      <c r="E1046" s="310">
        <v>41600.0</v>
      </c>
      <c r="F1046" s="312" t="s">
        <v>30</v>
      </c>
      <c r="G1046" s="303" t="s">
        <v>1180</v>
      </c>
      <c r="H1046" s="303" t="s">
        <v>1180</v>
      </c>
      <c r="I1046" s="303" t="s">
        <v>1187</v>
      </c>
      <c r="J1046" s="306">
        <v>0.9</v>
      </c>
      <c r="K1046" s="312">
        <v>383.0</v>
      </c>
      <c r="L1046" s="312"/>
      <c r="M1046" s="312">
        <v>201.0</v>
      </c>
      <c r="N1046" s="312"/>
      <c r="O1046" s="312"/>
      <c r="P1046" s="315">
        <v>42383.0</v>
      </c>
      <c r="Q1046" s="312">
        <v>83000.0</v>
      </c>
      <c r="R1046" s="312">
        <v>365.0</v>
      </c>
      <c r="S1046" s="316"/>
      <c r="T1046" s="317">
        <v>365.0</v>
      </c>
      <c r="U1046" s="312" t="s">
        <v>1369</v>
      </c>
      <c r="V1046" s="312" t="s">
        <v>1367</v>
      </c>
      <c r="W1046" s="50"/>
      <c r="X1046" s="50"/>
      <c r="Y1046" s="50"/>
      <c r="Z1046" s="312"/>
      <c r="AA1046" s="50"/>
      <c r="AB1046" s="50"/>
      <c r="AC1046" s="50"/>
      <c r="AD1046" s="50"/>
      <c r="AE1046" s="50"/>
    </row>
    <row r="1047">
      <c r="A1047" s="307">
        <v>42479.32916666667</v>
      </c>
      <c r="B1047" s="312" t="s">
        <v>722</v>
      </c>
      <c r="C1047" s="303" t="s">
        <v>1177</v>
      </c>
      <c r="D1047" s="303" t="s">
        <v>1178</v>
      </c>
      <c r="E1047" s="315">
        <v>41600.0</v>
      </c>
      <c r="F1047" s="312" t="s">
        <v>30</v>
      </c>
      <c r="G1047" s="303" t="s">
        <v>1181</v>
      </c>
      <c r="H1047" s="303" t="s">
        <v>1180</v>
      </c>
      <c r="I1047" s="303" t="s">
        <v>1187</v>
      </c>
      <c r="J1047" s="306">
        <v>0.9</v>
      </c>
      <c r="K1047" s="312">
        <v>383.0</v>
      </c>
      <c r="L1047" s="312"/>
      <c r="M1047" s="312">
        <v>202.0</v>
      </c>
      <c r="N1047" s="312"/>
      <c r="O1047" s="312"/>
      <c r="P1047" s="315">
        <v>42479.0</v>
      </c>
      <c r="Q1047" s="312">
        <v>93400.0</v>
      </c>
      <c r="R1047" s="312">
        <v>369.0</v>
      </c>
      <c r="S1047" s="316"/>
      <c r="T1047" s="317">
        <v>369.0</v>
      </c>
      <c r="U1047" s="312" t="s">
        <v>1369</v>
      </c>
      <c r="V1047" s="312" t="s">
        <v>1367</v>
      </c>
      <c r="W1047" s="50"/>
      <c r="X1047" s="50"/>
      <c r="Y1047" s="50"/>
      <c r="Z1047" s="312"/>
      <c r="AA1047" s="50"/>
      <c r="AB1047" s="50"/>
      <c r="AC1047" s="50"/>
      <c r="AD1047" s="50"/>
      <c r="AE1047" s="50"/>
    </row>
    <row r="1048">
      <c r="A1048" s="307">
        <v>42593.37777777778</v>
      </c>
      <c r="B1048" s="312" t="s">
        <v>722</v>
      </c>
      <c r="C1048" s="303" t="s">
        <v>1177</v>
      </c>
      <c r="D1048" s="303" t="s">
        <v>1178</v>
      </c>
      <c r="E1048" s="315">
        <v>41600.0</v>
      </c>
      <c r="F1048" s="312" t="s">
        <v>30</v>
      </c>
      <c r="G1048" s="303" t="s">
        <v>1180</v>
      </c>
      <c r="H1048" s="303" t="s">
        <v>1180</v>
      </c>
      <c r="I1048" s="303" t="s">
        <v>1187</v>
      </c>
      <c r="J1048" s="306">
        <v>0.9</v>
      </c>
      <c r="K1048" s="312">
        <v>383.0</v>
      </c>
      <c r="L1048" s="312"/>
      <c r="M1048" s="312">
        <v>200.0</v>
      </c>
      <c r="N1048" s="312"/>
      <c r="O1048" s="312"/>
      <c r="P1048" s="315">
        <v>42593.0</v>
      </c>
      <c r="Q1048" s="312">
        <v>106563.0</v>
      </c>
      <c r="R1048" s="312">
        <v>369.0</v>
      </c>
      <c r="S1048" s="316"/>
      <c r="T1048" s="317">
        <v>369.0</v>
      </c>
      <c r="U1048" s="312" t="s">
        <v>1369</v>
      </c>
      <c r="V1048" s="312" t="s">
        <v>1367</v>
      </c>
      <c r="W1048" s="50"/>
      <c r="X1048" s="50"/>
      <c r="Y1048" s="50"/>
      <c r="Z1048" s="312"/>
      <c r="AA1048" s="50"/>
      <c r="AB1048" s="50"/>
      <c r="AC1048" s="50"/>
      <c r="AD1048" s="50"/>
      <c r="AE1048" s="50"/>
    </row>
    <row r="1049">
      <c r="A1049" s="307">
        <v>42625.40069444444</v>
      </c>
      <c r="B1049" s="312" t="s">
        <v>722</v>
      </c>
      <c r="C1049" s="303" t="s">
        <v>1177</v>
      </c>
      <c r="D1049" s="303" t="s">
        <v>1178</v>
      </c>
      <c r="E1049" s="315">
        <v>41600.0</v>
      </c>
      <c r="F1049" s="312" t="s">
        <v>30</v>
      </c>
      <c r="G1049" s="303" t="s">
        <v>1180</v>
      </c>
      <c r="H1049" s="303" t="s">
        <v>1180</v>
      </c>
      <c r="I1049" s="303" t="s">
        <v>1187</v>
      </c>
      <c r="J1049" s="306">
        <v>0.9</v>
      </c>
      <c r="K1049" s="312">
        <v>383.0</v>
      </c>
      <c r="L1049" s="312"/>
      <c r="M1049" s="312">
        <v>200.0</v>
      </c>
      <c r="N1049" s="312"/>
      <c r="O1049" s="312"/>
      <c r="P1049" s="315">
        <v>42625.0</v>
      </c>
      <c r="Q1049" s="312">
        <v>109248.0</v>
      </c>
      <c r="R1049" s="312">
        <v>373.0</v>
      </c>
      <c r="S1049" s="316"/>
      <c r="T1049" s="317">
        <v>373.0</v>
      </c>
      <c r="U1049" s="312" t="s">
        <v>1369</v>
      </c>
      <c r="V1049" s="312" t="s">
        <v>1367</v>
      </c>
      <c r="W1049" s="50"/>
      <c r="X1049" s="50"/>
      <c r="Y1049" s="50"/>
      <c r="Z1049" s="312"/>
      <c r="AA1049" s="50"/>
      <c r="AB1049" s="50"/>
      <c r="AC1049" s="50"/>
      <c r="AD1049" s="50"/>
      <c r="AE1049" s="50"/>
    </row>
    <row r="1050">
      <c r="A1050" s="307">
        <v>42713.47083333333</v>
      </c>
      <c r="B1050" s="312" t="s">
        <v>722</v>
      </c>
      <c r="C1050" s="303" t="s">
        <v>1177</v>
      </c>
      <c r="D1050" s="303" t="s">
        <v>1178</v>
      </c>
      <c r="E1050" s="315">
        <v>41600.0</v>
      </c>
      <c r="F1050" s="312" t="s">
        <v>30</v>
      </c>
      <c r="G1050" s="303" t="s">
        <v>1180</v>
      </c>
      <c r="H1050" s="303" t="s">
        <v>1180</v>
      </c>
      <c r="I1050" s="303" t="s">
        <v>1187</v>
      </c>
      <c r="J1050" s="306">
        <v>0.9</v>
      </c>
      <c r="K1050" s="312">
        <v>383.0</v>
      </c>
      <c r="L1050" s="312"/>
      <c r="M1050" s="312">
        <v>200.0</v>
      </c>
      <c r="N1050" s="312"/>
      <c r="O1050" s="312"/>
      <c r="P1050" s="315">
        <v>42713.0</v>
      </c>
      <c r="Q1050" s="312">
        <v>119000.0</v>
      </c>
      <c r="R1050" s="312">
        <v>375.0</v>
      </c>
      <c r="S1050" s="316"/>
      <c r="T1050" s="317">
        <v>375.0</v>
      </c>
      <c r="U1050" s="312" t="s">
        <v>1369</v>
      </c>
      <c r="V1050" s="312" t="s">
        <v>1367</v>
      </c>
      <c r="W1050" s="50"/>
      <c r="X1050" s="50"/>
      <c r="Y1050" s="50"/>
      <c r="Z1050" s="312"/>
      <c r="AA1050" s="50"/>
      <c r="AB1050" s="50"/>
      <c r="AC1050" s="50"/>
      <c r="AD1050" s="50"/>
      <c r="AE1050" s="50"/>
    </row>
    <row r="1051">
      <c r="A1051" s="307">
        <v>43018.62222222222</v>
      </c>
      <c r="B1051" s="312" t="s">
        <v>1032</v>
      </c>
      <c r="C1051" s="303" t="s">
        <v>1177</v>
      </c>
      <c r="D1051" s="303" t="s">
        <v>1178</v>
      </c>
      <c r="E1051" s="315">
        <v>42887.0</v>
      </c>
      <c r="F1051" s="312" t="s">
        <v>49</v>
      </c>
      <c r="G1051" s="303" t="s">
        <v>1179</v>
      </c>
      <c r="H1051" s="303" t="s">
        <v>1180</v>
      </c>
      <c r="I1051" s="303" t="s">
        <v>1180</v>
      </c>
      <c r="J1051" s="306">
        <v>0.9</v>
      </c>
      <c r="K1051" s="50"/>
      <c r="L1051" s="312"/>
      <c r="M1051" s="312">
        <v>267.0</v>
      </c>
      <c r="N1051" s="312"/>
      <c r="O1051" s="312"/>
      <c r="P1051" s="315">
        <v>43018.0</v>
      </c>
      <c r="Q1051" s="312">
        <v>4781.0</v>
      </c>
      <c r="R1051" s="312">
        <v>482.0</v>
      </c>
      <c r="S1051" s="316"/>
      <c r="T1051" s="317">
        <v>488.1</v>
      </c>
      <c r="U1051" s="312" t="s">
        <v>1366</v>
      </c>
      <c r="V1051" s="312" t="s">
        <v>1367</v>
      </c>
      <c r="W1051" s="50"/>
      <c r="X1051" s="50"/>
      <c r="Y1051" s="50"/>
      <c r="Z1051" s="312"/>
      <c r="AA1051" s="50"/>
      <c r="AB1051" s="50"/>
      <c r="AC1051" s="50"/>
      <c r="AD1051" s="50"/>
      <c r="AE1051" s="50"/>
    </row>
    <row r="1052">
      <c r="A1052" s="307">
        <v>43035.629166666666</v>
      </c>
      <c r="B1052" s="312" t="s">
        <v>1032</v>
      </c>
      <c r="C1052" s="303" t="s">
        <v>1177</v>
      </c>
      <c r="D1052" s="303" t="s">
        <v>1178</v>
      </c>
      <c r="E1052" s="315">
        <v>42887.0</v>
      </c>
      <c r="F1052" s="312" t="s">
        <v>49</v>
      </c>
      <c r="G1052" s="303" t="s">
        <v>1179</v>
      </c>
      <c r="H1052" s="303" t="s">
        <v>1179</v>
      </c>
      <c r="I1052" s="303" t="s">
        <v>1181</v>
      </c>
      <c r="J1052" s="306">
        <v>0.9</v>
      </c>
      <c r="K1052" s="50"/>
      <c r="L1052" s="312"/>
      <c r="M1052" s="312">
        <v>260.0</v>
      </c>
      <c r="N1052" s="312"/>
      <c r="O1052" s="312"/>
      <c r="P1052" s="315">
        <v>43035.0</v>
      </c>
      <c r="Q1052" s="312">
        <v>6472.0</v>
      </c>
      <c r="R1052" s="312">
        <v>478.0</v>
      </c>
      <c r="S1052" s="316"/>
      <c r="T1052" s="317">
        <v>484.05</v>
      </c>
      <c r="U1052" s="312" t="s">
        <v>1366</v>
      </c>
      <c r="V1052" s="312" t="s">
        <v>1367</v>
      </c>
      <c r="W1052" s="50"/>
      <c r="X1052" s="50"/>
      <c r="Y1052" s="50"/>
      <c r="Z1052" s="312"/>
      <c r="AA1052" s="50"/>
      <c r="AB1052" s="50"/>
      <c r="AC1052" s="50"/>
      <c r="AD1052" s="50"/>
      <c r="AE1052" s="50"/>
    </row>
    <row r="1053">
      <c r="A1053" s="307">
        <v>43132.688888888886</v>
      </c>
      <c r="B1053" s="312" t="s">
        <v>1032</v>
      </c>
      <c r="C1053" s="303" t="s">
        <v>1177</v>
      </c>
      <c r="D1053" s="303" t="s">
        <v>1178</v>
      </c>
      <c r="E1053" s="315">
        <v>42887.0</v>
      </c>
      <c r="F1053" s="312" t="s">
        <v>49</v>
      </c>
      <c r="G1053" s="303" t="s">
        <v>1179</v>
      </c>
      <c r="H1053" s="303" t="s">
        <v>1181</v>
      </c>
      <c r="I1053" s="303" t="s">
        <v>1181</v>
      </c>
      <c r="J1053" s="306">
        <v>0.9</v>
      </c>
      <c r="K1053" s="50"/>
      <c r="L1053" s="312"/>
      <c r="M1053" s="312">
        <v>288.0</v>
      </c>
      <c r="N1053" s="312"/>
      <c r="O1053" s="312"/>
      <c r="P1053" s="315">
        <v>43132.0</v>
      </c>
      <c r="Q1053" s="312">
        <v>16476.0</v>
      </c>
      <c r="R1053" s="312">
        <v>472.0</v>
      </c>
      <c r="S1053" s="316"/>
      <c r="T1053" s="317">
        <v>477.97</v>
      </c>
      <c r="U1053" s="312" t="s">
        <v>1366</v>
      </c>
      <c r="V1053" s="312" t="s">
        <v>1367</v>
      </c>
      <c r="W1053" s="50"/>
      <c r="X1053" s="50"/>
      <c r="Y1053" s="50"/>
      <c r="Z1053" s="312"/>
      <c r="AA1053" s="50"/>
      <c r="AB1053" s="50"/>
      <c r="AC1053" s="50"/>
      <c r="AD1053" s="50"/>
      <c r="AE1053" s="50"/>
    </row>
    <row r="1054">
      <c r="A1054" s="307">
        <v>42519.316666666666</v>
      </c>
      <c r="B1054" s="312" t="s">
        <v>886</v>
      </c>
      <c r="C1054" s="303" t="s">
        <v>1177</v>
      </c>
      <c r="D1054" s="303" t="s">
        <v>1178</v>
      </c>
      <c r="E1054" s="315">
        <v>42094.0</v>
      </c>
      <c r="F1054" s="312" t="s">
        <v>38</v>
      </c>
      <c r="G1054" s="303" t="s">
        <v>1190</v>
      </c>
      <c r="H1054" s="303" t="s">
        <v>1180</v>
      </c>
      <c r="I1054" s="303" t="s">
        <v>1181</v>
      </c>
      <c r="J1054" s="306">
        <v>0.8</v>
      </c>
      <c r="K1054" s="312">
        <v>407.0</v>
      </c>
      <c r="L1054" s="312"/>
      <c r="M1054" s="312">
        <v>220.0</v>
      </c>
      <c r="N1054" s="312"/>
      <c r="O1054" s="312"/>
      <c r="P1054" s="315">
        <v>42519.0</v>
      </c>
      <c r="Q1054" s="312">
        <v>53000.0</v>
      </c>
      <c r="R1054" s="312">
        <v>375.0</v>
      </c>
      <c r="S1054" s="316"/>
      <c r="T1054" s="317">
        <v>379.75</v>
      </c>
      <c r="U1054" s="312" t="s">
        <v>1366</v>
      </c>
      <c r="V1054" s="312" t="s">
        <v>1367</v>
      </c>
      <c r="W1054" s="50"/>
      <c r="X1054" s="50"/>
      <c r="Y1054" s="50"/>
      <c r="Z1054" s="312"/>
      <c r="AA1054" s="50"/>
      <c r="AB1054" s="50"/>
      <c r="AC1054" s="50"/>
      <c r="AD1054" s="50"/>
      <c r="AE1054" s="50"/>
    </row>
    <row r="1055">
      <c r="A1055" s="307">
        <v>42372.271527777775</v>
      </c>
      <c r="B1055" s="312" t="s">
        <v>707</v>
      </c>
      <c r="C1055" s="303" t="s">
        <v>1177</v>
      </c>
      <c r="D1055" s="303" t="s">
        <v>1178</v>
      </c>
      <c r="E1055" s="310">
        <v>41673.0</v>
      </c>
      <c r="F1055" s="312" t="s">
        <v>32</v>
      </c>
      <c r="G1055" s="303" t="s">
        <v>1181</v>
      </c>
      <c r="H1055" s="303" t="s">
        <v>1186</v>
      </c>
      <c r="I1055" s="303" t="s">
        <v>1187</v>
      </c>
      <c r="J1055" s="306">
        <v>0.6</v>
      </c>
      <c r="K1055" s="50"/>
      <c r="L1055" s="312"/>
      <c r="M1055" s="312">
        <v>210.0</v>
      </c>
      <c r="N1055" s="312"/>
      <c r="O1055" s="312"/>
      <c r="P1055" s="315">
        <v>42372.0</v>
      </c>
      <c r="Q1055" s="312">
        <v>43500.0</v>
      </c>
      <c r="R1055" s="312">
        <v>384.0</v>
      </c>
      <c r="S1055" s="316"/>
      <c r="T1055" s="317">
        <v>388.86</v>
      </c>
      <c r="U1055" s="312" t="s">
        <v>1366</v>
      </c>
      <c r="V1055" s="312" t="s">
        <v>1367</v>
      </c>
      <c r="W1055" s="50"/>
      <c r="X1055" s="50"/>
      <c r="Y1055" s="50"/>
      <c r="Z1055" s="312"/>
      <c r="AA1055" s="50"/>
      <c r="AB1055" s="50"/>
      <c r="AC1055" s="50"/>
      <c r="AD1055" s="50"/>
      <c r="AE1055" s="50"/>
    </row>
    <row r="1056">
      <c r="A1056" s="307">
        <v>43002.60972222222</v>
      </c>
      <c r="B1056" s="312" t="s">
        <v>1012</v>
      </c>
      <c r="C1056" s="303" t="s">
        <v>1177</v>
      </c>
      <c r="D1056" s="303" t="s">
        <v>1178</v>
      </c>
      <c r="E1056" s="315">
        <v>42745.0</v>
      </c>
      <c r="F1056" s="312" t="s">
        <v>43</v>
      </c>
      <c r="G1056" s="303" t="s">
        <v>1203</v>
      </c>
      <c r="H1056" s="303" t="s">
        <v>1179</v>
      </c>
      <c r="I1056" s="303" t="s">
        <v>1180</v>
      </c>
      <c r="J1056" s="306">
        <v>0.8</v>
      </c>
      <c r="K1056" s="312">
        <v>453.0</v>
      </c>
      <c r="L1056" s="312"/>
      <c r="M1056" s="312">
        <v>204.0</v>
      </c>
      <c r="N1056" s="312"/>
      <c r="O1056" s="312"/>
      <c r="P1056" s="315">
        <v>43002.0</v>
      </c>
      <c r="Q1056" s="312">
        <v>15800.0</v>
      </c>
      <c r="R1056" s="312">
        <v>450.0</v>
      </c>
      <c r="S1056" s="316"/>
      <c r="T1056" s="317">
        <v>450.0</v>
      </c>
      <c r="U1056" s="312" t="s">
        <v>1369</v>
      </c>
      <c r="V1056" s="312" t="s">
        <v>1367</v>
      </c>
      <c r="W1056" s="312">
        <v>450.0</v>
      </c>
      <c r="X1056" s="312">
        <v>0.0</v>
      </c>
      <c r="Y1056" s="312">
        <v>80.0</v>
      </c>
      <c r="Z1056" s="312" t="s">
        <v>1369</v>
      </c>
      <c r="AA1056" s="312" t="s">
        <v>1441</v>
      </c>
      <c r="AB1056" s="50"/>
      <c r="AC1056" s="50"/>
      <c r="AD1056" s="50"/>
      <c r="AE1056" s="50"/>
    </row>
    <row r="1057">
      <c r="A1057" s="307">
        <v>43186.714583333334</v>
      </c>
      <c r="B1057" s="312" t="s">
        <v>1012</v>
      </c>
      <c r="C1057" s="303" t="s">
        <v>1177</v>
      </c>
      <c r="D1057" s="303" t="s">
        <v>1178</v>
      </c>
      <c r="E1057" s="315">
        <v>42745.0</v>
      </c>
      <c r="F1057" s="312" t="s">
        <v>43</v>
      </c>
      <c r="G1057" s="303" t="s">
        <v>1203</v>
      </c>
      <c r="H1057" s="303" t="s">
        <v>1179</v>
      </c>
      <c r="I1057" s="303" t="s">
        <v>1180</v>
      </c>
      <c r="J1057" s="306">
        <v>0.8</v>
      </c>
      <c r="K1057" s="312">
        <v>453.0</v>
      </c>
      <c r="L1057" s="312"/>
      <c r="M1057" s="312">
        <v>204.0</v>
      </c>
      <c r="N1057" s="312"/>
      <c r="O1057" s="312"/>
      <c r="P1057" s="315">
        <v>43186.0</v>
      </c>
      <c r="Q1057" s="312">
        <v>27000.0</v>
      </c>
      <c r="R1057" s="312">
        <v>443.0</v>
      </c>
      <c r="S1057" s="316"/>
      <c r="T1057" s="317">
        <v>443.0</v>
      </c>
      <c r="U1057" s="312" t="s">
        <v>1369</v>
      </c>
      <c r="V1057" s="312" t="s">
        <v>1367</v>
      </c>
      <c r="W1057" s="312">
        <v>450.0</v>
      </c>
      <c r="X1057" s="312">
        <v>0.0</v>
      </c>
      <c r="Y1057" s="312">
        <v>80.0</v>
      </c>
      <c r="Z1057" s="312" t="s">
        <v>1369</v>
      </c>
      <c r="AA1057" s="50"/>
      <c r="AB1057" s="50"/>
      <c r="AC1057" s="50"/>
      <c r="AD1057" s="50"/>
      <c r="AE1057" s="50"/>
    </row>
    <row r="1058">
      <c r="A1058" s="307">
        <v>42192.748611111114</v>
      </c>
      <c r="B1058" s="312" t="s">
        <v>920</v>
      </c>
      <c r="C1058" s="312" t="s">
        <v>1184</v>
      </c>
      <c r="D1058" s="303" t="s">
        <v>1185</v>
      </c>
      <c r="E1058" s="315">
        <v>42185.0</v>
      </c>
      <c r="F1058" s="312" t="s">
        <v>36</v>
      </c>
      <c r="G1058" s="312"/>
      <c r="H1058" s="50"/>
      <c r="I1058" s="312"/>
      <c r="J1058" s="306"/>
      <c r="K1058" s="50"/>
      <c r="L1058" s="312"/>
      <c r="M1058" s="312">
        <v>318.0</v>
      </c>
      <c r="N1058" s="312"/>
      <c r="O1058" s="312"/>
      <c r="P1058" s="315">
        <v>42192.0</v>
      </c>
      <c r="Q1058" s="312">
        <v>400.0</v>
      </c>
      <c r="R1058" s="312">
        <v>270.0</v>
      </c>
      <c r="S1058" s="316"/>
      <c r="T1058" s="317">
        <v>270.0</v>
      </c>
      <c r="U1058" s="312" t="s">
        <v>1369</v>
      </c>
      <c r="V1058" s="312" t="s">
        <v>1367</v>
      </c>
      <c r="W1058" s="50"/>
      <c r="X1058" s="50"/>
      <c r="Y1058" s="50"/>
      <c r="Z1058" s="312"/>
      <c r="AA1058" s="312"/>
      <c r="AB1058" s="50"/>
      <c r="AC1058" s="50"/>
      <c r="AD1058" s="50"/>
      <c r="AE1058" s="50"/>
    </row>
    <row r="1059">
      <c r="A1059" s="307">
        <v>43202.930555555555</v>
      </c>
      <c r="B1059" s="312" t="s">
        <v>1634</v>
      </c>
      <c r="C1059" s="312" t="s">
        <v>1197</v>
      </c>
      <c r="D1059" s="303" t="s">
        <v>1178</v>
      </c>
      <c r="E1059" s="315">
        <v>41609.0</v>
      </c>
      <c r="F1059" s="312" t="s">
        <v>30</v>
      </c>
      <c r="G1059" s="303" t="s">
        <v>1180</v>
      </c>
      <c r="H1059" s="303" t="s">
        <v>1180</v>
      </c>
      <c r="I1059" s="303" t="s">
        <v>1181</v>
      </c>
      <c r="J1059" s="306">
        <v>0.9</v>
      </c>
      <c r="K1059" s="50"/>
      <c r="L1059" s="312"/>
      <c r="M1059" s="312">
        <v>215.55</v>
      </c>
      <c r="N1059" s="312"/>
      <c r="O1059" s="312"/>
      <c r="P1059" s="315">
        <v>43202.0</v>
      </c>
      <c r="Q1059" s="312">
        <v>168130.0</v>
      </c>
      <c r="R1059" s="312">
        <v>392.0</v>
      </c>
      <c r="S1059" s="316"/>
      <c r="T1059" s="317">
        <v>396.96</v>
      </c>
      <c r="U1059" s="312" t="s">
        <v>1366</v>
      </c>
      <c r="V1059" s="312" t="s">
        <v>1367</v>
      </c>
      <c r="W1059" s="50"/>
      <c r="X1059" s="50"/>
      <c r="Y1059" s="50"/>
      <c r="Z1059" s="312"/>
      <c r="AA1059" s="50"/>
      <c r="AB1059" s="50"/>
      <c r="AC1059" s="50"/>
      <c r="AD1059" s="50"/>
      <c r="AE1059" s="50"/>
    </row>
    <row r="1060">
      <c r="A1060" s="307">
        <v>43059.63611111111</v>
      </c>
      <c r="B1060" s="50" t="s">
        <v>1635</v>
      </c>
      <c r="C1060" s="303" t="s">
        <v>1177</v>
      </c>
      <c r="D1060" s="303" t="s">
        <v>1178</v>
      </c>
      <c r="E1060" s="310">
        <v>42991.0</v>
      </c>
      <c r="F1060" s="50" t="s">
        <v>28</v>
      </c>
      <c r="G1060" s="312"/>
      <c r="H1060" s="312"/>
      <c r="I1060" s="312"/>
      <c r="J1060" s="306"/>
      <c r="K1060" s="50"/>
      <c r="L1060" s="312"/>
      <c r="M1060" s="312"/>
      <c r="N1060" s="312"/>
      <c r="O1060" s="312"/>
      <c r="P1060" s="310">
        <v>43059.0</v>
      </c>
      <c r="Q1060" s="50">
        <v>3200.0</v>
      </c>
      <c r="R1060" s="312">
        <v>389.0</v>
      </c>
      <c r="S1060" s="316"/>
      <c r="T1060" s="317">
        <v>389.0</v>
      </c>
      <c r="U1060" s="312" t="s">
        <v>1369</v>
      </c>
      <c r="V1060" s="312" t="s">
        <v>1367</v>
      </c>
      <c r="W1060" s="50"/>
      <c r="X1060" s="50"/>
      <c r="Y1060" s="50"/>
      <c r="Z1060" s="312"/>
      <c r="AA1060" s="50"/>
      <c r="AB1060" s="50"/>
      <c r="AC1060" s="50"/>
      <c r="AD1060" s="50"/>
      <c r="AE1060" s="50"/>
    </row>
    <row r="1061">
      <c r="A1061" s="307">
        <v>42492.333333333336</v>
      </c>
      <c r="B1061" s="312" t="s">
        <v>856</v>
      </c>
      <c r="C1061" s="303" t="s">
        <v>1177</v>
      </c>
      <c r="D1061" s="303" t="s">
        <v>1178</v>
      </c>
      <c r="E1061" s="315">
        <v>41475.0</v>
      </c>
      <c r="F1061" s="312" t="s">
        <v>30</v>
      </c>
      <c r="G1061" s="303" t="s">
        <v>1181</v>
      </c>
      <c r="H1061" s="303" t="s">
        <v>1181</v>
      </c>
      <c r="I1061" s="303" t="s">
        <v>1181</v>
      </c>
      <c r="J1061" s="306">
        <v>0.9</v>
      </c>
      <c r="K1061" s="312">
        <v>398.0</v>
      </c>
      <c r="L1061" s="312"/>
      <c r="M1061" s="312">
        <v>218.0</v>
      </c>
      <c r="N1061" s="312"/>
      <c r="O1061" s="312"/>
      <c r="P1061" s="315">
        <v>42492.0</v>
      </c>
      <c r="Q1061" s="312">
        <v>69255.0</v>
      </c>
      <c r="R1061" s="312">
        <v>387.0</v>
      </c>
      <c r="S1061" s="316"/>
      <c r="T1061" s="317">
        <v>387.0</v>
      </c>
      <c r="U1061" s="312" t="s">
        <v>1369</v>
      </c>
      <c r="V1061" s="312" t="s">
        <v>1367</v>
      </c>
      <c r="W1061" s="50"/>
      <c r="X1061" s="50"/>
      <c r="Y1061" s="50"/>
      <c r="Z1061" s="312"/>
      <c r="AA1061" s="50"/>
      <c r="AB1061" s="50"/>
      <c r="AC1061" s="50"/>
      <c r="AD1061" s="50"/>
      <c r="AE1061" s="50"/>
    </row>
    <row r="1062">
      <c r="A1062" s="307">
        <v>41900.004166666666</v>
      </c>
      <c r="B1062" s="50" t="s">
        <v>1006</v>
      </c>
      <c r="C1062" s="303" t="s">
        <v>1177</v>
      </c>
      <c r="D1062" s="303" t="s">
        <v>1178</v>
      </c>
      <c r="E1062" s="310">
        <v>41599.0</v>
      </c>
      <c r="F1062" s="50" t="s">
        <v>1370</v>
      </c>
      <c r="G1062" s="303" t="s">
        <v>1179</v>
      </c>
      <c r="H1062" s="303" t="s">
        <v>1179</v>
      </c>
      <c r="I1062" s="303" t="s">
        <v>1186</v>
      </c>
      <c r="J1062" s="306"/>
      <c r="K1062" s="50"/>
      <c r="L1062" s="50"/>
      <c r="M1062" s="50">
        <v>229.0</v>
      </c>
      <c r="N1062" s="50"/>
      <c r="O1062" s="312"/>
      <c r="P1062" s="310">
        <v>41900.0</v>
      </c>
      <c r="Q1062" s="50">
        <v>27000.0</v>
      </c>
      <c r="R1062" s="50">
        <v>381.0</v>
      </c>
      <c r="S1062" s="318"/>
      <c r="T1062" s="317">
        <v>384.85</v>
      </c>
      <c r="U1062" s="312" t="s">
        <v>1407</v>
      </c>
      <c r="V1062" s="312" t="s">
        <v>1367</v>
      </c>
      <c r="W1062" s="50"/>
      <c r="X1062" s="50"/>
      <c r="Y1062" s="50"/>
      <c r="Z1062" s="312"/>
      <c r="AA1062" s="50" t="s">
        <v>1373</v>
      </c>
      <c r="AB1062" s="50"/>
      <c r="AC1062" s="50"/>
      <c r="AD1062" s="50"/>
      <c r="AE1062" s="50"/>
    </row>
    <row r="1063">
      <c r="A1063" s="307">
        <v>42019.052083333336</v>
      </c>
      <c r="B1063" s="50" t="s">
        <v>728</v>
      </c>
      <c r="C1063" s="303" t="s">
        <v>1177</v>
      </c>
      <c r="D1063" s="303" t="s">
        <v>1178</v>
      </c>
      <c r="E1063" s="310"/>
      <c r="F1063" s="312" t="s">
        <v>1370</v>
      </c>
      <c r="G1063" s="50"/>
      <c r="H1063" s="50"/>
      <c r="I1063" s="50"/>
      <c r="J1063" s="306"/>
      <c r="K1063" s="50"/>
      <c r="L1063" s="50"/>
      <c r="M1063" s="50">
        <v>270.0</v>
      </c>
      <c r="N1063" s="50"/>
      <c r="O1063" s="312"/>
      <c r="P1063" s="310">
        <v>42019.0</v>
      </c>
      <c r="Q1063" s="50">
        <v>32080.0</v>
      </c>
      <c r="R1063" s="50">
        <v>380.0</v>
      </c>
      <c r="S1063" s="318"/>
      <c r="T1063" s="317">
        <v>384.81</v>
      </c>
      <c r="U1063" s="312" t="s">
        <v>1366</v>
      </c>
      <c r="V1063" s="312" t="s">
        <v>1367</v>
      </c>
      <c r="W1063" s="50"/>
      <c r="X1063" s="50"/>
      <c r="Y1063" s="50"/>
      <c r="Z1063" s="312"/>
      <c r="AA1063" s="50"/>
      <c r="AB1063" s="50"/>
      <c r="AC1063" s="50"/>
      <c r="AD1063" s="50"/>
      <c r="AE1063" s="50"/>
    </row>
    <row r="1064">
      <c r="A1064" s="307">
        <v>43214.8875</v>
      </c>
      <c r="B1064" s="312" t="s">
        <v>1636</v>
      </c>
      <c r="C1064" s="312" t="s">
        <v>1184</v>
      </c>
      <c r="D1064" s="303" t="s">
        <v>1185</v>
      </c>
      <c r="E1064" s="315">
        <v>42522.0</v>
      </c>
      <c r="F1064" s="312" t="s">
        <v>57</v>
      </c>
      <c r="G1064" s="303" t="s">
        <v>1181</v>
      </c>
      <c r="H1064" s="303" t="s">
        <v>1190</v>
      </c>
      <c r="I1064" s="303" t="s">
        <v>1181</v>
      </c>
      <c r="J1064" s="306">
        <v>0.8</v>
      </c>
      <c r="K1064" s="312">
        <v>257.0</v>
      </c>
      <c r="L1064" s="312"/>
      <c r="M1064" s="312">
        <v>315.0</v>
      </c>
      <c r="N1064" s="312"/>
      <c r="O1064" s="312"/>
      <c r="P1064" s="315">
        <v>43214.0</v>
      </c>
      <c r="Q1064" s="312">
        <v>37883.0</v>
      </c>
      <c r="R1064" s="312">
        <v>242.0</v>
      </c>
      <c r="S1064" s="316"/>
      <c r="T1064" s="317">
        <v>245.06</v>
      </c>
      <c r="U1064" s="312" t="s">
        <v>1366</v>
      </c>
      <c r="V1064" s="312" t="s">
        <v>1367</v>
      </c>
      <c r="W1064" s="50"/>
      <c r="X1064" s="50"/>
      <c r="Y1064" s="50"/>
      <c r="Z1064" s="312"/>
      <c r="AA1064" s="312" t="s">
        <v>1637</v>
      </c>
      <c r="AB1064" s="50"/>
      <c r="AC1064" s="50"/>
      <c r="AD1064" s="50"/>
      <c r="AE1064" s="50"/>
    </row>
    <row r="1065">
      <c r="A1065" s="307">
        <v>43084.86597222222</v>
      </c>
      <c r="B1065" s="312" t="s">
        <v>1638</v>
      </c>
      <c r="C1065" s="312" t="s">
        <v>1184</v>
      </c>
      <c r="D1065" s="303" t="s">
        <v>1185</v>
      </c>
      <c r="E1065" s="315">
        <v>42852.0</v>
      </c>
      <c r="F1065" s="312" t="s">
        <v>16</v>
      </c>
      <c r="G1065" s="303" t="s">
        <v>1179</v>
      </c>
      <c r="H1065" s="303" t="s">
        <v>1190</v>
      </c>
      <c r="I1065" s="303" t="s">
        <v>1187</v>
      </c>
      <c r="J1065" s="306">
        <v>0.8</v>
      </c>
      <c r="K1065" s="312">
        <v>218.0</v>
      </c>
      <c r="L1065" s="312"/>
      <c r="M1065" s="312">
        <v>301.0</v>
      </c>
      <c r="N1065" s="312"/>
      <c r="O1065" s="312"/>
      <c r="P1065" s="315">
        <v>43084.0</v>
      </c>
      <c r="Q1065" s="312">
        <v>8286.0</v>
      </c>
      <c r="R1065" s="312">
        <v>213.0</v>
      </c>
      <c r="S1065" s="316"/>
      <c r="T1065" s="317">
        <v>215.7</v>
      </c>
      <c r="U1065" s="312" t="s">
        <v>1366</v>
      </c>
      <c r="V1065" s="312" t="s">
        <v>1367</v>
      </c>
      <c r="W1065" s="50"/>
      <c r="X1065" s="50"/>
      <c r="Y1065" s="50"/>
      <c r="Z1065" s="312"/>
      <c r="AA1065" s="50"/>
      <c r="AB1065" s="50"/>
      <c r="AC1065" s="50"/>
      <c r="AD1065" s="50"/>
      <c r="AE1065" s="50"/>
    </row>
    <row r="1066">
      <c r="A1066" s="307">
        <v>43166.87777777778</v>
      </c>
      <c r="B1066" s="312" t="s">
        <v>1639</v>
      </c>
      <c r="C1066" s="312" t="s">
        <v>1184</v>
      </c>
      <c r="D1066" s="303" t="s">
        <v>1185</v>
      </c>
      <c r="E1066" s="315">
        <v>42852.0</v>
      </c>
      <c r="F1066" s="312" t="s">
        <v>28</v>
      </c>
      <c r="G1066" s="303" t="s">
        <v>1179</v>
      </c>
      <c r="H1066" s="303" t="s">
        <v>1187</v>
      </c>
      <c r="I1066" s="303" t="s">
        <v>1186</v>
      </c>
      <c r="J1066" s="306">
        <v>0.8</v>
      </c>
      <c r="K1066" s="50"/>
      <c r="L1066" s="312"/>
      <c r="M1066" s="312">
        <v>317.0</v>
      </c>
      <c r="N1066" s="312"/>
      <c r="O1066" s="312"/>
      <c r="P1066" s="315">
        <v>43166.0</v>
      </c>
      <c r="Q1066" s="312">
        <v>11668.0</v>
      </c>
      <c r="R1066" s="312">
        <v>247.0</v>
      </c>
      <c r="S1066" s="316"/>
      <c r="T1066" s="317">
        <v>250.13</v>
      </c>
      <c r="U1066" s="312" t="s">
        <v>1366</v>
      </c>
      <c r="V1066" s="312" t="s">
        <v>1367</v>
      </c>
      <c r="W1066" s="50"/>
      <c r="X1066" s="50"/>
      <c r="Y1066" s="50"/>
      <c r="Z1066" s="312"/>
      <c r="AA1066" s="50"/>
      <c r="AB1066" s="50"/>
      <c r="AC1066" s="50"/>
      <c r="AD1066" s="50"/>
      <c r="AE1066" s="50"/>
    </row>
    <row r="1067">
      <c r="A1067" s="307">
        <v>41912.025</v>
      </c>
      <c r="B1067" s="50" t="s">
        <v>713</v>
      </c>
      <c r="C1067" s="303" t="s">
        <v>1177</v>
      </c>
      <c r="D1067" s="303" t="s">
        <v>1178</v>
      </c>
      <c r="E1067" s="310">
        <v>41593.0</v>
      </c>
      <c r="F1067" s="312" t="s">
        <v>30</v>
      </c>
      <c r="G1067" s="303" t="s">
        <v>1181</v>
      </c>
      <c r="H1067" s="303" t="s">
        <v>1186</v>
      </c>
      <c r="I1067" s="303" t="s">
        <v>1187</v>
      </c>
      <c r="J1067" s="306"/>
      <c r="K1067" s="50"/>
      <c r="L1067" s="50"/>
      <c r="M1067" s="50">
        <v>219.0</v>
      </c>
      <c r="N1067" s="50">
        <v>28000.0</v>
      </c>
      <c r="O1067" s="303" t="s">
        <v>1323</v>
      </c>
      <c r="P1067" s="310">
        <v>41912.0</v>
      </c>
      <c r="Q1067" s="50">
        <v>35244.0</v>
      </c>
      <c r="R1067" s="50">
        <v>391.0</v>
      </c>
      <c r="S1067" s="318"/>
      <c r="T1067" s="317">
        <v>394.95</v>
      </c>
      <c r="U1067" s="312" t="s">
        <v>1407</v>
      </c>
      <c r="V1067" s="312" t="s">
        <v>1399</v>
      </c>
      <c r="W1067" s="50"/>
      <c r="X1067" s="50"/>
      <c r="Y1067" s="50"/>
      <c r="Z1067" s="312"/>
      <c r="AA1067" s="50" t="s">
        <v>1373</v>
      </c>
      <c r="AB1067" s="50"/>
      <c r="AC1067" s="50"/>
      <c r="AD1067" s="50"/>
      <c r="AE1067" s="50"/>
    </row>
    <row r="1068">
      <c r="A1068" s="307">
        <v>42019.052777777775</v>
      </c>
      <c r="B1068" s="50" t="s">
        <v>713</v>
      </c>
      <c r="C1068" s="303" t="s">
        <v>1177</v>
      </c>
      <c r="D1068" s="303" t="s">
        <v>1178</v>
      </c>
      <c r="E1068" s="310">
        <v>41593.0</v>
      </c>
      <c r="F1068" s="312" t="s">
        <v>30</v>
      </c>
      <c r="G1068" s="303" t="s">
        <v>1180</v>
      </c>
      <c r="H1068" s="303" t="s">
        <v>1180</v>
      </c>
      <c r="I1068" s="303" t="s">
        <v>1186</v>
      </c>
      <c r="J1068" s="306"/>
      <c r="K1068" s="50"/>
      <c r="L1068" s="50"/>
      <c r="M1068" s="50">
        <v>229.0</v>
      </c>
      <c r="N1068" s="50">
        <v>28000.0</v>
      </c>
      <c r="O1068" s="303" t="s">
        <v>1323</v>
      </c>
      <c r="P1068" s="310">
        <v>42019.0</v>
      </c>
      <c r="Q1068" s="50">
        <v>51700.0</v>
      </c>
      <c r="R1068" s="50">
        <v>389.0</v>
      </c>
      <c r="S1068" s="318"/>
      <c r="T1068" s="317">
        <v>389.0</v>
      </c>
      <c r="U1068" s="312" t="s">
        <v>1369</v>
      </c>
      <c r="V1068" s="312" t="s">
        <v>1399</v>
      </c>
      <c r="W1068" s="50"/>
      <c r="X1068" s="50"/>
      <c r="Y1068" s="50"/>
      <c r="Z1068" s="312"/>
      <c r="AA1068" s="50" t="s">
        <v>1373</v>
      </c>
      <c r="AB1068" s="50"/>
      <c r="AC1068" s="50"/>
      <c r="AD1068" s="50"/>
      <c r="AE1068" s="50"/>
    </row>
    <row r="1069">
      <c r="A1069" s="307">
        <v>42100.09027777778</v>
      </c>
      <c r="B1069" s="50" t="s">
        <v>713</v>
      </c>
      <c r="C1069" s="303" t="s">
        <v>1177</v>
      </c>
      <c r="D1069" s="303" t="s">
        <v>1178</v>
      </c>
      <c r="E1069" s="310">
        <v>41593.0</v>
      </c>
      <c r="F1069" s="312" t="s">
        <v>30</v>
      </c>
      <c r="G1069" s="303" t="s">
        <v>1190</v>
      </c>
      <c r="H1069" s="303" t="s">
        <v>1179</v>
      </c>
      <c r="I1069" s="303" t="s">
        <v>1181</v>
      </c>
      <c r="J1069" s="306"/>
      <c r="K1069" s="50"/>
      <c r="L1069" s="50"/>
      <c r="M1069" s="50">
        <v>235.0</v>
      </c>
      <c r="N1069" s="50">
        <v>28000.0</v>
      </c>
      <c r="O1069" s="303" t="s">
        <v>1323</v>
      </c>
      <c r="P1069" s="315">
        <v>42100.0</v>
      </c>
      <c r="Q1069" s="312">
        <v>60588.0</v>
      </c>
      <c r="R1069" s="50">
        <v>378.0</v>
      </c>
      <c r="S1069" s="318"/>
      <c r="T1069" s="317">
        <v>382.78</v>
      </c>
      <c r="U1069" s="312" t="s">
        <v>1366</v>
      </c>
      <c r="V1069" s="312" t="s">
        <v>1399</v>
      </c>
      <c r="W1069" s="50"/>
      <c r="X1069" s="50"/>
      <c r="Y1069" s="50"/>
      <c r="Z1069" s="312"/>
      <c r="AA1069" s="50" t="s">
        <v>1373</v>
      </c>
      <c r="AB1069" s="50"/>
      <c r="AC1069" s="50"/>
      <c r="AD1069" s="50"/>
      <c r="AE1069" s="50"/>
    </row>
    <row r="1070">
      <c r="A1070" s="307">
        <v>42246.175</v>
      </c>
      <c r="B1070" s="312" t="s">
        <v>713</v>
      </c>
      <c r="C1070" s="303" t="s">
        <v>1177</v>
      </c>
      <c r="D1070" s="303" t="s">
        <v>1178</v>
      </c>
      <c r="E1070" s="315">
        <v>41593.0</v>
      </c>
      <c r="F1070" s="312" t="s">
        <v>30</v>
      </c>
      <c r="G1070" s="303" t="s">
        <v>1181</v>
      </c>
      <c r="H1070" s="303" t="s">
        <v>1181</v>
      </c>
      <c r="I1070" s="303" t="s">
        <v>1186</v>
      </c>
      <c r="J1070" s="306">
        <v>0.7</v>
      </c>
      <c r="K1070" s="312">
        <v>400.0</v>
      </c>
      <c r="L1070" s="312"/>
      <c r="M1070" s="312">
        <v>225.0</v>
      </c>
      <c r="N1070" s="312">
        <v>30000.0</v>
      </c>
      <c r="O1070" s="303" t="s">
        <v>1207</v>
      </c>
      <c r="P1070" s="315">
        <v>42246.0</v>
      </c>
      <c r="Q1070" s="312">
        <v>79470.0</v>
      </c>
      <c r="R1070" s="312">
        <v>359.0</v>
      </c>
      <c r="S1070" s="316"/>
      <c r="T1070" s="317">
        <v>363.54</v>
      </c>
      <c r="U1070" s="312" t="s">
        <v>1366</v>
      </c>
      <c r="V1070" s="312" t="s">
        <v>1399</v>
      </c>
      <c r="W1070" s="50"/>
      <c r="X1070" s="50"/>
      <c r="Y1070" s="50"/>
      <c r="Z1070" s="312"/>
      <c r="AA1070" s="312" t="s">
        <v>1373</v>
      </c>
      <c r="AB1070" s="50"/>
      <c r="AC1070" s="50"/>
      <c r="AD1070" s="50"/>
      <c r="AE1070" s="50"/>
    </row>
    <row r="1071">
      <c r="A1071" s="307">
        <v>42376.26875</v>
      </c>
      <c r="B1071" s="312" t="s">
        <v>713</v>
      </c>
      <c r="C1071" s="303" t="s">
        <v>1177</v>
      </c>
      <c r="D1071" s="303" t="s">
        <v>1178</v>
      </c>
      <c r="E1071" s="310">
        <v>41593.0</v>
      </c>
      <c r="F1071" s="312" t="s">
        <v>30</v>
      </c>
      <c r="G1071" s="303" t="s">
        <v>1181</v>
      </c>
      <c r="H1071" s="303" t="s">
        <v>1181</v>
      </c>
      <c r="I1071" s="303" t="s">
        <v>1186</v>
      </c>
      <c r="J1071" s="306">
        <v>0.9</v>
      </c>
      <c r="K1071" s="50"/>
      <c r="L1071" s="312"/>
      <c r="M1071" s="312">
        <v>224.0</v>
      </c>
      <c r="N1071" s="312">
        <v>30000.0</v>
      </c>
      <c r="O1071" s="303" t="s">
        <v>1207</v>
      </c>
      <c r="P1071" s="315">
        <v>42376.0</v>
      </c>
      <c r="Q1071" s="312">
        <v>93906.0</v>
      </c>
      <c r="R1071" s="312">
        <v>368.0</v>
      </c>
      <c r="S1071" s="316"/>
      <c r="T1071" s="317">
        <v>372.66</v>
      </c>
      <c r="U1071" s="312" t="s">
        <v>1366</v>
      </c>
      <c r="V1071" s="312" t="s">
        <v>1399</v>
      </c>
      <c r="W1071" s="50"/>
      <c r="X1071" s="50"/>
      <c r="Y1071" s="50"/>
      <c r="Z1071" s="312"/>
      <c r="AA1071" s="312" t="s">
        <v>1373</v>
      </c>
      <c r="AB1071" s="50"/>
      <c r="AC1071" s="50"/>
      <c r="AD1071" s="50"/>
      <c r="AE1071" s="50"/>
    </row>
    <row r="1072">
      <c r="A1072" s="307">
        <v>42666.416666666664</v>
      </c>
      <c r="B1072" s="312" t="s">
        <v>713</v>
      </c>
      <c r="C1072" s="303" t="s">
        <v>1177</v>
      </c>
      <c r="D1072" s="303" t="s">
        <v>1178</v>
      </c>
      <c r="E1072" s="315">
        <v>41593.0</v>
      </c>
      <c r="F1072" s="312" t="s">
        <v>30</v>
      </c>
      <c r="G1072" s="303" t="s">
        <v>1181</v>
      </c>
      <c r="H1072" s="303" t="s">
        <v>1181</v>
      </c>
      <c r="I1072" s="303" t="s">
        <v>1181</v>
      </c>
      <c r="J1072" s="306">
        <v>0.9</v>
      </c>
      <c r="K1072" s="50"/>
      <c r="L1072" s="312"/>
      <c r="M1072" s="312">
        <v>226.0</v>
      </c>
      <c r="N1072" s="312">
        <v>28000.0</v>
      </c>
      <c r="O1072" s="303" t="s">
        <v>1323</v>
      </c>
      <c r="P1072" s="315">
        <v>42666.0</v>
      </c>
      <c r="Q1072" s="312">
        <v>126077.0</v>
      </c>
      <c r="R1072" s="312">
        <v>371.0</v>
      </c>
      <c r="S1072" s="316"/>
      <c r="T1072" s="317">
        <v>375.7</v>
      </c>
      <c r="U1072" s="312" t="s">
        <v>1366</v>
      </c>
      <c r="V1072" s="312" t="s">
        <v>1399</v>
      </c>
      <c r="W1072" s="312">
        <v>336.0</v>
      </c>
      <c r="X1072" s="50"/>
      <c r="Y1072" s="50"/>
      <c r="Z1072" s="312"/>
      <c r="AA1072" s="50"/>
      <c r="AB1072" s="50"/>
      <c r="AC1072" s="50"/>
      <c r="AD1072" s="50"/>
      <c r="AE1072" s="50"/>
    </row>
    <row r="1073">
      <c r="A1073" s="307">
        <v>42797.50833333333</v>
      </c>
      <c r="B1073" s="312" t="s">
        <v>713</v>
      </c>
      <c r="C1073" s="303" t="s">
        <v>1177</v>
      </c>
      <c r="D1073" s="303" t="s">
        <v>1178</v>
      </c>
      <c r="E1073" s="315">
        <v>41593.0</v>
      </c>
      <c r="F1073" s="312" t="s">
        <v>30</v>
      </c>
      <c r="G1073" s="303" t="s">
        <v>1181</v>
      </c>
      <c r="H1073" s="303" t="s">
        <v>1180</v>
      </c>
      <c r="I1073" s="303" t="s">
        <v>1181</v>
      </c>
      <c r="J1073" s="306">
        <v>0.9</v>
      </c>
      <c r="K1073" s="312">
        <v>400.0</v>
      </c>
      <c r="L1073" s="312"/>
      <c r="M1073" s="312">
        <v>226.0</v>
      </c>
      <c r="N1073" s="312">
        <v>28000.0</v>
      </c>
      <c r="O1073" s="303" t="s">
        <v>1323</v>
      </c>
      <c r="P1073" s="315">
        <v>42797.0</v>
      </c>
      <c r="Q1073" s="312">
        <v>144744.0</v>
      </c>
      <c r="R1073" s="312">
        <v>371.0</v>
      </c>
      <c r="S1073" s="316"/>
      <c r="T1073" s="317">
        <v>375.7</v>
      </c>
      <c r="U1073" s="312" t="s">
        <v>1366</v>
      </c>
      <c r="V1073" s="312" t="s">
        <v>1399</v>
      </c>
      <c r="W1073" s="50"/>
      <c r="X1073" s="50"/>
      <c r="Y1073" s="50"/>
      <c r="Z1073" s="312"/>
      <c r="AA1073" s="50"/>
      <c r="AB1073" s="50"/>
      <c r="AC1073" s="50"/>
      <c r="AD1073" s="50"/>
      <c r="AE1073" s="50"/>
    </row>
    <row r="1074">
      <c r="A1074" s="307">
        <v>42897.54583333333</v>
      </c>
      <c r="B1074" s="312" t="s">
        <v>713</v>
      </c>
      <c r="C1074" s="303" t="s">
        <v>1177</v>
      </c>
      <c r="D1074" s="303" t="s">
        <v>1178</v>
      </c>
      <c r="E1074" s="315">
        <v>41593.0</v>
      </c>
      <c r="F1074" s="312" t="s">
        <v>30</v>
      </c>
      <c r="G1074" s="312"/>
      <c r="H1074" s="312"/>
      <c r="I1074" s="312"/>
      <c r="J1074" s="306"/>
      <c r="K1074" s="50"/>
      <c r="L1074" s="312"/>
      <c r="M1074" s="312">
        <v>226.0</v>
      </c>
      <c r="N1074" s="312">
        <v>28000.0</v>
      </c>
      <c r="O1074" s="303" t="s">
        <v>1323</v>
      </c>
      <c r="P1074" s="315">
        <v>42897.0</v>
      </c>
      <c r="Q1074" s="312">
        <v>154801.0</v>
      </c>
      <c r="R1074" s="312">
        <v>373.0</v>
      </c>
      <c r="S1074" s="316"/>
      <c r="T1074" s="317">
        <v>377.72</v>
      </c>
      <c r="U1074" s="312" t="s">
        <v>1366</v>
      </c>
      <c r="V1074" s="312" t="s">
        <v>1399</v>
      </c>
      <c r="W1074" s="50"/>
      <c r="X1074" s="50"/>
      <c r="Y1074" s="50"/>
      <c r="Z1074" s="312"/>
      <c r="AA1074" s="50"/>
      <c r="AB1074" s="50"/>
      <c r="AC1074" s="50"/>
      <c r="AD1074" s="50"/>
      <c r="AE1074" s="50"/>
    </row>
    <row r="1075">
      <c r="A1075" s="307">
        <v>43219.73333333333</v>
      </c>
      <c r="B1075" s="312" t="s">
        <v>713</v>
      </c>
      <c r="C1075" s="303" t="s">
        <v>1177</v>
      </c>
      <c r="D1075" s="303" t="s">
        <v>1178</v>
      </c>
      <c r="E1075" s="315">
        <v>41593.0</v>
      </c>
      <c r="F1075" s="312" t="s">
        <v>30</v>
      </c>
      <c r="G1075" s="303" t="s">
        <v>1181</v>
      </c>
      <c r="H1075" s="303" t="s">
        <v>1180</v>
      </c>
      <c r="I1075" s="303" t="s">
        <v>1186</v>
      </c>
      <c r="J1075" s="306">
        <v>0.8</v>
      </c>
      <c r="K1075" s="50"/>
      <c r="L1075" s="312"/>
      <c r="M1075" s="312">
        <v>221.0</v>
      </c>
      <c r="N1075" s="312">
        <v>28000.0</v>
      </c>
      <c r="O1075" s="303" t="s">
        <v>1323</v>
      </c>
      <c r="P1075" s="315">
        <v>43219.0</v>
      </c>
      <c r="Q1075" s="312">
        <v>192495.0</v>
      </c>
      <c r="R1075" s="312">
        <v>362.0</v>
      </c>
      <c r="S1075" s="316"/>
      <c r="T1075" s="317">
        <v>366.58</v>
      </c>
      <c r="U1075" s="312" t="s">
        <v>1366</v>
      </c>
      <c r="V1075" s="312" t="s">
        <v>1399</v>
      </c>
      <c r="W1075" s="50"/>
      <c r="X1075" s="50"/>
      <c r="Y1075" s="50"/>
      <c r="Z1075" s="312"/>
      <c r="AA1075" s="50"/>
      <c r="AB1075" s="50"/>
      <c r="AC1075" s="50"/>
      <c r="AD1075" s="50"/>
      <c r="AE1075" s="50"/>
    </row>
    <row r="1076">
      <c r="A1076" s="307">
        <v>41967.04027777778</v>
      </c>
      <c r="B1076" s="50" t="s">
        <v>1092</v>
      </c>
      <c r="C1076" s="303" t="s">
        <v>1177</v>
      </c>
      <c r="D1076" s="303" t="s">
        <v>1178</v>
      </c>
      <c r="E1076" s="310">
        <v>41612.0</v>
      </c>
      <c r="F1076" s="312" t="s">
        <v>1370</v>
      </c>
      <c r="G1076" s="303" t="s">
        <v>1179</v>
      </c>
      <c r="H1076" s="303" t="s">
        <v>1179</v>
      </c>
      <c r="I1076" s="303" t="s">
        <v>1186</v>
      </c>
      <c r="J1076" s="306"/>
      <c r="K1076" s="50"/>
      <c r="L1076" s="50"/>
      <c r="M1076" s="50">
        <v>218.0</v>
      </c>
      <c r="N1076" s="50"/>
      <c r="O1076" s="312"/>
      <c r="P1076" s="310">
        <v>41967.0</v>
      </c>
      <c r="Q1076" s="50">
        <v>32000.0</v>
      </c>
      <c r="R1076" s="50">
        <v>383.0</v>
      </c>
      <c r="S1076" s="318"/>
      <c r="T1076" s="317">
        <v>383.0</v>
      </c>
      <c r="U1076" s="312" t="s">
        <v>1369</v>
      </c>
      <c r="V1076" s="312" t="s">
        <v>1367</v>
      </c>
      <c r="W1076" s="50"/>
      <c r="X1076" s="50"/>
      <c r="Y1076" s="50"/>
      <c r="Z1076" s="312"/>
      <c r="AA1076" s="50" t="s">
        <v>1434</v>
      </c>
      <c r="AB1076" s="50"/>
      <c r="AC1076" s="50"/>
      <c r="AD1076" s="50"/>
      <c r="AE1076" s="50"/>
    </row>
    <row r="1077">
      <c r="A1077" s="307">
        <v>42567.36388888889</v>
      </c>
      <c r="B1077" s="312" t="s">
        <v>926</v>
      </c>
      <c r="C1077" s="303" t="s">
        <v>1177</v>
      </c>
      <c r="D1077" s="303" t="s">
        <v>1178</v>
      </c>
      <c r="E1077" s="315">
        <v>42531.0</v>
      </c>
      <c r="F1077" s="312" t="s">
        <v>43</v>
      </c>
      <c r="G1077" s="312"/>
      <c r="H1077" s="312"/>
      <c r="I1077" s="312"/>
      <c r="J1077" s="306"/>
      <c r="K1077" s="50"/>
      <c r="L1077" s="312"/>
      <c r="M1077" s="312">
        <v>242.0</v>
      </c>
      <c r="N1077" s="312"/>
      <c r="O1077" s="312"/>
      <c r="P1077" s="315">
        <v>42567.0</v>
      </c>
      <c r="Q1077" s="312">
        <v>4900.0</v>
      </c>
      <c r="R1077" s="312">
        <v>445.0</v>
      </c>
      <c r="S1077" s="316"/>
      <c r="T1077" s="317">
        <v>450.63</v>
      </c>
      <c r="U1077" s="312" t="s">
        <v>1366</v>
      </c>
      <c r="V1077" s="312" t="s">
        <v>1367</v>
      </c>
      <c r="W1077" s="50"/>
      <c r="X1077" s="50"/>
      <c r="Y1077" s="50"/>
      <c r="Z1077" s="312"/>
      <c r="AA1077" s="50"/>
      <c r="AB1077" s="50"/>
      <c r="AC1077" s="50"/>
      <c r="AD1077" s="50"/>
      <c r="AE1077" s="50"/>
    </row>
    <row r="1078">
      <c r="A1078" s="307">
        <v>42394.27847222222</v>
      </c>
      <c r="B1078" s="312" t="s">
        <v>755</v>
      </c>
      <c r="C1078" s="303" t="s">
        <v>1177</v>
      </c>
      <c r="D1078" s="303" t="s">
        <v>1178</v>
      </c>
      <c r="E1078" s="310">
        <v>42358.0</v>
      </c>
      <c r="F1078" s="312" t="s">
        <v>36</v>
      </c>
      <c r="G1078" s="303" t="s">
        <v>1203</v>
      </c>
      <c r="H1078" s="303" t="s">
        <v>1190</v>
      </c>
      <c r="I1078" s="303" t="s">
        <v>1186</v>
      </c>
      <c r="J1078" s="306">
        <v>0.8</v>
      </c>
      <c r="K1078" s="312">
        <v>408.0</v>
      </c>
      <c r="L1078" s="312"/>
      <c r="M1078" s="312">
        <v>230.0</v>
      </c>
      <c r="N1078" s="312"/>
      <c r="O1078" s="312"/>
      <c r="P1078" s="315">
        <v>42394.0</v>
      </c>
      <c r="Q1078" s="312">
        <v>3200.0</v>
      </c>
      <c r="R1078" s="312">
        <v>408.0</v>
      </c>
      <c r="S1078" s="316"/>
      <c r="T1078" s="317">
        <v>408.0</v>
      </c>
      <c r="U1078" s="312" t="s">
        <v>1369</v>
      </c>
      <c r="V1078" s="312" t="s">
        <v>1367</v>
      </c>
      <c r="W1078" s="50"/>
      <c r="X1078" s="50"/>
      <c r="Y1078" s="50"/>
      <c r="Z1078" s="312"/>
      <c r="AA1078" s="50"/>
      <c r="AB1078" s="50"/>
      <c r="AC1078" s="50"/>
      <c r="AD1078" s="50"/>
      <c r="AE1078" s="50"/>
    </row>
    <row r="1079">
      <c r="A1079" s="307">
        <v>42477.325694444444</v>
      </c>
      <c r="B1079" s="312" t="s">
        <v>755</v>
      </c>
      <c r="C1079" s="303" t="s">
        <v>1177</v>
      </c>
      <c r="D1079" s="303" t="s">
        <v>1178</v>
      </c>
      <c r="E1079" s="315">
        <v>42350.0</v>
      </c>
      <c r="F1079" s="312" t="s">
        <v>36</v>
      </c>
      <c r="G1079" s="303" t="s">
        <v>1203</v>
      </c>
      <c r="H1079" s="303" t="s">
        <v>1179</v>
      </c>
      <c r="I1079" s="303" t="s">
        <v>1187</v>
      </c>
      <c r="J1079" s="306">
        <v>0.8</v>
      </c>
      <c r="K1079" s="312">
        <v>408.0</v>
      </c>
      <c r="L1079" s="312"/>
      <c r="M1079" s="312">
        <v>223.0</v>
      </c>
      <c r="N1079" s="312"/>
      <c r="O1079" s="312"/>
      <c r="P1079" s="315">
        <v>42477.0</v>
      </c>
      <c r="Q1079" s="312">
        <v>15000.0</v>
      </c>
      <c r="R1079" s="312">
        <v>413.0</v>
      </c>
      <c r="S1079" s="316"/>
      <c r="T1079" s="317">
        <v>418.23</v>
      </c>
      <c r="U1079" s="312" t="s">
        <v>1366</v>
      </c>
      <c r="V1079" s="312" t="s">
        <v>1367</v>
      </c>
      <c r="W1079" s="50"/>
      <c r="X1079" s="50"/>
      <c r="Y1079" s="50"/>
      <c r="Z1079" s="312"/>
      <c r="AA1079" s="50"/>
      <c r="AB1079" s="50"/>
      <c r="AC1079" s="50"/>
      <c r="AD1079" s="50"/>
      <c r="AE1079" s="50"/>
    </row>
    <row r="1080">
      <c r="A1080" s="307">
        <v>43089.64791666667</v>
      </c>
      <c r="B1080" s="312" t="s">
        <v>1198</v>
      </c>
      <c r="C1080" s="303" t="s">
        <v>1177</v>
      </c>
      <c r="D1080" s="303" t="s">
        <v>1178</v>
      </c>
      <c r="E1080" s="315">
        <v>41985.0</v>
      </c>
      <c r="F1080" s="312" t="s">
        <v>30</v>
      </c>
      <c r="G1080" s="303" t="s">
        <v>1203</v>
      </c>
      <c r="H1080" s="303" t="s">
        <v>1181</v>
      </c>
      <c r="I1080" s="303" t="s">
        <v>1186</v>
      </c>
      <c r="J1080" s="306">
        <v>0.9</v>
      </c>
      <c r="K1080" s="50"/>
      <c r="L1080" s="312"/>
      <c r="M1080" s="312">
        <v>218.0</v>
      </c>
      <c r="N1080" s="312"/>
      <c r="O1080" s="312"/>
      <c r="P1080" s="315">
        <v>43089.0</v>
      </c>
      <c r="Q1080" s="312">
        <v>82512.0</v>
      </c>
      <c r="R1080" s="312">
        <v>379.0</v>
      </c>
      <c r="S1080" s="316"/>
      <c r="T1080" s="317">
        <v>383.8</v>
      </c>
      <c r="U1080" s="312" t="s">
        <v>1366</v>
      </c>
      <c r="V1080" s="312" t="s">
        <v>1367</v>
      </c>
      <c r="W1080" s="312">
        <v>277.76</v>
      </c>
      <c r="X1080" s="312">
        <v>230.41</v>
      </c>
      <c r="Y1080" s="312">
        <v>9.33</v>
      </c>
      <c r="Z1080" s="312" t="s">
        <v>1366</v>
      </c>
      <c r="AA1080" s="50"/>
      <c r="AB1080" s="50"/>
      <c r="AC1080" s="50"/>
      <c r="AD1080" s="50"/>
      <c r="AE1080" s="50"/>
    </row>
    <row r="1081">
      <c r="A1081" s="307">
        <v>42117.103472222225</v>
      </c>
      <c r="B1081" s="312" t="s">
        <v>847</v>
      </c>
      <c r="C1081" s="303" t="s">
        <v>1177</v>
      </c>
      <c r="D1081" s="303" t="s">
        <v>1178</v>
      </c>
      <c r="E1081" s="315">
        <v>42109.0</v>
      </c>
      <c r="F1081" s="312" t="s">
        <v>36</v>
      </c>
      <c r="G1081" s="303" t="s">
        <v>1190</v>
      </c>
      <c r="H1081" s="303" t="s">
        <v>1190</v>
      </c>
      <c r="I1081" s="312"/>
      <c r="J1081" s="306"/>
      <c r="K1081" s="50"/>
      <c r="L1081" s="312"/>
      <c r="M1081" s="312">
        <v>233.0</v>
      </c>
      <c r="N1081" s="50"/>
      <c r="O1081" s="312"/>
      <c r="P1081" s="315">
        <v>42117.0</v>
      </c>
      <c r="Q1081" s="312">
        <v>550.0</v>
      </c>
      <c r="R1081" s="312">
        <v>403.0</v>
      </c>
      <c r="S1081" s="316"/>
      <c r="T1081" s="317">
        <v>408.1</v>
      </c>
      <c r="U1081" s="312" t="s">
        <v>1366</v>
      </c>
      <c r="V1081" s="312" t="s">
        <v>1367</v>
      </c>
      <c r="W1081" s="50"/>
      <c r="X1081" s="50"/>
      <c r="Y1081" s="50"/>
      <c r="Z1081" s="312"/>
      <c r="AA1081" s="312" t="s">
        <v>1435</v>
      </c>
      <c r="AB1081" s="50"/>
      <c r="AC1081" s="50"/>
      <c r="AD1081" s="50"/>
      <c r="AE1081" s="50"/>
    </row>
    <row r="1082">
      <c r="A1082" s="307">
        <v>42603.38125</v>
      </c>
      <c r="B1082" s="312" t="s">
        <v>969</v>
      </c>
      <c r="C1082" s="303" t="s">
        <v>1177</v>
      </c>
      <c r="D1082" s="303" t="s">
        <v>1178</v>
      </c>
      <c r="E1082" s="315">
        <v>42137.0</v>
      </c>
      <c r="F1082" s="312" t="s">
        <v>38</v>
      </c>
      <c r="G1082" s="303" t="s">
        <v>1181</v>
      </c>
      <c r="H1082" s="303" t="s">
        <v>1181</v>
      </c>
      <c r="I1082" s="303" t="s">
        <v>1186</v>
      </c>
      <c r="J1082" s="306">
        <v>0.8</v>
      </c>
      <c r="K1082" s="50"/>
      <c r="L1082" s="312"/>
      <c r="M1082" s="312">
        <v>221.0</v>
      </c>
      <c r="N1082" s="312">
        <v>2000.0</v>
      </c>
      <c r="O1082" s="303" t="s">
        <v>1323</v>
      </c>
      <c r="P1082" s="315">
        <v>42603.0</v>
      </c>
      <c r="Q1082" s="312">
        <v>27000.0</v>
      </c>
      <c r="R1082" s="312">
        <v>381.0</v>
      </c>
      <c r="S1082" s="316"/>
      <c r="T1082" s="317">
        <v>385.82</v>
      </c>
      <c r="U1082" s="312" t="s">
        <v>1366</v>
      </c>
      <c r="V1082" s="312" t="s">
        <v>1399</v>
      </c>
      <c r="W1082" s="50"/>
      <c r="X1082" s="50"/>
      <c r="Y1082" s="50"/>
      <c r="Z1082" s="312"/>
      <c r="AA1082" s="312" t="s">
        <v>1640</v>
      </c>
      <c r="AB1082" s="50"/>
      <c r="AC1082" s="50"/>
      <c r="AD1082" s="50"/>
      <c r="AE1082" s="50"/>
    </row>
    <row r="1083">
      <c r="A1083" s="307">
        <v>42415.28888888889</v>
      </c>
      <c r="B1083" s="312" t="s">
        <v>786</v>
      </c>
      <c r="C1083" s="303" t="s">
        <v>1177</v>
      </c>
      <c r="D1083" s="303" t="s">
        <v>1178</v>
      </c>
      <c r="E1083" s="315">
        <v>42186.0</v>
      </c>
      <c r="F1083" s="312" t="s">
        <v>38</v>
      </c>
      <c r="G1083" s="303" t="s">
        <v>1179</v>
      </c>
      <c r="H1083" s="303" t="s">
        <v>1181</v>
      </c>
      <c r="I1083" s="303" t="s">
        <v>1187</v>
      </c>
      <c r="J1083" s="306">
        <v>0.8</v>
      </c>
      <c r="K1083" s="312">
        <v>398.0</v>
      </c>
      <c r="L1083" s="312"/>
      <c r="M1083" s="312">
        <v>208.0</v>
      </c>
      <c r="N1083" s="312"/>
      <c r="O1083" s="312"/>
      <c r="P1083" s="315">
        <v>42415.0</v>
      </c>
      <c r="Q1083" s="312">
        <v>28000.0</v>
      </c>
      <c r="R1083" s="312">
        <v>385.0</v>
      </c>
      <c r="S1083" s="316"/>
      <c r="T1083" s="317">
        <v>389.87</v>
      </c>
      <c r="U1083" s="312" t="s">
        <v>1366</v>
      </c>
      <c r="V1083" s="312" t="s">
        <v>1367</v>
      </c>
      <c r="W1083" s="50"/>
      <c r="X1083" s="50"/>
      <c r="Y1083" s="50"/>
      <c r="Z1083" s="312"/>
      <c r="AA1083" s="50"/>
      <c r="AB1083" s="50"/>
      <c r="AC1083" s="50"/>
      <c r="AD1083" s="50"/>
      <c r="AE1083" s="50"/>
    </row>
    <row r="1084">
      <c r="A1084" s="307">
        <v>41903.00763888889</v>
      </c>
      <c r="B1084" s="50" t="s">
        <v>719</v>
      </c>
      <c r="C1084" s="303" t="s">
        <v>1177</v>
      </c>
      <c r="D1084" s="303" t="s">
        <v>1178</v>
      </c>
      <c r="E1084" s="310">
        <v>41639.0</v>
      </c>
      <c r="F1084" s="50" t="s">
        <v>32</v>
      </c>
      <c r="G1084" s="303" t="s">
        <v>1190</v>
      </c>
      <c r="H1084" s="303" t="s">
        <v>1190</v>
      </c>
      <c r="I1084" s="303" t="s">
        <v>1186</v>
      </c>
      <c r="J1084" s="306"/>
      <c r="K1084" s="50"/>
      <c r="L1084" s="50"/>
      <c r="M1084" s="50">
        <v>227.0</v>
      </c>
      <c r="N1084" s="50"/>
      <c r="O1084" s="312"/>
      <c r="P1084" s="310">
        <v>41903.0</v>
      </c>
      <c r="Q1084" s="50">
        <v>46000.0</v>
      </c>
      <c r="R1084" s="50">
        <v>381.0</v>
      </c>
      <c r="S1084" s="318"/>
      <c r="T1084" s="317">
        <v>384.85</v>
      </c>
      <c r="U1084" s="50" t="s">
        <v>1407</v>
      </c>
      <c r="V1084" s="312" t="s">
        <v>1367</v>
      </c>
      <c r="W1084" s="50"/>
      <c r="X1084" s="50"/>
      <c r="Y1084" s="50"/>
      <c r="Z1084" s="312"/>
      <c r="AA1084" s="50" t="s">
        <v>1435</v>
      </c>
      <c r="AB1084" s="50"/>
      <c r="AC1084" s="50"/>
      <c r="AD1084" s="50"/>
      <c r="AE1084" s="50"/>
    </row>
    <row r="1085">
      <c r="A1085" s="307">
        <v>42019.05347222222</v>
      </c>
      <c r="B1085" s="50" t="s">
        <v>719</v>
      </c>
      <c r="C1085" s="303" t="s">
        <v>1177</v>
      </c>
      <c r="D1085" s="303" t="s">
        <v>1178</v>
      </c>
      <c r="E1085" s="310">
        <v>41639.0</v>
      </c>
      <c r="F1085" s="312" t="s">
        <v>32</v>
      </c>
      <c r="G1085" s="303" t="s">
        <v>1190</v>
      </c>
      <c r="H1085" s="303" t="s">
        <v>1190</v>
      </c>
      <c r="I1085" s="303" t="s">
        <v>1180</v>
      </c>
      <c r="J1085" s="306"/>
      <c r="K1085" s="50"/>
      <c r="L1085" s="50"/>
      <c r="M1085" s="50">
        <v>223.0</v>
      </c>
      <c r="N1085" s="50"/>
      <c r="O1085" s="312"/>
      <c r="P1085" s="310">
        <v>42019.0</v>
      </c>
      <c r="Q1085" s="50">
        <v>61500.0</v>
      </c>
      <c r="R1085" s="50">
        <v>373.0</v>
      </c>
      <c r="S1085" s="318"/>
      <c r="T1085" s="317">
        <v>377.72</v>
      </c>
      <c r="U1085" s="312" t="s">
        <v>1366</v>
      </c>
      <c r="V1085" s="312" t="s">
        <v>1367</v>
      </c>
      <c r="W1085" s="50"/>
      <c r="X1085" s="50"/>
      <c r="Y1085" s="50"/>
      <c r="Z1085" s="312"/>
      <c r="AA1085" s="50" t="s">
        <v>1434</v>
      </c>
      <c r="AB1085" s="50"/>
      <c r="AC1085" s="50"/>
      <c r="AD1085" s="50"/>
      <c r="AE1085" s="50"/>
    </row>
    <row r="1086">
      <c r="A1086" s="307">
        <v>42070.08194444444</v>
      </c>
      <c r="B1086" s="50" t="s">
        <v>719</v>
      </c>
      <c r="C1086" s="303" t="s">
        <v>1177</v>
      </c>
      <c r="D1086" s="303" t="s">
        <v>1178</v>
      </c>
      <c r="E1086" s="310">
        <v>41639.0</v>
      </c>
      <c r="F1086" s="312" t="s">
        <v>32</v>
      </c>
      <c r="G1086" s="303" t="s">
        <v>1190</v>
      </c>
      <c r="H1086" s="303" t="s">
        <v>1190</v>
      </c>
      <c r="I1086" s="303" t="s">
        <v>1180</v>
      </c>
      <c r="J1086" s="306"/>
      <c r="K1086" s="50"/>
      <c r="L1086" s="50"/>
      <c r="M1086" s="50">
        <v>229.0</v>
      </c>
      <c r="N1086" s="50"/>
      <c r="O1086" s="312"/>
      <c r="P1086" s="310">
        <v>42070.0</v>
      </c>
      <c r="Q1086" s="50">
        <v>71050.0</v>
      </c>
      <c r="R1086" s="50">
        <v>373.0</v>
      </c>
      <c r="S1086" s="318"/>
      <c r="T1086" s="317">
        <v>377.72</v>
      </c>
      <c r="U1086" s="312" t="s">
        <v>1366</v>
      </c>
      <c r="V1086" s="312" t="s">
        <v>1367</v>
      </c>
      <c r="W1086" s="50"/>
      <c r="X1086" s="50"/>
      <c r="Y1086" s="50"/>
      <c r="Z1086" s="312"/>
      <c r="AA1086" s="50"/>
      <c r="AB1086" s="50"/>
      <c r="AC1086" s="50"/>
      <c r="AD1086" s="50"/>
      <c r="AE1086" s="50"/>
    </row>
    <row r="1087">
      <c r="A1087" s="307">
        <v>42143.11875</v>
      </c>
      <c r="B1087" s="312" t="s">
        <v>719</v>
      </c>
      <c r="C1087" s="303" t="s">
        <v>1177</v>
      </c>
      <c r="D1087" s="303" t="s">
        <v>1178</v>
      </c>
      <c r="E1087" s="315">
        <v>41639.0</v>
      </c>
      <c r="F1087" s="312" t="s">
        <v>32</v>
      </c>
      <c r="G1087" s="312"/>
      <c r="H1087" s="312"/>
      <c r="I1087" s="312"/>
      <c r="J1087" s="306"/>
      <c r="K1087" s="50"/>
      <c r="L1087" s="312"/>
      <c r="M1087" s="312">
        <v>229.0</v>
      </c>
      <c r="N1087" s="50"/>
      <c r="O1087" s="312"/>
      <c r="P1087" s="315">
        <v>42143.0</v>
      </c>
      <c r="Q1087" s="312">
        <v>80150.0</v>
      </c>
      <c r="R1087" s="312">
        <v>369.0</v>
      </c>
      <c r="S1087" s="316"/>
      <c r="T1087" s="317">
        <v>373.67</v>
      </c>
      <c r="U1087" s="312" t="s">
        <v>1366</v>
      </c>
      <c r="V1087" s="312" t="s">
        <v>1367</v>
      </c>
      <c r="W1087" s="50"/>
      <c r="X1087" s="50"/>
      <c r="Y1087" s="50"/>
      <c r="Z1087" s="312"/>
      <c r="AA1087" s="50"/>
      <c r="AB1087" s="50"/>
      <c r="AC1087" s="50"/>
      <c r="AD1087" s="50"/>
      <c r="AE1087" s="50"/>
    </row>
    <row r="1088">
      <c r="A1088" s="307">
        <v>42228.15902777778</v>
      </c>
      <c r="B1088" s="312" t="s">
        <v>719</v>
      </c>
      <c r="C1088" s="303" t="s">
        <v>1177</v>
      </c>
      <c r="D1088" s="303" t="s">
        <v>1178</v>
      </c>
      <c r="E1088" s="315">
        <v>41639.0</v>
      </c>
      <c r="F1088" s="312" t="s">
        <v>32</v>
      </c>
      <c r="G1088" s="312"/>
      <c r="H1088" s="312"/>
      <c r="I1088" s="312"/>
      <c r="J1088" s="306"/>
      <c r="K1088" s="50"/>
      <c r="L1088" s="312"/>
      <c r="M1088" s="312">
        <v>218.0</v>
      </c>
      <c r="N1088" s="312"/>
      <c r="O1088" s="312"/>
      <c r="P1088" s="315">
        <v>42228.0</v>
      </c>
      <c r="Q1088" s="312">
        <v>94500.0</v>
      </c>
      <c r="R1088" s="312">
        <v>370.0</v>
      </c>
      <c r="S1088" s="316"/>
      <c r="T1088" s="317">
        <v>374.68</v>
      </c>
      <c r="U1088" s="312" t="s">
        <v>1366</v>
      </c>
      <c r="V1088" s="312" t="s">
        <v>1367</v>
      </c>
      <c r="W1088" s="50"/>
      <c r="X1088" s="50"/>
      <c r="Y1088" s="50"/>
      <c r="Z1088" s="312"/>
      <c r="AA1088" s="50"/>
      <c r="AB1088" s="50"/>
      <c r="AC1088" s="50"/>
      <c r="AD1088" s="50"/>
      <c r="AE1088" s="50"/>
    </row>
    <row r="1089">
      <c r="A1089" s="307">
        <v>42288.19583333333</v>
      </c>
      <c r="B1089" s="312" t="s">
        <v>719</v>
      </c>
      <c r="C1089" s="303" t="s">
        <v>1177</v>
      </c>
      <c r="D1089" s="303" t="s">
        <v>1178</v>
      </c>
      <c r="E1089" s="315">
        <v>41639.0</v>
      </c>
      <c r="F1089" s="312" t="s">
        <v>32</v>
      </c>
      <c r="G1089" s="303" t="s">
        <v>1190</v>
      </c>
      <c r="H1089" s="303" t="s">
        <v>1179</v>
      </c>
      <c r="I1089" s="303" t="s">
        <v>1179</v>
      </c>
      <c r="J1089" s="306">
        <v>0.8</v>
      </c>
      <c r="K1089" s="312">
        <v>393.0</v>
      </c>
      <c r="L1089" s="312"/>
      <c r="M1089" s="312">
        <v>233.0</v>
      </c>
      <c r="N1089" s="312"/>
      <c r="O1089" s="312"/>
      <c r="P1089" s="315">
        <v>42288.0</v>
      </c>
      <c r="Q1089" s="312">
        <v>100000.0</v>
      </c>
      <c r="R1089" s="312">
        <v>368.0</v>
      </c>
      <c r="S1089" s="316"/>
      <c r="T1089" s="317">
        <v>372.66</v>
      </c>
      <c r="U1089" s="312" t="s">
        <v>1366</v>
      </c>
      <c r="V1089" s="312" t="s">
        <v>1367</v>
      </c>
      <c r="W1089" s="50"/>
      <c r="X1089" s="50"/>
      <c r="Y1089" s="50"/>
      <c r="Z1089" s="312"/>
      <c r="AA1089" s="50"/>
      <c r="AB1089" s="50"/>
      <c r="AC1089" s="50"/>
      <c r="AD1089" s="50"/>
      <c r="AE1089" s="50"/>
    </row>
    <row r="1090">
      <c r="A1090" s="307">
        <v>42348.243055555555</v>
      </c>
      <c r="B1090" s="312" t="s">
        <v>719</v>
      </c>
      <c r="C1090" s="303" t="s">
        <v>1177</v>
      </c>
      <c r="D1090" s="303" t="s">
        <v>1178</v>
      </c>
      <c r="E1090" s="315">
        <v>41639.0</v>
      </c>
      <c r="F1090" s="312" t="s">
        <v>32</v>
      </c>
      <c r="G1090" s="303" t="s">
        <v>1190</v>
      </c>
      <c r="H1090" s="303" t="s">
        <v>1180</v>
      </c>
      <c r="I1090" s="303" t="s">
        <v>1180</v>
      </c>
      <c r="J1090" s="306">
        <v>0.8</v>
      </c>
      <c r="K1090" s="50"/>
      <c r="L1090" s="312"/>
      <c r="M1090" s="312">
        <v>233.0</v>
      </c>
      <c r="N1090" s="312"/>
      <c r="O1090" s="312"/>
      <c r="P1090" s="315">
        <v>42348.0</v>
      </c>
      <c r="Q1090" s="312">
        <v>108400.0</v>
      </c>
      <c r="R1090" s="312">
        <v>366.0</v>
      </c>
      <c r="S1090" s="316"/>
      <c r="T1090" s="317">
        <v>370.63</v>
      </c>
      <c r="U1090" s="312" t="s">
        <v>1366</v>
      </c>
      <c r="V1090" s="312" t="s">
        <v>1367</v>
      </c>
      <c r="W1090" s="50"/>
      <c r="X1090" s="50"/>
      <c r="Y1090" s="50"/>
      <c r="Z1090" s="312"/>
      <c r="AA1090" s="50"/>
      <c r="AB1090" s="50"/>
      <c r="AC1090" s="50"/>
      <c r="AD1090" s="50"/>
      <c r="AE1090" s="50"/>
    </row>
    <row r="1091">
      <c r="A1091" s="307">
        <v>42381.27222222222</v>
      </c>
      <c r="B1091" s="312" t="s">
        <v>719</v>
      </c>
      <c r="C1091" s="303" t="s">
        <v>1177</v>
      </c>
      <c r="D1091" s="303" t="s">
        <v>1178</v>
      </c>
      <c r="E1091" s="310">
        <v>41639.0</v>
      </c>
      <c r="F1091" s="312" t="s">
        <v>32</v>
      </c>
      <c r="G1091" s="303" t="s">
        <v>1190</v>
      </c>
      <c r="H1091" s="303" t="s">
        <v>1190</v>
      </c>
      <c r="I1091" s="303" t="s">
        <v>1190</v>
      </c>
      <c r="J1091" s="306">
        <v>0.8</v>
      </c>
      <c r="K1091" s="312">
        <v>395.0</v>
      </c>
      <c r="L1091" s="312"/>
      <c r="M1091" s="312">
        <v>233.0</v>
      </c>
      <c r="N1091" s="312"/>
      <c r="O1091" s="312"/>
      <c r="P1091" s="315">
        <v>42381.0</v>
      </c>
      <c r="Q1091" s="312">
        <v>115000.0</v>
      </c>
      <c r="R1091" s="312">
        <v>367.0</v>
      </c>
      <c r="S1091" s="316"/>
      <c r="T1091" s="317">
        <v>371.65</v>
      </c>
      <c r="U1091" s="312" t="s">
        <v>1366</v>
      </c>
      <c r="V1091" s="312" t="s">
        <v>1367</v>
      </c>
      <c r="W1091" s="50"/>
      <c r="X1091" s="50"/>
      <c r="Y1091" s="50"/>
      <c r="Z1091" s="312"/>
      <c r="AA1091" s="50"/>
      <c r="AB1091" s="50"/>
      <c r="AC1091" s="50"/>
      <c r="AD1091" s="50"/>
      <c r="AE1091" s="50"/>
    </row>
    <row r="1092">
      <c r="A1092" s="307">
        <v>42410.285416666666</v>
      </c>
      <c r="B1092" s="312" t="s">
        <v>719</v>
      </c>
      <c r="C1092" s="303" t="s">
        <v>1177</v>
      </c>
      <c r="D1092" s="303" t="s">
        <v>1178</v>
      </c>
      <c r="E1092" s="315">
        <v>41639.0</v>
      </c>
      <c r="F1092" s="312" t="s">
        <v>32</v>
      </c>
      <c r="G1092" s="303" t="s">
        <v>1190</v>
      </c>
      <c r="H1092" s="312"/>
      <c r="I1092" s="303" t="s">
        <v>1186</v>
      </c>
      <c r="J1092" s="306"/>
      <c r="K1092" s="50"/>
      <c r="L1092" s="312"/>
      <c r="M1092" s="312">
        <v>233.0</v>
      </c>
      <c r="N1092" s="312"/>
      <c r="O1092" s="312"/>
      <c r="P1092" s="315">
        <v>42410.0</v>
      </c>
      <c r="Q1092" s="312">
        <v>120000.0</v>
      </c>
      <c r="R1092" s="312">
        <v>369.0</v>
      </c>
      <c r="S1092" s="316"/>
      <c r="T1092" s="317">
        <v>373.67</v>
      </c>
      <c r="U1092" s="312" t="s">
        <v>1366</v>
      </c>
      <c r="V1092" s="312" t="s">
        <v>1367</v>
      </c>
      <c r="W1092" s="50"/>
      <c r="X1092" s="50"/>
      <c r="Y1092" s="50"/>
      <c r="Z1092" s="312"/>
      <c r="AA1092" s="50"/>
      <c r="AB1092" s="50"/>
      <c r="AC1092" s="50"/>
      <c r="AD1092" s="50"/>
      <c r="AE1092" s="50"/>
    </row>
    <row r="1093">
      <c r="A1093" s="307">
        <v>42440.30416666667</v>
      </c>
      <c r="B1093" s="312" t="s">
        <v>809</v>
      </c>
      <c r="C1093" s="303" t="s">
        <v>1177</v>
      </c>
      <c r="D1093" s="303" t="s">
        <v>1178</v>
      </c>
      <c r="E1093" s="315">
        <v>42439.0</v>
      </c>
      <c r="F1093" s="312" t="s">
        <v>43</v>
      </c>
      <c r="G1093" s="312"/>
      <c r="H1093" s="312"/>
      <c r="I1093" s="312"/>
      <c r="J1093" s="306"/>
      <c r="K1093" s="50"/>
      <c r="L1093" s="312"/>
      <c r="M1093" s="312">
        <v>218.0</v>
      </c>
      <c r="N1093" s="312"/>
      <c r="O1093" s="312"/>
      <c r="P1093" s="315">
        <v>42440.0</v>
      </c>
      <c r="Q1093" s="312">
        <v>300.0</v>
      </c>
      <c r="R1093" s="312">
        <v>458.0</v>
      </c>
      <c r="S1093" s="316"/>
      <c r="T1093" s="317">
        <v>463.8</v>
      </c>
      <c r="U1093" s="312" t="s">
        <v>1366</v>
      </c>
      <c r="V1093" s="312" t="s">
        <v>1367</v>
      </c>
      <c r="W1093" s="50"/>
      <c r="X1093" s="50"/>
      <c r="Y1093" s="50"/>
      <c r="Z1093" s="312"/>
      <c r="AA1093" s="50"/>
      <c r="AB1093" s="50"/>
      <c r="AC1093" s="50"/>
      <c r="AD1093" s="50"/>
      <c r="AE1093" s="50"/>
    </row>
    <row r="1094">
      <c r="A1094" s="307">
        <v>42559.35972222222</v>
      </c>
      <c r="B1094" s="312" t="s">
        <v>809</v>
      </c>
      <c r="C1094" s="303" t="s">
        <v>1177</v>
      </c>
      <c r="D1094" s="303" t="s">
        <v>1178</v>
      </c>
      <c r="E1094" s="315">
        <v>42439.0</v>
      </c>
      <c r="F1094" s="312" t="s">
        <v>43</v>
      </c>
      <c r="G1094" s="312"/>
      <c r="H1094" s="312"/>
      <c r="I1094" s="312"/>
      <c r="J1094" s="306"/>
      <c r="K1094" s="50"/>
      <c r="L1094" s="312"/>
      <c r="M1094" s="312">
        <v>225.0</v>
      </c>
      <c r="N1094" s="312"/>
      <c r="O1094" s="312"/>
      <c r="P1094" s="315">
        <v>42559.0</v>
      </c>
      <c r="Q1094" s="312">
        <v>15000.0</v>
      </c>
      <c r="R1094" s="312">
        <v>447.0</v>
      </c>
      <c r="S1094" s="316"/>
      <c r="T1094" s="317">
        <v>452.66</v>
      </c>
      <c r="U1094" s="312" t="s">
        <v>1366</v>
      </c>
      <c r="V1094" s="312" t="s">
        <v>1367</v>
      </c>
      <c r="W1094" s="50"/>
      <c r="X1094" s="50"/>
      <c r="Y1094" s="50"/>
      <c r="Z1094" s="312"/>
      <c r="AA1094" s="50"/>
      <c r="AB1094" s="50"/>
      <c r="AC1094" s="50"/>
      <c r="AD1094" s="50"/>
      <c r="AE1094" s="50"/>
    </row>
    <row r="1095">
      <c r="A1095" s="307">
        <v>42611.38611111111</v>
      </c>
      <c r="B1095" s="312" t="s">
        <v>809</v>
      </c>
      <c r="C1095" s="303" t="s">
        <v>1177</v>
      </c>
      <c r="D1095" s="303" t="s">
        <v>1178</v>
      </c>
      <c r="E1095" s="315">
        <v>42439.0</v>
      </c>
      <c r="F1095" s="312" t="s">
        <v>43</v>
      </c>
      <c r="G1095" s="312"/>
      <c r="H1095" s="312"/>
      <c r="I1095" s="312"/>
      <c r="J1095" s="306"/>
      <c r="K1095" s="50"/>
      <c r="L1095" s="312"/>
      <c r="M1095" s="312">
        <v>218.0</v>
      </c>
      <c r="N1095" s="312"/>
      <c r="O1095" s="312"/>
      <c r="P1095" s="315">
        <v>42611.0</v>
      </c>
      <c r="Q1095" s="312">
        <v>20000.0</v>
      </c>
      <c r="R1095" s="312">
        <v>447.0</v>
      </c>
      <c r="S1095" s="316"/>
      <c r="T1095" s="317">
        <v>452.66</v>
      </c>
      <c r="U1095" s="312" t="s">
        <v>1366</v>
      </c>
      <c r="V1095" s="312" t="s">
        <v>1367</v>
      </c>
      <c r="W1095" s="50"/>
      <c r="X1095" s="50"/>
      <c r="Y1095" s="50"/>
      <c r="Z1095" s="312"/>
      <c r="AA1095" s="50"/>
      <c r="AB1095" s="50"/>
      <c r="AC1095" s="50"/>
      <c r="AD1095" s="50"/>
      <c r="AE1095" s="50"/>
    </row>
    <row r="1096">
      <c r="A1096" s="307">
        <v>42839.82430555556</v>
      </c>
      <c r="B1096" s="312" t="s">
        <v>832</v>
      </c>
      <c r="C1096" s="312" t="s">
        <v>1184</v>
      </c>
      <c r="D1096" s="303" t="s">
        <v>1185</v>
      </c>
      <c r="E1096" s="315">
        <v>41274.0</v>
      </c>
      <c r="F1096" s="312" t="s">
        <v>32</v>
      </c>
      <c r="G1096" s="303" t="s">
        <v>1180</v>
      </c>
      <c r="H1096" s="303" t="s">
        <v>1181</v>
      </c>
      <c r="I1096" s="303" t="s">
        <v>1187</v>
      </c>
      <c r="J1096" s="306">
        <v>0.9</v>
      </c>
      <c r="K1096" s="312">
        <v>248.0</v>
      </c>
      <c r="L1096" s="312"/>
      <c r="M1096" s="312">
        <v>346.0</v>
      </c>
      <c r="N1096" s="312"/>
      <c r="O1096" s="312"/>
      <c r="P1096" s="315">
        <v>42839.0</v>
      </c>
      <c r="Q1096" s="312">
        <v>66000.0</v>
      </c>
      <c r="R1096" s="312">
        <v>244.0</v>
      </c>
      <c r="S1096" s="316"/>
      <c r="T1096" s="317">
        <v>247.09</v>
      </c>
      <c r="U1096" s="312" t="s">
        <v>1366</v>
      </c>
      <c r="V1096" s="312" t="s">
        <v>1367</v>
      </c>
      <c r="W1096" s="50"/>
      <c r="X1096" s="50"/>
      <c r="Y1096" s="50"/>
      <c r="Z1096" s="312"/>
      <c r="AA1096" s="50"/>
      <c r="AB1096" s="50"/>
      <c r="AC1096" s="50"/>
      <c r="AD1096" s="50"/>
      <c r="AE1096" s="50"/>
    </row>
    <row r="1097">
      <c r="A1097" s="307">
        <v>42919.55625</v>
      </c>
      <c r="B1097" s="312" t="s">
        <v>917</v>
      </c>
      <c r="C1097" s="303" t="s">
        <v>1177</v>
      </c>
      <c r="D1097" s="303" t="s">
        <v>1178</v>
      </c>
      <c r="E1097" s="315">
        <v>41527.0</v>
      </c>
      <c r="F1097" s="312" t="s">
        <v>32</v>
      </c>
      <c r="G1097" s="303" t="s">
        <v>1179</v>
      </c>
      <c r="H1097" s="303" t="s">
        <v>1203</v>
      </c>
      <c r="I1097" s="303" t="s">
        <v>1179</v>
      </c>
      <c r="J1097" s="306">
        <v>0.9</v>
      </c>
      <c r="K1097" s="312">
        <v>395.0</v>
      </c>
      <c r="L1097" s="312"/>
      <c r="M1097" s="312">
        <v>223.0</v>
      </c>
      <c r="N1097" s="312">
        <v>20000.0</v>
      </c>
      <c r="O1097" s="303" t="s">
        <v>1323</v>
      </c>
      <c r="P1097" s="315">
        <v>42919.0</v>
      </c>
      <c r="Q1097" s="312">
        <v>206254.0</v>
      </c>
      <c r="R1097" s="312">
        <v>367.0</v>
      </c>
      <c r="S1097" s="316"/>
      <c r="T1097" s="317">
        <v>371.65</v>
      </c>
      <c r="U1097" s="312" t="s">
        <v>1366</v>
      </c>
      <c r="V1097" s="312" t="s">
        <v>1399</v>
      </c>
      <c r="W1097" s="50"/>
      <c r="X1097" s="50"/>
      <c r="Y1097" s="50"/>
      <c r="Z1097" s="312"/>
      <c r="AA1097" s="50"/>
      <c r="AB1097" s="50"/>
      <c r="AC1097" s="50"/>
      <c r="AD1097" s="50"/>
      <c r="AE1097" s="50"/>
    </row>
    <row r="1098">
      <c r="A1098" s="307">
        <v>41920.03125</v>
      </c>
      <c r="B1098" s="50" t="s">
        <v>1031</v>
      </c>
      <c r="C1098" s="303" t="s">
        <v>1177</v>
      </c>
      <c r="D1098" s="303" t="s">
        <v>1178</v>
      </c>
      <c r="E1098" s="310">
        <v>41601.0</v>
      </c>
      <c r="F1098" s="312" t="s">
        <v>1370</v>
      </c>
      <c r="G1098" s="303" t="s">
        <v>1180</v>
      </c>
      <c r="H1098" s="303" t="s">
        <v>1180</v>
      </c>
      <c r="I1098" s="303" t="s">
        <v>1187</v>
      </c>
      <c r="J1098" s="306"/>
      <c r="K1098" s="50"/>
      <c r="L1098" s="50"/>
      <c r="M1098" s="50">
        <v>218.0</v>
      </c>
      <c r="N1098" s="50">
        <v>10000.0</v>
      </c>
      <c r="O1098" s="303" t="s">
        <v>1323</v>
      </c>
      <c r="P1098" s="310">
        <v>41920.0</v>
      </c>
      <c r="Q1098" s="50">
        <v>21600.0</v>
      </c>
      <c r="R1098" s="50">
        <v>385.0</v>
      </c>
      <c r="S1098" s="318"/>
      <c r="T1098" s="317">
        <v>388.89</v>
      </c>
      <c r="U1098" s="312" t="s">
        <v>1407</v>
      </c>
      <c r="V1098" s="312" t="s">
        <v>1399</v>
      </c>
      <c r="W1098" s="50"/>
      <c r="X1098" s="50"/>
      <c r="Y1098" s="50"/>
      <c r="Z1098" s="312"/>
      <c r="AA1098" s="50" t="s">
        <v>1373</v>
      </c>
      <c r="AB1098" s="50"/>
      <c r="AC1098" s="50"/>
      <c r="AD1098" s="50"/>
      <c r="AE1098" s="50"/>
    </row>
    <row r="1099">
      <c r="A1099" s="307">
        <v>41900.00486111111</v>
      </c>
      <c r="B1099" s="50" t="s">
        <v>953</v>
      </c>
      <c r="C1099" s="303" t="s">
        <v>1177</v>
      </c>
      <c r="D1099" s="303" t="s">
        <v>1178</v>
      </c>
      <c r="E1099" s="310">
        <v>41604.0</v>
      </c>
      <c r="F1099" s="50" t="s">
        <v>32</v>
      </c>
      <c r="G1099" s="303" t="s">
        <v>1179</v>
      </c>
      <c r="H1099" s="303" t="s">
        <v>1179</v>
      </c>
      <c r="I1099" s="303" t="s">
        <v>1186</v>
      </c>
      <c r="J1099" s="306">
        <v>0.9</v>
      </c>
      <c r="K1099" s="312">
        <v>399.0</v>
      </c>
      <c r="L1099" s="50"/>
      <c r="M1099" s="50">
        <v>218.0</v>
      </c>
      <c r="N1099" s="50"/>
      <c r="O1099" s="312"/>
      <c r="P1099" s="310">
        <v>41900.0</v>
      </c>
      <c r="Q1099" s="50">
        <v>47352.0</v>
      </c>
      <c r="R1099" s="50">
        <v>377.0</v>
      </c>
      <c r="S1099" s="318"/>
      <c r="T1099" s="317">
        <v>381.77</v>
      </c>
      <c r="U1099" s="312" t="s">
        <v>1366</v>
      </c>
      <c r="V1099" s="312" t="s">
        <v>1367</v>
      </c>
      <c r="W1099" s="50"/>
      <c r="X1099" s="50"/>
      <c r="Y1099" s="50"/>
      <c r="Z1099" s="312"/>
      <c r="AA1099" s="50" t="s">
        <v>1373</v>
      </c>
      <c r="AB1099" s="50"/>
      <c r="AC1099" s="50"/>
      <c r="AD1099" s="50"/>
      <c r="AE1099" s="50"/>
    </row>
    <row r="1100">
      <c r="A1100" s="307">
        <v>42228.157638888886</v>
      </c>
      <c r="B1100" s="312" t="s">
        <v>953</v>
      </c>
      <c r="C1100" s="303" t="s">
        <v>1177</v>
      </c>
      <c r="D1100" s="303" t="s">
        <v>1178</v>
      </c>
      <c r="E1100" s="315">
        <v>41604.0</v>
      </c>
      <c r="F1100" s="312" t="s">
        <v>32</v>
      </c>
      <c r="G1100" s="303" t="s">
        <v>1179</v>
      </c>
      <c r="H1100" s="303" t="s">
        <v>1180</v>
      </c>
      <c r="I1100" s="303" t="s">
        <v>1186</v>
      </c>
      <c r="J1100" s="306">
        <v>0.8</v>
      </c>
      <c r="K1100" s="312">
        <v>399.0</v>
      </c>
      <c r="L1100" s="312"/>
      <c r="M1100" s="312">
        <v>215.0</v>
      </c>
      <c r="N1100" s="312">
        <v>80000.0</v>
      </c>
      <c r="O1100" s="303" t="s">
        <v>1641</v>
      </c>
      <c r="P1100" s="315">
        <v>42228.0</v>
      </c>
      <c r="Q1100" s="312">
        <v>102000.0</v>
      </c>
      <c r="R1100" s="312">
        <v>362.0</v>
      </c>
      <c r="S1100" s="316"/>
      <c r="T1100" s="317">
        <v>366.58</v>
      </c>
      <c r="U1100" s="312" t="s">
        <v>1366</v>
      </c>
      <c r="V1100" s="312" t="s">
        <v>1399</v>
      </c>
      <c r="W1100" s="312">
        <v>362.0</v>
      </c>
      <c r="X1100" s="312">
        <v>280.0</v>
      </c>
      <c r="Y1100" s="312">
        <v>17.1</v>
      </c>
      <c r="Z1100" s="312" t="s">
        <v>1366</v>
      </c>
      <c r="AA1100" s="312" t="s">
        <v>1373</v>
      </c>
      <c r="AB1100" s="50"/>
      <c r="AC1100" s="50"/>
      <c r="AD1100" s="50"/>
      <c r="AE1100" s="50"/>
    </row>
    <row r="1101">
      <c r="A1101" s="307">
        <v>42967.58611111111</v>
      </c>
      <c r="B1101" s="312" t="s">
        <v>953</v>
      </c>
      <c r="C1101" s="303" t="s">
        <v>1177</v>
      </c>
      <c r="D1101" s="303" t="s">
        <v>1178</v>
      </c>
      <c r="E1101" s="315">
        <v>41604.0</v>
      </c>
      <c r="F1101" s="312" t="s">
        <v>32</v>
      </c>
      <c r="G1101" s="303" t="s">
        <v>1190</v>
      </c>
      <c r="H1101" s="303" t="s">
        <v>1179</v>
      </c>
      <c r="I1101" s="303" t="s">
        <v>1190</v>
      </c>
      <c r="J1101" s="306">
        <v>0.9</v>
      </c>
      <c r="K1101" s="312">
        <v>399.0</v>
      </c>
      <c r="L1101" s="312"/>
      <c r="M1101" s="312">
        <v>205.0</v>
      </c>
      <c r="N1101" s="312"/>
      <c r="O1101" s="312"/>
      <c r="P1101" s="315">
        <v>42967.0</v>
      </c>
      <c r="Q1101" s="312">
        <v>187612.0</v>
      </c>
      <c r="R1101" s="312">
        <v>376.0</v>
      </c>
      <c r="S1101" s="316"/>
      <c r="T1101" s="317">
        <v>380.76</v>
      </c>
      <c r="U1101" s="312" t="s">
        <v>1366</v>
      </c>
      <c r="V1101" s="312" t="s">
        <v>1367</v>
      </c>
      <c r="W1101" s="50"/>
      <c r="X1101" s="50"/>
      <c r="Y1101" s="50"/>
      <c r="Z1101" s="312"/>
      <c r="AA1101" s="50"/>
      <c r="AB1101" s="50"/>
      <c r="AC1101" s="50"/>
      <c r="AD1101" s="50"/>
      <c r="AE1101" s="50"/>
    </row>
    <row r="1102">
      <c r="A1102" s="307">
        <v>42885.83611111111</v>
      </c>
      <c r="B1102" s="312" t="s">
        <v>885</v>
      </c>
      <c r="C1102" s="312" t="s">
        <v>1184</v>
      </c>
      <c r="D1102" s="303" t="s">
        <v>1185</v>
      </c>
      <c r="E1102" s="315">
        <v>42633.0</v>
      </c>
      <c r="F1102" s="312" t="s">
        <v>12</v>
      </c>
      <c r="G1102" s="303" t="s">
        <v>1180</v>
      </c>
      <c r="H1102" s="303" t="s">
        <v>1186</v>
      </c>
      <c r="I1102" s="303" t="s">
        <v>1186</v>
      </c>
      <c r="J1102" s="306">
        <v>0.9</v>
      </c>
      <c r="K1102" s="312">
        <v>220.0</v>
      </c>
      <c r="L1102" s="312"/>
      <c r="M1102" s="312"/>
      <c r="N1102" s="312"/>
      <c r="O1102" s="312"/>
      <c r="P1102" s="315">
        <v>42885.0</v>
      </c>
      <c r="Q1102" s="312">
        <v>15000.0</v>
      </c>
      <c r="R1102" s="312">
        <v>208.0</v>
      </c>
      <c r="S1102" s="316"/>
      <c r="T1102" s="317">
        <v>208.0</v>
      </c>
      <c r="U1102" s="312" t="s">
        <v>1369</v>
      </c>
      <c r="V1102" s="312" t="s">
        <v>1367</v>
      </c>
      <c r="W1102" s="50"/>
      <c r="X1102" s="50"/>
      <c r="Y1102" s="50"/>
      <c r="Z1102" s="312"/>
      <c r="AA1102" s="50"/>
      <c r="AB1102" s="50"/>
      <c r="AC1102" s="50"/>
      <c r="AD1102" s="50"/>
      <c r="AE1102" s="50"/>
    </row>
    <row r="1103">
      <c r="A1103" s="307">
        <v>43200.71805555555</v>
      </c>
      <c r="B1103" s="312" t="s">
        <v>1642</v>
      </c>
      <c r="C1103" s="303" t="s">
        <v>1177</v>
      </c>
      <c r="D1103" s="303" t="s">
        <v>1178</v>
      </c>
      <c r="E1103" s="315">
        <v>41760.0</v>
      </c>
      <c r="F1103" s="312" t="s">
        <v>32</v>
      </c>
      <c r="G1103" s="303" t="s">
        <v>1181</v>
      </c>
      <c r="H1103" s="303" t="s">
        <v>1181</v>
      </c>
      <c r="I1103" s="303" t="s">
        <v>1186</v>
      </c>
      <c r="J1103" s="306">
        <v>0.8</v>
      </c>
      <c r="K1103" s="312">
        <v>400.0</v>
      </c>
      <c r="L1103" s="312"/>
      <c r="M1103" s="312">
        <v>155.0</v>
      </c>
      <c r="N1103" s="312"/>
      <c r="O1103" s="312"/>
      <c r="P1103" s="315">
        <v>43200.0</v>
      </c>
      <c r="Q1103" s="312">
        <v>50000.0</v>
      </c>
      <c r="R1103" s="312">
        <v>386.0</v>
      </c>
      <c r="S1103" s="316"/>
      <c r="T1103" s="317">
        <v>390.89</v>
      </c>
      <c r="U1103" s="312" t="s">
        <v>1366</v>
      </c>
      <c r="V1103" s="312" t="s">
        <v>1367</v>
      </c>
      <c r="W1103" s="50"/>
      <c r="X1103" s="50"/>
      <c r="Y1103" s="50"/>
      <c r="Z1103" s="312"/>
      <c r="AA1103" s="50"/>
      <c r="AB1103" s="50"/>
      <c r="AC1103" s="50"/>
      <c r="AD1103" s="50"/>
      <c r="AE1103" s="50"/>
    </row>
    <row r="1104">
      <c r="A1104" s="307">
        <v>42704.81736111111</v>
      </c>
      <c r="B1104" s="312" t="s">
        <v>1098</v>
      </c>
      <c r="C1104" s="312" t="s">
        <v>1184</v>
      </c>
      <c r="D1104" s="303" t="s">
        <v>1185</v>
      </c>
      <c r="E1104" s="315">
        <v>41344.0</v>
      </c>
      <c r="F1104" s="312" t="s">
        <v>32</v>
      </c>
      <c r="G1104" s="303" t="s">
        <v>1181</v>
      </c>
      <c r="H1104" s="303" t="s">
        <v>1181</v>
      </c>
      <c r="I1104" s="303" t="s">
        <v>1187</v>
      </c>
      <c r="J1104" s="306">
        <v>0.9</v>
      </c>
      <c r="K1104" s="50"/>
      <c r="L1104" s="312"/>
      <c r="M1104" s="312">
        <v>320.0</v>
      </c>
      <c r="N1104" s="312"/>
      <c r="O1104" s="312"/>
      <c r="P1104" s="315">
        <v>42704.0</v>
      </c>
      <c r="Q1104" s="312">
        <v>49503.0</v>
      </c>
      <c r="R1104" s="312">
        <v>260.0</v>
      </c>
      <c r="S1104" s="316"/>
      <c r="T1104" s="317">
        <v>263.29</v>
      </c>
      <c r="U1104" s="312" t="s">
        <v>1366</v>
      </c>
      <c r="V1104" s="312" t="s">
        <v>1367</v>
      </c>
      <c r="W1104" s="50"/>
      <c r="X1104" s="50"/>
      <c r="Y1104" s="50"/>
      <c r="Z1104" s="312"/>
      <c r="AA1104" s="312" t="s">
        <v>1643</v>
      </c>
      <c r="AB1104" s="50"/>
      <c r="AC1104" s="50"/>
      <c r="AD1104" s="50"/>
      <c r="AE1104" s="50"/>
    </row>
    <row r="1105">
      <c r="A1105" s="307">
        <v>42155.739583333336</v>
      </c>
      <c r="B1105" s="50" t="s">
        <v>888</v>
      </c>
      <c r="C1105" s="50" t="s">
        <v>1184</v>
      </c>
      <c r="D1105" s="303" t="s">
        <v>1185</v>
      </c>
      <c r="E1105" s="310">
        <v>41365.0</v>
      </c>
      <c r="F1105" s="50" t="s">
        <v>30</v>
      </c>
      <c r="G1105" s="50"/>
      <c r="H1105" s="303" t="s">
        <v>1187</v>
      </c>
      <c r="I1105" s="50"/>
      <c r="J1105" s="306"/>
      <c r="K1105" s="50"/>
      <c r="L1105" s="50"/>
      <c r="M1105" s="312">
        <v>336.0</v>
      </c>
      <c r="N1105" s="312"/>
      <c r="O1105" s="312"/>
      <c r="P1105" s="310">
        <v>42155.0</v>
      </c>
      <c r="Q1105" s="50">
        <v>60350.0</v>
      </c>
      <c r="R1105" s="312">
        <v>250.0</v>
      </c>
      <c r="S1105" s="316"/>
      <c r="T1105" s="317">
        <v>253.16</v>
      </c>
      <c r="U1105" s="312" t="s">
        <v>1366</v>
      </c>
      <c r="V1105" s="312" t="s">
        <v>1367</v>
      </c>
      <c r="W1105" s="50"/>
      <c r="X1105" s="50"/>
      <c r="Y1105" s="50"/>
      <c r="Z1105" s="312"/>
      <c r="AA1105" s="50"/>
      <c r="AB1105" s="50"/>
      <c r="AC1105" s="50"/>
      <c r="AD1105" s="50"/>
      <c r="AE1105" s="50"/>
    </row>
    <row r="1106">
      <c r="A1106" s="307">
        <v>42332.23541666667</v>
      </c>
      <c r="B1106" s="312" t="s">
        <v>1091</v>
      </c>
      <c r="C1106" s="303" t="s">
        <v>1177</v>
      </c>
      <c r="D1106" s="303" t="s">
        <v>1178</v>
      </c>
      <c r="E1106" s="315">
        <v>42331.0</v>
      </c>
      <c r="F1106" s="312" t="s">
        <v>36</v>
      </c>
      <c r="G1106" s="303" t="s">
        <v>1180</v>
      </c>
      <c r="H1106" s="303" t="s">
        <v>1179</v>
      </c>
      <c r="I1106" s="303" t="s">
        <v>1187</v>
      </c>
      <c r="J1106" s="306">
        <v>0.9</v>
      </c>
      <c r="K1106" s="312">
        <v>420.0</v>
      </c>
      <c r="L1106" s="312"/>
      <c r="M1106" s="312">
        <v>210.0</v>
      </c>
      <c r="N1106" s="312"/>
      <c r="O1106" s="312"/>
      <c r="P1106" s="315">
        <v>42332.0</v>
      </c>
      <c r="Q1106" s="312">
        <v>12.0</v>
      </c>
      <c r="R1106" s="312">
        <v>420.0</v>
      </c>
      <c r="S1106" s="316"/>
      <c r="T1106" s="317">
        <v>425.32</v>
      </c>
      <c r="U1106" s="312" t="s">
        <v>1366</v>
      </c>
      <c r="V1106" s="312" t="s">
        <v>1367</v>
      </c>
      <c r="W1106" s="50"/>
      <c r="X1106" s="50"/>
      <c r="Y1106" s="50"/>
      <c r="Z1106" s="312"/>
      <c r="AA1106" s="312" t="s">
        <v>1644</v>
      </c>
      <c r="AB1106" s="50"/>
      <c r="AC1106" s="50"/>
      <c r="AD1106" s="50"/>
      <c r="AE1106" s="50"/>
    </row>
    <row r="1107">
      <c r="A1107" s="307">
        <v>43071.64027777778</v>
      </c>
      <c r="B1107" s="312" t="s">
        <v>1645</v>
      </c>
      <c r="C1107" s="303" t="s">
        <v>1177</v>
      </c>
      <c r="D1107" s="303" t="s">
        <v>1178</v>
      </c>
      <c r="E1107" s="315">
        <v>42309.0</v>
      </c>
      <c r="F1107" s="312" t="s">
        <v>36</v>
      </c>
      <c r="G1107" s="303" t="s">
        <v>1179</v>
      </c>
      <c r="H1107" s="303" t="s">
        <v>1190</v>
      </c>
      <c r="I1107" s="303" t="s">
        <v>1181</v>
      </c>
      <c r="J1107" s="306">
        <v>0.9</v>
      </c>
      <c r="K1107" s="312">
        <v>402.0</v>
      </c>
      <c r="L1107" s="312"/>
      <c r="M1107" s="312">
        <v>240.0</v>
      </c>
      <c r="N1107" s="312"/>
      <c r="O1107" s="312"/>
      <c r="P1107" s="315">
        <v>43071.0</v>
      </c>
      <c r="Q1107" s="312">
        <v>115665.0</v>
      </c>
      <c r="R1107" s="312">
        <v>412.0</v>
      </c>
      <c r="S1107" s="316"/>
      <c r="T1107" s="317">
        <v>417.22</v>
      </c>
      <c r="U1107" s="312" t="s">
        <v>1366</v>
      </c>
      <c r="V1107" s="312" t="s">
        <v>1367</v>
      </c>
      <c r="W1107" s="50"/>
      <c r="X1107" s="50"/>
      <c r="Y1107" s="50"/>
      <c r="Z1107" s="312"/>
      <c r="AA1107" s="50"/>
      <c r="AB1107" s="50"/>
      <c r="AC1107" s="50"/>
      <c r="AD1107" s="50"/>
      <c r="AE1107" s="50"/>
    </row>
    <row r="1108">
      <c r="A1108" s="307">
        <v>43085.86666666667</v>
      </c>
      <c r="B1108" s="312" t="s">
        <v>1646</v>
      </c>
      <c r="C1108" s="312" t="s">
        <v>1184</v>
      </c>
      <c r="D1108" s="303" t="s">
        <v>1185</v>
      </c>
      <c r="E1108" s="315">
        <v>42901.0</v>
      </c>
      <c r="F1108" s="312" t="s">
        <v>62</v>
      </c>
      <c r="G1108" s="303" t="s">
        <v>1190</v>
      </c>
      <c r="H1108" s="303" t="s">
        <v>1180</v>
      </c>
      <c r="I1108" s="303" t="s">
        <v>1187</v>
      </c>
      <c r="J1108" s="306">
        <v>0.8</v>
      </c>
      <c r="K1108" s="50"/>
      <c r="L1108" s="312"/>
      <c r="M1108" s="50">
        <v>232.33333333333334</v>
      </c>
      <c r="N1108" s="312"/>
      <c r="O1108" s="312"/>
      <c r="P1108" s="315">
        <v>43085.0</v>
      </c>
      <c r="Q1108" s="312">
        <v>4046.83</v>
      </c>
      <c r="R1108" s="312">
        <v>294.44444444444446</v>
      </c>
      <c r="S1108" s="316"/>
      <c r="T1108" s="317">
        <v>294.44444444444446</v>
      </c>
      <c r="U1108" s="312" t="s">
        <v>1369</v>
      </c>
      <c r="V1108" s="312" t="s">
        <v>1367</v>
      </c>
      <c r="W1108" s="50"/>
      <c r="X1108" s="50"/>
      <c r="Y1108" s="50"/>
      <c r="Z1108" s="312"/>
      <c r="AA1108" s="312" t="s">
        <v>1647</v>
      </c>
      <c r="AB1108" s="50"/>
      <c r="AC1108" s="50"/>
      <c r="AD1108" s="50"/>
      <c r="AE1108" s="50"/>
    </row>
    <row r="1109">
      <c r="A1109" s="307">
        <v>42567.80138888889</v>
      </c>
      <c r="B1109" s="312" t="s">
        <v>927</v>
      </c>
      <c r="C1109" s="312" t="s">
        <v>1184</v>
      </c>
      <c r="D1109" s="303" t="s">
        <v>1185</v>
      </c>
      <c r="E1109" s="315">
        <v>41365.0</v>
      </c>
      <c r="F1109" s="312" t="s">
        <v>32</v>
      </c>
      <c r="G1109" s="303" t="s">
        <v>1181</v>
      </c>
      <c r="H1109" s="303" t="s">
        <v>1181</v>
      </c>
      <c r="I1109" s="303" t="s">
        <v>1187</v>
      </c>
      <c r="J1109" s="306">
        <v>0.9</v>
      </c>
      <c r="K1109" s="312">
        <v>262.0</v>
      </c>
      <c r="L1109" s="312"/>
      <c r="M1109" s="312">
        <v>360.0</v>
      </c>
      <c r="N1109" s="312"/>
      <c r="O1109" s="312"/>
      <c r="P1109" s="315">
        <v>42567.0</v>
      </c>
      <c r="Q1109" s="312">
        <v>55562.0</v>
      </c>
      <c r="R1109" s="312">
        <v>252.0</v>
      </c>
      <c r="S1109" s="316"/>
      <c r="T1109" s="317">
        <v>255.19</v>
      </c>
      <c r="U1109" s="312" t="s">
        <v>1366</v>
      </c>
      <c r="V1109" s="312" t="s">
        <v>1367</v>
      </c>
      <c r="W1109" s="50"/>
      <c r="X1109" s="50"/>
      <c r="Y1109" s="50"/>
      <c r="Z1109" s="312"/>
      <c r="AA1109" s="50"/>
      <c r="AB1109" s="50"/>
      <c r="AC1109" s="50"/>
      <c r="AD1109" s="50"/>
      <c r="AE1109" s="50"/>
    </row>
    <row r="1110">
      <c r="A1110" s="307">
        <v>43162.879166666666</v>
      </c>
      <c r="B1110" s="312" t="s">
        <v>1648</v>
      </c>
      <c r="C1110" s="312" t="s">
        <v>1184</v>
      </c>
      <c r="D1110" s="303" t="s">
        <v>1185</v>
      </c>
      <c r="E1110" s="315">
        <v>41356.0</v>
      </c>
      <c r="F1110" s="312" t="s">
        <v>32</v>
      </c>
      <c r="G1110" s="303" t="s">
        <v>1181</v>
      </c>
      <c r="H1110" s="303" t="s">
        <v>1181</v>
      </c>
      <c r="I1110" s="303" t="s">
        <v>1181</v>
      </c>
      <c r="J1110" s="306">
        <v>0.9</v>
      </c>
      <c r="K1110" s="50"/>
      <c r="L1110" s="312"/>
      <c r="M1110" s="312">
        <v>362.0</v>
      </c>
      <c r="N1110" s="312"/>
      <c r="O1110" s="312"/>
      <c r="P1110" s="315">
        <v>43162.0</v>
      </c>
      <c r="Q1110" s="312">
        <v>85000.0</v>
      </c>
      <c r="R1110" s="312">
        <v>238.0</v>
      </c>
      <c r="S1110" s="316"/>
      <c r="T1110" s="317">
        <v>238.0</v>
      </c>
      <c r="U1110" s="312" t="s">
        <v>1369</v>
      </c>
      <c r="V1110" s="312" t="s">
        <v>1367</v>
      </c>
      <c r="W1110" s="50"/>
      <c r="X1110" s="50"/>
      <c r="Y1110" s="50"/>
      <c r="Z1110" s="312"/>
      <c r="AA1110" s="50"/>
      <c r="AB1110" s="50"/>
      <c r="AC1110" s="50"/>
      <c r="AD1110" s="50"/>
      <c r="AE1110" s="50"/>
    </row>
    <row r="1111">
      <c r="A1111" s="307">
        <v>42532.802777777775</v>
      </c>
      <c r="B1111" s="312" t="s">
        <v>899</v>
      </c>
      <c r="C1111" s="312" t="s">
        <v>1184</v>
      </c>
      <c r="D1111" s="303" t="s">
        <v>1185</v>
      </c>
      <c r="E1111" s="315">
        <v>41365.0</v>
      </c>
      <c r="F1111" s="312" t="s">
        <v>32</v>
      </c>
      <c r="G1111" s="303" t="s">
        <v>1181</v>
      </c>
      <c r="H1111" s="303" t="s">
        <v>1186</v>
      </c>
      <c r="I1111" s="303" t="s">
        <v>1187</v>
      </c>
      <c r="J1111" s="306">
        <v>0.6</v>
      </c>
      <c r="K1111" s="50"/>
      <c r="L1111" s="312"/>
      <c r="M1111" s="312">
        <v>330.0</v>
      </c>
      <c r="N1111" s="312"/>
      <c r="O1111" s="312"/>
      <c r="P1111" s="315">
        <v>42532.0</v>
      </c>
      <c r="Q1111" s="312">
        <v>45372.0</v>
      </c>
      <c r="R1111" s="312">
        <v>243.0</v>
      </c>
      <c r="S1111" s="316"/>
      <c r="T1111" s="317">
        <v>246.08</v>
      </c>
      <c r="U1111" s="312" t="s">
        <v>1366</v>
      </c>
      <c r="V1111" s="312" t="s">
        <v>1367</v>
      </c>
      <c r="W1111" s="50"/>
      <c r="X1111" s="50"/>
      <c r="Y1111" s="50"/>
      <c r="Z1111" s="312"/>
      <c r="AA1111" s="50"/>
      <c r="AB1111" s="50"/>
      <c r="AC1111" s="50"/>
      <c r="AD1111" s="50"/>
      <c r="AE1111" s="50"/>
    </row>
    <row r="1112">
      <c r="A1112" s="307">
        <v>43131.68819444445</v>
      </c>
      <c r="B1112" s="312" t="s">
        <v>1649</v>
      </c>
      <c r="C1112" s="303" t="s">
        <v>1177</v>
      </c>
      <c r="D1112" s="303" t="s">
        <v>1178</v>
      </c>
      <c r="E1112" s="315">
        <v>42849.0</v>
      </c>
      <c r="F1112" s="312" t="s">
        <v>28</v>
      </c>
      <c r="G1112" s="303" t="s">
        <v>1179</v>
      </c>
      <c r="H1112" s="303" t="s">
        <v>1180</v>
      </c>
      <c r="I1112" s="303" t="s">
        <v>1187</v>
      </c>
      <c r="J1112" s="306">
        <v>0.9</v>
      </c>
      <c r="K1112" s="312">
        <v>388.0</v>
      </c>
      <c r="L1112" s="312"/>
      <c r="M1112" s="312">
        <v>198.0</v>
      </c>
      <c r="N1112" s="312"/>
      <c r="O1112" s="312"/>
      <c r="P1112" s="315">
        <v>43131.0</v>
      </c>
      <c r="Q1112" s="312">
        <v>18375.0</v>
      </c>
      <c r="R1112" s="312">
        <v>384.0</v>
      </c>
      <c r="S1112" s="316"/>
      <c r="T1112" s="317">
        <v>388.86</v>
      </c>
      <c r="U1112" s="312" t="s">
        <v>1366</v>
      </c>
      <c r="V1112" s="312" t="s">
        <v>1367</v>
      </c>
      <c r="W1112" s="312">
        <v>345.0</v>
      </c>
      <c r="X1112" s="312">
        <v>110.0</v>
      </c>
      <c r="Y1112" s="50"/>
      <c r="Z1112" s="312"/>
      <c r="AA1112" s="50"/>
      <c r="AB1112" s="50"/>
      <c r="AC1112" s="50"/>
      <c r="AD1112" s="50"/>
      <c r="AE1112" s="50"/>
    </row>
    <row r="1113">
      <c r="A1113" s="307">
        <v>43143.69652777778</v>
      </c>
      <c r="B1113" s="312" t="s">
        <v>1649</v>
      </c>
      <c r="C1113" s="303" t="s">
        <v>1177</v>
      </c>
      <c r="D1113" s="303" t="s">
        <v>1178</v>
      </c>
      <c r="E1113" s="315">
        <v>42849.0</v>
      </c>
      <c r="F1113" s="312" t="s">
        <v>28</v>
      </c>
      <c r="G1113" s="303" t="s">
        <v>1179</v>
      </c>
      <c r="H1113" s="303" t="s">
        <v>1180</v>
      </c>
      <c r="I1113" s="303" t="s">
        <v>1187</v>
      </c>
      <c r="J1113" s="306">
        <v>0.9</v>
      </c>
      <c r="K1113" s="312">
        <v>387.0</v>
      </c>
      <c r="L1113" s="312"/>
      <c r="M1113" s="312">
        <v>198.0</v>
      </c>
      <c r="N1113" s="312"/>
      <c r="O1113" s="312"/>
      <c r="P1113" s="315">
        <v>43143.0</v>
      </c>
      <c r="Q1113" s="312">
        <v>19529.0</v>
      </c>
      <c r="R1113" s="312">
        <v>383.0</v>
      </c>
      <c r="S1113" s="316"/>
      <c r="T1113" s="317">
        <v>387.85</v>
      </c>
      <c r="U1113" s="312" t="s">
        <v>1366</v>
      </c>
      <c r="V1113" s="312" t="s">
        <v>1367</v>
      </c>
      <c r="W1113" s="50"/>
      <c r="X1113" s="50"/>
      <c r="Y1113" s="50"/>
      <c r="Z1113" s="312"/>
      <c r="AA1113" s="50"/>
      <c r="AB1113" s="50"/>
      <c r="AC1113" s="50"/>
      <c r="AD1113" s="50"/>
      <c r="AE1113" s="50"/>
    </row>
    <row r="1114">
      <c r="A1114" s="307">
        <v>42268.76736111111</v>
      </c>
      <c r="B1114" s="312" t="s">
        <v>1009</v>
      </c>
      <c r="C1114" s="312" t="s">
        <v>1184</v>
      </c>
      <c r="D1114" s="303" t="s">
        <v>1185</v>
      </c>
      <c r="E1114" s="315">
        <v>42078.0</v>
      </c>
      <c r="F1114" s="312" t="s">
        <v>30</v>
      </c>
      <c r="G1114" s="303" t="s">
        <v>1179</v>
      </c>
      <c r="H1114" s="303" t="s">
        <v>1181</v>
      </c>
      <c r="I1114" s="303" t="s">
        <v>1186</v>
      </c>
      <c r="J1114" s="306">
        <v>0.8</v>
      </c>
      <c r="K1114" s="312">
        <v>256.0</v>
      </c>
      <c r="L1114" s="312"/>
      <c r="M1114" s="312">
        <v>338.0</v>
      </c>
      <c r="N1114" s="312"/>
      <c r="O1114" s="312"/>
      <c r="P1114" s="315">
        <v>42268.0</v>
      </c>
      <c r="Q1114" s="312">
        <v>11500.0</v>
      </c>
      <c r="R1114" s="312">
        <v>250.0</v>
      </c>
      <c r="S1114" s="316"/>
      <c r="T1114" s="317">
        <v>253.16</v>
      </c>
      <c r="U1114" s="312" t="s">
        <v>1366</v>
      </c>
      <c r="V1114" s="312" t="s">
        <v>1367</v>
      </c>
      <c r="W1114" s="50"/>
      <c r="X1114" s="50"/>
      <c r="Y1114" s="50"/>
      <c r="Z1114" s="312"/>
      <c r="AA1114" s="50"/>
      <c r="AB1114" s="50"/>
      <c r="AC1114" s="50"/>
      <c r="AD1114" s="50"/>
      <c r="AE1114" s="50"/>
    </row>
    <row r="1115">
      <c r="A1115" s="307">
        <v>42781.82013888889</v>
      </c>
      <c r="B1115" s="312" t="s">
        <v>784</v>
      </c>
      <c r="C1115" s="312" t="s">
        <v>1184</v>
      </c>
      <c r="D1115" s="303" t="s">
        <v>1185</v>
      </c>
      <c r="E1115" s="315">
        <v>41275.0</v>
      </c>
      <c r="F1115" s="312" t="s">
        <v>12</v>
      </c>
      <c r="G1115" s="303" t="s">
        <v>1205</v>
      </c>
      <c r="H1115" s="303" t="s">
        <v>1205</v>
      </c>
      <c r="I1115" s="303" t="s">
        <v>1181</v>
      </c>
      <c r="J1115" s="306">
        <v>1.0</v>
      </c>
      <c r="K1115" s="50"/>
      <c r="L1115" s="312"/>
      <c r="M1115" s="312">
        <v>319.0</v>
      </c>
      <c r="N1115" s="312"/>
      <c r="O1115" s="312"/>
      <c r="P1115" s="315">
        <v>42781.0</v>
      </c>
      <c r="Q1115" s="312">
        <v>45500.0</v>
      </c>
      <c r="R1115" s="312">
        <v>201.0</v>
      </c>
      <c r="S1115" s="316"/>
      <c r="T1115" s="317">
        <v>203.54</v>
      </c>
      <c r="U1115" s="312" t="s">
        <v>1366</v>
      </c>
      <c r="V1115" s="312" t="s">
        <v>1367</v>
      </c>
      <c r="W1115" s="50"/>
      <c r="X1115" s="50"/>
      <c r="Y1115" s="50"/>
      <c r="Z1115" s="312"/>
      <c r="AA1115" s="50"/>
      <c r="AB1115" s="50"/>
      <c r="AC1115" s="50"/>
      <c r="AD1115" s="50"/>
      <c r="AE1115" s="50"/>
    </row>
    <row r="1116">
      <c r="A1116" s="307">
        <v>43081.646527777775</v>
      </c>
      <c r="B1116" s="312" t="s">
        <v>1650</v>
      </c>
      <c r="C1116" s="303" t="s">
        <v>1177</v>
      </c>
      <c r="D1116" s="303" t="s">
        <v>1178</v>
      </c>
      <c r="E1116" s="315">
        <v>43007.0</v>
      </c>
      <c r="F1116" s="312" t="s">
        <v>28</v>
      </c>
      <c r="G1116" s="303" t="s">
        <v>1190</v>
      </c>
      <c r="H1116" s="303" t="s">
        <v>1181</v>
      </c>
      <c r="I1116" s="303" t="s">
        <v>1187</v>
      </c>
      <c r="J1116" s="306"/>
      <c r="K1116" s="50"/>
      <c r="L1116" s="312"/>
      <c r="M1116" s="312">
        <v>218.0</v>
      </c>
      <c r="N1116" s="312"/>
      <c r="O1116" s="312"/>
      <c r="P1116" s="315">
        <v>43081.0</v>
      </c>
      <c r="Q1116" s="312">
        <v>8395.0</v>
      </c>
      <c r="R1116" s="312">
        <v>383.0</v>
      </c>
      <c r="S1116" s="316"/>
      <c r="T1116" s="317">
        <v>387.85</v>
      </c>
      <c r="U1116" s="312" t="s">
        <v>1366</v>
      </c>
      <c r="V1116" s="312" t="s">
        <v>1367</v>
      </c>
      <c r="W1116" s="50"/>
      <c r="X1116" s="50"/>
      <c r="Y1116" s="50"/>
      <c r="Z1116" s="312"/>
      <c r="AA1116" s="50"/>
      <c r="AB1116" s="50"/>
      <c r="AC1116" s="50"/>
      <c r="AD1116" s="50"/>
      <c r="AE1116" s="50"/>
    </row>
    <row r="1117">
      <c r="A1117" s="307">
        <v>41907.018055555556</v>
      </c>
      <c r="B1117" s="50" t="s">
        <v>747</v>
      </c>
      <c r="C1117" s="303" t="s">
        <v>1177</v>
      </c>
      <c r="D1117" s="303" t="s">
        <v>1178</v>
      </c>
      <c r="E1117" s="310">
        <v>41810.0</v>
      </c>
      <c r="F1117" s="312" t="s">
        <v>30</v>
      </c>
      <c r="G1117" s="303" t="s">
        <v>1181</v>
      </c>
      <c r="H1117" s="303" t="s">
        <v>1181</v>
      </c>
      <c r="I1117" s="303" t="s">
        <v>1187</v>
      </c>
      <c r="J1117" s="306"/>
      <c r="K1117" s="50"/>
      <c r="L1117" s="50"/>
      <c r="M1117" s="50">
        <v>235.0</v>
      </c>
      <c r="N1117" s="50"/>
      <c r="O1117" s="312"/>
      <c r="P1117" s="310">
        <v>41907.0</v>
      </c>
      <c r="Q1117" s="50">
        <v>8598.0</v>
      </c>
      <c r="R1117" s="50">
        <v>388.0</v>
      </c>
      <c r="S1117" s="318"/>
      <c r="T1117" s="317">
        <v>391.92</v>
      </c>
      <c r="U1117" s="312" t="s">
        <v>1407</v>
      </c>
      <c r="V1117" s="312" t="s">
        <v>1367</v>
      </c>
      <c r="W1117" s="50"/>
      <c r="X1117" s="50"/>
      <c r="Y1117" s="50"/>
      <c r="Z1117" s="312"/>
      <c r="AA1117" s="50"/>
      <c r="AB1117" s="50"/>
      <c r="AC1117" s="50"/>
      <c r="AD1117" s="50"/>
      <c r="AE1117" s="50"/>
    </row>
    <row r="1118">
      <c r="A1118" s="307">
        <v>42023.06041666667</v>
      </c>
      <c r="B1118" s="50" t="s">
        <v>747</v>
      </c>
      <c r="C1118" s="303" t="s">
        <v>1177</v>
      </c>
      <c r="D1118" s="303" t="s">
        <v>1178</v>
      </c>
      <c r="E1118" s="310">
        <v>41810.0</v>
      </c>
      <c r="F1118" s="312" t="s">
        <v>30</v>
      </c>
      <c r="G1118" s="303" t="s">
        <v>1180</v>
      </c>
      <c r="H1118" s="303" t="s">
        <v>1181</v>
      </c>
      <c r="I1118" s="303" t="s">
        <v>1186</v>
      </c>
      <c r="J1118" s="306"/>
      <c r="K1118" s="50"/>
      <c r="L1118" s="50"/>
      <c r="M1118" s="312">
        <v>240.0</v>
      </c>
      <c r="N1118" s="50"/>
      <c r="O1118" s="312"/>
      <c r="P1118" s="310">
        <v>42023.0</v>
      </c>
      <c r="Q1118" s="50">
        <v>18500.0</v>
      </c>
      <c r="R1118" s="50">
        <v>381.0</v>
      </c>
      <c r="S1118" s="318"/>
      <c r="T1118" s="317">
        <v>385.82</v>
      </c>
      <c r="U1118" s="312" t="s">
        <v>1366</v>
      </c>
      <c r="V1118" s="312" t="s">
        <v>1367</v>
      </c>
      <c r="W1118" s="50"/>
      <c r="X1118" s="50"/>
      <c r="Y1118" s="50"/>
      <c r="Z1118" s="312"/>
      <c r="AA1118" s="50"/>
      <c r="AB1118" s="50"/>
      <c r="AC1118" s="50"/>
      <c r="AD1118" s="50"/>
      <c r="AE1118" s="50"/>
    </row>
    <row r="1119">
      <c r="A1119" s="307">
        <v>42104.092361111114</v>
      </c>
      <c r="B1119" s="50" t="s">
        <v>747</v>
      </c>
      <c r="C1119" s="303" t="s">
        <v>1177</v>
      </c>
      <c r="D1119" s="303" t="s">
        <v>1178</v>
      </c>
      <c r="E1119" s="310">
        <v>41810.0</v>
      </c>
      <c r="F1119" s="312" t="s">
        <v>30</v>
      </c>
      <c r="G1119" s="303" t="s">
        <v>1179</v>
      </c>
      <c r="H1119" s="303" t="s">
        <v>1181</v>
      </c>
      <c r="I1119" s="303" t="s">
        <v>1186</v>
      </c>
      <c r="J1119" s="306"/>
      <c r="K1119" s="50"/>
      <c r="L1119" s="312"/>
      <c r="M1119" s="312">
        <v>250.0</v>
      </c>
      <c r="N1119" s="50"/>
      <c r="O1119" s="312"/>
      <c r="P1119" s="315">
        <v>42104.0</v>
      </c>
      <c r="Q1119" s="312">
        <v>27000.0</v>
      </c>
      <c r="R1119" s="312">
        <v>382.0</v>
      </c>
      <c r="S1119" s="316"/>
      <c r="T1119" s="317">
        <v>386.84</v>
      </c>
      <c r="U1119" s="312" t="s">
        <v>1366</v>
      </c>
      <c r="V1119" s="312" t="s">
        <v>1367</v>
      </c>
      <c r="W1119" s="50"/>
      <c r="X1119" s="50"/>
      <c r="Y1119" s="50"/>
      <c r="Z1119" s="312"/>
      <c r="AA1119" s="50"/>
      <c r="AB1119" s="50"/>
      <c r="AC1119" s="50"/>
      <c r="AD1119" s="50"/>
      <c r="AE1119" s="50"/>
    </row>
    <row r="1120">
      <c r="A1120" s="307">
        <v>42233.225</v>
      </c>
      <c r="B1120" s="50" t="s">
        <v>747</v>
      </c>
      <c r="C1120" s="303" t="s">
        <v>1177</v>
      </c>
      <c r="D1120" s="303" t="s">
        <v>1178</v>
      </c>
      <c r="E1120" s="310">
        <v>41810.0</v>
      </c>
      <c r="F1120" s="312" t="s">
        <v>30</v>
      </c>
      <c r="G1120" s="303" t="s">
        <v>1180</v>
      </c>
      <c r="H1120" s="303" t="s">
        <v>1180</v>
      </c>
      <c r="I1120" s="303" t="s">
        <v>1181</v>
      </c>
      <c r="J1120" s="306">
        <v>0.8</v>
      </c>
      <c r="K1120" s="50"/>
      <c r="L1120" s="312"/>
      <c r="M1120" s="312">
        <v>237.0</v>
      </c>
      <c r="N1120" s="312"/>
      <c r="O1120" s="312"/>
      <c r="P1120" s="315">
        <v>42233.0</v>
      </c>
      <c r="Q1120" s="312">
        <v>36743.0</v>
      </c>
      <c r="R1120" s="312">
        <v>368.0</v>
      </c>
      <c r="S1120" s="316"/>
      <c r="T1120" s="317">
        <v>372.66</v>
      </c>
      <c r="U1120" s="312" t="s">
        <v>1366</v>
      </c>
      <c r="V1120" s="312" t="s">
        <v>1367</v>
      </c>
      <c r="W1120" s="50"/>
      <c r="X1120" s="50"/>
      <c r="Y1120" s="50"/>
      <c r="Z1120" s="312"/>
      <c r="AA1120" s="50"/>
      <c r="AB1120" s="50"/>
      <c r="AC1120" s="50"/>
      <c r="AD1120" s="50"/>
      <c r="AE1120" s="50"/>
    </row>
    <row r="1121">
      <c r="A1121" s="307">
        <v>42355.345138888886</v>
      </c>
      <c r="B1121" s="312" t="s">
        <v>747</v>
      </c>
      <c r="C1121" s="303" t="s">
        <v>1177</v>
      </c>
      <c r="D1121" s="303" t="s">
        <v>1178</v>
      </c>
      <c r="E1121" s="315">
        <v>41810.0</v>
      </c>
      <c r="F1121" s="312" t="s">
        <v>30</v>
      </c>
      <c r="G1121" s="303" t="s">
        <v>1181</v>
      </c>
      <c r="H1121" s="303" t="s">
        <v>1181</v>
      </c>
      <c r="I1121" s="303" t="s">
        <v>1186</v>
      </c>
      <c r="J1121" s="306">
        <v>0.8</v>
      </c>
      <c r="K1121" s="50"/>
      <c r="L1121" s="312"/>
      <c r="M1121" s="312">
        <v>221.0</v>
      </c>
      <c r="N1121" s="312"/>
      <c r="O1121" s="312"/>
      <c r="P1121" s="315">
        <v>42355.0</v>
      </c>
      <c r="Q1121" s="312">
        <v>46534.0</v>
      </c>
      <c r="R1121" s="312">
        <v>361.0</v>
      </c>
      <c r="S1121" s="316"/>
      <c r="T1121" s="317">
        <v>365.57</v>
      </c>
      <c r="U1121" s="312" t="s">
        <v>1366</v>
      </c>
      <c r="V1121" s="312" t="s">
        <v>1367</v>
      </c>
      <c r="W1121" s="50"/>
      <c r="X1121" s="50"/>
      <c r="Y1121" s="50"/>
      <c r="Z1121" s="312"/>
      <c r="AA1121" s="50"/>
      <c r="AB1121" s="50"/>
      <c r="AC1121" s="50"/>
      <c r="AD1121" s="50"/>
      <c r="AE1121" s="50"/>
    </row>
    <row r="1122">
      <c r="A1122" s="307">
        <v>42457.34583333333</v>
      </c>
      <c r="B1122" s="312" t="s">
        <v>747</v>
      </c>
      <c r="C1122" s="303" t="s">
        <v>1177</v>
      </c>
      <c r="D1122" s="303" t="s">
        <v>1178</v>
      </c>
      <c r="E1122" s="315">
        <v>41810.0</v>
      </c>
      <c r="F1122" s="312" t="s">
        <v>30</v>
      </c>
      <c r="G1122" s="303" t="s">
        <v>1181</v>
      </c>
      <c r="H1122" s="303" t="s">
        <v>1181</v>
      </c>
      <c r="I1122" s="303" t="s">
        <v>1186</v>
      </c>
      <c r="J1122" s="306">
        <v>0.8</v>
      </c>
      <c r="K1122" s="50"/>
      <c r="L1122" s="312"/>
      <c r="M1122" s="312">
        <v>221.0</v>
      </c>
      <c r="N1122" s="312"/>
      <c r="O1122" s="312"/>
      <c r="P1122" s="315">
        <v>42457.0</v>
      </c>
      <c r="Q1122" s="312">
        <v>53226.0</v>
      </c>
      <c r="R1122" s="312">
        <v>364.0</v>
      </c>
      <c r="S1122" s="316"/>
      <c r="T1122" s="317">
        <v>368.61</v>
      </c>
      <c r="U1122" s="312" t="s">
        <v>1366</v>
      </c>
      <c r="V1122" s="312" t="s">
        <v>1367</v>
      </c>
      <c r="W1122" s="50"/>
      <c r="X1122" s="50"/>
      <c r="Y1122" s="50"/>
      <c r="Z1122" s="312"/>
      <c r="AA1122" s="50"/>
      <c r="AB1122" s="50"/>
      <c r="AC1122" s="50"/>
      <c r="AD1122" s="50"/>
      <c r="AE1122" s="50"/>
    </row>
    <row r="1123">
      <c r="A1123" s="307">
        <v>42891.83819444444</v>
      </c>
      <c r="B1123" s="312" t="s">
        <v>893</v>
      </c>
      <c r="C1123" s="312" t="s">
        <v>1184</v>
      </c>
      <c r="D1123" s="303" t="s">
        <v>1185</v>
      </c>
      <c r="E1123" s="315">
        <v>41334.0</v>
      </c>
      <c r="F1123" s="312" t="s">
        <v>32</v>
      </c>
      <c r="G1123" s="303" t="s">
        <v>1181</v>
      </c>
      <c r="H1123" s="303" t="s">
        <v>1186</v>
      </c>
      <c r="I1123" s="303" t="s">
        <v>1187</v>
      </c>
      <c r="J1123" s="306">
        <v>0.9</v>
      </c>
      <c r="K1123" s="312">
        <v>265.0</v>
      </c>
      <c r="L1123" s="312"/>
      <c r="M1123" s="312">
        <v>330.0</v>
      </c>
      <c r="N1123" s="312"/>
      <c r="O1123" s="312"/>
      <c r="P1123" s="315">
        <v>42891.0</v>
      </c>
      <c r="Q1123" s="312">
        <v>54297.0</v>
      </c>
      <c r="R1123" s="312">
        <v>255.0</v>
      </c>
      <c r="S1123" s="316"/>
      <c r="T1123" s="317">
        <v>258.23</v>
      </c>
      <c r="U1123" s="312" t="s">
        <v>1366</v>
      </c>
      <c r="V1123" s="312" t="s">
        <v>1367</v>
      </c>
      <c r="W1123" s="50"/>
      <c r="X1123" s="50"/>
      <c r="Y1123" s="50"/>
      <c r="Z1123" s="312"/>
      <c r="AA1123" s="312" t="s">
        <v>1651</v>
      </c>
      <c r="AB1123" s="50"/>
      <c r="AC1123" s="50"/>
      <c r="AD1123" s="50"/>
      <c r="AE1123" s="50"/>
    </row>
    <row r="1124">
      <c r="A1124" s="307">
        <v>42142.197916666664</v>
      </c>
      <c r="B1124" s="312" t="s">
        <v>873</v>
      </c>
      <c r="C1124" s="303" t="s">
        <v>1177</v>
      </c>
      <c r="D1124" s="303" t="s">
        <v>1178</v>
      </c>
      <c r="E1124" s="315">
        <v>42077.0</v>
      </c>
      <c r="F1124" s="312" t="s">
        <v>36</v>
      </c>
      <c r="G1124" s="303" t="s">
        <v>1180</v>
      </c>
      <c r="H1124" s="303" t="s">
        <v>1180</v>
      </c>
      <c r="I1124" s="303" t="s">
        <v>1180</v>
      </c>
      <c r="J1124" s="306">
        <v>0.8</v>
      </c>
      <c r="K1124" s="312">
        <v>403.0</v>
      </c>
      <c r="L1124" s="312"/>
      <c r="M1124" s="312">
        <v>234.0</v>
      </c>
      <c r="N1124" s="312"/>
      <c r="O1124" s="312"/>
      <c r="P1124" s="315">
        <v>42142.0</v>
      </c>
      <c r="Q1124" s="312">
        <v>5165.0</v>
      </c>
      <c r="R1124" s="312">
        <v>407.0</v>
      </c>
      <c r="S1124" s="316"/>
      <c r="T1124" s="317">
        <v>412.15</v>
      </c>
      <c r="U1124" s="312" t="s">
        <v>1366</v>
      </c>
      <c r="V1124" s="312" t="s">
        <v>1367</v>
      </c>
      <c r="W1124" s="50"/>
      <c r="X1124" s="50"/>
      <c r="Y1124" s="50"/>
      <c r="Z1124" s="312"/>
      <c r="AA1124" s="312" t="s">
        <v>1500</v>
      </c>
      <c r="AB1124" s="50"/>
      <c r="AC1124" s="50"/>
      <c r="AD1124" s="50"/>
      <c r="AE1124" s="50"/>
    </row>
    <row r="1125">
      <c r="A1125" s="307">
        <v>42226.19861111111</v>
      </c>
      <c r="B1125" s="312" t="s">
        <v>873</v>
      </c>
      <c r="C1125" s="303" t="s">
        <v>1177</v>
      </c>
      <c r="D1125" s="303" t="s">
        <v>1178</v>
      </c>
      <c r="E1125" s="315">
        <v>42077.0</v>
      </c>
      <c r="F1125" s="312" t="s">
        <v>36</v>
      </c>
      <c r="G1125" s="303" t="s">
        <v>1180</v>
      </c>
      <c r="H1125" s="303" t="s">
        <v>1180</v>
      </c>
      <c r="I1125" s="303" t="s">
        <v>1180</v>
      </c>
      <c r="J1125" s="306">
        <v>0.8</v>
      </c>
      <c r="K1125" s="312">
        <v>403.0</v>
      </c>
      <c r="L1125" s="312"/>
      <c r="M1125" s="312">
        <v>233.0</v>
      </c>
      <c r="N1125" s="312"/>
      <c r="O1125" s="312"/>
      <c r="P1125" s="315">
        <v>42226.0</v>
      </c>
      <c r="Q1125" s="312">
        <v>7400.0</v>
      </c>
      <c r="R1125" s="312">
        <v>409.0</v>
      </c>
      <c r="S1125" s="316"/>
      <c r="T1125" s="317">
        <v>414.18</v>
      </c>
      <c r="U1125" s="312" t="s">
        <v>1366</v>
      </c>
      <c r="V1125" s="312" t="s">
        <v>1367</v>
      </c>
      <c r="W1125" s="50"/>
      <c r="X1125" s="50"/>
      <c r="Y1125" s="50"/>
      <c r="Z1125" s="312"/>
      <c r="AA1125" s="50"/>
      <c r="AB1125" s="50"/>
      <c r="AC1125" s="50"/>
      <c r="AD1125" s="50"/>
      <c r="AE1125" s="50"/>
    </row>
    <row r="1126">
      <c r="A1126" s="307">
        <v>42342.904861111114</v>
      </c>
      <c r="B1126" s="312" t="s">
        <v>1099</v>
      </c>
      <c r="C1126" s="312" t="s">
        <v>1197</v>
      </c>
      <c r="D1126" s="303" t="s">
        <v>1178</v>
      </c>
      <c r="E1126" s="315">
        <v>42045.0</v>
      </c>
      <c r="F1126" s="312" t="s">
        <v>38</v>
      </c>
      <c r="G1126" s="303" t="s">
        <v>1180</v>
      </c>
      <c r="H1126" s="303" t="s">
        <v>1180</v>
      </c>
      <c r="I1126" s="303" t="s">
        <v>1186</v>
      </c>
      <c r="J1126" s="306">
        <v>0.9</v>
      </c>
      <c r="K1126" s="312">
        <v>408.0</v>
      </c>
      <c r="L1126" s="312"/>
      <c r="M1126" s="312">
        <v>225.0</v>
      </c>
      <c r="N1126" s="312"/>
      <c r="O1126" s="312"/>
      <c r="P1126" s="315">
        <v>42342.0</v>
      </c>
      <c r="Q1126" s="312">
        <v>19985.0</v>
      </c>
      <c r="R1126" s="312">
        <v>408.0</v>
      </c>
      <c r="S1126" s="316"/>
      <c r="T1126" s="317">
        <v>413.16</v>
      </c>
      <c r="U1126" s="312" t="s">
        <v>1366</v>
      </c>
      <c r="V1126" s="312" t="s">
        <v>1367</v>
      </c>
      <c r="W1126" s="50"/>
      <c r="X1126" s="50"/>
      <c r="Y1126" s="50"/>
      <c r="Z1126" s="312"/>
      <c r="AA1126" s="50"/>
      <c r="AB1126" s="50"/>
      <c r="AC1126" s="50"/>
      <c r="AD1126" s="50"/>
      <c r="AE1126" s="50"/>
    </row>
    <row r="1127">
      <c r="A1127" s="307">
        <v>42228.15694444445</v>
      </c>
      <c r="B1127" s="312" t="s">
        <v>777</v>
      </c>
      <c r="C1127" s="303" t="s">
        <v>1177</v>
      </c>
      <c r="D1127" s="303" t="s">
        <v>1178</v>
      </c>
      <c r="E1127" s="315">
        <v>42160.0</v>
      </c>
      <c r="F1127" s="312" t="s">
        <v>36</v>
      </c>
      <c r="G1127" s="303" t="s">
        <v>1203</v>
      </c>
      <c r="H1127" s="303" t="s">
        <v>1179</v>
      </c>
      <c r="I1127" s="303" t="s">
        <v>1187</v>
      </c>
      <c r="J1127" s="306">
        <v>0.9</v>
      </c>
      <c r="K1127" s="312">
        <v>404.0</v>
      </c>
      <c r="L1127" s="312"/>
      <c r="M1127" s="312">
        <v>207.0</v>
      </c>
      <c r="N1127" s="312"/>
      <c r="O1127" s="312"/>
      <c r="P1127" s="315">
        <v>42228.0</v>
      </c>
      <c r="Q1127" s="312">
        <v>18650.0</v>
      </c>
      <c r="R1127" s="312">
        <v>398.0</v>
      </c>
      <c r="S1127" s="316"/>
      <c r="T1127" s="317">
        <v>403.04</v>
      </c>
      <c r="U1127" s="312" t="s">
        <v>1366</v>
      </c>
      <c r="V1127" s="312" t="s">
        <v>1367</v>
      </c>
      <c r="W1127" s="50"/>
      <c r="X1127" s="50"/>
      <c r="Y1127" s="50"/>
      <c r="Z1127" s="312"/>
      <c r="AA1127" s="312" t="s">
        <v>1373</v>
      </c>
      <c r="AB1127" s="50"/>
      <c r="AC1127" s="50"/>
      <c r="AD1127" s="50"/>
      <c r="AE1127" s="50"/>
    </row>
    <row r="1128">
      <c r="A1128" s="307">
        <v>42288.197222222225</v>
      </c>
      <c r="B1128" s="312" t="s">
        <v>777</v>
      </c>
      <c r="C1128" s="303" t="s">
        <v>1177</v>
      </c>
      <c r="D1128" s="303" t="s">
        <v>1178</v>
      </c>
      <c r="E1128" s="315">
        <v>42160.0</v>
      </c>
      <c r="F1128" s="312" t="s">
        <v>36</v>
      </c>
      <c r="G1128" s="303" t="s">
        <v>1190</v>
      </c>
      <c r="H1128" s="303" t="s">
        <v>1181</v>
      </c>
      <c r="I1128" s="303" t="s">
        <v>1187</v>
      </c>
      <c r="J1128" s="306">
        <v>0.9</v>
      </c>
      <c r="K1128" s="50"/>
      <c r="L1128" s="312"/>
      <c r="M1128" s="312">
        <v>207.0</v>
      </c>
      <c r="N1128" s="312"/>
      <c r="O1128" s="312"/>
      <c r="P1128" s="315">
        <v>42288.0</v>
      </c>
      <c r="Q1128" s="312">
        <v>26085.0</v>
      </c>
      <c r="R1128" s="312">
        <v>395.0</v>
      </c>
      <c r="S1128" s="316"/>
      <c r="T1128" s="317">
        <v>400.0</v>
      </c>
      <c r="U1128" s="312" t="s">
        <v>1366</v>
      </c>
      <c r="V1128" s="312" t="s">
        <v>1367</v>
      </c>
      <c r="W1128" s="50"/>
      <c r="X1128" s="312"/>
      <c r="Y1128" s="50"/>
      <c r="Z1128" s="312"/>
      <c r="AA1128" s="50"/>
      <c r="AB1128" s="50"/>
      <c r="AC1128" s="50"/>
      <c r="AD1128" s="50"/>
      <c r="AE1128" s="50"/>
    </row>
    <row r="1129">
      <c r="A1129" s="307">
        <v>42412.28680555556</v>
      </c>
      <c r="B1129" s="312" t="s">
        <v>777</v>
      </c>
      <c r="C1129" s="303" t="s">
        <v>1177</v>
      </c>
      <c r="D1129" s="303" t="s">
        <v>1178</v>
      </c>
      <c r="E1129" s="315">
        <v>42160.0</v>
      </c>
      <c r="F1129" s="312" t="s">
        <v>36</v>
      </c>
      <c r="G1129" s="303" t="s">
        <v>1190</v>
      </c>
      <c r="H1129" s="303" t="s">
        <v>1181</v>
      </c>
      <c r="I1129" s="303" t="s">
        <v>1186</v>
      </c>
      <c r="J1129" s="306">
        <v>0.9</v>
      </c>
      <c r="K1129" s="50"/>
      <c r="L1129" s="312"/>
      <c r="M1129" s="312">
        <v>211.0</v>
      </c>
      <c r="N1129" s="312"/>
      <c r="O1129" s="312"/>
      <c r="P1129" s="315">
        <v>42412.0</v>
      </c>
      <c r="Q1129" s="312">
        <v>39100.0</v>
      </c>
      <c r="R1129" s="312">
        <v>409.0</v>
      </c>
      <c r="S1129" s="316"/>
      <c r="T1129" s="317">
        <v>414.18</v>
      </c>
      <c r="U1129" s="312" t="s">
        <v>1366</v>
      </c>
      <c r="V1129" s="312" t="s">
        <v>1367</v>
      </c>
      <c r="W1129" s="50"/>
      <c r="X1129" s="50"/>
      <c r="Y1129" s="50"/>
      <c r="Z1129" s="312"/>
      <c r="AA1129" s="50"/>
      <c r="AB1129" s="50"/>
      <c r="AC1129" s="50"/>
      <c r="AD1129" s="50"/>
      <c r="AE1129" s="50"/>
    </row>
    <row r="1130">
      <c r="A1130" s="307">
        <v>42477.32708333333</v>
      </c>
      <c r="B1130" s="312" t="s">
        <v>777</v>
      </c>
      <c r="C1130" s="303" t="s">
        <v>1177</v>
      </c>
      <c r="D1130" s="303" t="s">
        <v>1178</v>
      </c>
      <c r="E1130" s="315">
        <v>42160.0</v>
      </c>
      <c r="F1130" s="312" t="s">
        <v>36</v>
      </c>
      <c r="G1130" s="303" t="s">
        <v>1190</v>
      </c>
      <c r="H1130" s="303" t="s">
        <v>1180</v>
      </c>
      <c r="I1130" s="303" t="s">
        <v>1187</v>
      </c>
      <c r="J1130" s="306">
        <v>0.9</v>
      </c>
      <c r="K1130" s="50"/>
      <c r="L1130" s="312"/>
      <c r="M1130" s="312">
        <v>210.0</v>
      </c>
      <c r="N1130" s="312"/>
      <c r="O1130" s="312"/>
      <c r="P1130" s="315">
        <v>42477.0</v>
      </c>
      <c r="Q1130" s="312">
        <v>43210.0</v>
      </c>
      <c r="R1130" s="312">
        <v>410.0</v>
      </c>
      <c r="S1130" s="316"/>
      <c r="T1130" s="317">
        <v>415.19</v>
      </c>
      <c r="U1130" s="312" t="s">
        <v>1366</v>
      </c>
      <c r="V1130" s="312" t="s">
        <v>1367</v>
      </c>
      <c r="W1130" s="50"/>
      <c r="X1130" s="50"/>
      <c r="Y1130" s="50"/>
      <c r="Z1130" s="312"/>
      <c r="AA1130" s="50"/>
      <c r="AB1130" s="50"/>
      <c r="AC1130" s="50"/>
      <c r="AD1130" s="50"/>
      <c r="AE1130" s="50"/>
    </row>
    <row r="1131">
      <c r="A1131" s="307">
        <v>42526.342361111114</v>
      </c>
      <c r="B1131" s="312" t="s">
        <v>777</v>
      </c>
      <c r="C1131" s="303" t="s">
        <v>1177</v>
      </c>
      <c r="D1131" s="303" t="s">
        <v>1178</v>
      </c>
      <c r="E1131" s="315">
        <v>42160.0</v>
      </c>
      <c r="F1131" s="312" t="s">
        <v>36</v>
      </c>
      <c r="G1131" s="303" t="s">
        <v>1190</v>
      </c>
      <c r="H1131" s="303" t="s">
        <v>1180</v>
      </c>
      <c r="I1131" s="303" t="s">
        <v>1181</v>
      </c>
      <c r="J1131" s="306">
        <v>0.9</v>
      </c>
      <c r="K1131" s="50"/>
      <c r="L1131" s="312"/>
      <c r="M1131" s="312">
        <v>212.0</v>
      </c>
      <c r="N1131" s="312"/>
      <c r="O1131" s="312"/>
      <c r="P1131" s="315">
        <v>42526.0</v>
      </c>
      <c r="Q1131" s="312">
        <v>47128.0</v>
      </c>
      <c r="R1131" s="312">
        <v>419.0</v>
      </c>
      <c r="S1131" s="316"/>
      <c r="T1131" s="317">
        <v>419.0</v>
      </c>
      <c r="U1131" s="312" t="s">
        <v>1369</v>
      </c>
      <c r="V1131" s="312" t="s">
        <v>1367</v>
      </c>
      <c r="W1131" s="50"/>
      <c r="X1131" s="50"/>
      <c r="Y1131" s="50"/>
      <c r="Z1131" s="312"/>
      <c r="AA1131" s="312" t="s">
        <v>1652</v>
      </c>
      <c r="AB1131" s="50"/>
      <c r="AC1131" s="50"/>
      <c r="AD1131" s="50"/>
      <c r="AE1131" s="50"/>
    </row>
    <row r="1132">
      <c r="A1132" s="307">
        <v>42567.364583333336</v>
      </c>
      <c r="B1132" s="312" t="s">
        <v>777</v>
      </c>
      <c r="C1132" s="303" t="s">
        <v>1177</v>
      </c>
      <c r="D1132" s="303" t="s">
        <v>1178</v>
      </c>
      <c r="E1132" s="315">
        <v>42160.0</v>
      </c>
      <c r="F1132" s="312" t="s">
        <v>36</v>
      </c>
      <c r="G1132" s="303" t="s">
        <v>1190</v>
      </c>
      <c r="H1132" s="303" t="s">
        <v>1180</v>
      </c>
      <c r="I1132" s="303" t="s">
        <v>1186</v>
      </c>
      <c r="J1132" s="306">
        <v>0.9</v>
      </c>
      <c r="K1132" s="50"/>
      <c r="L1132" s="312"/>
      <c r="M1132" s="312">
        <v>211.0</v>
      </c>
      <c r="N1132" s="312"/>
      <c r="O1132" s="312"/>
      <c r="P1132" s="315">
        <v>42567.0</v>
      </c>
      <c r="Q1132" s="312">
        <v>52600.0</v>
      </c>
      <c r="R1132" s="312">
        <v>419.0</v>
      </c>
      <c r="S1132" s="316"/>
      <c r="T1132" s="317">
        <v>419.0</v>
      </c>
      <c r="U1132" s="312" t="s">
        <v>1369</v>
      </c>
      <c r="V1132" s="312" t="s">
        <v>1367</v>
      </c>
      <c r="W1132" s="50"/>
      <c r="X1132" s="50"/>
      <c r="Y1132" s="50"/>
      <c r="Z1132" s="312"/>
      <c r="AA1132" s="50"/>
      <c r="AB1132" s="50"/>
      <c r="AC1132" s="50"/>
      <c r="AD1132" s="50"/>
      <c r="AE1132" s="50"/>
    </row>
    <row r="1133">
      <c r="A1133" s="307">
        <v>42604.39027777778</v>
      </c>
      <c r="B1133" s="312" t="s">
        <v>777</v>
      </c>
      <c r="C1133" s="303" t="s">
        <v>1177</v>
      </c>
      <c r="D1133" s="303" t="s">
        <v>1178</v>
      </c>
      <c r="E1133" s="315">
        <v>42160.0</v>
      </c>
      <c r="F1133" s="312" t="s">
        <v>36</v>
      </c>
      <c r="G1133" s="303" t="s">
        <v>1190</v>
      </c>
      <c r="H1133" s="303" t="s">
        <v>1180</v>
      </c>
      <c r="I1133" s="303" t="s">
        <v>1186</v>
      </c>
      <c r="J1133" s="306">
        <v>0.9</v>
      </c>
      <c r="K1133" s="50"/>
      <c r="L1133" s="312"/>
      <c r="M1133" s="312">
        <v>211.0</v>
      </c>
      <c r="N1133" s="312"/>
      <c r="O1133" s="312"/>
      <c r="P1133" s="315">
        <v>42604.0</v>
      </c>
      <c r="Q1133" s="312">
        <v>57583.0</v>
      </c>
      <c r="R1133" s="312">
        <v>413.0</v>
      </c>
      <c r="S1133" s="316"/>
      <c r="T1133" s="317">
        <v>418.23</v>
      </c>
      <c r="U1133" s="312" t="s">
        <v>1366</v>
      </c>
      <c r="V1133" s="312" t="s">
        <v>1367</v>
      </c>
      <c r="W1133" s="50"/>
      <c r="X1133" s="50"/>
      <c r="Y1133" s="50"/>
      <c r="Z1133" s="312"/>
      <c r="AA1133" s="50"/>
      <c r="AB1133" s="50"/>
      <c r="AC1133" s="50"/>
      <c r="AD1133" s="50"/>
      <c r="AE1133" s="50"/>
    </row>
    <row r="1134">
      <c r="A1134" s="307">
        <v>42796.513194444444</v>
      </c>
      <c r="B1134" s="312" t="s">
        <v>777</v>
      </c>
      <c r="C1134" s="303" t="s">
        <v>1177</v>
      </c>
      <c r="D1134" s="303" t="s">
        <v>1178</v>
      </c>
      <c r="E1134" s="315">
        <v>42160.0</v>
      </c>
      <c r="F1134" s="312" t="s">
        <v>36</v>
      </c>
      <c r="G1134" s="303" t="s">
        <v>1190</v>
      </c>
      <c r="H1134" s="312"/>
      <c r="I1134" s="303" t="s">
        <v>1181</v>
      </c>
      <c r="J1134" s="306">
        <v>0.9</v>
      </c>
      <c r="K1134" s="50"/>
      <c r="L1134" s="312"/>
      <c r="M1134" s="312">
        <v>215.0</v>
      </c>
      <c r="N1134" s="312"/>
      <c r="O1134" s="312"/>
      <c r="P1134" s="315">
        <v>42796.0</v>
      </c>
      <c r="Q1134" s="312">
        <v>78500.0</v>
      </c>
      <c r="R1134" s="312">
        <v>412.0</v>
      </c>
      <c r="S1134" s="316"/>
      <c r="T1134" s="317">
        <v>417.22</v>
      </c>
      <c r="U1134" s="312" t="s">
        <v>1366</v>
      </c>
      <c r="V1134" s="312" t="s">
        <v>1367</v>
      </c>
      <c r="W1134" s="50"/>
      <c r="X1134" s="50"/>
      <c r="Y1134" s="50"/>
      <c r="Z1134" s="312"/>
      <c r="AA1134" s="50"/>
      <c r="AB1134" s="50"/>
      <c r="AC1134" s="50"/>
      <c r="AD1134" s="50"/>
      <c r="AE1134" s="50"/>
    </row>
    <row r="1135">
      <c r="A1135" s="307">
        <v>43070.63958333333</v>
      </c>
      <c r="B1135" s="312" t="s">
        <v>777</v>
      </c>
      <c r="C1135" s="303" t="s">
        <v>1177</v>
      </c>
      <c r="D1135" s="303" t="s">
        <v>1178</v>
      </c>
      <c r="E1135" s="315">
        <v>42160.0</v>
      </c>
      <c r="F1135" s="312" t="s">
        <v>36</v>
      </c>
      <c r="G1135" s="303" t="s">
        <v>1190</v>
      </c>
      <c r="H1135" s="303" t="s">
        <v>1179</v>
      </c>
      <c r="I1135" s="303" t="s">
        <v>1181</v>
      </c>
      <c r="J1135" s="306">
        <v>0.9</v>
      </c>
      <c r="K1135" s="312">
        <v>418.0</v>
      </c>
      <c r="L1135" s="312"/>
      <c r="M1135" s="312">
        <v>215.0</v>
      </c>
      <c r="N1135" s="312"/>
      <c r="O1135" s="312"/>
      <c r="P1135" s="315">
        <v>43070.0</v>
      </c>
      <c r="Q1135" s="312">
        <v>109111.0</v>
      </c>
      <c r="R1135" s="312">
        <v>410.0</v>
      </c>
      <c r="S1135" s="316"/>
      <c r="T1135" s="317">
        <v>415.19</v>
      </c>
      <c r="U1135" s="312" t="s">
        <v>1366</v>
      </c>
      <c r="V1135" s="312" t="s">
        <v>1367</v>
      </c>
      <c r="W1135" s="50"/>
      <c r="X1135" s="50"/>
      <c r="Y1135" s="50"/>
      <c r="Z1135" s="312"/>
      <c r="AA1135" s="50"/>
      <c r="AB1135" s="50"/>
      <c r="AC1135" s="50"/>
      <c r="AD1135" s="50"/>
      <c r="AE1135" s="50"/>
    </row>
    <row r="1136">
      <c r="A1136" s="307">
        <v>43126.68125</v>
      </c>
      <c r="B1136" s="312" t="s">
        <v>563</v>
      </c>
      <c r="C1136" s="303" t="s">
        <v>1177</v>
      </c>
      <c r="D1136" s="303" t="s">
        <v>1178</v>
      </c>
      <c r="E1136" s="315">
        <v>42160.0</v>
      </c>
      <c r="F1136" s="312" t="s">
        <v>36</v>
      </c>
      <c r="G1136" s="303" t="s">
        <v>1190</v>
      </c>
      <c r="H1136" s="303" t="s">
        <v>1180</v>
      </c>
      <c r="I1136" s="303" t="s">
        <v>1181</v>
      </c>
      <c r="J1136" s="306">
        <v>0.9</v>
      </c>
      <c r="K1136" s="312">
        <v>404.0</v>
      </c>
      <c r="L1136" s="312"/>
      <c r="M1136" s="312">
        <v>217.0</v>
      </c>
      <c r="N1136" s="312"/>
      <c r="O1136" s="312"/>
      <c r="P1136" s="315">
        <v>43126.0</v>
      </c>
      <c r="Q1136" s="312">
        <v>112809.0</v>
      </c>
      <c r="R1136" s="312">
        <v>405.0</v>
      </c>
      <c r="S1136" s="316"/>
      <c r="T1136" s="317">
        <v>410.13</v>
      </c>
      <c r="U1136" s="312" t="s">
        <v>1366</v>
      </c>
      <c r="V1136" s="312" t="s">
        <v>1367</v>
      </c>
      <c r="W1136" s="50"/>
      <c r="X1136" s="50"/>
      <c r="Y1136" s="50"/>
      <c r="Z1136" s="312"/>
      <c r="AA1136" s="50"/>
      <c r="AB1136" s="50"/>
      <c r="AC1136" s="50"/>
      <c r="AD1136" s="50"/>
      <c r="AE1136" s="50"/>
    </row>
    <row r="1137">
      <c r="A1137" s="307">
        <v>43090.649305555555</v>
      </c>
      <c r="B1137" s="312" t="s">
        <v>1653</v>
      </c>
      <c r="C1137" s="303" t="s">
        <v>1177</v>
      </c>
      <c r="D1137" s="303" t="s">
        <v>1178</v>
      </c>
      <c r="E1137" s="315">
        <v>43090.0</v>
      </c>
      <c r="F1137" s="312" t="s">
        <v>45</v>
      </c>
      <c r="G1137" s="303" t="s">
        <v>1190</v>
      </c>
      <c r="H1137" s="303" t="s">
        <v>1180</v>
      </c>
      <c r="I1137" s="303" t="s">
        <v>1187</v>
      </c>
      <c r="J1137" s="306">
        <v>0.9</v>
      </c>
      <c r="K1137" s="312">
        <v>509.0</v>
      </c>
      <c r="L1137" s="312"/>
      <c r="M1137" s="312">
        <v>220.0</v>
      </c>
      <c r="N1137" s="312"/>
      <c r="O1137" s="312"/>
      <c r="P1137" s="315">
        <v>43090.0</v>
      </c>
      <c r="Q1137" s="312">
        <v>150.0</v>
      </c>
      <c r="R1137" s="312">
        <v>509.0</v>
      </c>
      <c r="S1137" s="316"/>
      <c r="T1137" s="317">
        <v>515.44</v>
      </c>
      <c r="U1137" s="312" t="s">
        <v>1366</v>
      </c>
      <c r="V1137" s="312" t="s">
        <v>1367</v>
      </c>
      <c r="W1137" s="50"/>
      <c r="X1137" s="50"/>
      <c r="Y1137" s="50"/>
      <c r="Z1137" s="312"/>
      <c r="AA1137" s="50"/>
      <c r="AB1137" s="50"/>
      <c r="AC1137" s="50"/>
      <c r="AD1137" s="50"/>
      <c r="AE1137" s="50"/>
    </row>
    <row r="1138">
      <c r="A1138" s="307">
        <v>42941.575694444444</v>
      </c>
      <c r="B1138" s="312" t="s">
        <v>933</v>
      </c>
      <c r="C1138" s="303" t="s">
        <v>1177</v>
      </c>
      <c r="D1138" s="303" t="s">
        <v>1178</v>
      </c>
      <c r="E1138" s="315">
        <v>42794.0</v>
      </c>
      <c r="F1138" s="312" t="s">
        <v>43</v>
      </c>
      <c r="G1138" s="303" t="s">
        <v>1181</v>
      </c>
      <c r="H1138" s="303" t="s">
        <v>1186</v>
      </c>
      <c r="I1138" s="303" t="s">
        <v>1187</v>
      </c>
      <c r="J1138" s="306">
        <v>0.9</v>
      </c>
      <c r="K1138" s="50"/>
      <c r="L1138" s="312"/>
      <c r="M1138" s="312">
        <v>193.0</v>
      </c>
      <c r="N1138" s="312"/>
      <c r="O1138" s="312"/>
      <c r="P1138" s="315">
        <v>42941.0</v>
      </c>
      <c r="Q1138" s="312">
        <v>5500.0</v>
      </c>
      <c r="R1138" s="312">
        <v>450.0</v>
      </c>
      <c r="S1138" s="316"/>
      <c r="T1138" s="317">
        <v>455.7</v>
      </c>
      <c r="U1138" s="312" t="s">
        <v>1366</v>
      </c>
      <c r="V1138" s="312" t="s">
        <v>1367</v>
      </c>
      <c r="W1138" s="50"/>
      <c r="X1138" s="50"/>
      <c r="Y1138" s="50"/>
      <c r="Z1138" s="312"/>
      <c r="AA1138" s="50"/>
      <c r="AB1138" s="50"/>
      <c r="AC1138" s="50"/>
      <c r="AD1138" s="50"/>
      <c r="AE1138" s="50"/>
    </row>
    <row r="1139">
      <c r="A1139" s="307">
        <v>42993.60833333333</v>
      </c>
      <c r="B1139" s="312" t="s">
        <v>933</v>
      </c>
      <c r="C1139" s="303" t="s">
        <v>1177</v>
      </c>
      <c r="D1139" s="303" t="s">
        <v>1178</v>
      </c>
      <c r="E1139" s="315">
        <v>42794.0</v>
      </c>
      <c r="F1139" s="312" t="s">
        <v>43</v>
      </c>
      <c r="G1139" s="303" t="s">
        <v>1180</v>
      </c>
      <c r="H1139" s="303" t="s">
        <v>1186</v>
      </c>
      <c r="I1139" s="303" t="s">
        <v>1187</v>
      </c>
      <c r="J1139" s="306">
        <v>0.9</v>
      </c>
      <c r="K1139" s="50"/>
      <c r="L1139" s="312"/>
      <c r="M1139" s="312">
        <v>193.0</v>
      </c>
      <c r="N1139" s="312"/>
      <c r="O1139" s="312"/>
      <c r="P1139" s="315">
        <v>42993.0</v>
      </c>
      <c r="Q1139" s="312">
        <v>8200.0</v>
      </c>
      <c r="R1139" s="312">
        <v>449.0</v>
      </c>
      <c r="S1139" s="316"/>
      <c r="T1139" s="317">
        <v>454.68</v>
      </c>
      <c r="U1139" s="312" t="s">
        <v>1366</v>
      </c>
      <c r="V1139" s="312" t="s">
        <v>1367</v>
      </c>
      <c r="W1139" s="50"/>
      <c r="X1139" s="50"/>
      <c r="Y1139" s="50"/>
      <c r="Z1139" s="312"/>
      <c r="AA1139" s="50"/>
      <c r="AB1139" s="50"/>
      <c r="AC1139" s="50"/>
      <c r="AD1139" s="50"/>
      <c r="AE1139" s="50"/>
    </row>
    <row r="1140">
      <c r="A1140" s="307">
        <v>42241.17361111111</v>
      </c>
      <c r="B1140" s="312" t="s">
        <v>977</v>
      </c>
      <c r="C1140" s="303" t="s">
        <v>1177</v>
      </c>
      <c r="D1140" s="303" t="s">
        <v>1178</v>
      </c>
      <c r="E1140" s="315">
        <v>42179.0</v>
      </c>
      <c r="F1140" s="312" t="s">
        <v>36</v>
      </c>
      <c r="G1140" s="303" t="s">
        <v>1181</v>
      </c>
      <c r="H1140" s="303" t="s">
        <v>1181</v>
      </c>
      <c r="I1140" s="303" t="s">
        <v>1187</v>
      </c>
      <c r="J1140" s="306">
        <v>0.9</v>
      </c>
      <c r="K1140" s="50"/>
      <c r="L1140" s="312"/>
      <c r="M1140" s="312">
        <v>218.0</v>
      </c>
      <c r="N1140" s="312"/>
      <c r="O1140" s="312"/>
      <c r="P1140" s="315">
        <v>42241.0</v>
      </c>
      <c r="Q1140" s="312">
        <v>2200.0</v>
      </c>
      <c r="R1140" s="312">
        <v>404.0</v>
      </c>
      <c r="S1140" s="316"/>
      <c r="T1140" s="317">
        <v>404.0</v>
      </c>
      <c r="U1140" s="312" t="s">
        <v>1369</v>
      </c>
      <c r="V1140" s="312" t="s">
        <v>1367</v>
      </c>
      <c r="W1140" s="50"/>
      <c r="X1140" s="50"/>
      <c r="Y1140" s="50"/>
      <c r="Z1140" s="312"/>
      <c r="AA1140" s="312" t="s">
        <v>1373</v>
      </c>
      <c r="AB1140" s="50"/>
      <c r="AC1140" s="50"/>
      <c r="AD1140" s="50"/>
      <c r="AE1140" s="50"/>
    </row>
    <row r="1141">
      <c r="A1141" s="307">
        <v>43159.69930555556</v>
      </c>
      <c r="B1141" s="312" t="s">
        <v>1654</v>
      </c>
      <c r="C1141" s="303" t="s">
        <v>1177</v>
      </c>
      <c r="D1141" s="303" t="s">
        <v>1178</v>
      </c>
      <c r="E1141" s="315">
        <v>41606.0</v>
      </c>
      <c r="F1141" s="312" t="s">
        <v>32</v>
      </c>
      <c r="G1141" s="303" t="s">
        <v>1181</v>
      </c>
      <c r="H1141" s="303" t="s">
        <v>1186</v>
      </c>
      <c r="I1141" s="303" t="s">
        <v>1187</v>
      </c>
      <c r="J1141" s="306">
        <v>0.8</v>
      </c>
      <c r="K1141" s="312"/>
      <c r="L1141" s="312"/>
      <c r="M1141" s="312">
        <v>206.0</v>
      </c>
      <c r="N1141" s="312">
        <v>51284.0</v>
      </c>
      <c r="O1141" s="303" t="s">
        <v>1323</v>
      </c>
      <c r="P1141" s="315">
        <v>43159.0</v>
      </c>
      <c r="Q1141" s="312">
        <v>131600.0</v>
      </c>
      <c r="R1141" s="312">
        <v>375.0</v>
      </c>
      <c r="S1141" s="316"/>
      <c r="T1141" s="317">
        <v>379.75</v>
      </c>
      <c r="U1141" s="312" t="s">
        <v>1366</v>
      </c>
      <c r="V1141" s="312" t="s">
        <v>1399</v>
      </c>
      <c r="W1141" s="50"/>
      <c r="X1141" s="50"/>
      <c r="Y1141" s="50"/>
      <c r="Z1141" s="312"/>
      <c r="AA1141" s="50"/>
      <c r="AB1141" s="50"/>
      <c r="AC1141" s="50"/>
      <c r="AD1141" s="50"/>
      <c r="AE1141" s="50"/>
    </row>
    <row r="1142">
      <c r="A1142" s="307">
        <v>42300.89097222222</v>
      </c>
      <c r="B1142" s="312" t="s">
        <v>1058</v>
      </c>
      <c r="C1142" s="312" t="s">
        <v>1292</v>
      </c>
      <c r="D1142" s="303" t="s">
        <v>1185</v>
      </c>
      <c r="E1142" s="315">
        <v>41780.0</v>
      </c>
      <c r="F1142" s="312" t="s">
        <v>12</v>
      </c>
      <c r="G1142" s="303" t="s">
        <v>1186</v>
      </c>
      <c r="H1142" s="303" t="s">
        <v>1181</v>
      </c>
      <c r="I1142" s="303" t="s">
        <v>1186</v>
      </c>
      <c r="J1142" s="306">
        <v>0.7</v>
      </c>
      <c r="K1142" s="312">
        <v>240.0</v>
      </c>
      <c r="L1142" s="312"/>
      <c r="M1142" s="312">
        <v>353.0</v>
      </c>
      <c r="N1142" s="312"/>
      <c r="O1142" s="312"/>
      <c r="P1142" s="315">
        <v>42300.0</v>
      </c>
      <c r="Q1142" s="312">
        <v>10500.0</v>
      </c>
      <c r="R1142" s="312">
        <v>180.0</v>
      </c>
      <c r="S1142" s="316"/>
      <c r="T1142" s="317">
        <v>180.0</v>
      </c>
      <c r="U1142" s="312" t="s">
        <v>1369</v>
      </c>
      <c r="V1142" s="312" t="s">
        <v>1367</v>
      </c>
      <c r="W1142" s="50"/>
      <c r="X1142" s="50"/>
      <c r="Y1142" s="50"/>
      <c r="Z1142" s="312"/>
      <c r="AA1142" s="312" t="s">
        <v>1655</v>
      </c>
      <c r="AB1142" s="50"/>
      <c r="AC1142" s="50"/>
      <c r="AD1142" s="50"/>
      <c r="AE1142" s="50"/>
    </row>
    <row r="1143">
      <c r="A1143" s="307">
        <v>42415.288194444445</v>
      </c>
      <c r="B1143" s="312" t="s">
        <v>785</v>
      </c>
      <c r="C1143" s="303" t="s">
        <v>1177</v>
      </c>
      <c r="D1143" s="303" t="s">
        <v>1178</v>
      </c>
      <c r="E1143" s="315">
        <v>41701.0</v>
      </c>
      <c r="F1143" s="312" t="s">
        <v>30</v>
      </c>
      <c r="G1143" s="303" t="s">
        <v>1180</v>
      </c>
      <c r="H1143" s="303" t="s">
        <v>1186</v>
      </c>
      <c r="I1143" s="303" t="s">
        <v>1186</v>
      </c>
      <c r="J1143" s="306">
        <v>0.8</v>
      </c>
      <c r="K1143" s="50"/>
      <c r="L1143" s="312"/>
      <c r="M1143" s="312">
        <v>220.0</v>
      </c>
      <c r="N1143" s="312"/>
      <c r="O1143" s="312"/>
      <c r="P1143" s="315">
        <v>42415.0</v>
      </c>
      <c r="Q1143" s="312">
        <v>45777.0</v>
      </c>
      <c r="R1143" s="312">
        <v>365.0</v>
      </c>
      <c r="S1143" s="316"/>
      <c r="T1143" s="317">
        <v>365.0</v>
      </c>
      <c r="U1143" s="312" t="s">
        <v>1369</v>
      </c>
      <c r="V1143" s="312" t="s">
        <v>1367</v>
      </c>
      <c r="W1143" s="50"/>
      <c r="X1143" s="50"/>
      <c r="Y1143" s="50"/>
      <c r="Z1143" s="312"/>
      <c r="AA1143" s="50"/>
      <c r="AB1143" s="50"/>
      <c r="AC1143" s="50"/>
      <c r="AD1143" s="50"/>
      <c r="AE1143" s="50"/>
    </row>
    <row r="1144">
      <c r="A1144" s="307">
        <v>42319.90625</v>
      </c>
      <c r="B1144" s="312" t="s">
        <v>1083</v>
      </c>
      <c r="C1144" s="312" t="s">
        <v>1197</v>
      </c>
      <c r="D1144" s="303" t="s">
        <v>1178</v>
      </c>
      <c r="E1144" s="315">
        <v>41307.0</v>
      </c>
      <c r="F1144" s="312" t="s">
        <v>30</v>
      </c>
      <c r="G1144" s="303" t="s">
        <v>1179</v>
      </c>
      <c r="H1144" s="303" t="s">
        <v>1179</v>
      </c>
      <c r="I1144" s="303" t="s">
        <v>1181</v>
      </c>
      <c r="J1144" s="306">
        <v>0.9</v>
      </c>
      <c r="K1144" s="312">
        <v>425.0</v>
      </c>
      <c r="L1144" s="312"/>
      <c r="M1144" s="312">
        <v>220.0</v>
      </c>
      <c r="N1144" s="312"/>
      <c r="O1144" s="312"/>
      <c r="P1144" s="315">
        <v>42319.0</v>
      </c>
      <c r="Q1144" s="312">
        <v>70000.0</v>
      </c>
      <c r="R1144" s="312">
        <v>410.0</v>
      </c>
      <c r="S1144" s="316"/>
      <c r="T1144" s="317">
        <v>415.19</v>
      </c>
      <c r="U1144" s="312" t="s">
        <v>1366</v>
      </c>
      <c r="V1144" s="312" t="s">
        <v>1367</v>
      </c>
      <c r="W1144" s="50"/>
      <c r="X1144" s="50"/>
      <c r="Y1144" s="50"/>
      <c r="Z1144" s="312"/>
      <c r="AA1144" s="50"/>
      <c r="AB1144" s="50"/>
      <c r="AC1144" s="50"/>
      <c r="AD1144" s="50"/>
      <c r="AE1144" s="50"/>
    </row>
    <row r="1145">
      <c r="A1145" s="307">
        <v>42497.79583333333</v>
      </c>
      <c r="B1145" s="312" t="s">
        <v>862</v>
      </c>
      <c r="C1145" s="312" t="s">
        <v>1184</v>
      </c>
      <c r="D1145" s="303" t="s">
        <v>1185</v>
      </c>
      <c r="E1145" s="315">
        <v>41393.0</v>
      </c>
      <c r="F1145" s="312" t="s">
        <v>30</v>
      </c>
      <c r="G1145" s="303" t="s">
        <v>1203</v>
      </c>
      <c r="H1145" s="303" t="s">
        <v>1179</v>
      </c>
      <c r="I1145" s="303" t="s">
        <v>1187</v>
      </c>
      <c r="J1145" s="306">
        <v>0.9</v>
      </c>
      <c r="K1145" s="312">
        <v>270.0</v>
      </c>
      <c r="L1145" s="312"/>
      <c r="M1145" s="312">
        <v>322.0</v>
      </c>
      <c r="N1145" s="312"/>
      <c r="O1145" s="312"/>
      <c r="P1145" s="315">
        <v>42497.0</v>
      </c>
      <c r="Q1145" s="312">
        <v>78926.0</v>
      </c>
      <c r="R1145" s="312">
        <v>254.0</v>
      </c>
      <c r="S1145" s="316"/>
      <c r="T1145" s="317">
        <v>254.0</v>
      </c>
      <c r="U1145" s="312" t="s">
        <v>1369</v>
      </c>
      <c r="V1145" s="312" t="s">
        <v>1367</v>
      </c>
      <c r="W1145" s="50"/>
      <c r="X1145" s="50"/>
      <c r="Y1145" s="50"/>
      <c r="Z1145" s="312"/>
      <c r="AA1145" s="50"/>
      <c r="AB1145" s="50"/>
      <c r="AC1145" s="50"/>
      <c r="AD1145" s="50"/>
      <c r="AE1145" s="50"/>
    </row>
    <row r="1146">
      <c r="A1146" s="307">
        <v>42527.79791666667</v>
      </c>
      <c r="B1146" s="312" t="s">
        <v>896</v>
      </c>
      <c r="C1146" s="312" t="s">
        <v>1184</v>
      </c>
      <c r="D1146" s="303" t="s">
        <v>1185</v>
      </c>
      <c r="E1146" s="315">
        <v>42192.0</v>
      </c>
      <c r="F1146" s="312" t="s">
        <v>22</v>
      </c>
      <c r="G1146" s="303" t="s">
        <v>1190</v>
      </c>
      <c r="H1146" s="303" t="s">
        <v>1180</v>
      </c>
      <c r="I1146" s="303" t="s">
        <v>1181</v>
      </c>
      <c r="J1146" s="306">
        <v>0.9</v>
      </c>
      <c r="K1146" s="312"/>
      <c r="L1146" s="312"/>
      <c r="M1146" s="312">
        <v>280.0</v>
      </c>
      <c r="N1146" s="312"/>
      <c r="O1146" s="312"/>
      <c r="P1146" s="315">
        <v>42527.0</v>
      </c>
      <c r="Q1146" s="312">
        <v>20506.0</v>
      </c>
      <c r="R1146" s="312">
        <v>230.0</v>
      </c>
      <c r="S1146" s="316"/>
      <c r="T1146" s="317">
        <v>230.0</v>
      </c>
      <c r="U1146" s="312" t="s">
        <v>1369</v>
      </c>
      <c r="V1146" s="312" t="s">
        <v>1367</v>
      </c>
      <c r="W1146" s="50"/>
      <c r="X1146" s="50"/>
      <c r="Y1146" s="50"/>
      <c r="Z1146" s="312"/>
      <c r="AA1146" s="50"/>
      <c r="AB1146" s="50"/>
      <c r="AC1146" s="50"/>
      <c r="AD1146" s="50"/>
      <c r="AE1146" s="50"/>
    </row>
    <row r="1147">
      <c r="A1147" s="307">
        <v>43139.694444444445</v>
      </c>
      <c r="B1147" s="312" t="s">
        <v>1656</v>
      </c>
      <c r="C1147" s="303" t="s">
        <v>1177</v>
      </c>
      <c r="D1147" s="303" t="s">
        <v>1178</v>
      </c>
      <c r="E1147" s="315">
        <v>41997.0</v>
      </c>
      <c r="F1147" s="312" t="s">
        <v>30</v>
      </c>
      <c r="G1147" s="303" t="s">
        <v>1180</v>
      </c>
      <c r="H1147" s="303" t="s">
        <v>1181</v>
      </c>
      <c r="I1147" s="303" t="s">
        <v>1187</v>
      </c>
      <c r="J1147" s="306">
        <v>0.9</v>
      </c>
      <c r="K1147" s="50"/>
      <c r="L1147" s="312"/>
      <c r="M1147" s="312">
        <v>195.0</v>
      </c>
      <c r="N1147" s="312"/>
      <c r="O1147" s="312"/>
      <c r="P1147" s="315">
        <v>43139.0</v>
      </c>
      <c r="Q1147" s="312">
        <v>42419.0</v>
      </c>
      <c r="R1147" s="312">
        <v>377.0</v>
      </c>
      <c r="S1147" s="316"/>
      <c r="T1147" s="317">
        <v>381.77</v>
      </c>
      <c r="U1147" s="312" t="s">
        <v>1366</v>
      </c>
      <c r="V1147" s="312" t="s">
        <v>1367</v>
      </c>
      <c r="W1147" s="50"/>
      <c r="X1147" s="50"/>
      <c r="Y1147" s="50"/>
      <c r="Z1147" s="312"/>
      <c r="AA1147" s="50"/>
      <c r="AB1147" s="50"/>
      <c r="AC1147" s="50"/>
      <c r="AD1147" s="50"/>
      <c r="AE1147" s="50"/>
    </row>
    <row r="1148">
      <c r="A1148" s="307">
        <v>43087.927777777775</v>
      </c>
      <c r="B1148" s="312" t="s">
        <v>1657</v>
      </c>
      <c r="C1148" s="312" t="s">
        <v>1197</v>
      </c>
      <c r="D1148" s="303" t="s">
        <v>1178</v>
      </c>
      <c r="E1148" s="315">
        <v>42856.0</v>
      </c>
      <c r="F1148" s="312" t="s">
        <v>62</v>
      </c>
      <c r="G1148" s="303" t="s">
        <v>1181</v>
      </c>
      <c r="H1148" s="303" t="s">
        <v>1181</v>
      </c>
      <c r="I1148" s="303" t="s">
        <v>1187</v>
      </c>
      <c r="J1148" s="306">
        <v>0.8</v>
      </c>
      <c r="K1148" s="50"/>
      <c r="L1148" s="312"/>
      <c r="M1148" s="312">
        <v>271.0</v>
      </c>
      <c r="N1148" s="312"/>
      <c r="O1148" s="312"/>
      <c r="P1148" s="315">
        <v>43087.0</v>
      </c>
      <c r="Q1148" s="312">
        <v>20690.0</v>
      </c>
      <c r="R1148" s="312">
        <v>475.0</v>
      </c>
      <c r="S1148" s="316"/>
      <c r="T1148" s="317">
        <v>481.01</v>
      </c>
      <c r="U1148" s="312" t="s">
        <v>1366</v>
      </c>
      <c r="V1148" s="312" t="s">
        <v>1367</v>
      </c>
      <c r="W1148" s="50"/>
      <c r="X1148" s="50"/>
      <c r="Y1148" s="50"/>
      <c r="Z1148" s="312"/>
      <c r="AA1148" s="50"/>
      <c r="AB1148" s="50"/>
      <c r="AC1148" s="50"/>
      <c r="AD1148" s="50"/>
      <c r="AE1148" s="50"/>
    </row>
    <row r="1149">
      <c r="A1149" s="307">
        <v>43087.92847222222</v>
      </c>
      <c r="B1149" s="312" t="s">
        <v>1657</v>
      </c>
      <c r="C1149" s="312" t="s">
        <v>1197</v>
      </c>
      <c r="D1149" s="303" t="s">
        <v>1178</v>
      </c>
      <c r="E1149" s="315">
        <v>41579.0</v>
      </c>
      <c r="F1149" s="312" t="s">
        <v>30</v>
      </c>
      <c r="G1149" s="303" t="s">
        <v>1181</v>
      </c>
      <c r="H1149" s="303" t="s">
        <v>1181</v>
      </c>
      <c r="I1149" s="303" t="s">
        <v>1187</v>
      </c>
      <c r="J1149" s="306">
        <v>0.8</v>
      </c>
      <c r="K1149" s="50"/>
      <c r="L1149" s="312"/>
      <c r="M1149" s="312">
        <v>272.0</v>
      </c>
      <c r="N1149" s="312">
        <v>138000.0</v>
      </c>
      <c r="O1149" s="303" t="s">
        <v>1323</v>
      </c>
      <c r="P1149" s="315">
        <v>43087.0</v>
      </c>
      <c r="Q1149" s="312">
        <v>145708.0</v>
      </c>
      <c r="R1149" s="312">
        <v>426.0</v>
      </c>
      <c r="S1149" s="316"/>
      <c r="T1149" s="317">
        <v>426.0</v>
      </c>
      <c r="U1149" s="312" t="s">
        <v>1369</v>
      </c>
      <c r="V1149" s="312" t="s">
        <v>1399</v>
      </c>
      <c r="W1149" s="50"/>
      <c r="X1149" s="50"/>
      <c r="Y1149" s="50"/>
      <c r="Z1149" s="312"/>
      <c r="AA1149" s="50"/>
      <c r="AB1149" s="50"/>
      <c r="AC1149" s="50"/>
      <c r="AD1149" s="50"/>
      <c r="AE1149" s="50"/>
    </row>
    <row r="1150">
      <c r="A1150" s="307">
        <v>42157.74236111111</v>
      </c>
      <c r="B1150" s="312" t="s">
        <v>892</v>
      </c>
      <c r="C1150" s="312" t="s">
        <v>1184</v>
      </c>
      <c r="D1150" s="303" t="s">
        <v>1185</v>
      </c>
      <c r="E1150" s="315">
        <v>41727.0</v>
      </c>
      <c r="F1150" s="312" t="s">
        <v>30</v>
      </c>
      <c r="G1150" s="303" t="s">
        <v>1179</v>
      </c>
      <c r="H1150" s="303" t="s">
        <v>1181</v>
      </c>
      <c r="I1150" s="303" t="s">
        <v>1187</v>
      </c>
      <c r="J1150" s="306"/>
      <c r="K1150" s="312"/>
      <c r="L1150" s="312"/>
      <c r="M1150" s="312">
        <v>329.0</v>
      </c>
      <c r="N1150" s="312"/>
      <c r="O1150" s="312"/>
      <c r="P1150" s="315">
        <v>42157.0</v>
      </c>
      <c r="Q1150" s="312">
        <v>27744.0</v>
      </c>
      <c r="R1150" s="312">
        <v>261.0</v>
      </c>
      <c r="S1150" s="316"/>
      <c r="T1150" s="317">
        <v>264.3</v>
      </c>
      <c r="U1150" s="312" t="s">
        <v>1366</v>
      </c>
      <c r="V1150" s="312" t="s">
        <v>1367</v>
      </c>
      <c r="W1150" s="50"/>
      <c r="X1150" s="50"/>
      <c r="Y1150" s="50"/>
      <c r="Z1150" s="312"/>
      <c r="AA1150" s="312"/>
      <c r="AB1150" s="50"/>
      <c r="AC1150" s="50"/>
      <c r="AD1150" s="50"/>
      <c r="AE1150" s="50"/>
    </row>
    <row r="1151">
      <c r="A1151" s="307">
        <v>42188.74791666667</v>
      </c>
      <c r="B1151" s="312" t="s">
        <v>892</v>
      </c>
      <c r="C1151" s="312" t="s">
        <v>1184</v>
      </c>
      <c r="D1151" s="303" t="s">
        <v>1185</v>
      </c>
      <c r="E1151" s="315">
        <v>41727.0</v>
      </c>
      <c r="F1151" s="312" t="s">
        <v>30</v>
      </c>
      <c r="G1151" s="303" t="s">
        <v>1179</v>
      </c>
      <c r="H1151" s="303" t="s">
        <v>1181</v>
      </c>
      <c r="I1151" s="303" t="s">
        <v>1187</v>
      </c>
      <c r="J1151" s="306"/>
      <c r="K1151" s="312"/>
      <c r="L1151" s="312"/>
      <c r="M1151" s="312">
        <v>329.0</v>
      </c>
      <c r="N1151" s="312"/>
      <c r="O1151" s="312"/>
      <c r="P1151" s="315">
        <v>42188.0</v>
      </c>
      <c r="Q1151" s="312">
        <v>32016.0</v>
      </c>
      <c r="R1151" s="312">
        <v>262.0</v>
      </c>
      <c r="S1151" s="316"/>
      <c r="T1151" s="317">
        <v>265.32</v>
      </c>
      <c r="U1151" s="312" t="s">
        <v>1366</v>
      </c>
      <c r="V1151" s="312" t="s">
        <v>1367</v>
      </c>
      <c r="W1151" s="50"/>
      <c r="X1151" s="50"/>
      <c r="Y1151" s="50"/>
      <c r="Z1151" s="312"/>
      <c r="AA1151" s="312" t="s">
        <v>1658</v>
      </c>
      <c r="AB1151" s="50"/>
      <c r="AC1151" s="50"/>
      <c r="AD1151" s="50"/>
      <c r="AE1151" s="50"/>
    </row>
    <row r="1152">
      <c r="A1152" s="307">
        <v>42626.80625</v>
      </c>
      <c r="B1152" s="312" t="s">
        <v>1001</v>
      </c>
      <c r="C1152" s="312" t="s">
        <v>1184</v>
      </c>
      <c r="D1152" s="303" t="s">
        <v>1185</v>
      </c>
      <c r="E1152" s="315">
        <v>41346.0</v>
      </c>
      <c r="F1152" s="312" t="s">
        <v>30</v>
      </c>
      <c r="G1152" s="303" t="s">
        <v>1190</v>
      </c>
      <c r="H1152" s="303" t="s">
        <v>1180</v>
      </c>
      <c r="I1152" s="303" t="s">
        <v>1181</v>
      </c>
      <c r="J1152" s="306">
        <v>0.9</v>
      </c>
      <c r="K1152" s="50"/>
      <c r="L1152" s="312"/>
      <c r="M1152" s="312">
        <v>321.0</v>
      </c>
      <c r="N1152" s="312"/>
      <c r="O1152" s="312"/>
      <c r="P1152" s="315">
        <v>42626.0</v>
      </c>
      <c r="Q1152" s="312">
        <v>50225.0</v>
      </c>
      <c r="R1152" s="312">
        <v>251.0</v>
      </c>
      <c r="S1152" s="316"/>
      <c r="T1152" s="317">
        <v>254.18</v>
      </c>
      <c r="U1152" s="312" t="s">
        <v>1366</v>
      </c>
      <c r="V1152" s="312" t="s">
        <v>1367</v>
      </c>
      <c r="W1152" s="50"/>
      <c r="X1152" s="50"/>
      <c r="Y1152" s="50"/>
      <c r="Z1152" s="312"/>
      <c r="AA1152" s="50"/>
      <c r="AB1152" s="50"/>
      <c r="AC1152" s="50"/>
      <c r="AD1152" s="50"/>
      <c r="AE1152" s="50"/>
    </row>
    <row r="1153">
      <c r="A1153" s="307">
        <v>43101.87152777778</v>
      </c>
      <c r="B1153" s="312" t="s">
        <v>1659</v>
      </c>
      <c r="C1153" s="312" t="s">
        <v>1184</v>
      </c>
      <c r="D1153" s="303" t="s">
        <v>1185</v>
      </c>
      <c r="E1153" s="315">
        <v>42430.0</v>
      </c>
      <c r="F1153" s="312" t="s">
        <v>57</v>
      </c>
      <c r="G1153" s="50"/>
      <c r="H1153" s="50"/>
      <c r="I1153" s="50"/>
      <c r="J1153" s="306"/>
      <c r="K1153" s="50"/>
      <c r="L1153" s="312"/>
      <c r="M1153" s="312">
        <v>375.0</v>
      </c>
      <c r="N1153" s="312"/>
      <c r="O1153" s="312"/>
      <c r="P1153" s="315">
        <v>43101.0</v>
      </c>
      <c r="Q1153" s="312">
        <v>20362.0</v>
      </c>
      <c r="R1153" s="312">
        <v>242.0</v>
      </c>
      <c r="S1153" s="316"/>
      <c r="T1153" s="317">
        <v>245.06</v>
      </c>
      <c r="U1153" s="312" t="s">
        <v>1366</v>
      </c>
      <c r="V1153" s="312" t="s">
        <v>1367</v>
      </c>
      <c r="W1153" s="50"/>
      <c r="X1153" s="50"/>
      <c r="Y1153" s="50"/>
      <c r="Z1153" s="312"/>
      <c r="AA1153" s="50"/>
      <c r="AB1153" s="50"/>
      <c r="AC1153" s="50"/>
      <c r="AD1153" s="50"/>
      <c r="AE1153" s="50"/>
    </row>
    <row r="1154">
      <c r="A1154" s="307">
        <v>42063.07916666667</v>
      </c>
      <c r="B1154" s="312" t="s">
        <v>277</v>
      </c>
      <c r="C1154" s="303" t="s">
        <v>1177</v>
      </c>
      <c r="D1154" s="303" t="s">
        <v>1178</v>
      </c>
      <c r="E1154" s="315">
        <v>41794.0</v>
      </c>
      <c r="F1154" s="312" t="s">
        <v>30</v>
      </c>
      <c r="G1154" s="303" t="s">
        <v>1190</v>
      </c>
      <c r="H1154" s="303" t="s">
        <v>1180</v>
      </c>
      <c r="I1154" s="303" t="s">
        <v>1187</v>
      </c>
      <c r="J1154" s="306"/>
      <c r="K1154" s="50"/>
      <c r="L1154" s="50"/>
      <c r="M1154" s="50">
        <v>195.0</v>
      </c>
      <c r="N1154" s="50"/>
      <c r="O1154" s="312"/>
      <c r="P1154" s="310">
        <v>42063.0</v>
      </c>
      <c r="Q1154" s="50">
        <v>37042.0</v>
      </c>
      <c r="R1154" s="50">
        <v>380.0</v>
      </c>
      <c r="S1154" s="318"/>
      <c r="T1154" s="317">
        <v>380.0</v>
      </c>
      <c r="U1154" s="312" t="s">
        <v>1369</v>
      </c>
      <c r="V1154" s="312" t="s">
        <v>1367</v>
      </c>
      <c r="W1154" s="50"/>
      <c r="X1154" s="50"/>
      <c r="Y1154" s="50"/>
      <c r="Z1154" s="312"/>
      <c r="AA1154" s="50" t="s">
        <v>1660</v>
      </c>
      <c r="AB1154" s="50"/>
      <c r="AC1154" s="50"/>
      <c r="AD1154" s="50"/>
      <c r="AE1154" s="50"/>
    </row>
    <row r="1155">
      <c r="A1155" s="307">
        <v>42106.09375</v>
      </c>
      <c r="B1155" s="312" t="s">
        <v>277</v>
      </c>
      <c r="C1155" s="303" t="s">
        <v>1177</v>
      </c>
      <c r="D1155" s="303" t="s">
        <v>1178</v>
      </c>
      <c r="E1155" s="315">
        <v>41794.0</v>
      </c>
      <c r="F1155" s="312" t="s">
        <v>30</v>
      </c>
      <c r="G1155" s="303" t="s">
        <v>1190</v>
      </c>
      <c r="H1155" s="303" t="s">
        <v>1180</v>
      </c>
      <c r="I1155" s="303" t="s">
        <v>1187</v>
      </c>
      <c r="J1155" s="306"/>
      <c r="K1155" s="50"/>
      <c r="L1155" s="312"/>
      <c r="M1155" s="312">
        <v>194.0</v>
      </c>
      <c r="N1155" s="50"/>
      <c r="O1155" s="312"/>
      <c r="P1155" s="315">
        <v>42106.0</v>
      </c>
      <c r="Q1155" s="312">
        <v>42379.0</v>
      </c>
      <c r="R1155" s="312">
        <v>379.0</v>
      </c>
      <c r="S1155" s="316"/>
      <c r="T1155" s="317">
        <v>379.0</v>
      </c>
      <c r="U1155" s="312" t="s">
        <v>1369</v>
      </c>
      <c r="V1155" s="312" t="s">
        <v>1367</v>
      </c>
      <c r="W1155" s="50"/>
      <c r="X1155" s="50"/>
      <c r="Y1155" s="50"/>
      <c r="Z1155" s="312"/>
      <c r="AA1155" s="312" t="s">
        <v>1661</v>
      </c>
      <c r="AB1155" s="50"/>
      <c r="AC1155" s="50"/>
      <c r="AD1155" s="50"/>
      <c r="AE1155" s="50"/>
    </row>
    <row r="1156">
      <c r="A1156" s="307">
        <v>42144.123611111114</v>
      </c>
      <c r="B1156" s="312" t="s">
        <v>277</v>
      </c>
      <c r="C1156" s="303" t="s">
        <v>1177</v>
      </c>
      <c r="D1156" s="303" t="s">
        <v>1178</v>
      </c>
      <c r="E1156" s="315">
        <v>41794.0</v>
      </c>
      <c r="F1156" s="312" t="s">
        <v>30</v>
      </c>
      <c r="G1156" s="303" t="s">
        <v>1203</v>
      </c>
      <c r="H1156" s="303" t="s">
        <v>1205</v>
      </c>
      <c r="I1156" s="303" t="s">
        <v>1181</v>
      </c>
      <c r="J1156" s="306">
        <v>0.9</v>
      </c>
      <c r="K1156" s="50"/>
      <c r="L1156" s="312"/>
      <c r="M1156" s="312">
        <v>192.0</v>
      </c>
      <c r="N1156" s="50"/>
      <c r="O1156" s="312"/>
      <c r="P1156" s="315">
        <v>42144.0</v>
      </c>
      <c r="Q1156" s="312">
        <v>48407.0</v>
      </c>
      <c r="R1156" s="312">
        <v>377.0</v>
      </c>
      <c r="S1156" s="316"/>
      <c r="T1156" s="317">
        <v>377.0</v>
      </c>
      <c r="U1156" s="312" t="s">
        <v>1369</v>
      </c>
      <c r="V1156" s="312" t="s">
        <v>1367</v>
      </c>
      <c r="W1156" s="50"/>
      <c r="X1156" s="50"/>
      <c r="Y1156" s="50"/>
      <c r="Z1156" s="312"/>
      <c r="AA1156" s="50"/>
      <c r="AB1156" s="50"/>
      <c r="AC1156" s="50"/>
      <c r="AD1156" s="50"/>
      <c r="AE1156" s="50"/>
    </row>
    <row r="1157">
      <c r="A1157" s="307">
        <v>42148.12430555555</v>
      </c>
      <c r="B1157" s="312" t="s">
        <v>277</v>
      </c>
      <c r="C1157" s="303" t="s">
        <v>1177</v>
      </c>
      <c r="D1157" s="303" t="s">
        <v>1178</v>
      </c>
      <c r="E1157" s="315">
        <v>41794.0</v>
      </c>
      <c r="F1157" s="312" t="s">
        <v>30</v>
      </c>
      <c r="G1157" s="303" t="s">
        <v>1203</v>
      </c>
      <c r="H1157" s="312"/>
      <c r="I1157" s="303" t="s">
        <v>1181</v>
      </c>
      <c r="J1157" s="306">
        <v>0.9</v>
      </c>
      <c r="K1157" s="50"/>
      <c r="L1157" s="312"/>
      <c r="M1157" s="312">
        <v>192.0</v>
      </c>
      <c r="N1157" s="50"/>
      <c r="O1157" s="312"/>
      <c r="P1157" s="315">
        <v>42148.0</v>
      </c>
      <c r="Q1157" s="312">
        <v>49693.0</v>
      </c>
      <c r="R1157" s="312">
        <v>378.0</v>
      </c>
      <c r="S1157" s="316"/>
      <c r="T1157" s="317">
        <v>378.0</v>
      </c>
      <c r="U1157" s="312" t="s">
        <v>1369</v>
      </c>
      <c r="V1157" s="312" t="s">
        <v>1367</v>
      </c>
      <c r="W1157" s="50"/>
      <c r="X1157" s="50"/>
      <c r="Y1157" s="50"/>
      <c r="Z1157" s="312"/>
      <c r="AA1157" s="50"/>
      <c r="AB1157" s="50"/>
      <c r="AC1157" s="50"/>
      <c r="AD1157" s="50"/>
      <c r="AE1157" s="50"/>
    </row>
    <row r="1158">
      <c r="A1158" s="307">
        <v>42209.16180555556</v>
      </c>
      <c r="B1158" s="312" t="s">
        <v>277</v>
      </c>
      <c r="C1158" s="303" t="s">
        <v>1177</v>
      </c>
      <c r="D1158" s="303" t="s">
        <v>1178</v>
      </c>
      <c r="E1158" s="315">
        <v>41794.0</v>
      </c>
      <c r="F1158" s="312" t="s">
        <v>30</v>
      </c>
      <c r="G1158" s="303" t="s">
        <v>1190</v>
      </c>
      <c r="H1158" s="303" t="s">
        <v>1181</v>
      </c>
      <c r="I1158" s="303" t="s">
        <v>1181</v>
      </c>
      <c r="J1158" s="306">
        <v>0.9</v>
      </c>
      <c r="K1158" s="312">
        <v>398.0</v>
      </c>
      <c r="L1158" s="312"/>
      <c r="M1158" s="312">
        <v>189.0</v>
      </c>
      <c r="N1158" s="312"/>
      <c r="O1158" s="312"/>
      <c r="P1158" s="315">
        <v>42209.0</v>
      </c>
      <c r="Q1158" s="312">
        <v>60689.0</v>
      </c>
      <c r="R1158" s="312">
        <v>374.0</v>
      </c>
      <c r="S1158" s="316"/>
      <c r="T1158" s="317">
        <v>374.0</v>
      </c>
      <c r="U1158" s="312" t="s">
        <v>1369</v>
      </c>
      <c r="V1158" s="312" t="s">
        <v>1367</v>
      </c>
      <c r="W1158" s="50"/>
      <c r="X1158" s="50"/>
      <c r="Y1158" s="50"/>
      <c r="Z1158" s="312"/>
      <c r="AA1158" s="312" t="s">
        <v>1662</v>
      </c>
      <c r="AB1158" s="50"/>
      <c r="AC1158" s="50"/>
      <c r="AD1158" s="50"/>
      <c r="AE1158" s="50"/>
    </row>
    <row r="1159">
      <c r="A1159" s="307">
        <v>42216.1625</v>
      </c>
      <c r="B1159" s="312" t="s">
        <v>277</v>
      </c>
      <c r="C1159" s="303" t="s">
        <v>1177</v>
      </c>
      <c r="D1159" s="303" t="s">
        <v>1178</v>
      </c>
      <c r="E1159" s="315">
        <v>41794.0</v>
      </c>
      <c r="F1159" s="312" t="s">
        <v>30</v>
      </c>
      <c r="G1159" s="303" t="s">
        <v>1190</v>
      </c>
      <c r="H1159" s="303" t="s">
        <v>1181</v>
      </c>
      <c r="I1159" s="303" t="s">
        <v>1181</v>
      </c>
      <c r="J1159" s="306">
        <v>0.9</v>
      </c>
      <c r="K1159" s="312">
        <v>398.0</v>
      </c>
      <c r="L1159" s="312"/>
      <c r="M1159" s="312">
        <v>189.0</v>
      </c>
      <c r="N1159" s="312"/>
      <c r="O1159" s="312"/>
      <c r="P1159" s="315">
        <v>42216.0</v>
      </c>
      <c r="Q1159" s="312">
        <v>61228.0</v>
      </c>
      <c r="R1159" s="312">
        <v>376.0</v>
      </c>
      <c r="S1159" s="316"/>
      <c r="T1159" s="317">
        <v>376.0</v>
      </c>
      <c r="U1159" s="312" t="s">
        <v>1369</v>
      </c>
      <c r="V1159" s="312" t="s">
        <v>1367</v>
      </c>
      <c r="W1159" s="50"/>
      <c r="X1159" s="50"/>
      <c r="Y1159" s="50"/>
      <c r="Z1159" s="312"/>
      <c r="AA1159" s="312" t="s">
        <v>1662</v>
      </c>
      <c r="AB1159" s="50"/>
      <c r="AC1159" s="50"/>
      <c r="AD1159" s="50"/>
      <c r="AE1159" s="50"/>
    </row>
    <row r="1160">
      <c r="A1160" s="307">
        <v>42217.163194444445</v>
      </c>
      <c r="B1160" s="312" t="s">
        <v>277</v>
      </c>
      <c r="C1160" s="303" t="s">
        <v>1177</v>
      </c>
      <c r="D1160" s="303" t="s">
        <v>1178</v>
      </c>
      <c r="E1160" s="315">
        <v>41794.0</v>
      </c>
      <c r="F1160" s="312" t="s">
        <v>30</v>
      </c>
      <c r="G1160" s="303" t="s">
        <v>1190</v>
      </c>
      <c r="H1160" s="303" t="s">
        <v>1181</v>
      </c>
      <c r="I1160" s="303" t="s">
        <v>1181</v>
      </c>
      <c r="J1160" s="306">
        <v>0.9</v>
      </c>
      <c r="K1160" s="312">
        <v>398.0</v>
      </c>
      <c r="L1160" s="312"/>
      <c r="M1160" s="312">
        <v>189.0</v>
      </c>
      <c r="N1160" s="312"/>
      <c r="O1160" s="312"/>
      <c r="P1160" s="315">
        <v>42217.0</v>
      </c>
      <c r="Q1160" s="312">
        <v>62102.0</v>
      </c>
      <c r="R1160" s="312">
        <v>377.0</v>
      </c>
      <c r="S1160" s="316"/>
      <c r="T1160" s="317">
        <v>377.0</v>
      </c>
      <c r="U1160" s="312" t="s">
        <v>1369</v>
      </c>
      <c r="V1160" s="312" t="s">
        <v>1367</v>
      </c>
      <c r="W1160" s="50"/>
      <c r="X1160" s="50"/>
      <c r="Y1160" s="50"/>
      <c r="Z1160" s="312"/>
      <c r="AA1160" s="312" t="s">
        <v>1662</v>
      </c>
      <c r="AB1160" s="50"/>
      <c r="AC1160" s="50"/>
      <c r="AD1160" s="50"/>
      <c r="AE1160" s="50"/>
    </row>
    <row r="1161">
      <c r="A1161" s="307">
        <v>42220.16388888889</v>
      </c>
      <c r="B1161" s="312" t="s">
        <v>277</v>
      </c>
      <c r="C1161" s="303" t="s">
        <v>1177</v>
      </c>
      <c r="D1161" s="303" t="s">
        <v>1178</v>
      </c>
      <c r="E1161" s="315">
        <v>41794.0</v>
      </c>
      <c r="F1161" s="312" t="s">
        <v>30</v>
      </c>
      <c r="G1161" s="303" t="s">
        <v>1190</v>
      </c>
      <c r="H1161" s="303" t="s">
        <v>1181</v>
      </c>
      <c r="I1161" s="303" t="s">
        <v>1181</v>
      </c>
      <c r="J1161" s="306">
        <v>0.9</v>
      </c>
      <c r="K1161" s="312">
        <v>398.0</v>
      </c>
      <c r="L1161" s="312"/>
      <c r="M1161" s="312">
        <v>189.0</v>
      </c>
      <c r="N1161" s="312"/>
      <c r="O1161" s="312"/>
      <c r="P1161" s="315">
        <v>42220.0</v>
      </c>
      <c r="Q1161" s="312">
        <v>62375.0</v>
      </c>
      <c r="R1161" s="312">
        <v>376.0</v>
      </c>
      <c r="S1161" s="316"/>
      <c r="T1161" s="317">
        <v>376.0</v>
      </c>
      <c r="U1161" s="312" t="s">
        <v>1369</v>
      </c>
      <c r="V1161" s="312" t="s">
        <v>1367</v>
      </c>
      <c r="W1161" s="50"/>
      <c r="X1161" s="50"/>
      <c r="Y1161" s="50"/>
      <c r="Z1161" s="312"/>
      <c r="AA1161" s="312" t="s">
        <v>1662</v>
      </c>
      <c r="AB1161" s="50"/>
      <c r="AC1161" s="50"/>
      <c r="AD1161" s="50"/>
      <c r="AE1161" s="50"/>
    </row>
    <row r="1162">
      <c r="A1162" s="307">
        <v>42221.16458333333</v>
      </c>
      <c r="B1162" s="312" t="s">
        <v>277</v>
      </c>
      <c r="C1162" s="303" t="s">
        <v>1177</v>
      </c>
      <c r="D1162" s="303" t="s">
        <v>1178</v>
      </c>
      <c r="E1162" s="315">
        <v>41794.0</v>
      </c>
      <c r="F1162" s="312" t="s">
        <v>30</v>
      </c>
      <c r="G1162" s="303" t="s">
        <v>1190</v>
      </c>
      <c r="H1162" s="303" t="s">
        <v>1181</v>
      </c>
      <c r="I1162" s="303" t="s">
        <v>1181</v>
      </c>
      <c r="J1162" s="306">
        <v>0.9</v>
      </c>
      <c r="K1162" s="312">
        <v>398.0</v>
      </c>
      <c r="L1162" s="312"/>
      <c r="M1162" s="312">
        <v>189.0</v>
      </c>
      <c r="N1162" s="312"/>
      <c r="O1162" s="312"/>
      <c r="P1162" s="315">
        <v>42221.0</v>
      </c>
      <c r="Q1162" s="312">
        <v>62465.0</v>
      </c>
      <c r="R1162" s="312">
        <v>377.0</v>
      </c>
      <c r="S1162" s="316"/>
      <c r="T1162" s="317">
        <v>377.0</v>
      </c>
      <c r="U1162" s="312" t="s">
        <v>1369</v>
      </c>
      <c r="V1162" s="312" t="s">
        <v>1367</v>
      </c>
      <c r="W1162" s="50"/>
      <c r="X1162" s="50"/>
      <c r="Y1162" s="50"/>
      <c r="Z1162" s="312"/>
      <c r="AA1162" s="312" t="s">
        <v>1662</v>
      </c>
      <c r="AB1162" s="50"/>
      <c r="AC1162" s="50"/>
      <c r="AD1162" s="50"/>
      <c r="AE1162" s="50"/>
    </row>
    <row r="1163">
      <c r="A1163" s="307">
        <v>42223.16527777778</v>
      </c>
      <c r="B1163" s="312" t="s">
        <v>277</v>
      </c>
      <c r="C1163" s="303" t="s">
        <v>1177</v>
      </c>
      <c r="D1163" s="303" t="s">
        <v>1178</v>
      </c>
      <c r="E1163" s="315">
        <v>41794.0</v>
      </c>
      <c r="F1163" s="312" t="s">
        <v>30</v>
      </c>
      <c r="G1163" s="303" t="s">
        <v>1190</v>
      </c>
      <c r="H1163" s="303" t="s">
        <v>1181</v>
      </c>
      <c r="I1163" s="303" t="s">
        <v>1181</v>
      </c>
      <c r="J1163" s="306">
        <v>0.9</v>
      </c>
      <c r="K1163" s="312">
        <v>398.0</v>
      </c>
      <c r="L1163" s="312"/>
      <c r="M1163" s="312">
        <v>189.0</v>
      </c>
      <c r="N1163" s="312"/>
      <c r="O1163" s="312"/>
      <c r="P1163" s="315">
        <v>42223.0</v>
      </c>
      <c r="Q1163" s="312">
        <v>62669.0</v>
      </c>
      <c r="R1163" s="312">
        <v>378.0</v>
      </c>
      <c r="S1163" s="316"/>
      <c r="T1163" s="317">
        <v>378.0</v>
      </c>
      <c r="U1163" s="312" t="s">
        <v>1369</v>
      </c>
      <c r="V1163" s="312" t="s">
        <v>1367</v>
      </c>
      <c r="W1163" s="50"/>
      <c r="X1163" s="50"/>
      <c r="Y1163" s="50"/>
      <c r="Z1163" s="312"/>
      <c r="AA1163" s="312" t="s">
        <v>1662</v>
      </c>
      <c r="AB1163" s="50"/>
      <c r="AC1163" s="50"/>
      <c r="AD1163" s="50"/>
      <c r="AE1163" s="50"/>
    </row>
    <row r="1164">
      <c r="A1164" s="307">
        <v>42225.165972222225</v>
      </c>
      <c r="B1164" s="312" t="s">
        <v>277</v>
      </c>
      <c r="C1164" s="303" t="s">
        <v>1177</v>
      </c>
      <c r="D1164" s="303" t="s">
        <v>1178</v>
      </c>
      <c r="E1164" s="315">
        <v>41794.0</v>
      </c>
      <c r="F1164" s="312" t="s">
        <v>30</v>
      </c>
      <c r="G1164" s="303" t="s">
        <v>1190</v>
      </c>
      <c r="H1164" s="303" t="s">
        <v>1181</v>
      </c>
      <c r="I1164" s="303" t="s">
        <v>1181</v>
      </c>
      <c r="J1164" s="306">
        <v>0.9</v>
      </c>
      <c r="K1164" s="312">
        <v>398.0</v>
      </c>
      <c r="L1164" s="312"/>
      <c r="M1164" s="312">
        <v>189.0</v>
      </c>
      <c r="N1164" s="312"/>
      <c r="O1164" s="312"/>
      <c r="P1164" s="315">
        <v>42225.0</v>
      </c>
      <c r="Q1164" s="312">
        <v>62764.0</v>
      </c>
      <c r="R1164" s="312">
        <v>378.0</v>
      </c>
      <c r="S1164" s="316"/>
      <c r="T1164" s="317">
        <v>378.0</v>
      </c>
      <c r="U1164" s="312" t="s">
        <v>1369</v>
      </c>
      <c r="V1164" s="312" t="s">
        <v>1367</v>
      </c>
      <c r="W1164" s="50"/>
      <c r="X1164" s="50"/>
      <c r="Y1164" s="50"/>
      <c r="Z1164" s="312"/>
      <c r="AA1164" s="312" t="s">
        <v>1662</v>
      </c>
      <c r="AB1164" s="50"/>
      <c r="AC1164" s="50"/>
      <c r="AD1164" s="50"/>
      <c r="AE1164" s="50"/>
    </row>
    <row r="1165">
      <c r="A1165" s="307">
        <v>42229.166666666664</v>
      </c>
      <c r="B1165" s="312" t="s">
        <v>277</v>
      </c>
      <c r="C1165" s="303" t="s">
        <v>1177</v>
      </c>
      <c r="D1165" s="303" t="s">
        <v>1178</v>
      </c>
      <c r="E1165" s="315">
        <v>41794.0</v>
      </c>
      <c r="F1165" s="312" t="s">
        <v>30</v>
      </c>
      <c r="G1165" s="303" t="s">
        <v>1190</v>
      </c>
      <c r="H1165" s="303" t="s">
        <v>1181</v>
      </c>
      <c r="I1165" s="303" t="s">
        <v>1181</v>
      </c>
      <c r="J1165" s="306">
        <v>0.9</v>
      </c>
      <c r="K1165" s="312">
        <v>398.0</v>
      </c>
      <c r="L1165" s="312"/>
      <c r="M1165" s="312">
        <v>189.0</v>
      </c>
      <c r="N1165" s="312"/>
      <c r="O1165" s="312"/>
      <c r="P1165" s="315">
        <v>42229.0</v>
      </c>
      <c r="Q1165" s="312">
        <v>63103.0</v>
      </c>
      <c r="R1165" s="312">
        <v>379.0</v>
      </c>
      <c r="S1165" s="316"/>
      <c r="T1165" s="317">
        <v>379.0</v>
      </c>
      <c r="U1165" s="312" t="s">
        <v>1369</v>
      </c>
      <c r="V1165" s="312" t="s">
        <v>1367</v>
      </c>
      <c r="W1165" s="50"/>
      <c r="X1165" s="50"/>
      <c r="Y1165" s="50"/>
      <c r="Z1165" s="312"/>
      <c r="AA1165" s="312" t="s">
        <v>1663</v>
      </c>
      <c r="AB1165" s="50"/>
      <c r="AC1165" s="50"/>
      <c r="AD1165" s="50"/>
      <c r="AE1165" s="50"/>
    </row>
    <row r="1166">
      <c r="A1166" s="307">
        <v>42262.18125</v>
      </c>
      <c r="B1166" s="312" t="s">
        <v>277</v>
      </c>
      <c r="C1166" s="303" t="s">
        <v>1177</v>
      </c>
      <c r="D1166" s="303" t="s">
        <v>1178</v>
      </c>
      <c r="E1166" s="315">
        <v>41794.0</v>
      </c>
      <c r="F1166" s="312" t="s">
        <v>30</v>
      </c>
      <c r="G1166" s="303" t="s">
        <v>1179</v>
      </c>
      <c r="H1166" s="303" t="s">
        <v>1181</v>
      </c>
      <c r="I1166" s="303" t="s">
        <v>1181</v>
      </c>
      <c r="J1166" s="306">
        <v>0.9</v>
      </c>
      <c r="K1166" s="312"/>
      <c r="L1166" s="312"/>
      <c r="M1166" s="312">
        <v>187.0</v>
      </c>
      <c r="N1166" s="312"/>
      <c r="O1166" s="312"/>
      <c r="P1166" s="315">
        <v>42262.0</v>
      </c>
      <c r="Q1166" s="312">
        <v>69239.0</v>
      </c>
      <c r="R1166" s="312">
        <v>365.0</v>
      </c>
      <c r="S1166" s="316"/>
      <c r="T1166" s="317">
        <v>365.0</v>
      </c>
      <c r="U1166" s="312" t="s">
        <v>1369</v>
      </c>
      <c r="V1166" s="312" t="s">
        <v>1367</v>
      </c>
      <c r="W1166" s="312"/>
      <c r="X1166" s="312"/>
      <c r="Y1166" s="312"/>
      <c r="Z1166" s="312"/>
      <c r="AA1166" s="312" t="s">
        <v>1664</v>
      </c>
      <c r="AB1166" s="50"/>
      <c r="AC1166" s="50"/>
      <c r="AD1166" s="50"/>
      <c r="AE1166" s="50"/>
    </row>
    <row r="1167">
      <c r="A1167" s="307">
        <v>42295.21319444444</v>
      </c>
      <c r="B1167" s="312" t="s">
        <v>277</v>
      </c>
      <c r="C1167" s="303" t="s">
        <v>1177</v>
      </c>
      <c r="D1167" s="303" t="s">
        <v>1178</v>
      </c>
      <c r="E1167" s="315">
        <v>41794.0</v>
      </c>
      <c r="F1167" s="312" t="s">
        <v>30</v>
      </c>
      <c r="G1167" s="303" t="s">
        <v>1190</v>
      </c>
      <c r="H1167" s="312"/>
      <c r="I1167" s="303" t="s">
        <v>1181</v>
      </c>
      <c r="J1167" s="306">
        <v>0.9</v>
      </c>
      <c r="K1167" s="312">
        <v>399.0</v>
      </c>
      <c r="L1167" s="312"/>
      <c r="M1167" s="312">
        <v>186.0</v>
      </c>
      <c r="N1167" s="312"/>
      <c r="O1167" s="312"/>
      <c r="P1167" s="315">
        <v>42295.0</v>
      </c>
      <c r="Q1167" s="312">
        <v>74631.0</v>
      </c>
      <c r="R1167" s="312">
        <v>364.0</v>
      </c>
      <c r="S1167" s="316"/>
      <c r="T1167" s="317">
        <v>364.0</v>
      </c>
      <c r="U1167" s="312" t="s">
        <v>1369</v>
      </c>
      <c r="V1167" s="312" t="s">
        <v>1367</v>
      </c>
      <c r="W1167" s="50"/>
      <c r="X1167" s="50"/>
      <c r="Y1167" s="50"/>
      <c r="Z1167" s="312"/>
      <c r="AA1167" s="312" t="s">
        <v>1665</v>
      </c>
      <c r="AB1167" s="50"/>
      <c r="AC1167" s="50"/>
      <c r="AD1167" s="50"/>
      <c r="AE1167" s="50"/>
    </row>
    <row r="1168">
      <c r="A1168" s="307">
        <v>42331.23333333333</v>
      </c>
      <c r="B1168" s="312" t="s">
        <v>277</v>
      </c>
      <c r="C1168" s="303" t="s">
        <v>1177</v>
      </c>
      <c r="D1168" s="303" t="s">
        <v>1178</v>
      </c>
      <c r="E1168" s="315">
        <v>41794.0</v>
      </c>
      <c r="F1168" s="312" t="s">
        <v>30</v>
      </c>
      <c r="G1168" s="303" t="s">
        <v>1179</v>
      </c>
      <c r="H1168" s="303" t="s">
        <v>1180</v>
      </c>
      <c r="I1168" s="303" t="s">
        <v>1181</v>
      </c>
      <c r="J1168" s="306">
        <v>0.9</v>
      </c>
      <c r="K1168" s="312">
        <v>399.0</v>
      </c>
      <c r="L1168" s="312"/>
      <c r="M1168" s="312">
        <v>185.0</v>
      </c>
      <c r="N1168" s="312"/>
      <c r="O1168" s="312"/>
      <c r="P1168" s="315">
        <v>42331.0</v>
      </c>
      <c r="Q1168" s="312">
        <v>81552.0</v>
      </c>
      <c r="R1168" s="312">
        <v>366.0</v>
      </c>
      <c r="S1168" s="316"/>
      <c r="T1168" s="317">
        <v>366.0</v>
      </c>
      <c r="U1168" s="312" t="s">
        <v>1369</v>
      </c>
      <c r="V1168" s="312" t="s">
        <v>1367</v>
      </c>
      <c r="W1168" s="50"/>
      <c r="X1168" s="50"/>
      <c r="Y1168" s="50"/>
      <c r="Z1168" s="312"/>
      <c r="AA1168" s="312" t="s">
        <v>1666</v>
      </c>
      <c r="AB1168" s="50"/>
      <c r="AC1168" s="50"/>
      <c r="AD1168" s="50"/>
      <c r="AE1168" s="50"/>
    </row>
    <row r="1169">
      <c r="A1169" s="307">
        <v>42363.259722222225</v>
      </c>
      <c r="B1169" s="312" t="s">
        <v>277</v>
      </c>
      <c r="C1169" s="303" t="s">
        <v>1177</v>
      </c>
      <c r="D1169" s="303" t="s">
        <v>1178</v>
      </c>
      <c r="E1169" s="315">
        <v>41794.0</v>
      </c>
      <c r="F1169" s="312" t="s">
        <v>30</v>
      </c>
      <c r="G1169" s="303" t="s">
        <v>1179</v>
      </c>
      <c r="H1169" s="303" t="s">
        <v>1180</v>
      </c>
      <c r="I1169" s="303" t="s">
        <v>1181</v>
      </c>
      <c r="J1169" s="306">
        <v>0.9</v>
      </c>
      <c r="K1169" s="312">
        <v>398.0</v>
      </c>
      <c r="L1169" s="312"/>
      <c r="M1169" s="312">
        <v>185.0</v>
      </c>
      <c r="N1169" s="312"/>
      <c r="O1169" s="312"/>
      <c r="P1169" s="315">
        <v>42363.0</v>
      </c>
      <c r="Q1169" s="312">
        <v>86781.0</v>
      </c>
      <c r="R1169" s="312">
        <v>375.0</v>
      </c>
      <c r="S1169" s="316"/>
      <c r="T1169" s="317">
        <v>375.0</v>
      </c>
      <c r="U1169" s="312" t="s">
        <v>1369</v>
      </c>
      <c r="V1169" s="312" t="s">
        <v>1367</v>
      </c>
      <c r="W1169" s="50"/>
      <c r="X1169" s="50"/>
      <c r="Y1169" s="50"/>
      <c r="Z1169" s="312"/>
      <c r="AA1169" s="312" t="s">
        <v>1667</v>
      </c>
      <c r="AB1169" s="50"/>
      <c r="AC1169" s="50"/>
      <c r="AD1169" s="50"/>
      <c r="AE1169" s="50"/>
    </row>
    <row r="1170">
      <c r="A1170" s="307">
        <v>42403.28194444445</v>
      </c>
      <c r="B1170" s="312" t="s">
        <v>277</v>
      </c>
      <c r="C1170" s="303" t="s">
        <v>1177</v>
      </c>
      <c r="D1170" s="303" t="s">
        <v>1178</v>
      </c>
      <c r="E1170" s="315">
        <v>41794.0</v>
      </c>
      <c r="F1170" s="312" t="s">
        <v>30</v>
      </c>
      <c r="G1170" s="303" t="s">
        <v>1190</v>
      </c>
      <c r="H1170" s="303" t="s">
        <v>1181</v>
      </c>
      <c r="I1170" s="303" t="s">
        <v>1181</v>
      </c>
      <c r="J1170" s="306">
        <v>0.9</v>
      </c>
      <c r="K1170" s="312">
        <v>398.0</v>
      </c>
      <c r="L1170" s="312"/>
      <c r="M1170" s="312">
        <v>186.0</v>
      </c>
      <c r="N1170" s="312"/>
      <c r="O1170" s="312"/>
      <c r="P1170" s="315">
        <v>42403.0</v>
      </c>
      <c r="Q1170" s="312">
        <v>93058.0</v>
      </c>
      <c r="R1170" s="312">
        <v>371.0</v>
      </c>
      <c r="S1170" s="316"/>
      <c r="T1170" s="317">
        <v>371.0</v>
      </c>
      <c r="U1170" s="312" t="s">
        <v>1369</v>
      </c>
      <c r="V1170" s="312" t="s">
        <v>1367</v>
      </c>
      <c r="W1170" s="50"/>
      <c r="X1170" s="50"/>
      <c r="Y1170" s="50"/>
      <c r="Z1170" s="312"/>
      <c r="AA1170" s="312" t="s">
        <v>1668</v>
      </c>
      <c r="AB1170" s="50"/>
      <c r="AC1170" s="50"/>
      <c r="AD1170" s="50"/>
      <c r="AE1170" s="50"/>
    </row>
    <row r="1171">
      <c r="A1171" s="307">
        <v>42490.33263888889</v>
      </c>
      <c r="B1171" s="312" t="s">
        <v>277</v>
      </c>
      <c r="C1171" s="303" t="s">
        <v>1177</v>
      </c>
      <c r="D1171" s="303" t="s">
        <v>1178</v>
      </c>
      <c r="E1171" s="315">
        <v>41794.0</v>
      </c>
      <c r="F1171" s="312" t="s">
        <v>30</v>
      </c>
      <c r="G1171" s="303" t="s">
        <v>1190</v>
      </c>
      <c r="H1171" s="303" t="s">
        <v>1181</v>
      </c>
      <c r="I1171" s="303" t="s">
        <v>1181</v>
      </c>
      <c r="J1171" s="306">
        <v>0.9</v>
      </c>
      <c r="K1171" s="312">
        <v>398.0</v>
      </c>
      <c r="L1171" s="312"/>
      <c r="M1171" s="312">
        <v>185.0</v>
      </c>
      <c r="N1171" s="312"/>
      <c r="O1171" s="312"/>
      <c r="P1171" s="315">
        <v>42490.0</v>
      </c>
      <c r="Q1171" s="312">
        <v>108644.0</v>
      </c>
      <c r="R1171" s="312">
        <v>374.0</v>
      </c>
      <c r="S1171" s="316"/>
      <c r="T1171" s="317">
        <v>374.0</v>
      </c>
      <c r="U1171" s="312" t="s">
        <v>1369</v>
      </c>
      <c r="V1171" s="312" t="s">
        <v>1367</v>
      </c>
      <c r="W1171" s="50"/>
      <c r="X1171" s="50"/>
      <c r="Y1171" s="50"/>
      <c r="Z1171" s="312"/>
      <c r="AA1171" s="312" t="s">
        <v>1665</v>
      </c>
      <c r="AB1171" s="50"/>
      <c r="AC1171" s="50"/>
      <c r="AD1171" s="50"/>
      <c r="AE1171" s="50"/>
    </row>
    <row r="1172">
      <c r="A1172" s="307">
        <v>42517.34027777778</v>
      </c>
      <c r="B1172" s="312" t="s">
        <v>277</v>
      </c>
      <c r="C1172" s="303" t="s">
        <v>1177</v>
      </c>
      <c r="D1172" s="303" t="s">
        <v>1178</v>
      </c>
      <c r="E1172" s="315">
        <v>41794.0</v>
      </c>
      <c r="F1172" s="312" t="s">
        <v>30</v>
      </c>
      <c r="G1172" s="303" t="s">
        <v>1190</v>
      </c>
      <c r="H1172" s="303" t="s">
        <v>1181</v>
      </c>
      <c r="I1172" s="303" t="s">
        <v>1181</v>
      </c>
      <c r="J1172" s="306">
        <v>0.9</v>
      </c>
      <c r="K1172" s="312">
        <v>398.0</v>
      </c>
      <c r="L1172" s="312"/>
      <c r="M1172" s="312">
        <v>184.0</v>
      </c>
      <c r="N1172" s="312"/>
      <c r="O1172" s="312"/>
      <c r="P1172" s="315">
        <v>42517.0</v>
      </c>
      <c r="Q1172" s="312">
        <v>112723.0</v>
      </c>
      <c r="R1172" s="312">
        <v>375.0</v>
      </c>
      <c r="S1172" s="316"/>
      <c r="T1172" s="317">
        <v>375.0</v>
      </c>
      <c r="U1172" s="312" t="s">
        <v>1369</v>
      </c>
      <c r="V1172" s="312" t="s">
        <v>1367</v>
      </c>
      <c r="W1172" s="50"/>
      <c r="X1172" s="50"/>
      <c r="Y1172" s="50"/>
      <c r="Z1172" s="312"/>
      <c r="AA1172" s="312" t="s">
        <v>1669</v>
      </c>
      <c r="AB1172" s="50"/>
      <c r="AC1172" s="50"/>
      <c r="AD1172" s="50"/>
      <c r="AE1172" s="50"/>
    </row>
    <row r="1173">
      <c r="A1173" s="307">
        <v>42519.34097222222</v>
      </c>
      <c r="B1173" s="312" t="s">
        <v>277</v>
      </c>
      <c r="C1173" s="303" t="s">
        <v>1177</v>
      </c>
      <c r="D1173" s="303" t="s">
        <v>1178</v>
      </c>
      <c r="E1173" s="315">
        <v>41794.0</v>
      </c>
      <c r="F1173" s="312" t="s">
        <v>30</v>
      </c>
      <c r="G1173" s="303" t="s">
        <v>1190</v>
      </c>
      <c r="H1173" s="303" t="s">
        <v>1181</v>
      </c>
      <c r="I1173" s="312"/>
      <c r="J1173" s="306">
        <v>0.9</v>
      </c>
      <c r="K1173" s="312">
        <v>398.0</v>
      </c>
      <c r="L1173" s="312"/>
      <c r="M1173" s="312">
        <v>184.0</v>
      </c>
      <c r="N1173" s="312"/>
      <c r="O1173" s="312"/>
      <c r="P1173" s="315">
        <v>42519.0</v>
      </c>
      <c r="Q1173" s="312">
        <v>113170.0</v>
      </c>
      <c r="R1173" s="312">
        <v>373.0</v>
      </c>
      <c r="S1173" s="316"/>
      <c r="T1173" s="317">
        <v>373.0</v>
      </c>
      <c r="U1173" s="312" t="s">
        <v>1369</v>
      </c>
      <c r="V1173" s="312" t="s">
        <v>1367</v>
      </c>
      <c r="W1173" s="50"/>
      <c r="X1173" s="50"/>
      <c r="Y1173" s="50"/>
      <c r="Z1173" s="312"/>
      <c r="AA1173" s="312" t="s">
        <v>1670</v>
      </c>
      <c r="AB1173" s="50"/>
      <c r="AC1173" s="50"/>
      <c r="AD1173" s="50"/>
      <c r="AE1173" s="50"/>
    </row>
    <row r="1174">
      <c r="A1174" s="307">
        <v>42587.381944444445</v>
      </c>
      <c r="B1174" s="312" t="s">
        <v>277</v>
      </c>
      <c r="C1174" s="303" t="s">
        <v>1177</v>
      </c>
      <c r="D1174" s="303" t="s">
        <v>1178</v>
      </c>
      <c r="E1174" s="315">
        <v>41794.0</v>
      </c>
      <c r="F1174" s="312" t="s">
        <v>30</v>
      </c>
      <c r="G1174" s="303" t="s">
        <v>1179</v>
      </c>
      <c r="H1174" s="303" t="s">
        <v>1181</v>
      </c>
      <c r="I1174" s="303" t="s">
        <v>1181</v>
      </c>
      <c r="J1174" s="306">
        <v>0.9</v>
      </c>
      <c r="K1174" s="50"/>
      <c r="L1174" s="312"/>
      <c r="M1174" s="312">
        <v>182.0</v>
      </c>
      <c r="N1174" s="312"/>
      <c r="O1174" s="312"/>
      <c r="P1174" s="315">
        <v>42587.0</v>
      </c>
      <c r="Q1174" s="312">
        <v>123275.0</v>
      </c>
      <c r="R1174" s="312">
        <v>376.0</v>
      </c>
      <c r="S1174" s="316"/>
      <c r="T1174" s="317">
        <v>376.0</v>
      </c>
      <c r="U1174" s="312" t="s">
        <v>1369</v>
      </c>
      <c r="V1174" s="312" t="s">
        <v>1367</v>
      </c>
      <c r="W1174" s="50"/>
      <c r="X1174" s="50"/>
      <c r="Y1174" s="50"/>
      <c r="Z1174" s="312"/>
      <c r="AA1174" s="312" t="s">
        <v>1664</v>
      </c>
      <c r="AB1174" s="50"/>
      <c r="AC1174" s="50"/>
      <c r="AD1174" s="50"/>
      <c r="AE1174" s="50"/>
    </row>
    <row r="1175">
      <c r="A1175" s="307">
        <v>42640.40694444445</v>
      </c>
      <c r="B1175" s="312" t="s">
        <v>277</v>
      </c>
      <c r="C1175" s="303" t="s">
        <v>1177</v>
      </c>
      <c r="D1175" s="303" t="s">
        <v>1178</v>
      </c>
      <c r="E1175" s="315">
        <v>41794.0</v>
      </c>
      <c r="F1175" s="312" t="s">
        <v>30</v>
      </c>
      <c r="G1175" s="303" t="s">
        <v>1179</v>
      </c>
      <c r="H1175" s="303" t="s">
        <v>1181</v>
      </c>
      <c r="I1175" s="303" t="s">
        <v>1181</v>
      </c>
      <c r="J1175" s="306">
        <v>0.9</v>
      </c>
      <c r="K1175" s="50"/>
      <c r="L1175" s="312"/>
      <c r="M1175" s="312">
        <v>182.0</v>
      </c>
      <c r="N1175" s="312"/>
      <c r="O1175" s="312"/>
      <c r="P1175" s="315">
        <v>42640.0</v>
      </c>
      <c r="Q1175" s="312">
        <v>133442.0</v>
      </c>
      <c r="R1175" s="312">
        <v>380.0</v>
      </c>
      <c r="S1175" s="316"/>
      <c r="T1175" s="317">
        <v>380.0</v>
      </c>
      <c r="U1175" s="312" t="s">
        <v>1369</v>
      </c>
      <c r="V1175" s="312" t="s">
        <v>1367</v>
      </c>
      <c r="W1175" s="312">
        <v>378.0</v>
      </c>
      <c r="X1175" s="312">
        <v>72.0</v>
      </c>
      <c r="Y1175" s="312">
        <v>58.3</v>
      </c>
      <c r="Z1175" s="312" t="s">
        <v>1369</v>
      </c>
      <c r="AA1175" s="312" t="s">
        <v>1671</v>
      </c>
      <c r="AB1175" s="50"/>
      <c r="AC1175" s="50"/>
      <c r="AD1175" s="50"/>
      <c r="AE1175" s="50"/>
    </row>
    <row r="1176">
      <c r="A1176" s="307">
        <v>42654.41458333333</v>
      </c>
      <c r="B1176" s="312" t="s">
        <v>277</v>
      </c>
      <c r="C1176" s="303" t="s">
        <v>1177</v>
      </c>
      <c r="D1176" s="303" t="s">
        <v>1178</v>
      </c>
      <c r="E1176" s="315">
        <v>41794.0</v>
      </c>
      <c r="F1176" s="312" t="s">
        <v>30</v>
      </c>
      <c r="G1176" s="303" t="s">
        <v>1179</v>
      </c>
      <c r="H1176" s="303" t="s">
        <v>1181</v>
      </c>
      <c r="I1176" s="303" t="s">
        <v>1181</v>
      </c>
      <c r="J1176" s="306">
        <v>0.9</v>
      </c>
      <c r="K1176" s="50"/>
      <c r="L1176" s="312"/>
      <c r="M1176" s="312">
        <v>182.0</v>
      </c>
      <c r="N1176" s="312"/>
      <c r="O1176" s="312"/>
      <c r="P1176" s="315">
        <v>42654.0</v>
      </c>
      <c r="Q1176" s="312">
        <v>136267.0</v>
      </c>
      <c r="R1176" s="312">
        <v>380.0</v>
      </c>
      <c r="S1176" s="316"/>
      <c r="T1176" s="317">
        <v>380.0</v>
      </c>
      <c r="U1176" s="312" t="s">
        <v>1369</v>
      </c>
      <c r="V1176" s="312" t="s">
        <v>1367</v>
      </c>
      <c r="W1176" s="50"/>
      <c r="X1176" s="50"/>
      <c r="Y1176" s="50"/>
      <c r="Z1176" s="312"/>
      <c r="AA1176" s="312" t="s">
        <v>1672</v>
      </c>
      <c r="AB1176" s="50"/>
      <c r="AC1176" s="50"/>
      <c r="AD1176" s="50"/>
      <c r="AE1176" s="50"/>
    </row>
    <row r="1177">
      <c r="A1177" s="307">
        <v>42697.47430555556</v>
      </c>
      <c r="B1177" s="312" t="s">
        <v>277</v>
      </c>
      <c r="C1177" s="303" t="s">
        <v>1177</v>
      </c>
      <c r="D1177" s="303" t="s">
        <v>1178</v>
      </c>
      <c r="E1177" s="315">
        <v>41794.0</v>
      </c>
      <c r="F1177" s="312" t="s">
        <v>30</v>
      </c>
      <c r="G1177" s="303" t="s">
        <v>1190</v>
      </c>
      <c r="H1177" s="303" t="s">
        <v>1181</v>
      </c>
      <c r="I1177" s="303" t="s">
        <v>1186</v>
      </c>
      <c r="J1177" s="306">
        <v>0.9</v>
      </c>
      <c r="K1177" s="50"/>
      <c r="L1177" s="312"/>
      <c r="M1177" s="312">
        <v>182.0</v>
      </c>
      <c r="N1177" s="312"/>
      <c r="O1177" s="312"/>
      <c r="P1177" s="315">
        <v>42697.0</v>
      </c>
      <c r="Q1177" s="312">
        <v>145160.0</v>
      </c>
      <c r="R1177" s="312">
        <v>377.0</v>
      </c>
      <c r="S1177" s="316"/>
      <c r="T1177" s="317">
        <v>377.0</v>
      </c>
      <c r="U1177" s="312" t="s">
        <v>1369</v>
      </c>
      <c r="V1177" s="312" t="s">
        <v>1367</v>
      </c>
      <c r="W1177" s="50"/>
      <c r="X1177" s="50"/>
      <c r="Y1177" s="50"/>
      <c r="Z1177" s="312"/>
      <c r="AA1177" s="312" t="s">
        <v>1672</v>
      </c>
      <c r="AB1177" s="50"/>
      <c r="AC1177" s="50"/>
      <c r="AD1177" s="50"/>
      <c r="AE1177" s="50"/>
    </row>
    <row r="1178">
      <c r="A1178" s="307">
        <v>42857.535416666666</v>
      </c>
      <c r="B1178" s="312" t="s">
        <v>277</v>
      </c>
      <c r="C1178" s="303" t="s">
        <v>1177</v>
      </c>
      <c r="D1178" s="303" t="s">
        <v>1178</v>
      </c>
      <c r="E1178" s="315">
        <v>41794.0</v>
      </c>
      <c r="F1178" s="312" t="s">
        <v>30</v>
      </c>
      <c r="G1178" s="303" t="s">
        <v>1179</v>
      </c>
      <c r="H1178" s="303" t="s">
        <v>1181</v>
      </c>
      <c r="I1178" s="303" t="s">
        <v>1181</v>
      </c>
      <c r="J1178" s="306">
        <v>0.9</v>
      </c>
      <c r="K1178" s="312">
        <v>398.0</v>
      </c>
      <c r="L1178" s="312"/>
      <c r="M1178" s="312">
        <v>182.0</v>
      </c>
      <c r="N1178" s="312"/>
      <c r="O1178" s="312"/>
      <c r="P1178" s="315">
        <v>42857.0</v>
      </c>
      <c r="Q1178" s="312">
        <v>172871.0</v>
      </c>
      <c r="R1178" s="312">
        <v>380.0</v>
      </c>
      <c r="S1178" s="316"/>
      <c r="T1178" s="317">
        <v>380.0</v>
      </c>
      <c r="U1178" s="312" t="s">
        <v>1369</v>
      </c>
      <c r="V1178" s="312" t="s">
        <v>1367</v>
      </c>
      <c r="W1178" s="50"/>
      <c r="X1178" s="50"/>
      <c r="Y1178" s="50"/>
      <c r="Z1178" s="312"/>
      <c r="AA1178" s="312" t="s">
        <v>1669</v>
      </c>
      <c r="AB1178" s="50"/>
      <c r="AC1178" s="50"/>
      <c r="AD1178" s="50"/>
      <c r="AE1178" s="50"/>
    </row>
    <row r="1179">
      <c r="A1179" s="307">
        <v>42945.58125</v>
      </c>
      <c r="B1179" s="312" t="s">
        <v>277</v>
      </c>
      <c r="C1179" s="303" t="s">
        <v>1177</v>
      </c>
      <c r="D1179" s="303" t="s">
        <v>1178</v>
      </c>
      <c r="E1179" s="315">
        <v>41794.0</v>
      </c>
      <c r="F1179" s="312" t="s">
        <v>30</v>
      </c>
      <c r="G1179" s="303" t="s">
        <v>1179</v>
      </c>
      <c r="H1179" s="303" t="s">
        <v>1181</v>
      </c>
      <c r="I1179" s="303" t="s">
        <v>1186</v>
      </c>
      <c r="J1179" s="306">
        <v>0.9</v>
      </c>
      <c r="K1179" s="312">
        <v>398.0</v>
      </c>
      <c r="L1179" s="312"/>
      <c r="M1179" s="312">
        <v>181.4</v>
      </c>
      <c r="N1179" s="312"/>
      <c r="O1179" s="312"/>
      <c r="P1179" s="315">
        <v>42945.0</v>
      </c>
      <c r="Q1179" s="312">
        <v>187618.0</v>
      </c>
      <c r="R1179" s="312">
        <v>375.0</v>
      </c>
      <c r="S1179" s="316"/>
      <c r="T1179" s="317">
        <v>375.0</v>
      </c>
      <c r="U1179" s="312" t="s">
        <v>1369</v>
      </c>
      <c r="V1179" s="312" t="s">
        <v>1367</v>
      </c>
      <c r="W1179" s="50"/>
      <c r="X1179" s="50"/>
      <c r="Y1179" s="50"/>
      <c r="Z1179" s="312"/>
      <c r="AA1179" s="312" t="s">
        <v>1673</v>
      </c>
      <c r="AB1179" s="50"/>
      <c r="AC1179" s="50"/>
      <c r="AD1179" s="50"/>
      <c r="AE1179" s="50"/>
    </row>
    <row r="1180">
      <c r="A1180" s="307">
        <v>42997.614583333336</v>
      </c>
      <c r="B1180" s="312" t="s">
        <v>277</v>
      </c>
      <c r="C1180" s="303" t="s">
        <v>1177</v>
      </c>
      <c r="D1180" s="303" t="s">
        <v>1178</v>
      </c>
      <c r="E1180" s="315">
        <v>41794.0</v>
      </c>
      <c r="F1180" s="312" t="s">
        <v>30</v>
      </c>
      <c r="G1180" s="303" t="s">
        <v>1190</v>
      </c>
      <c r="H1180" s="303" t="s">
        <v>1181</v>
      </c>
      <c r="I1180" s="303" t="s">
        <v>1186</v>
      </c>
      <c r="J1180" s="306">
        <v>0.9</v>
      </c>
      <c r="K1180" s="312">
        <v>399.0</v>
      </c>
      <c r="L1180" s="312"/>
      <c r="M1180" s="312">
        <v>182.0</v>
      </c>
      <c r="N1180" s="312"/>
      <c r="O1180" s="312"/>
      <c r="P1180" s="315">
        <v>42997.0</v>
      </c>
      <c r="Q1180" s="312">
        <v>196476.0</v>
      </c>
      <c r="R1180" s="312">
        <v>374.0</v>
      </c>
      <c r="S1180" s="316"/>
      <c r="T1180" s="317">
        <v>374.0</v>
      </c>
      <c r="U1180" s="312" t="s">
        <v>1369</v>
      </c>
      <c r="V1180" s="312" t="s">
        <v>1367</v>
      </c>
      <c r="W1180" s="50"/>
      <c r="X1180" s="50"/>
      <c r="Y1180" s="50"/>
      <c r="Z1180" s="312"/>
      <c r="AA1180" s="312" t="s">
        <v>1673</v>
      </c>
      <c r="AB1180" s="50"/>
      <c r="AC1180" s="50"/>
      <c r="AD1180" s="50"/>
      <c r="AE1180" s="50"/>
    </row>
    <row r="1181">
      <c r="A1181" s="307">
        <v>43031.63055555556</v>
      </c>
      <c r="B1181" s="312" t="s">
        <v>277</v>
      </c>
      <c r="C1181" s="303" t="s">
        <v>1177</v>
      </c>
      <c r="D1181" s="303" t="s">
        <v>1178</v>
      </c>
      <c r="E1181" s="315">
        <v>41794.0</v>
      </c>
      <c r="F1181" s="312" t="s">
        <v>30</v>
      </c>
      <c r="G1181" s="303" t="s">
        <v>1179</v>
      </c>
      <c r="H1181" s="303" t="s">
        <v>1181</v>
      </c>
      <c r="I1181" s="303" t="s">
        <v>1186</v>
      </c>
      <c r="J1181" s="306">
        <v>0.9</v>
      </c>
      <c r="K1181" s="312">
        <v>399.0</v>
      </c>
      <c r="L1181" s="312"/>
      <c r="M1181" s="312">
        <v>180.0</v>
      </c>
      <c r="N1181" s="312"/>
      <c r="O1181" s="312"/>
      <c r="P1181" s="315">
        <v>43031.0</v>
      </c>
      <c r="Q1181" s="312">
        <v>202506.0</v>
      </c>
      <c r="R1181" s="312">
        <v>373.0</v>
      </c>
      <c r="S1181" s="316"/>
      <c r="T1181" s="317">
        <v>373.0</v>
      </c>
      <c r="U1181" s="312" t="s">
        <v>1369</v>
      </c>
      <c r="V1181" s="312" t="s">
        <v>1367</v>
      </c>
      <c r="W1181" s="50"/>
      <c r="X1181" s="50"/>
      <c r="Y1181" s="50"/>
      <c r="Z1181" s="312"/>
      <c r="AA1181" s="312" t="s">
        <v>1674</v>
      </c>
      <c r="AB1181" s="50"/>
      <c r="AC1181" s="50"/>
      <c r="AD1181" s="50"/>
      <c r="AE1181" s="50"/>
    </row>
    <row r="1182">
      <c r="A1182" s="307">
        <v>43175.708333333336</v>
      </c>
      <c r="B1182" s="312" t="s">
        <v>277</v>
      </c>
      <c r="C1182" s="303" t="s">
        <v>1177</v>
      </c>
      <c r="D1182" s="303" t="s">
        <v>1178</v>
      </c>
      <c r="E1182" s="315">
        <v>41794.0</v>
      </c>
      <c r="F1182" s="312" t="s">
        <v>30</v>
      </c>
      <c r="G1182" s="303" t="s">
        <v>1190</v>
      </c>
      <c r="H1182" s="303" t="s">
        <v>1181</v>
      </c>
      <c r="I1182" s="303" t="s">
        <v>1186</v>
      </c>
      <c r="J1182" s="306">
        <v>0.9</v>
      </c>
      <c r="K1182" s="312">
        <v>398.0</v>
      </c>
      <c r="L1182" s="312"/>
      <c r="M1182" s="312">
        <v>181.0</v>
      </c>
      <c r="N1182" s="312"/>
      <c r="O1182" s="312"/>
      <c r="P1182" s="315">
        <v>43175.0</v>
      </c>
      <c r="Q1182" s="312">
        <v>228132.0</v>
      </c>
      <c r="R1182" s="312">
        <v>368.0</v>
      </c>
      <c r="S1182" s="316"/>
      <c r="T1182" s="317">
        <v>368.0</v>
      </c>
      <c r="U1182" s="312" t="s">
        <v>1369</v>
      </c>
      <c r="V1182" s="312" t="s">
        <v>1367</v>
      </c>
      <c r="W1182" s="50"/>
      <c r="X1182" s="50"/>
      <c r="Y1182" s="50"/>
      <c r="Z1182" s="312"/>
      <c r="AA1182" s="312" t="s">
        <v>1675</v>
      </c>
      <c r="AB1182" s="50"/>
      <c r="AC1182" s="50"/>
      <c r="AD1182" s="50"/>
      <c r="AE1182" s="50"/>
    </row>
    <row r="1183">
      <c r="A1183" s="307">
        <v>43056.63402777778</v>
      </c>
      <c r="B1183" s="312" t="s">
        <v>1676</v>
      </c>
      <c r="C1183" s="303" t="s">
        <v>1177</v>
      </c>
      <c r="D1183" s="303" t="s">
        <v>1178</v>
      </c>
      <c r="E1183" s="315">
        <v>42736.0</v>
      </c>
      <c r="F1183" s="312" t="s">
        <v>25</v>
      </c>
      <c r="G1183" s="303" t="s">
        <v>1190</v>
      </c>
      <c r="H1183" s="303" t="s">
        <v>1181</v>
      </c>
      <c r="I1183" s="303" t="s">
        <v>1181</v>
      </c>
      <c r="J1183" s="306"/>
      <c r="K1183" s="50"/>
      <c r="L1183" s="312"/>
      <c r="M1183" s="312">
        <v>206.0</v>
      </c>
      <c r="N1183" s="312"/>
      <c r="O1183" s="312"/>
      <c r="P1183" s="315">
        <v>43056.0</v>
      </c>
      <c r="Q1183" s="312">
        <v>38288.0</v>
      </c>
      <c r="R1183" s="312">
        <v>362.0</v>
      </c>
      <c r="S1183" s="316"/>
      <c r="T1183" s="317">
        <v>366.58</v>
      </c>
      <c r="U1183" s="312" t="s">
        <v>1366</v>
      </c>
      <c r="V1183" s="312" t="s">
        <v>1367</v>
      </c>
      <c r="W1183" s="50"/>
      <c r="X1183" s="50"/>
      <c r="Y1183" s="50"/>
      <c r="Z1183" s="312"/>
      <c r="AA1183" s="50"/>
      <c r="AB1183" s="50"/>
      <c r="AC1183" s="50"/>
      <c r="AD1183" s="50"/>
      <c r="AE1183" s="50"/>
    </row>
    <row r="1184">
      <c r="A1184" s="307">
        <v>42500.33541666667</v>
      </c>
      <c r="B1184" s="312" t="s">
        <v>833</v>
      </c>
      <c r="C1184" s="303" t="s">
        <v>1177</v>
      </c>
      <c r="D1184" s="303" t="s">
        <v>1178</v>
      </c>
      <c r="E1184" s="315">
        <v>41783.0</v>
      </c>
      <c r="F1184" s="312" t="s">
        <v>12</v>
      </c>
      <c r="G1184" s="303" t="s">
        <v>1180</v>
      </c>
      <c r="H1184" s="303" t="s">
        <v>1181</v>
      </c>
      <c r="I1184" s="303" t="s">
        <v>1187</v>
      </c>
      <c r="J1184" s="306">
        <v>0.9</v>
      </c>
      <c r="K1184" s="50"/>
      <c r="L1184" s="312"/>
      <c r="M1184" s="312">
        <v>199.0</v>
      </c>
      <c r="N1184" s="312"/>
      <c r="O1184" s="312"/>
      <c r="P1184" s="315">
        <v>42500.0</v>
      </c>
      <c r="Q1184" s="312">
        <v>39500.0</v>
      </c>
      <c r="R1184" s="312">
        <v>279.0</v>
      </c>
      <c r="S1184" s="316"/>
      <c r="T1184" s="317">
        <v>279.0</v>
      </c>
      <c r="U1184" s="312" t="s">
        <v>1369</v>
      </c>
      <c r="V1184" s="312" t="s">
        <v>1367</v>
      </c>
      <c r="W1184" s="50"/>
      <c r="X1184" s="50"/>
      <c r="Y1184" s="50"/>
      <c r="Z1184" s="312"/>
      <c r="AA1184" s="50"/>
      <c r="AB1184" s="50"/>
      <c r="AC1184" s="50"/>
      <c r="AD1184" s="50"/>
      <c r="AE1184" s="50"/>
    </row>
    <row r="1185">
      <c r="A1185" s="307">
        <v>42517.33888888889</v>
      </c>
      <c r="B1185" s="312" t="s">
        <v>833</v>
      </c>
      <c r="C1185" s="303" t="s">
        <v>1177</v>
      </c>
      <c r="D1185" s="303" t="s">
        <v>1178</v>
      </c>
      <c r="E1185" s="315">
        <v>41783.0</v>
      </c>
      <c r="F1185" s="312" t="s">
        <v>12</v>
      </c>
      <c r="G1185" s="303" t="s">
        <v>1180</v>
      </c>
      <c r="H1185" s="303" t="s">
        <v>1181</v>
      </c>
      <c r="I1185" s="303" t="s">
        <v>1187</v>
      </c>
      <c r="J1185" s="306">
        <v>0.9</v>
      </c>
      <c r="K1185" s="50"/>
      <c r="L1185" s="312"/>
      <c r="M1185" s="312">
        <v>199.0</v>
      </c>
      <c r="N1185" s="312"/>
      <c r="O1185" s="312"/>
      <c r="P1185" s="315">
        <v>42517.0</v>
      </c>
      <c r="Q1185" s="312">
        <v>39800.0</v>
      </c>
      <c r="R1185" s="312">
        <v>274.0</v>
      </c>
      <c r="S1185" s="316"/>
      <c r="T1185" s="317">
        <v>274.0</v>
      </c>
      <c r="U1185" s="312" t="s">
        <v>1369</v>
      </c>
      <c r="V1185" s="312" t="s">
        <v>1367</v>
      </c>
      <c r="W1185" s="50"/>
      <c r="X1185" s="50"/>
      <c r="Y1185" s="50"/>
      <c r="Z1185" s="312"/>
      <c r="AA1185" s="50"/>
      <c r="AB1185" s="50"/>
      <c r="AC1185" s="50"/>
      <c r="AD1185" s="50"/>
      <c r="AE1185" s="50"/>
    </row>
    <row r="1186">
      <c r="A1186" s="307">
        <v>42649.41180555556</v>
      </c>
      <c r="B1186" s="312" t="s">
        <v>833</v>
      </c>
      <c r="C1186" s="303" t="s">
        <v>1177</v>
      </c>
      <c r="D1186" s="303" t="s">
        <v>1178</v>
      </c>
      <c r="E1186" s="315">
        <v>41783.0</v>
      </c>
      <c r="F1186" s="312" t="s">
        <v>12</v>
      </c>
      <c r="G1186" s="303" t="s">
        <v>1181</v>
      </c>
      <c r="H1186" s="303" t="s">
        <v>1181</v>
      </c>
      <c r="I1186" s="303" t="s">
        <v>1187</v>
      </c>
      <c r="J1186" s="306">
        <v>0.9</v>
      </c>
      <c r="K1186" s="312">
        <v>288.0</v>
      </c>
      <c r="L1186" s="312"/>
      <c r="M1186" s="312">
        <v>195.0</v>
      </c>
      <c r="N1186" s="312"/>
      <c r="O1186" s="312"/>
      <c r="P1186" s="315">
        <v>42649.0</v>
      </c>
      <c r="Q1186" s="312">
        <v>45500.0</v>
      </c>
      <c r="R1186" s="312">
        <v>268.0</v>
      </c>
      <c r="S1186" s="316"/>
      <c r="T1186" s="317">
        <v>268.0</v>
      </c>
      <c r="U1186" s="312" t="s">
        <v>1369</v>
      </c>
      <c r="V1186" s="312" t="s">
        <v>1367</v>
      </c>
      <c r="W1186" s="50"/>
      <c r="X1186" s="50"/>
      <c r="Y1186" s="50"/>
      <c r="Z1186" s="312"/>
      <c r="AA1186" s="50"/>
      <c r="AB1186" s="50"/>
      <c r="AC1186" s="50"/>
      <c r="AD1186" s="50"/>
      <c r="AE1186" s="50"/>
    </row>
    <row r="1187">
      <c r="A1187" s="307">
        <v>42840.521527777775</v>
      </c>
      <c r="B1187" s="312" t="s">
        <v>833</v>
      </c>
      <c r="C1187" s="303" t="s">
        <v>1177</v>
      </c>
      <c r="D1187" s="303" t="s">
        <v>1178</v>
      </c>
      <c r="E1187" s="315">
        <v>41783.0</v>
      </c>
      <c r="F1187" s="312" t="s">
        <v>12</v>
      </c>
      <c r="G1187" s="303" t="s">
        <v>1180</v>
      </c>
      <c r="H1187" s="303" t="s">
        <v>1187</v>
      </c>
      <c r="I1187" s="303" t="s">
        <v>1181</v>
      </c>
      <c r="J1187" s="306">
        <v>0.9</v>
      </c>
      <c r="K1187" s="50"/>
      <c r="L1187" s="312"/>
      <c r="M1187" s="312">
        <v>199.0</v>
      </c>
      <c r="N1187" s="312"/>
      <c r="O1187" s="312"/>
      <c r="P1187" s="315">
        <v>42840.0</v>
      </c>
      <c r="Q1187" s="312">
        <v>54100.0</v>
      </c>
      <c r="R1187" s="312">
        <v>255.0</v>
      </c>
      <c r="S1187" s="316"/>
      <c r="T1187" s="317">
        <v>255.0</v>
      </c>
      <c r="U1187" s="312" t="s">
        <v>1369</v>
      </c>
      <c r="V1187" s="312" t="s">
        <v>1367</v>
      </c>
      <c r="W1187" s="50"/>
      <c r="X1187" s="50"/>
      <c r="Y1187" s="50"/>
      <c r="Z1187" s="312"/>
      <c r="AA1187" s="50"/>
      <c r="AB1187" s="50"/>
      <c r="AC1187" s="50"/>
      <c r="AD1187" s="50"/>
      <c r="AE1187" s="50"/>
    </row>
    <row r="1188">
      <c r="A1188" s="307">
        <v>42536.35208333333</v>
      </c>
      <c r="B1188" s="312" t="s">
        <v>779</v>
      </c>
      <c r="C1188" s="303" t="s">
        <v>1177</v>
      </c>
      <c r="D1188" s="303" t="s">
        <v>1178</v>
      </c>
      <c r="E1188" s="315">
        <v>42444.0</v>
      </c>
      <c r="F1188" s="312" t="s">
        <v>22</v>
      </c>
      <c r="G1188" s="303" t="s">
        <v>1205</v>
      </c>
      <c r="H1188" s="303" t="s">
        <v>1203</v>
      </c>
      <c r="I1188" s="303" t="s">
        <v>1186</v>
      </c>
      <c r="J1188" s="306">
        <v>1.0</v>
      </c>
      <c r="K1188" s="312">
        <v>360.0</v>
      </c>
      <c r="L1188" s="312"/>
      <c r="M1188" s="312">
        <v>209.0</v>
      </c>
      <c r="N1188" s="312"/>
      <c r="O1188" s="312"/>
      <c r="P1188" s="315">
        <v>42536.0</v>
      </c>
      <c r="Q1188" s="312">
        <v>13659.0</v>
      </c>
      <c r="R1188" s="312">
        <v>369.0</v>
      </c>
      <c r="S1188" s="316"/>
      <c r="T1188" s="317">
        <v>369.0</v>
      </c>
      <c r="U1188" s="312" t="s">
        <v>1369</v>
      </c>
      <c r="V1188" s="312" t="s">
        <v>1367</v>
      </c>
      <c r="W1188" s="50"/>
      <c r="X1188" s="50"/>
      <c r="Y1188" s="50"/>
      <c r="Z1188" s="312"/>
      <c r="AA1188" s="50"/>
      <c r="AB1188" s="50"/>
      <c r="AC1188" s="50"/>
      <c r="AD1188" s="50"/>
      <c r="AE1188" s="50"/>
    </row>
    <row r="1189">
      <c r="A1189" s="307">
        <v>42620.39513888889</v>
      </c>
      <c r="B1189" s="312" t="s">
        <v>779</v>
      </c>
      <c r="C1189" s="303" t="s">
        <v>1177</v>
      </c>
      <c r="D1189" s="303" t="s">
        <v>1178</v>
      </c>
      <c r="E1189" s="315">
        <v>42444.0</v>
      </c>
      <c r="F1189" s="312" t="s">
        <v>22</v>
      </c>
      <c r="G1189" s="303" t="s">
        <v>1179</v>
      </c>
      <c r="H1189" s="303" t="s">
        <v>1190</v>
      </c>
      <c r="I1189" s="303" t="s">
        <v>1186</v>
      </c>
      <c r="J1189" s="306">
        <v>0.9</v>
      </c>
      <c r="K1189" s="312">
        <v>360.0</v>
      </c>
      <c r="L1189" s="312"/>
      <c r="M1189" s="312">
        <v>218.0</v>
      </c>
      <c r="N1189" s="312"/>
      <c r="O1189" s="312"/>
      <c r="P1189" s="315">
        <v>42620.0</v>
      </c>
      <c r="Q1189" s="312">
        <v>21045.0</v>
      </c>
      <c r="R1189" s="312">
        <v>366.0</v>
      </c>
      <c r="S1189" s="316"/>
      <c r="T1189" s="317">
        <v>366.0</v>
      </c>
      <c r="U1189" s="312" t="s">
        <v>1369</v>
      </c>
      <c r="V1189" s="312" t="s">
        <v>1367</v>
      </c>
      <c r="W1189" s="50"/>
      <c r="X1189" s="50"/>
      <c r="Y1189" s="50"/>
      <c r="Z1189" s="312"/>
      <c r="AA1189" s="50"/>
      <c r="AB1189" s="50"/>
      <c r="AC1189" s="50"/>
      <c r="AD1189" s="50"/>
      <c r="AE1189" s="50"/>
    </row>
    <row r="1190">
      <c r="A1190" s="307">
        <v>42727.47708333333</v>
      </c>
      <c r="B1190" s="312" t="s">
        <v>779</v>
      </c>
      <c r="C1190" s="303" t="s">
        <v>1177</v>
      </c>
      <c r="D1190" s="303" t="s">
        <v>1178</v>
      </c>
      <c r="E1190" s="315">
        <v>42444.0</v>
      </c>
      <c r="F1190" s="312" t="s">
        <v>22</v>
      </c>
      <c r="G1190" s="303" t="s">
        <v>1180</v>
      </c>
      <c r="H1190" s="303" t="s">
        <v>1179</v>
      </c>
      <c r="I1190" s="303" t="s">
        <v>1187</v>
      </c>
      <c r="J1190" s="306">
        <v>0.9</v>
      </c>
      <c r="K1190" s="312">
        <v>360.0</v>
      </c>
      <c r="L1190" s="312"/>
      <c r="M1190" s="312">
        <v>204.0</v>
      </c>
      <c r="N1190" s="312"/>
      <c r="O1190" s="312"/>
      <c r="P1190" s="315">
        <v>42727.0</v>
      </c>
      <c r="Q1190" s="312">
        <v>32500.0</v>
      </c>
      <c r="R1190" s="312">
        <v>362.0</v>
      </c>
      <c r="S1190" s="316"/>
      <c r="T1190" s="317">
        <v>362.0</v>
      </c>
      <c r="U1190" s="312" t="s">
        <v>1369</v>
      </c>
      <c r="V1190" s="312" t="s">
        <v>1367</v>
      </c>
      <c r="W1190" s="50"/>
      <c r="X1190" s="50"/>
      <c r="Y1190" s="50"/>
      <c r="Z1190" s="312"/>
      <c r="AA1190" s="50"/>
      <c r="AB1190" s="50"/>
      <c r="AC1190" s="50"/>
      <c r="AD1190" s="50"/>
      <c r="AE1190" s="50"/>
    </row>
    <row r="1191">
      <c r="A1191" s="307">
        <v>42779.49930555555</v>
      </c>
      <c r="B1191" s="312" t="s">
        <v>779</v>
      </c>
      <c r="C1191" s="303" t="s">
        <v>1177</v>
      </c>
      <c r="D1191" s="303" t="s">
        <v>1178</v>
      </c>
      <c r="E1191" s="315">
        <v>42444.0</v>
      </c>
      <c r="F1191" s="312" t="s">
        <v>22</v>
      </c>
      <c r="G1191" s="303" t="s">
        <v>1181</v>
      </c>
      <c r="H1191" s="303" t="s">
        <v>1179</v>
      </c>
      <c r="I1191" s="303" t="s">
        <v>1186</v>
      </c>
      <c r="J1191" s="306">
        <v>0.9</v>
      </c>
      <c r="K1191" s="312">
        <v>360.0</v>
      </c>
      <c r="L1191" s="312"/>
      <c r="M1191" s="312">
        <v>207.0</v>
      </c>
      <c r="N1191" s="312"/>
      <c r="O1191" s="312"/>
      <c r="P1191" s="315">
        <v>42779.0</v>
      </c>
      <c r="Q1191" s="312">
        <v>37124.0</v>
      </c>
      <c r="R1191" s="312">
        <v>364.0</v>
      </c>
      <c r="S1191" s="316"/>
      <c r="T1191" s="317">
        <v>364.0</v>
      </c>
      <c r="U1191" s="312" t="s">
        <v>1369</v>
      </c>
      <c r="V1191" s="312" t="s">
        <v>1367</v>
      </c>
      <c r="W1191" s="50"/>
      <c r="X1191" s="50"/>
      <c r="Y1191" s="50"/>
      <c r="Z1191" s="312"/>
      <c r="AA1191" s="50"/>
      <c r="AB1191" s="50"/>
      <c r="AC1191" s="50"/>
      <c r="AD1191" s="50"/>
      <c r="AE1191" s="50"/>
    </row>
    <row r="1192">
      <c r="A1192" s="307">
        <v>42838.53472222222</v>
      </c>
      <c r="B1192" s="312" t="s">
        <v>779</v>
      </c>
      <c r="C1192" s="303" t="s">
        <v>1177</v>
      </c>
      <c r="D1192" s="303" t="s">
        <v>1178</v>
      </c>
      <c r="E1192" s="315">
        <v>42444.0</v>
      </c>
      <c r="F1192" s="312" t="s">
        <v>22</v>
      </c>
      <c r="G1192" s="303" t="s">
        <v>1180</v>
      </c>
      <c r="H1192" s="303" t="s">
        <v>1179</v>
      </c>
      <c r="I1192" s="303" t="s">
        <v>1186</v>
      </c>
      <c r="J1192" s="306">
        <v>0.9</v>
      </c>
      <c r="K1192" s="312">
        <v>360.0</v>
      </c>
      <c r="L1192" s="312"/>
      <c r="M1192" s="312">
        <v>209.0</v>
      </c>
      <c r="N1192" s="312"/>
      <c r="O1192" s="312"/>
      <c r="P1192" s="315">
        <v>42838.0</v>
      </c>
      <c r="Q1192" s="312">
        <v>43082.0</v>
      </c>
      <c r="R1192" s="312">
        <v>365.0</v>
      </c>
      <c r="S1192" s="316"/>
      <c r="T1192" s="317">
        <v>365.0</v>
      </c>
      <c r="U1192" s="312" t="s">
        <v>1369</v>
      </c>
      <c r="V1192" s="312" t="s">
        <v>1367</v>
      </c>
      <c r="W1192" s="50"/>
      <c r="X1192" s="50"/>
      <c r="Y1192" s="50"/>
      <c r="Z1192" s="312"/>
      <c r="AA1192" s="50"/>
      <c r="AB1192" s="50"/>
      <c r="AC1192" s="50"/>
      <c r="AD1192" s="50"/>
      <c r="AE1192" s="50"/>
    </row>
    <row r="1193">
      <c r="A1193" s="307">
        <v>43123.67986111111</v>
      </c>
      <c r="B1193" s="312" t="s">
        <v>779</v>
      </c>
      <c r="C1193" s="303" t="s">
        <v>1177</v>
      </c>
      <c r="D1193" s="303" t="s">
        <v>1178</v>
      </c>
      <c r="E1193" s="315">
        <v>42444.0</v>
      </c>
      <c r="F1193" s="312" t="s">
        <v>22</v>
      </c>
      <c r="G1193" s="303" t="s">
        <v>1180</v>
      </c>
      <c r="H1193" s="303" t="s">
        <v>1181</v>
      </c>
      <c r="I1193" s="303" t="s">
        <v>1186</v>
      </c>
      <c r="J1193" s="306">
        <v>0.9</v>
      </c>
      <c r="K1193" s="312">
        <v>367.0</v>
      </c>
      <c r="L1193" s="312"/>
      <c r="M1193" s="312">
        <v>207.0</v>
      </c>
      <c r="N1193" s="312"/>
      <c r="O1193" s="312"/>
      <c r="P1193" s="315">
        <v>43123.0</v>
      </c>
      <c r="Q1193" s="312">
        <v>68968.0</v>
      </c>
      <c r="R1193" s="312">
        <v>355.0</v>
      </c>
      <c r="S1193" s="316"/>
      <c r="T1193" s="317">
        <v>359.49</v>
      </c>
      <c r="U1193" s="312" t="s">
        <v>1366</v>
      </c>
      <c r="V1193" s="312" t="s">
        <v>1367</v>
      </c>
      <c r="W1193" s="50"/>
      <c r="X1193" s="50"/>
      <c r="Y1193" s="50"/>
      <c r="Z1193" s="312"/>
      <c r="AA1193" s="50"/>
      <c r="AB1193" s="50"/>
      <c r="AC1193" s="50"/>
      <c r="AD1193" s="50"/>
      <c r="AE1193" s="50"/>
    </row>
    <row r="1194">
      <c r="A1194" s="307">
        <v>42946.84583333333</v>
      </c>
      <c r="B1194" s="312" t="s">
        <v>937</v>
      </c>
      <c r="C1194" s="312" t="s">
        <v>1184</v>
      </c>
      <c r="D1194" s="303" t="s">
        <v>1185</v>
      </c>
      <c r="E1194" s="315">
        <v>42154.0</v>
      </c>
      <c r="F1194" s="312" t="s">
        <v>38</v>
      </c>
      <c r="G1194" s="303" t="s">
        <v>1179</v>
      </c>
      <c r="H1194" s="303" t="s">
        <v>1180</v>
      </c>
      <c r="I1194" s="303" t="s">
        <v>1186</v>
      </c>
      <c r="J1194" s="306">
        <v>0.8</v>
      </c>
      <c r="K1194" s="50"/>
      <c r="L1194" s="312"/>
      <c r="M1194" s="312">
        <v>303.0</v>
      </c>
      <c r="N1194" s="312"/>
      <c r="O1194" s="312"/>
      <c r="P1194" s="315">
        <v>42946.0</v>
      </c>
      <c r="Q1194" s="312">
        <v>30538.0</v>
      </c>
      <c r="R1194" s="312">
        <v>249.0</v>
      </c>
      <c r="S1194" s="316"/>
      <c r="T1194" s="317">
        <v>252.15</v>
      </c>
      <c r="U1194" s="312" t="s">
        <v>1366</v>
      </c>
      <c r="V1194" s="312" t="s">
        <v>1367</v>
      </c>
      <c r="W1194" s="50"/>
      <c r="X1194" s="50"/>
      <c r="Y1194" s="50"/>
      <c r="Z1194" s="312"/>
      <c r="AA1194" s="50"/>
      <c r="AB1194" s="50"/>
      <c r="AC1194" s="50"/>
      <c r="AD1194" s="50"/>
      <c r="AE1194" s="50"/>
    </row>
    <row r="1195">
      <c r="A1195" s="307">
        <v>42427.29375</v>
      </c>
      <c r="B1195" s="312" t="s">
        <v>792</v>
      </c>
      <c r="C1195" s="303" t="s">
        <v>1177</v>
      </c>
      <c r="D1195" s="303" t="s">
        <v>1178</v>
      </c>
      <c r="E1195" s="315">
        <v>41717.0</v>
      </c>
      <c r="F1195" s="312" t="s">
        <v>30</v>
      </c>
      <c r="G1195" s="312"/>
      <c r="H1195" s="312"/>
      <c r="I1195" s="312"/>
      <c r="J1195" s="306"/>
      <c r="K1195" s="50"/>
      <c r="L1195" s="312"/>
      <c r="M1195" s="312">
        <v>222.0</v>
      </c>
      <c r="N1195" s="312"/>
      <c r="O1195" s="312"/>
      <c r="P1195" s="315">
        <v>42427.0</v>
      </c>
      <c r="Q1195" s="312">
        <v>42200.0</v>
      </c>
      <c r="R1195" s="312">
        <v>365.0</v>
      </c>
      <c r="S1195" s="316"/>
      <c r="T1195" s="317">
        <v>369.62</v>
      </c>
      <c r="U1195" s="312" t="s">
        <v>1366</v>
      </c>
      <c r="V1195" s="312" t="s">
        <v>1367</v>
      </c>
      <c r="W1195" s="50"/>
      <c r="X1195" s="50"/>
      <c r="Y1195" s="50"/>
      <c r="Z1195" s="312"/>
      <c r="AA1195" s="312" t="s">
        <v>1677</v>
      </c>
      <c r="AB1195" s="50"/>
      <c r="AC1195" s="50"/>
      <c r="AD1195" s="50"/>
      <c r="AE1195" s="50"/>
    </row>
    <row r="1196">
      <c r="A1196" s="307">
        <v>42448.30972222222</v>
      </c>
      <c r="B1196" s="312" t="s">
        <v>792</v>
      </c>
      <c r="C1196" s="303" t="s">
        <v>1177</v>
      </c>
      <c r="D1196" s="303" t="s">
        <v>1178</v>
      </c>
      <c r="E1196" s="315">
        <v>41717.0</v>
      </c>
      <c r="F1196" s="312" t="s">
        <v>30</v>
      </c>
      <c r="G1196" s="312"/>
      <c r="H1196" s="312"/>
      <c r="I1196" s="312"/>
      <c r="J1196" s="306"/>
      <c r="K1196" s="50"/>
      <c r="L1196" s="312"/>
      <c r="M1196" s="312">
        <v>222.0</v>
      </c>
      <c r="N1196" s="312"/>
      <c r="O1196" s="312"/>
      <c r="P1196" s="315">
        <v>42448.0</v>
      </c>
      <c r="Q1196" s="312">
        <v>42900.0</v>
      </c>
      <c r="R1196" s="312">
        <v>376.0</v>
      </c>
      <c r="S1196" s="316"/>
      <c r="T1196" s="317">
        <v>376.0</v>
      </c>
      <c r="U1196" s="312" t="s">
        <v>1369</v>
      </c>
      <c r="V1196" s="312" t="s">
        <v>1367</v>
      </c>
      <c r="W1196" s="50"/>
      <c r="X1196" s="50"/>
      <c r="Y1196" s="50"/>
      <c r="Z1196" s="312"/>
      <c r="AA1196" s="50"/>
      <c r="AB1196" s="50"/>
      <c r="AC1196" s="50"/>
      <c r="AD1196" s="50"/>
      <c r="AE1196" s="50"/>
    </row>
    <row r="1197">
      <c r="A1197" s="307">
        <v>43079.86388888889</v>
      </c>
      <c r="B1197" s="312" t="s">
        <v>1678</v>
      </c>
      <c r="C1197" s="312" t="s">
        <v>1184</v>
      </c>
      <c r="D1197" s="303" t="s">
        <v>1185</v>
      </c>
      <c r="E1197" s="315">
        <v>41379.0</v>
      </c>
      <c r="F1197" s="312" t="s">
        <v>30</v>
      </c>
      <c r="G1197" s="303" t="s">
        <v>1181</v>
      </c>
      <c r="H1197" s="303" t="s">
        <v>1181</v>
      </c>
      <c r="I1197" s="303" t="s">
        <v>1187</v>
      </c>
      <c r="J1197" s="306">
        <v>0.9</v>
      </c>
      <c r="K1197" s="312">
        <v>256.0</v>
      </c>
      <c r="L1197" s="312"/>
      <c r="M1197" s="312">
        <v>321.0</v>
      </c>
      <c r="N1197" s="312"/>
      <c r="O1197" s="312"/>
      <c r="P1197" s="315">
        <v>43079.0</v>
      </c>
      <c r="Q1197" s="312">
        <v>58070.0</v>
      </c>
      <c r="R1197" s="312">
        <v>244.0</v>
      </c>
      <c r="S1197" s="316"/>
      <c r="T1197" s="317">
        <v>247.09</v>
      </c>
      <c r="U1197" s="312" t="s">
        <v>1366</v>
      </c>
      <c r="V1197" s="312" t="s">
        <v>1367</v>
      </c>
      <c r="W1197" s="50"/>
      <c r="X1197" s="50"/>
      <c r="Y1197" s="50"/>
      <c r="Z1197" s="312"/>
      <c r="AA1197" s="50"/>
      <c r="AB1197" s="50"/>
      <c r="AC1197" s="50"/>
      <c r="AD1197" s="50"/>
      <c r="AE1197" s="50"/>
    </row>
    <row r="1198">
      <c r="A1198" s="307">
        <v>42040.28402777778</v>
      </c>
      <c r="B1198" s="312" t="s">
        <v>774</v>
      </c>
      <c r="C1198" s="303" t="s">
        <v>1177</v>
      </c>
      <c r="D1198" s="303" t="s">
        <v>1178</v>
      </c>
      <c r="E1198" s="315">
        <v>41547.0</v>
      </c>
      <c r="F1198" s="312" t="s">
        <v>32</v>
      </c>
      <c r="G1198" s="303" t="s">
        <v>1181</v>
      </c>
      <c r="H1198" s="303" t="s">
        <v>1181</v>
      </c>
      <c r="I1198" s="303" t="s">
        <v>1181</v>
      </c>
      <c r="J1198" s="306">
        <v>0.8</v>
      </c>
      <c r="K1198" s="50"/>
      <c r="L1198" s="312"/>
      <c r="M1198" s="312">
        <v>209.0</v>
      </c>
      <c r="N1198" s="312"/>
      <c r="O1198" s="312"/>
      <c r="P1198" s="315">
        <v>42040.0</v>
      </c>
      <c r="Q1198" s="312">
        <v>49000.0</v>
      </c>
      <c r="R1198" s="312">
        <v>373.0</v>
      </c>
      <c r="S1198" s="316"/>
      <c r="T1198" s="317">
        <v>373.0</v>
      </c>
      <c r="U1198" s="312" t="s">
        <v>1369</v>
      </c>
      <c r="V1198" s="312" t="s">
        <v>1367</v>
      </c>
      <c r="W1198" s="50"/>
      <c r="X1198" s="50"/>
      <c r="Y1198" s="50"/>
      <c r="Z1198" s="312"/>
      <c r="AA1198" s="50"/>
      <c r="AB1198" s="50"/>
      <c r="AC1198" s="50"/>
      <c r="AD1198" s="50"/>
      <c r="AE1198" s="50"/>
    </row>
    <row r="1199">
      <c r="A1199" s="307">
        <v>42249.75486111111</v>
      </c>
      <c r="B1199" s="312" t="s">
        <v>982</v>
      </c>
      <c r="C1199" s="312" t="s">
        <v>1184</v>
      </c>
      <c r="D1199" s="303" t="s">
        <v>1185</v>
      </c>
      <c r="E1199" s="315">
        <v>41974.0</v>
      </c>
      <c r="F1199" s="312" t="s">
        <v>30</v>
      </c>
      <c r="G1199" s="303" t="s">
        <v>1180</v>
      </c>
      <c r="H1199" s="303" t="s">
        <v>1179</v>
      </c>
      <c r="I1199" s="303" t="s">
        <v>1187</v>
      </c>
      <c r="J1199" s="306">
        <v>0.8</v>
      </c>
      <c r="K1199" s="312">
        <v>265.0</v>
      </c>
      <c r="L1199" s="312"/>
      <c r="M1199" s="312">
        <v>314.0</v>
      </c>
      <c r="N1199" s="312"/>
      <c r="O1199" s="312"/>
      <c r="P1199" s="315">
        <v>42249.0</v>
      </c>
      <c r="Q1199" s="312">
        <v>12000.0</v>
      </c>
      <c r="R1199" s="312">
        <v>263.0</v>
      </c>
      <c r="S1199" s="316"/>
      <c r="T1199" s="317">
        <v>263.0</v>
      </c>
      <c r="U1199" s="312" t="s">
        <v>1369</v>
      </c>
      <c r="V1199" s="312" t="s">
        <v>1367</v>
      </c>
      <c r="W1199" s="50"/>
      <c r="X1199" s="50"/>
      <c r="Y1199" s="50"/>
      <c r="Z1199" s="312"/>
      <c r="AA1199" s="50"/>
      <c r="AB1199" s="50"/>
      <c r="AC1199" s="50"/>
      <c r="AD1199" s="50"/>
      <c r="AE1199" s="50"/>
    </row>
    <row r="1200">
      <c r="A1200" s="307">
        <v>43092.65277777778</v>
      </c>
      <c r="B1200" s="312" t="s">
        <v>1312</v>
      </c>
      <c r="C1200" s="303" t="s">
        <v>1177</v>
      </c>
      <c r="D1200" s="303" t="s">
        <v>1178</v>
      </c>
      <c r="E1200" s="315">
        <v>42912.0</v>
      </c>
      <c r="F1200" s="312" t="s">
        <v>28</v>
      </c>
      <c r="G1200" s="303" t="s">
        <v>1190</v>
      </c>
      <c r="H1200" s="303" t="s">
        <v>1180</v>
      </c>
      <c r="I1200" s="303" t="s">
        <v>1181</v>
      </c>
      <c r="J1200" s="306">
        <v>0.8</v>
      </c>
      <c r="K1200" s="312">
        <v>393.0</v>
      </c>
      <c r="L1200" s="312"/>
      <c r="M1200" s="312">
        <v>220.0</v>
      </c>
      <c r="N1200" s="312"/>
      <c r="O1200" s="312"/>
      <c r="P1200" s="315">
        <v>43092.0</v>
      </c>
      <c r="Q1200" s="312">
        <v>2700.0</v>
      </c>
      <c r="R1200" s="312">
        <v>393.0</v>
      </c>
      <c r="S1200" s="316"/>
      <c r="T1200" s="317">
        <v>397.97</v>
      </c>
      <c r="U1200" s="312" t="s">
        <v>1366</v>
      </c>
      <c r="V1200" s="312" t="s">
        <v>1367</v>
      </c>
      <c r="W1200" s="50"/>
      <c r="X1200" s="50"/>
      <c r="Y1200" s="50"/>
      <c r="Z1200" s="312"/>
      <c r="AA1200" s="50"/>
      <c r="AB1200" s="50"/>
      <c r="AC1200" s="50"/>
      <c r="AD1200" s="50"/>
      <c r="AE1200" s="50"/>
    </row>
    <row r="1201">
      <c r="A1201" s="307">
        <v>43131.69375</v>
      </c>
      <c r="B1201" s="312" t="s">
        <v>1312</v>
      </c>
      <c r="C1201" s="303" t="s">
        <v>1177</v>
      </c>
      <c r="D1201" s="303" t="s">
        <v>1178</v>
      </c>
      <c r="E1201" s="315">
        <v>42912.0</v>
      </c>
      <c r="F1201" s="312" t="s">
        <v>28</v>
      </c>
      <c r="G1201" s="303" t="s">
        <v>1190</v>
      </c>
      <c r="H1201" s="303" t="s">
        <v>1181</v>
      </c>
      <c r="I1201" s="303" t="s">
        <v>1181</v>
      </c>
      <c r="J1201" s="306">
        <v>0.7</v>
      </c>
      <c r="K1201" s="312">
        <v>393.0</v>
      </c>
      <c r="L1201" s="312"/>
      <c r="M1201" s="312">
        <v>240.0</v>
      </c>
      <c r="N1201" s="312"/>
      <c r="O1201" s="312"/>
      <c r="P1201" s="315">
        <v>43131.0</v>
      </c>
      <c r="Q1201" s="312">
        <v>7100.0</v>
      </c>
      <c r="R1201" s="312">
        <v>392.0</v>
      </c>
      <c r="S1201" s="316"/>
      <c r="T1201" s="317">
        <v>396.96</v>
      </c>
      <c r="U1201" s="312" t="s">
        <v>1366</v>
      </c>
      <c r="V1201" s="312" t="s">
        <v>1367</v>
      </c>
      <c r="W1201" s="50"/>
      <c r="X1201" s="50"/>
      <c r="Y1201" s="50"/>
      <c r="Z1201" s="312"/>
      <c r="AA1201" s="50"/>
      <c r="AB1201" s="50"/>
      <c r="AC1201" s="50"/>
      <c r="AD1201" s="50"/>
      <c r="AE1201" s="50"/>
    </row>
    <row r="1202">
      <c r="A1202" s="307">
        <v>43157.70694444444</v>
      </c>
      <c r="B1202" s="312" t="s">
        <v>1312</v>
      </c>
      <c r="C1202" s="303" t="s">
        <v>1177</v>
      </c>
      <c r="D1202" s="303" t="s">
        <v>1178</v>
      </c>
      <c r="E1202" s="315">
        <v>42912.0</v>
      </c>
      <c r="F1202" s="312" t="s">
        <v>28</v>
      </c>
      <c r="G1202" s="303" t="s">
        <v>1190</v>
      </c>
      <c r="H1202" s="303" t="s">
        <v>1181</v>
      </c>
      <c r="I1202" s="303" t="s">
        <v>1181</v>
      </c>
      <c r="J1202" s="306">
        <v>0.7</v>
      </c>
      <c r="K1202" s="312">
        <v>393.0</v>
      </c>
      <c r="L1202" s="312"/>
      <c r="M1202" s="312">
        <v>243.0</v>
      </c>
      <c r="N1202" s="312"/>
      <c r="O1202" s="312"/>
      <c r="P1202" s="315">
        <v>43157.0</v>
      </c>
      <c r="Q1202" s="312">
        <v>10000.0</v>
      </c>
      <c r="R1202" s="312">
        <v>392.0</v>
      </c>
      <c r="S1202" s="316"/>
      <c r="T1202" s="317">
        <v>396.96</v>
      </c>
      <c r="U1202" s="312" t="s">
        <v>1366</v>
      </c>
      <c r="V1202" s="312" t="s">
        <v>1367</v>
      </c>
      <c r="W1202" s="50"/>
      <c r="X1202" s="50"/>
      <c r="Y1202" s="50"/>
      <c r="Z1202" s="312"/>
      <c r="AA1202" s="50"/>
      <c r="AB1202" s="50"/>
      <c r="AC1202" s="50"/>
      <c r="AD1202" s="50"/>
      <c r="AE1202" s="50"/>
    </row>
    <row r="1203">
      <c r="A1203" s="307">
        <v>43204.885416666664</v>
      </c>
      <c r="B1203" s="312" t="s">
        <v>1679</v>
      </c>
      <c r="C1203" s="312" t="s">
        <v>1184</v>
      </c>
      <c r="D1203" s="303" t="s">
        <v>1185</v>
      </c>
      <c r="E1203" s="315">
        <v>41274.0</v>
      </c>
      <c r="F1203" s="312" t="s">
        <v>32</v>
      </c>
      <c r="G1203" s="303" t="s">
        <v>1181</v>
      </c>
      <c r="H1203" s="303" t="s">
        <v>1181</v>
      </c>
      <c r="I1203" s="303" t="s">
        <v>1186</v>
      </c>
      <c r="J1203" s="306">
        <v>0.7</v>
      </c>
      <c r="K1203" s="312">
        <v>265.0</v>
      </c>
      <c r="L1203" s="312"/>
      <c r="M1203" s="312">
        <v>330.0</v>
      </c>
      <c r="N1203" s="312"/>
      <c r="O1203" s="312"/>
      <c r="P1203" s="315">
        <v>43204.0</v>
      </c>
      <c r="Q1203" s="312">
        <v>47991.0</v>
      </c>
      <c r="R1203" s="312">
        <v>255.0</v>
      </c>
      <c r="S1203" s="316"/>
      <c r="T1203" s="317">
        <v>258.23</v>
      </c>
      <c r="U1203" s="312" t="s">
        <v>1366</v>
      </c>
      <c r="V1203" s="312" t="s">
        <v>1367</v>
      </c>
      <c r="W1203" s="50"/>
      <c r="X1203" s="50"/>
      <c r="Y1203" s="50"/>
      <c r="Z1203" s="312"/>
      <c r="AA1203" s="50"/>
      <c r="AB1203" s="50"/>
      <c r="AC1203" s="50"/>
      <c r="AD1203" s="50"/>
      <c r="AE1203" s="50"/>
    </row>
    <row r="1204">
      <c r="A1204" s="307">
        <v>42181.74722222222</v>
      </c>
      <c r="B1204" s="312" t="s">
        <v>914</v>
      </c>
      <c r="C1204" s="312" t="s">
        <v>1184</v>
      </c>
      <c r="D1204" s="303" t="s">
        <v>1185</v>
      </c>
      <c r="E1204" s="315">
        <v>41930.0</v>
      </c>
      <c r="F1204" s="312" t="s">
        <v>30</v>
      </c>
      <c r="G1204" s="303" t="s">
        <v>1180</v>
      </c>
      <c r="H1204" s="303" t="s">
        <v>1181</v>
      </c>
      <c r="I1204" s="303" t="s">
        <v>1181</v>
      </c>
      <c r="J1204" s="306">
        <v>0.9</v>
      </c>
      <c r="K1204" s="312">
        <v>265.0</v>
      </c>
      <c r="L1204" s="312"/>
      <c r="M1204" s="312">
        <v>278.0</v>
      </c>
      <c r="N1204" s="312"/>
      <c r="O1204" s="312"/>
      <c r="P1204" s="315">
        <v>42181.0</v>
      </c>
      <c r="Q1204" s="312">
        <v>25714.0</v>
      </c>
      <c r="R1204" s="312">
        <v>255.0</v>
      </c>
      <c r="S1204" s="316"/>
      <c r="T1204" s="317">
        <v>255.0</v>
      </c>
      <c r="U1204" s="312" t="s">
        <v>1369</v>
      </c>
      <c r="V1204" s="312" t="s">
        <v>1367</v>
      </c>
      <c r="W1204" s="50"/>
      <c r="X1204" s="50"/>
      <c r="Y1204" s="50"/>
      <c r="Z1204" s="312"/>
      <c r="AA1204" s="50"/>
      <c r="AB1204" s="50"/>
      <c r="AC1204" s="50"/>
      <c r="AD1204" s="50"/>
      <c r="AE1204" s="50"/>
    </row>
    <row r="1205">
      <c r="A1205" s="307">
        <v>42625.40138888889</v>
      </c>
      <c r="B1205" s="312" t="s">
        <v>1000</v>
      </c>
      <c r="C1205" s="303" t="s">
        <v>1177</v>
      </c>
      <c r="D1205" s="303" t="s">
        <v>1178</v>
      </c>
      <c r="E1205" s="315">
        <v>42396.0</v>
      </c>
      <c r="F1205" s="312" t="s">
        <v>36</v>
      </c>
      <c r="G1205" s="303" t="s">
        <v>1190</v>
      </c>
      <c r="H1205" s="303" t="s">
        <v>1180</v>
      </c>
      <c r="I1205" s="303" t="s">
        <v>1180</v>
      </c>
      <c r="J1205" s="306">
        <v>0.9</v>
      </c>
      <c r="K1205" s="50"/>
      <c r="L1205" s="312"/>
      <c r="M1205" s="312">
        <v>230.0</v>
      </c>
      <c r="N1205" s="312"/>
      <c r="O1205" s="312"/>
      <c r="P1205" s="315">
        <v>42625.0</v>
      </c>
      <c r="Q1205" s="312">
        <v>17500.0</v>
      </c>
      <c r="R1205" s="312">
        <v>420.0</v>
      </c>
      <c r="S1205" s="316"/>
      <c r="T1205" s="317">
        <v>425.32</v>
      </c>
      <c r="U1205" s="312" t="s">
        <v>1366</v>
      </c>
      <c r="V1205" s="312" t="s">
        <v>1367</v>
      </c>
      <c r="W1205" s="50"/>
      <c r="X1205" s="50"/>
      <c r="Y1205" s="50"/>
      <c r="Z1205" s="312"/>
      <c r="AA1205" s="50"/>
      <c r="AB1205" s="50"/>
      <c r="AC1205" s="50"/>
      <c r="AD1205" s="50"/>
      <c r="AE1205" s="50"/>
    </row>
    <row r="1206">
      <c r="A1206" s="307">
        <v>42736.81805555556</v>
      </c>
      <c r="B1206" s="312" t="s">
        <v>701</v>
      </c>
      <c r="C1206" s="312" t="s">
        <v>1184</v>
      </c>
      <c r="D1206" s="303" t="s">
        <v>1185</v>
      </c>
      <c r="E1206" s="315">
        <v>41545.0</v>
      </c>
      <c r="F1206" s="312" t="s">
        <v>32</v>
      </c>
      <c r="G1206" s="303" t="s">
        <v>1180</v>
      </c>
      <c r="H1206" s="303" t="s">
        <v>1181</v>
      </c>
      <c r="I1206" s="303" t="s">
        <v>1186</v>
      </c>
      <c r="J1206" s="306">
        <v>0.8</v>
      </c>
      <c r="K1206" s="312">
        <v>267.0</v>
      </c>
      <c r="L1206" s="312"/>
      <c r="M1206" s="312">
        <v>330.0</v>
      </c>
      <c r="N1206" s="312">
        <v>12000.0</v>
      </c>
      <c r="O1206" s="303" t="s">
        <v>1680</v>
      </c>
      <c r="P1206" s="315">
        <v>42736.0</v>
      </c>
      <c r="Q1206" s="312">
        <v>29800.0</v>
      </c>
      <c r="R1206" s="312">
        <v>254.0</v>
      </c>
      <c r="S1206" s="316"/>
      <c r="T1206" s="317">
        <v>257.22</v>
      </c>
      <c r="U1206" s="312" t="s">
        <v>1366</v>
      </c>
      <c r="V1206" s="312" t="s">
        <v>1399</v>
      </c>
      <c r="W1206" s="50"/>
      <c r="X1206" s="50"/>
      <c r="Y1206" s="50"/>
      <c r="Z1206" s="312"/>
      <c r="AA1206" s="50"/>
      <c r="AB1206" s="50"/>
      <c r="AC1206" s="50"/>
      <c r="AD1206" s="50"/>
      <c r="AE1206" s="50"/>
    </row>
    <row r="1207">
      <c r="A1207" s="307">
        <v>42844.52569444444</v>
      </c>
      <c r="B1207" s="312" t="s">
        <v>844</v>
      </c>
      <c r="C1207" s="303" t="s">
        <v>1177</v>
      </c>
      <c r="D1207" s="303" t="s">
        <v>1178</v>
      </c>
      <c r="E1207" s="315">
        <v>41974.0</v>
      </c>
      <c r="F1207" s="312" t="s">
        <v>30</v>
      </c>
      <c r="G1207" s="303" t="s">
        <v>1203</v>
      </c>
      <c r="H1207" s="303" t="s">
        <v>1180</v>
      </c>
      <c r="I1207" s="303" t="s">
        <v>1179</v>
      </c>
      <c r="J1207" s="306">
        <v>0.9</v>
      </c>
      <c r="K1207" s="312">
        <v>396.0</v>
      </c>
      <c r="L1207" s="312"/>
      <c r="M1207" s="312">
        <v>250.0</v>
      </c>
      <c r="N1207" s="312"/>
      <c r="O1207" s="312"/>
      <c r="P1207" s="315">
        <v>42844.0</v>
      </c>
      <c r="Q1207" s="312">
        <v>106000.0</v>
      </c>
      <c r="R1207" s="312">
        <v>369.0</v>
      </c>
      <c r="S1207" s="316"/>
      <c r="T1207" s="317">
        <v>373.67</v>
      </c>
      <c r="U1207" s="312" t="s">
        <v>1366</v>
      </c>
      <c r="V1207" s="312" t="s">
        <v>1367</v>
      </c>
      <c r="W1207" s="50"/>
      <c r="X1207" s="50"/>
      <c r="Y1207" s="50"/>
      <c r="Z1207" s="312"/>
      <c r="AA1207" s="50"/>
      <c r="AB1207" s="50"/>
      <c r="AC1207" s="50"/>
      <c r="AD1207" s="50"/>
      <c r="AE1207" s="50"/>
    </row>
    <row r="1208">
      <c r="A1208" s="307">
        <v>42152.73888888889</v>
      </c>
      <c r="B1208" s="50" t="s">
        <v>883</v>
      </c>
      <c r="C1208" s="50" t="s">
        <v>1184</v>
      </c>
      <c r="D1208" s="303" t="s">
        <v>1185</v>
      </c>
      <c r="E1208" s="310">
        <v>42131.0</v>
      </c>
      <c r="F1208" s="50" t="s">
        <v>38</v>
      </c>
      <c r="G1208" s="303" t="s">
        <v>1190</v>
      </c>
      <c r="H1208" s="303" t="s">
        <v>1187</v>
      </c>
      <c r="I1208" s="303" t="s">
        <v>1187</v>
      </c>
      <c r="J1208" s="306">
        <v>0.8</v>
      </c>
      <c r="K1208" s="312"/>
      <c r="L1208" s="50"/>
      <c r="M1208" s="312">
        <v>389.0</v>
      </c>
      <c r="N1208" s="312"/>
      <c r="O1208" s="312"/>
      <c r="P1208" s="310">
        <v>42152.0</v>
      </c>
      <c r="Q1208" s="50">
        <v>1061.0</v>
      </c>
      <c r="R1208" s="312">
        <v>253.0</v>
      </c>
      <c r="S1208" s="316"/>
      <c r="T1208" s="317">
        <v>253.0</v>
      </c>
      <c r="U1208" s="312" t="s">
        <v>1369</v>
      </c>
      <c r="V1208" s="312" t="s">
        <v>1367</v>
      </c>
      <c r="W1208" s="50"/>
      <c r="X1208" s="50"/>
      <c r="Y1208" s="50"/>
      <c r="Z1208" s="312"/>
      <c r="AA1208" s="312" t="s">
        <v>1681</v>
      </c>
      <c r="AB1208" s="50"/>
      <c r="AC1208" s="50"/>
      <c r="AD1208" s="50"/>
      <c r="AE1208" s="50"/>
    </row>
    <row r="1209">
      <c r="A1209" s="307">
        <v>42718.893055555556</v>
      </c>
      <c r="B1209" s="312" t="s">
        <v>1109</v>
      </c>
      <c r="C1209" s="312" t="s">
        <v>1292</v>
      </c>
      <c r="D1209" s="303" t="s">
        <v>1185</v>
      </c>
      <c r="E1209" s="315">
        <v>42065.0</v>
      </c>
      <c r="F1209" s="312" t="s">
        <v>30</v>
      </c>
      <c r="G1209" s="303" t="s">
        <v>1181</v>
      </c>
      <c r="H1209" s="303" t="s">
        <v>1180</v>
      </c>
      <c r="I1209" s="303" t="s">
        <v>1187</v>
      </c>
      <c r="J1209" s="306">
        <v>0.8</v>
      </c>
      <c r="K1209" s="50"/>
      <c r="L1209" s="312"/>
      <c r="M1209" s="312">
        <v>358.0</v>
      </c>
      <c r="N1209" s="312"/>
      <c r="O1209" s="312"/>
      <c r="P1209" s="315">
        <v>42718.0</v>
      </c>
      <c r="Q1209" s="312">
        <v>37895.0</v>
      </c>
      <c r="R1209" s="312">
        <v>238.0</v>
      </c>
      <c r="S1209" s="316"/>
      <c r="T1209" s="317">
        <v>238.0</v>
      </c>
      <c r="U1209" s="312" t="s">
        <v>1369</v>
      </c>
      <c r="V1209" s="312" t="s">
        <v>1367</v>
      </c>
      <c r="W1209" s="50"/>
      <c r="X1209" s="50"/>
      <c r="Y1209" s="50"/>
      <c r="Z1209" s="312"/>
      <c r="AA1209" s="50"/>
      <c r="AB1209" s="50"/>
      <c r="AC1209" s="50"/>
      <c r="AD1209" s="50"/>
      <c r="AE1209" s="50"/>
    </row>
    <row r="1210">
      <c r="A1210" s="307">
        <v>42155.740277777775</v>
      </c>
      <c r="B1210" s="50" t="s">
        <v>889</v>
      </c>
      <c r="C1210" s="50" t="s">
        <v>1184</v>
      </c>
      <c r="D1210" s="303" t="s">
        <v>1185</v>
      </c>
      <c r="E1210" s="310">
        <v>41495.0</v>
      </c>
      <c r="F1210" s="50" t="s">
        <v>30</v>
      </c>
      <c r="G1210" s="312"/>
      <c r="H1210" s="312"/>
      <c r="I1210" s="312"/>
      <c r="J1210" s="306"/>
      <c r="K1210" s="312"/>
      <c r="L1210" s="50"/>
      <c r="M1210" s="312">
        <v>318.0</v>
      </c>
      <c r="N1210" s="312"/>
      <c r="O1210" s="312"/>
      <c r="P1210" s="310">
        <v>42155.0</v>
      </c>
      <c r="Q1210" s="50">
        <v>46335.0</v>
      </c>
      <c r="R1210" s="312">
        <v>252.0</v>
      </c>
      <c r="S1210" s="316"/>
      <c r="T1210" s="317">
        <v>255.19</v>
      </c>
      <c r="U1210" s="312" t="s">
        <v>1366</v>
      </c>
      <c r="V1210" s="312" t="s">
        <v>1367</v>
      </c>
      <c r="W1210" s="50"/>
      <c r="X1210" s="50"/>
      <c r="Y1210" s="50"/>
      <c r="Z1210" s="312"/>
      <c r="AA1210" s="312"/>
      <c r="AB1210" s="50"/>
      <c r="AC1210" s="50"/>
      <c r="AD1210" s="50"/>
      <c r="AE1210" s="50"/>
    </row>
    <row r="1211">
      <c r="A1211" s="307">
        <v>43099.86736111111</v>
      </c>
      <c r="B1211" s="312" t="s">
        <v>889</v>
      </c>
      <c r="C1211" s="312" t="s">
        <v>1184</v>
      </c>
      <c r="D1211" s="303" t="s">
        <v>1185</v>
      </c>
      <c r="E1211" s="315">
        <v>41495.0</v>
      </c>
      <c r="F1211" s="312" t="s">
        <v>30</v>
      </c>
      <c r="G1211" s="303" t="s">
        <v>1203</v>
      </c>
      <c r="H1211" s="303" t="s">
        <v>1181</v>
      </c>
      <c r="I1211" s="303" t="s">
        <v>1181</v>
      </c>
      <c r="J1211" s="306">
        <v>0.8</v>
      </c>
      <c r="K1211" s="312">
        <v>262.0</v>
      </c>
      <c r="L1211" s="312"/>
      <c r="M1211" s="312">
        <v>322.0</v>
      </c>
      <c r="N1211" s="312"/>
      <c r="O1211" s="312"/>
      <c r="P1211" s="315">
        <v>43099.0</v>
      </c>
      <c r="Q1211" s="312">
        <v>114306.0</v>
      </c>
      <c r="R1211" s="312">
        <v>242.0</v>
      </c>
      <c r="S1211" s="316"/>
      <c r="T1211" s="317">
        <v>245.06</v>
      </c>
      <c r="U1211" s="312" t="s">
        <v>1366</v>
      </c>
      <c r="V1211" s="312" t="s">
        <v>1367</v>
      </c>
      <c r="W1211" s="50"/>
      <c r="X1211" s="50"/>
      <c r="Y1211" s="50"/>
      <c r="Z1211" s="312"/>
      <c r="AA1211" s="312" t="s">
        <v>1682</v>
      </c>
      <c r="AB1211" s="50"/>
      <c r="AC1211" s="50"/>
      <c r="AD1211" s="50"/>
      <c r="AE1211" s="50"/>
    </row>
    <row r="1212">
      <c r="A1212" s="307">
        <v>42972.85138888889</v>
      </c>
      <c r="B1212" s="312" t="s">
        <v>976</v>
      </c>
      <c r="C1212" s="312" t="s">
        <v>1184</v>
      </c>
      <c r="D1212" s="303" t="s">
        <v>1185</v>
      </c>
      <c r="E1212" s="315">
        <v>41334.0</v>
      </c>
      <c r="F1212" s="312" t="s">
        <v>30</v>
      </c>
      <c r="G1212" s="303" t="s">
        <v>1179</v>
      </c>
      <c r="H1212" s="303" t="s">
        <v>1186</v>
      </c>
      <c r="I1212" s="303" t="s">
        <v>1187</v>
      </c>
      <c r="J1212" s="306">
        <v>0.9</v>
      </c>
      <c r="K1212" s="312">
        <v>265.0</v>
      </c>
      <c r="L1212" s="312"/>
      <c r="M1212" s="312">
        <v>313.0</v>
      </c>
      <c r="N1212" s="312"/>
      <c r="O1212" s="312"/>
      <c r="P1212" s="315">
        <v>42972.0</v>
      </c>
      <c r="Q1212" s="312">
        <v>95000.0</v>
      </c>
      <c r="R1212" s="312">
        <v>256.0</v>
      </c>
      <c r="S1212" s="316"/>
      <c r="T1212" s="317">
        <v>259.24</v>
      </c>
      <c r="U1212" s="312" t="s">
        <v>1366</v>
      </c>
      <c r="V1212" s="312" t="s">
        <v>1367</v>
      </c>
      <c r="W1212" s="50"/>
      <c r="X1212" s="50"/>
      <c r="Y1212" s="50"/>
      <c r="Z1212" s="312"/>
      <c r="AA1212" s="312" t="s">
        <v>1683</v>
      </c>
      <c r="AB1212" s="50"/>
      <c r="AC1212" s="50"/>
      <c r="AD1212" s="50"/>
      <c r="AE1212" s="50"/>
    </row>
    <row r="1213">
      <c r="A1213" s="307">
        <v>43070.864583333336</v>
      </c>
      <c r="B1213" s="312" t="s">
        <v>1684</v>
      </c>
      <c r="C1213" s="312" t="s">
        <v>1184</v>
      </c>
      <c r="D1213" s="303" t="s">
        <v>1185</v>
      </c>
      <c r="E1213" s="315">
        <v>41506.0</v>
      </c>
      <c r="F1213" s="312" t="s">
        <v>30</v>
      </c>
      <c r="G1213" s="303" t="s">
        <v>1203</v>
      </c>
      <c r="H1213" s="303" t="s">
        <v>1179</v>
      </c>
      <c r="I1213" s="303" t="s">
        <v>1187</v>
      </c>
      <c r="J1213" s="306">
        <v>0.8</v>
      </c>
      <c r="K1213" s="312"/>
      <c r="L1213" s="312"/>
      <c r="M1213" s="312">
        <v>326.0</v>
      </c>
      <c r="N1213" s="312"/>
      <c r="O1213" s="312"/>
      <c r="P1213" s="315">
        <v>43070.0</v>
      </c>
      <c r="Q1213" s="312">
        <v>91128.0</v>
      </c>
      <c r="R1213" s="312">
        <v>247.0</v>
      </c>
      <c r="S1213" s="316"/>
      <c r="T1213" s="317">
        <v>250.13</v>
      </c>
      <c r="U1213" s="312" t="s">
        <v>1366</v>
      </c>
      <c r="V1213" s="312" t="s">
        <v>1367</v>
      </c>
      <c r="W1213" s="50"/>
      <c r="X1213" s="50"/>
      <c r="Y1213" s="50"/>
      <c r="Z1213" s="312"/>
      <c r="AA1213" s="312" t="s">
        <v>1685</v>
      </c>
      <c r="AB1213" s="50"/>
      <c r="AC1213" s="50"/>
      <c r="AD1213" s="50"/>
      <c r="AE1213" s="50"/>
    </row>
    <row r="1214">
      <c r="A1214" s="307">
        <v>42298.20486111111</v>
      </c>
      <c r="B1214" s="312" t="s">
        <v>1053</v>
      </c>
      <c r="C1214" s="303" t="s">
        <v>1177</v>
      </c>
      <c r="D1214" s="303" t="s">
        <v>1178</v>
      </c>
      <c r="E1214" s="315">
        <v>41699.0</v>
      </c>
      <c r="F1214" s="312" t="s">
        <v>32</v>
      </c>
      <c r="G1214" s="303" t="s">
        <v>1180</v>
      </c>
      <c r="H1214" s="303" t="s">
        <v>1180</v>
      </c>
      <c r="I1214" s="303" t="s">
        <v>1187</v>
      </c>
      <c r="J1214" s="306">
        <v>0.9</v>
      </c>
      <c r="K1214" s="50"/>
      <c r="L1214" s="312"/>
      <c r="M1214" s="312">
        <v>209.0</v>
      </c>
      <c r="N1214" s="312"/>
      <c r="O1214" s="312"/>
      <c r="P1214" s="315">
        <v>42298.0</v>
      </c>
      <c r="Q1214" s="312">
        <v>25775.0</v>
      </c>
      <c r="R1214" s="312">
        <v>384.0</v>
      </c>
      <c r="S1214" s="316"/>
      <c r="T1214" s="317">
        <v>388.86</v>
      </c>
      <c r="U1214" s="312" t="s">
        <v>1366</v>
      </c>
      <c r="V1214" s="312" t="s">
        <v>1367</v>
      </c>
      <c r="W1214" s="50"/>
      <c r="X1214" s="50"/>
      <c r="Y1214" s="50"/>
      <c r="Z1214" s="312"/>
      <c r="AA1214" s="50"/>
      <c r="AB1214" s="50"/>
      <c r="AC1214" s="50"/>
      <c r="AD1214" s="50"/>
      <c r="AE1214" s="50"/>
    </row>
    <row r="1215">
      <c r="A1215" s="307">
        <v>42464.32083333333</v>
      </c>
      <c r="B1215" s="312" t="s">
        <v>827</v>
      </c>
      <c r="C1215" s="303" t="s">
        <v>1177</v>
      </c>
      <c r="D1215" s="303" t="s">
        <v>1178</v>
      </c>
      <c r="E1215" s="315">
        <v>41646.0</v>
      </c>
      <c r="F1215" s="312" t="s">
        <v>32</v>
      </c>
      <c r="G1215" s="303" t="s">
        <v>1190</v>
      </c>
      <c r="H1215" s="303" t="s">
        <v>1180</v>
      </c>
      <c r="I1215" s="303" t="s">
        <v>1186</v>
      </c>
      <c r="J1215" s="306">
        <v>0.9</v>
      </c>
      <c r="K1215" s="312">
        <v>407.0</v>
      </c>
      <c r="L1215" s="312"/>
      <c r="M1215" s="312">
        <v>214.0</v>
      </c>
      <c r="N1215" s="312"/>
      <c r="O1215" s="312"/>
      <c r="P1215" s="315">
        <v>42464.0</v>
      </c>
      <c r="Q1215" s="312">
        <v>121121.0</v>
      </c>
      <c r="R1215" s="312">
        <v>373.0</v>
      </c>
      <c r="S1215" s="316"/>
      <c r="T1215" s="317">
        <v>373.0</v>
      </c>
      <c r="U1215" s="312" t="s">
        <v>1369</v>
      </c>
      <c r="V1215" s="312" t="s">
        <v>1367</v>
      </c>
      <c r="W1215" s="50"/>
      <c r="X1215" s="50"/>
      <c r="Y1215" s="50"/>
      <c r="Z1215" s="312"/>
      <c r="AA1215" s="50"/>
      <c r="AB1215" s="50"/>
      <c r="AC1215" s="50"/>
      <c r="AD1215" s="50"/>
      <c r="AE1215" s="50"/>
    </row>
    <row r="1216">
      <c r="A1216" s="307">
        <v>42022.058333333334</v>
      </c>
      <c r="B1216" s="50" t="s">
        <v>709</v>
      </c>
      <c r="C1216" s="303" t="s">
        <v>1177</v>
      </c>
      <c r="D1216" s="303" t="s">
        <v>1178</v>
      </c>
      <c r="E1216" s="310">
        <v>41990.0</v>
      </c>
      <c r="F1216" s="312" t="s">
        <v>30</v>
      </c>
      <c r="G1216" s="303" t="s">
        <v>1190</v>
      </c>
      <c r="H1216" s="303" t="s">
        <v>1179</v>
      </c>
      <c r="I1216" s="303" t="s">
        <v>1187</v>
      </c>
      <c r="J1216" s="306"/>
      <c r="K1216" s="50"/>
      <c r="L1216" s="50"/>
      <c r="M1216" s="50">
        <v>244.0</v>
      </c>
      <c r="N1216" s="50"/>
      <c r="O1216" s="312"/>
      <c r="P1216" s="310">
        <v>42022.0</v>
      </c>
      <c r="Q1216" s="50">
        <v>4178.0</v>
      </c>
      <c r="R1216" s="50">
        <v>398.0</v>
      </c>
      <c r="S1216" s="318"/>
      <c r="T1216" s="317">
        <v>398.0</v>
      </c>
      <c r="U1216" s="312" t="s">
        <v>1369</v>
      </c>
      <c r="V1216" s="312" t="s">
        <v>1367</v>
      </c>
      <c r="W1216" s="50"/>
      <c r="X1216" s="50"/>
      <c r="Y1216" s="50"/>
      <c r="Z1216" s="312"/>
      <c r="AA1216" s="50" t="s">
        <v>1686</v>
      </c>
      <c r="AB1216" s="50"/>
      <c r="AC1216" s="50"/>
      <c r="AD1216" s="50"/>
      <c r="AE1216" s="50"/>
    </row>
    <row r="1217">
      <c r="A1217" s="307">
        <v>42035.06875</v>
      </c>
      <c r="B1217" s="50" t="s">
        <v>709</v>
      </c>
      <c r="C1217" s="303" t="s">
        <v>1177</v>
      </c>
      <c r="D1217" s="303" t="s">
        <v>1178</v>
      </c>
      <c r="E1217" s="310">
        <v>41990.0</v>
      </c>
      <c r="F1217" s="312" t="s">
        <v>30</v>
      </c>
      <c r="G1217" s="303" t="s">
        <v>1203</v>
      </c>
      <c r="H1217" s="303" t="s">
        <v>1180</v>
      </c>
      <c r="I1217" s="303" t="s">
        <v>1187</v>
      </c>
      <c r="J1217" s="306"/>
      <c r="K1217" s="50"/>
      <c r="L1217" s="50"/>
      <c r="M1217" s="50">
        <v>250.0</v>
      </c>
      <c r="N1217" s="50"/>
      <c r="O1217" s="312"/>
      <c r="P1217" s="310">
        <v>42035.0</v>
      </c>
      <c r="Q1217" s="50">
        <v>5500.0</v>
      </c>
      <c r="R1217" s="50">
        <v>395.0</v>
      </c>
      <c r="S1217" s="318"/>
      <c r="T1217" s="317">
        <v>400.0</v>
      </c>
      <c r="U1217" s="312" t="s">
        <v>1366</v>
      </c>
      <c r="V1217" s="312" t="s">
        <v>1367</v>
      </c>
      <c r="W1217" s="50"/>
      <c r="X1217" s="50"/>
      <c r="Y1217" s="50"/>
      <c r="Z1217" s="312"/>
      <c r="AA1217" s="50" t="s">
        <v>1373</v>
      </c>
      <c r="AB1217" s="50"/>
      <c r="AC1217" s="50"/>
      <c r="AD1217" s="50"/>
      <c r="AE1217" s="50"/>
    </row>
    <row r="1218">
      <c r="A1218" s="307">
        <v>42068.080555555556</v>
      </c>
      <c r="B1218" s="50" t="s">
        <v>709</v>
      </c>
      <c r="C1218" s="303" t="s">
        <v>1177</v>
      </c>
      <c r="D1218" s="303" t="s">
        <v>1178</v>
      </c>
      <c r="E1218" s="310">
        <v>41990.0</v>
      </c>
      <c r="F1218" s="312" t="s">
        <v>30</v>
      </c>
      <c r="G1218" s="303" t="s">
        <v>1190</v>
      </c>
      <c r="H1218" s="303" t="s">
        <v>1180</v>
      </c>
      <c r="I1218" s="303" t="s">
        <v>1187</v>
      </c>
      <c r="J1218" s="306"/>
      <c r="K1218" s="50"/>
      <c r="L1218" s="50"/>
      <c r="M1218" s="50">
        <v>248.0</v>
      </c>
      <c r="N1218" s="50"/>
      <c r="O1218" s="312"/>
      <c r="P1218" s="310">
        <v>42068.0</v>
      </c>
      <c r="Q1218" s="50">
        <v>8452.0</v>
      </c>
      <c r="R1218" s="50">
        <v>396.0</v>
      </c>
      <c r="S1218" s="318"/>
      <c r="T1218" s="317">
        <v>401.01</v>
      </c>
      <c r="U1218" s="312" t="s">
        <v>1366</v>
      </c>
      <c r="V1218" s="312" t="s">
        <v>1367</v>
      </c>
      <c r="W1218" s="50"/>
      <c r="X1218" s="50"/>
      <c r="Y1218" s="50"/>
      <c r="Z1218" s="312"/>
      <c r="AA1218" s="50" t="s">
        <v>1373</v>
      </c>
      <c r="AB1218" s="50"/>
      <c r="AC1218" s="50"/>
      <c r="AD1218" s="50"/>
      <c r="AE1218" s="50"/>
    </row>
    <row r="1219">
      <c r="A1219" s="307">
        <v>42153.13402777778</v>
      </c>
      <c r="B1219" s="312" t="s">
        <v>709</v>
      </c>
      <c r="C1219" s="303" t="s">
        <v>1177</v>
      </c>
      <c r="D1219" s="303" t="s">
        <v>1178</v>
      </c>
      <c r="E1219" s="315">
        <v>41990.0</v>
      </c>
      <c r="F1219" s="312" t="s">
        <v>30</v>
      </c>
      <c r="G1219" s="303" t="s">
        <v>1180</v>
      </c>
      <c r="H1219" s="303" t="s">
        <v>1181</v>
      </c>
      <c r="I1219" s="303" t="s">
        <v>1187</v>
      </c>
      <c r="J1219" s="306">
        <v>0.8</v>
      </c>
      <c r="K1219" s="50"/>
      <c r="L1219" s="312"/>
      <c r="M1219" s="312">
        <v>233.0</v>
      </c>
      <c r="N1219" s="312"/>
      <c r="O1219" s="312"/>
      <c r="P1219" s="315">
        <v>42153.0</v>
      </c>
      <c r="Q1219" s="312">
        <v>17000.0</v>
      </c>
      <c r="R1219" s="312">
        <v>390.0</v>
      </c>
      <c r="S1219" s="316"/>
      <c r="T1219" s="317">
        <v>394.94</v>
      </c>
      <c r="U1219" s="312" t="s">
        <v>1366</v>
      </c>
      <c r="V1219" s="312" t="s">
        <v>1367</v>
      </c>
      <c r="W1219" s="50"/>
      <c r="X1219" s="50"/>
      <c r="Y1219" s="50"/>
      <c r="Z1219" s="312"/>
      <c r="AA1219" s="312" t="s">
        <v>1687</v>
      </c>
      <c r="AB1219" s="50"/>
      <c r="AC1219" s="50"/>
      <c r="AD1219" s="50"/>
      <c r="AE1219" s="50"/>
    </row>
    <row r="1220">
      <c r="A1220" s="307">
        <v>42161.134722222225</v>
      </c>
      <c r="B1220" s="312" t="s">
        <v>709</v>
      </c>
      <c r="C1220" s="303" t="s">
        <v>1177</v>
      </c>
      <c r="D1220" s="303" t="s">
        <v>1178</v>
      </c>
      <c r="E1220" s="315">
        <v>41990.0</v>
      </c>
      <c r="F1220" s="312" t="s">
        <v>30</v>
      </c>
      <c r="G1220" s="303" t="s">
        <v>1180</v>
      </c>
      <c r="H1220" s="303" t="s">
        <v>1181</v>
      </c>
      <c r="I1220" s="303" t="s">
        <v>1187</v>
      </c>
      <c r="J1220" s="306">
        <v>0.8</v>
      </c>
      <c r="K1220" s="50"/>
      <c r="L1220" s="312"/>
      <c r="M1220" s="312">
        <v>233.0</v>
      </c>
      <c r="N1220" s="312"/>
      <c r="O1220" s="312"/>
      <c r="P1220" s="315">
        <v>42161.0</v>
      </c>
      <c r="Q1220" s="312">
        <v>17500.0</v>
      </c>
      <c r="R1220" s="312">
        <v>388.0</v>
      </c>
      <c r="S1220" s="316"/>
      <c r="T1220" s="317">
        <v>392.91</v>
      </c>
      <c r="U1220" s="312" t="s">
        <v>1366</v>
      </c>
      <c r="V1220" s="312" t="s">
        <v>1367</v>
      </c>
      <c r="W1220" s="50"/>
      <c r="X1220" s="50"/>
      <c r="Y1220" s="50"/>
      <c r="Z1220" s="312"/>
      <c r="AA1220" s="312" t="s">
        <v>1688</v>
      </c>
      <c r="AB1220" s="50"/>
      <c r="AC1220" s="50"/>
      <c r="AD1220" s="50"/>
      <c r="AE1220" s="50"/>
    </row>
    <row r="1221">
      <c r="A1221" s="307">
        <v>42167.13888888889</v>
      </c>
      <c r="B1221" s="312" t="s">
        <v>709</v>
      </c>
      <c r="C1221" s="303" t="s">
        <v>1177</v>
      </c>
      <c r="D1221" s="303" t="s">
        <v>1178</v>
      </c>
      <c r="E1221" s="315">
        <v>41990.0</v>
      </c>
      <c r="F1221" s="312" t="s">
        <v>30</v>
      </c>
      <c r="G1221" s="303" t="s">
        <v>1180</v>
      </c>
      <c r="H1221" s="303" t="s">
        <v>1181</v>
      </c>
      <c r="I1221" s="303" t="s">
        <v>1187</v>
      </c>
      <c r="J1221" s="306">
        <v>0.8</v>
      </c>
      <c r="K1221" s="50"/>
      <c r="L1221" s="312"/>
      <c r="M1221" s="312">
        <v>233.0</v>
      </c>
      <c r="N1221" s="312"/>
      <c r="O1221" s="312"/>
      <c r="P1221" s="315">
        <v>42167.0</v>
      </c>
      <c r="Q1221" s="312">
        <v>19015.0</v>
      </c>
      <c r="R1221" s="312">
        <v>388.0</v>
      </c>
      <c r="S1221" s="316"/>
      <c r="T1221" s="317">
        <v>392.91</v>
      </c>
      <c r="U1221" s="312" t="s">
        <v>1366</v>
      </c>
      <c r="V1221" s="312" t="s">
        <v>1367</v>
      </c>
      <c r="W1221" s="50"/>
      <c r="X1221" s="50"/>
      <c r="Y1221" s="50"/>
      <c r="Z1221" s="312"/>
      <c r="AA1221" s="50"/>
      <c r="AB1221" s="50"/>
      <c r="AC1221" s="50"/>
      <c r="AD1221" s="50"/>
      <c r="AE1221" s="50"/>
    </row>
    <row r="1222">
      <c r="A1222" s="307">
        <v>42373.26666666667</v>
      </c>
      <c r="B1222" s="312" t="s">
        <v>709</v>
      </c>
      <c r="C1222" s="303" t="s">
        <v>1177</v>
      </c>
      <c r="D1222" s="303" t="s">
        <v>1178</v>
      </c>
      <c r="E1222" s="310">
        <v>41990.0</v>
      </c>
      <c r="F1222" s="312" t="s">
        <v>30</v>
      </c>
      <c r="G1222" s="303" t="s">
        <v>1180</v>
      </c>
      <c r="H1222" s="303" t="s">
        <v>1180</v>
      </c>
      <c r="I1222" s="303" t="s">
        <v>1187</v>
      </c>
      <c r="J1222" s="306">
        <v>0.8</v>
      </c>
      <c r="K1222" s="312">
        <v>398.0</v>
      </c>
      <c r="L1222" s="312"/>
      <c r="M1222" s="312">
        <v>225.0</v>
      </c>
      <c r="N1222" s="312"/>
      <c r="O1222" s="312"/>
      <c r="P1222" s="315">
        <v>42373.0</v>
      </c>
      <c r="Q1222" s="312">
        <v>40000.0</v>
      </c>
      <c r="R1222" s="312">
        <v>384.0</v>
      </c>
      <c r="S1222" s="316"/>
      <c r="T1222" s="317">
        <v>388.86</v>
      </c>
      <c r="U1222" s="312" t="s">
        <v>1366</v>
      </c>
      <c r="V1222" s="312" t="s">
        <v>1367</v>
      </c>
      <c r="W1222" s="50"/>
      <c r="X1222" s="50"/>
      <c r="Y1222" s="50"/>
      <c r="Z1222" s="312"/>
      <c r="AA1222" s="50"/>
      <c r="AB1222" s="50"/>
      <c r="AC1222" s="50"/>
      <c r="AD1222" s="50"/>
      <c r="AE1222" s="50"/>
    </row>
    <row r="1223">
      <c r="A1223" s="307">
        <v>42393.27638888889</v>
      </c>
      <c r="B1223" s="312" t="s">
        <v>709</v>
      </c>
      <c r="C1223" s="303" t="s">
        <v>1177</v>
      </c>
      <c r="D1223" s="303" t="s">
        <v>1178</v>
      </c>
      <c r="E1223" s="310">
        <v>41990.0</v>
      </c>
      <c r="F1223" s="312" t="s">
        <v>30</v>
      </c>
      <c r="G1223" s="303" t="s">
        <v>1179</v>
      </c>
      <c r="H1223" s="303" t="s">
        <v>1181</v>
      </c>
      <c r="I1223" s="303" t="s">
        <v>1187</v>
      </c>
      <c r="J1223" s="306">
        <v>0.8</v>
      </c>
      <c r="K1223" s="312">
        <v>398.0</v>
      </c>
      <c r="L1223" s="312"/>
      <c r="M1223" s="312">
        <v>226.0</v>
      </c>
      <c r="N1223" s="312"/>
      <c r="O1223" s="312"/>
      <c r="P1223" s="315">
        <v>42393.0</v>
      </c>
      <c r="Q1223" s="312">
        <v>41500.0</v>
      </c>
      <c r="R1223" s="312">
        <v>385.0</v>
      </c>
      <c r="S1223" s="316"/>
      <c r="T1223" s="317">
        <v>389.87</v>
      </c>
      <c r="U1223" s="312" t="s">
        <v>1366</v>
      </c>
      <c r="V1223" s="312" t="s">
        <v>1367</v>
      </c>
      <c r="W1223" s="50"/>
      <c r="X1223" s="50"/>
      <c r="Y1223" s="50"/>
      <c r="Z1223" s="312"/>
      <c r="AA1223" s="312" t="s">
        <v>1689</v>
      </c>
      <c r="AB1223" s="50"/>
      <c r="AC1223" s="50"/>
      <c r="AD1223" s="50"/>
      <c r="AE1223" s="50"/>
    </row>
    <row r="1224">
      <c r="A1224" s="307">
        <v>42443.30625</v>
      </c>
      <c r="B1224" s="312" t="s">
        <v>709</v>
      </c>
      <c r="C1224" s="303" t="s">
        <v>1177</v>
      </c>
      <c r="D1224" s="303" t="s">
        <v>1178</v>
      </c>
      <c r="E1224" s="315">
        <v>41990.0</v>
      </c>
      <c r="F1224" s="312" t="s">
        <v>30</v>
      </c>
      <c r="G1224" s="303" t="s">
        <v>1179</v>
      </c>
      <c r="H1224" s="303" t="s">
        <v>1181</v>
      </c>
      <c r="I1224" s="303" t="s">
        <v>1187</v>
      </c>
      <c r="J1224" s="306">
        <v>0.8</v>
      </c>
      <c r="K1224" s="312">
        <v>395.0</v>
      </c>
      <c r="L1224" s="312"/>
      <c r="M1224" s="312">
        <v>227.0</v>
      </c>
      <c r="N1224" s="312"/>
      <c r="O1224" s="312"/>
      <c r="P1224" s="315">
        <v>42443.0</v>
      </c>
      <c r="Q1224" s="312">
        <v>48000.0</v>
      </c>
      <c r="R1224" s="312">
        <v>384.0</v>
      </c>
      <c r="S1224" s="316"/>
      <c r="T1224" s="317">
        <v>388.86</v>
      </c>
      <c r="U1224" s="312" t="s">
        <v>1366</v>
      </c>
      <c r="V1224" s="312" t="s">
        <v>1367</v>
      </c>
      <c r="W1224" s="50"/>
      <c r="X1224" s="50"/>
      <c r="Y1224" s="50"/>
      <c r="Z1224" s="312"/>
      <c r="AA1224" s="50"/>
      <c r="AB1224" s="50"/>
      <c r="AC1224" s="50"/>
      <c r="AD1224" s="50"/>
      <c r="AE1224" s="50"/>
    </row>
    <row r="1225">
      <c r="A1225" s="307">
        <v>42475.32430555556</v>
      </c>
      <c r="B1225" s="312" t="s">
        <v>709</v>
      </c>
      <c r="C1225" s="303" t="s">
        <v>1177</v>
      </c>
      <c r="D1225" s="303" t="s">
        <v>1178</v>
      </c>
      <c r="E1225" s="315">
        <v>41990.0</v>
      </c>
      <c r="F1225" s="312" t="s">
        <v>30</v>
      </c>
      <c r="G1225" s="303" t="s">
        <v>1180</v>
      </c>
      <c r="H1225" s="303" t="s">
        <v>1180</v>
      </c>
      <c r="I1225" s="303" t="s">
        <v>1187</v>
      </c>
      <c r="J1225" s="306">
        <v>0.8</v>
      </c>
      <c r="K1225" s="312">
        <v>396.0</v>
      </c>
      <c r="L1225" s="312"/>
      <c r="M1225" s="312">
        <v>227.0</v>
      </c>
      <c r="N1225" s="312"/>
      <c r="O1225" s="312"/>
      <c r="P1225" s="315">
        <v>42475.0</v>
      </c>
      <c r="Q1225" s="312">
        <v>49200.0</v>
      </c>
      <c r="R1225" s="312">
        <v>386.0</v>
      </c>
      <c r="S1225" s="316"/>
      <c r="T1225" s="317">
        <v>390.89</v>
      </c>
      <c r="U1225" s="312" t="s">
        <v>1366</v>
      </c>
      <c r="V1225" s="312" t="s">
        <v>1367</v>
      </c>
      <c r="W1225" s="50"/>
      <c r="X1225" s="50"/>
      <c r="Y1225" s="50"/>
      <c r="Z1225" s="312"/>
      <c r="AA1225" s="50"/>
      <c r="AB1225" s="50"/>
      <c r="AC1225" s="50"/>
      <c r="AD1225" s="50"/>
      <c r="AE1225" s="50"/>
    </row>
    <row r="1226">
      <c r="A1226" s="307">
        <v>42532.34930555556</v>
      </c>
      <c r="B1226" s="312" t="s">
        <v>709</v>
      </c>
      <c r="C1226" s="303" t="s">
        <v>1177</v>
      </c>
      <c r="D1226" s="303" t="s">
        <v>1178</v>
      </c>
      <c r="E1226" s="315">
        <v>41990.0</v>
      </c>
      <c r="F1226" s="312" t="s">
        <v>30</v>
      </c>
      <c r="G1226" s="303" t="s">
        <v>1180</v>
      </c>
      <c r="H1226" s="303" t="s">
        <v>1181</v>
      </c>
      <c r="I1226" s="303" t="s">
        <v>1187</v>
      </c>
      <c r="J1226" s="306">
        <v>0.8</v>
      </c>
      <c r="K1226" s="312">
        <v>392.0</v>
      </c>
      <c r="L1226" s="312"/>
      <c r="M1226" s="312">
        <v>226.0</v>
      </c>
      <c r="N1226" s="312"/>
      <c r="O1226" s="312"/>
      <c r="P1226" s="315">
        <v>42532.0</v>
      </c>
      <c r="Q1226" s="312">
        <v>54000.0</v>
      </c>
      <c r="R1226" s="312">
        <v>386.0</v>
      </c>
      <c r="S1226" s="316"/>
      <c r="T1226" s="317">
        <v>390.89</v>
      </c>
      <c r="U1226" s="312" t="s">
        <v>1366</v>
      </c>
      <c r="V1226" s="312" t="s">
        <v>1367</v>
      </c>
      <c r="W1226" s="50"/>
      <c r="X1226" s="50"/>
      <c r="Y1226" s="50"/>
      <c r="Z1226" s="312"/>
      <c r="AA1226" s="50"/>
      <c r="AB1226" s="50"/>
      <c r="AC1226" s="50"/>
      <c r="AD1226" s="50"/>
      <c r="AE1226" s="50"/>
    </row>
    <row r="1227">
      <c r="A1227" s="307">
        <v>42547.356944444444</v>
      </c>
      <c r="B1227" s="312" t="s">
        <v>709</v>
      </c>
      <c r="C1227" s="303" t="s">
        <v>1177</v>
      </c>
      <c r="D1227" s="303" t="s">
        <v>1178</v>
      </c>
      <c r="E1227" s="315">
        <v>41990.0</v>
      </c>
      <c r="F1227" s="312" t="s">
        <v>30</v>
      </c>
      <c r="G1227" s="303" t="s">
        <v>1180</v>
      </c>
      <c r="H1227" s="303" t="s">
        <v>1180</v>
      </c>
      <c r="I1227" s="303" t="s">
        <v>1181</v>
      </c>
      <c r="J1227" s="306">
        <v>0.8</v>
      </c>
      <c r="K1227" s="312">
        <v>392.0</v>
      </c>
      <c r="L1227" s="312"/>
      <c r="M1227" s="312">
        <v>225.0</v>
      </c>
      <c r="N1227" s="312"/>
      <c r="O1227" s="312"/>
      <c r="P1227" s="315">
        <v>42547.0</v>
      </c>
      <c r="Q1227" s="312">
        <v>54765.0</v>
      </c>
      <c r="R1227" s="312">
        <v>384.0</v>
      </c>
      <c r="S1227" s="316"/>
      <c r="T1227" s="317">
        <v>388.86</v>
      </c>
      <c r="U1227" s="312" t="s">
        <v>1366</v>
      </c>
      <c r="V1227" s="312" t="s">
        <v>1367</v>
      </c>
      <c r="W1227" s="50"/>
      <c r="X1227" s="50"/>
      <c r="Y1227" s="50"/>
      <c r="Z1227" s="312"/>
      <c r="AA1227" s="50"/>
      <c r="AB1227" s="50"/>
      <c r="AC1227" s="50"/>
      <c r="AD1227" s="50"/>
      <c r="AE1227" s="50"/>
    </row>
    <row r="1228">
      <c r="A1228" s="307">
        <v>42454.31180555555</v>
      </c>
      <c r="B1228" s="312" t="s">
        <v>817</v>
      </c>
      <c r="C1228" s="303" t="s">
        <v>1177</v>
      </c>
      <c r="D1228" s="303" t="s">
        <v>1178</v>
      </c>
      <c r="E1228" s="315">
        <v>42342.0</v>
      </c>
      <c r="F1228" s="312" t="s">
        <v>22</v>
      </c>
      <c r="G1228" s="312"/>
      <c r="H1228" s="303" t="s">
        <v>1181</v>
      </c>
      <c r="I1228" s="303" t="s">
        <v>1187</v>
      </c>
      <c r="J1228" s="306">
        <v>0.8</v>
      </c>
      <c r="K1228" s="312">
        <v>365.0</v>
      </c>
      <c r="L1228" s="312"/>
      <c r="M1228" s="312">
        <v>223.0</v>
      </c>
      <c r="N1228" s="312"/>
      <c r="O1228" s="312"/>
      <c r="P1228" s="315">
        <v>42454.0</v>
      </c>
      <c r="Q1228" s="312">
        <v>11500.0</v>
      </c>
      <c r="R1228" s="312">
        <v>360.0</v>
      </c>
      <c r="S1228" s="316"/>
      <c r="T1228" s="317">
        <v>364.56</v>
      </c>
      <c r="U1228" s="312" t="s">
        <v>1366</v>
      </c>
      <c r="V1228" s="312" t="s">
        <v>1367</v>
      </c>
      <c r="W1228" s="50"/>
      <c r="X1228" s="50"/>
      <c r="Y1228" s="50"/>
      <c r="Z1228" s="312"/>
      <c r="AA1228" s="50"/>
      <c r="AB1228" s="50"/>
      <c r="AC1228" s="50"/>
      <c r="AD1228" s="50"/>
      <c r="AE1228" s="50"/>
    </row>
    <row r="1229">
      <c r="A1229" s="307">
        <v>42567.3625</v>
      </c>
      <c r="B1229" s="312" t="s">
        <v>817</v>
      </c>
      <c r="C1229" s="303" t="s">
        <v>1177</v>
      </c>
      <c r="D1229" s="303" t="s">
        <v>1178</v>
      </c>
      <c r="E1229" s="315">
        <v>42342.0</v>
      </c>
      <c r="F1229" s="312" t="s">
        <v>22</v>
      </c>
      <c r="G1229" s="303" t="s">
        <v>1181</v>
      </c>
      <c r="H1229" s="303" t="s">
        <v>1181</v>
      </c>
      <c r="I1229" s="303" t="s">
        <v>1187</v>
      </c>
      <c r="J1229" s="306">
        <v>0.8</v>
      </c>
      <c r="K1229" s="50"/>
      <c r="L1229" s="312"/>
      <c r="M1229" s="312">
        <v>206.0</v>
      </c>
      <c r="N1229" s="312"/>
      <c r="O1229" s="312"/>
      <c r="P1229" s="315">
        <v>42567.0</v>
      </c>
      <c r="Q1229" s="312">
        <v>19000.0</v>
      </c>
      <c r="R1229" s="312">
        <v>349.0</v>
      </c>
      <c r="S1229" s="316"/>
      <c r="T1229" s="317">
        <v>353.42</v>
      </c>
      <c r="U1229" s="312" t="s">
        <v>1366</v>
      </c>
      <c r="V1229" s="312" t="s">
        <v>1367</v>
      </c>
      <c r="W1229" s="50"/>
      <c r="X1229" s="50"/>
      <c r="Y1229" s="50"/>
      <c r="Z1229" s="312"/>
      <c r="AA1229" s="50"/>
      <c r="AB1229" s="50"/>
      <c r="AC1229" s="50"/>
      <c r="AD1229" s="50"/>
      <c r="AE1229" s="50"/>
    </row>
    <row r="1230">
      <c r="A1230" s="307">
        <v>42586.37430555555</v>
      </c>
      <c r="B1230" s="312" t="s">
        <v>817</v>
      </c>
      <c r="C1230" s="303" t="s">
        <v>1177</v>
      </c>
      <c r="D1230" s="303" t="s">
        <v>1178</v>
      </c>
      <c r="E1230" s="315">
        <v>42342.0</v>
      </c>
      <c r="F1230" s="312" t="s">
        <v>22</v>
      </c>
      <c r="G1230" s="303" t="s">
        <v>1180</v>
      </c>
      <c r="H1230" s="303" t="s">
        <v>1181</v>
      </c>
      <c r="I1230" s="303" t="s">
        <v>1187</v>
      </c>
      <c r="J1230" s="306">
        <v>0.8</v>
      </c>
      <c r="K1230" s="50"/>
      <c r="L1230" s="312"/>
      <c r="M1230" s="312">
        <v>204.0</v>
      </c>
      <c r="N1230" s="312"/>
      <c r="O1230" s="312"/>
      <c r="P1230" s="315">
        <v>42586.0</v>
      </c>
      <c r="Q1230" s="312">
        <v>25000.0</v>
      </c>
      <c r="R1230" s="312">
        <v>350.0</v>
      </c>
      <c r="S1230" s="316"/>
      <c r="T1230" s="317">
        <v>354.43</v>
      </c>
      <c r="U1230" s="312" t="s">
        <v>1366</v>
      </c>
      <c r="V1230" s="312" t="s">
        <v>1367</v>
      </c>
      <c r="W1230" s="50"/>
      <c r="X1230" s="50"/>
      <c r="Y1230" s="50"/>
      <c r="Z1230" s="312"/>
      <c r="AA1230" s="50"/>
      <c r="AB1230" s="50"/>
      <c r="AC1230" s="50"/>
      <c r="AD1230" s="50"/>
      <c r="AE1230" s="50"/>
    </row>
    <row r="1231">
      <c r="A1231" s="307">
        <v>42684.43472222222</v>
      </c>
      <c r="B1231" s="312" t="s">
        <v>817</v>
      </c>
      <c r="C1231" s="303" t="s">
        <v>1177</v>
      </c>
      <c r="D1231" s="303" t="s">
        <v>1178</v>
      </c>
      <c r="E1231" s="315">
        <v>42342.0</v>
      </c>
      <c r="F1231" s="312" t="s">
        <v>22</v>
      </c>
      <c r="G1231" s="303" t="s">
        <v>1180</v>
      </c>
      <c r="H1231" s="303" t="s">
        <v>1181</v>
      </c>
      <c r="I1231" s="303" t="s">
        <v>1187</v>
      </c>
      <c r="J1231" s="306">
        <v>0.8</v>
      </c>
      <c r="K1231" s="312">
        <v>365.0</v>
      </c>
      <c r="L1231" s="312"/>
      <c r="M1231" s="312">
        <v>201.0</v>
      </c>
      <c r="N1231" s="312"/>
      <c r="O1231" s="312"/>
      <c r="P1231" s="315">
        <v>42684.0</v>
      </c>
      <c r="Q1231" s="312">
        <v>31273.0</v>
      </c>
      <c r="R1231" s="312">
        <v>349.0</v>
      </c>
      <c r="S1231" s="316"/>
      <c r="T1231" s="317">
        <v>353.42</v>
      </c>
      <c r="U1231" s="312" t="s">
        <v>1366</v>
      </c>
      <c r="V1231" s="312" t="s">
        <v>1367</v>
      </c>
      <c r="W1231" s="50"/>
      <c r="X1231" s="50"/>
      <c r="Y1231" s="50"/>
      <c r="Z1231" s="312"/>
      <c r="AA1231" s="50"/>
      <c r="AB1231" s="50"/>
      <c r="AC1231" s="50"/>
      <c r="AD1231" s="50"/>
      <c r="AE1231" s="50"/>
    </row>
    <row r="1232">
      <c r="A1232" s="307">
        <v>42658.41388888889</v>
      </c>
      <c r="B1232" s="312" t="s">
        <v>1042</v>
      </c>
      <c r="C1232" s="303" t="s">
        <v>1177</v>
      </c>
      <c r="D1232" s="303" t="s">
        <v>1178</v>
      </c>
      <c r="E1232" s="315">
        <v>42626.0</v>
      </c>
      <c r="F1232" s="312" t="s">
        <v>43</v>
      </c>
      <c r="G1232" s="303" t="s">
        <v>1180</v>
      </c>
      <c r="H1232" s="303" t="s">
        <v>1181</v>
      </c>
      <c r="I1232" s="303" t="s">
        <v>1187</v>
      </c>
      <c r="J1232" s="306">
        <v>0.8</v>
      </c>
      <c r="K1232" s="312">
        <v>455.0</v>
      </c>
      <c r="L1232" s="312"/>
      <c r="M1232" s="312">
        <v>214.0</v>
      </c>
      <c r="N1232" s="312"/>
      <c r="O1232" s="312"/>
      <c r="P1232" s="315">
        <v>42658.0</v>
      </c>
      <c r="Q1232" s="312">
        <v>1980.0</v>
      </c>
      <c r="R1232" s="312">
        <v>445.0</v>
      </c>
      <c r="S1232" s="316"/>
      <c r="T1232" s="317">
        <v>450.63</v>
      </c>
      <c r="U1232" s="312" t="s">
        <v>1366</v>
      </c>
      <c r="V1232" s="312" t="s">
        <v>1367</v>
      </c>
      <c r="W1232" s="312">
        <v>455.0</v>
      </c>
      <c r="X1232" s="50"/>
      <c r="Y1232" s="50"/>
      <c r="Z1232" s="312"/>
      <c r="AA1232" s="312" t="s">
        <v>1690</v>
      </c>
      <c r="AB1232" s="50"/>
      <c r="AC1232" s="50"/>
      <c r="AD1232" s="50"/>
      <c r="AE1232" s="50"/>
    </row>
    <row r="1233">
      <c r="A1233" s="307">
        <v>42659.419444444444</v>
      </c>
      <c r="B1233" s="312" t="s">
        <v>1042</v>
      </c>
      <c r="C1233" s="303" t="s">
        <v>1177</v>
      </c>
      <c r="D1233" s="303" t="s">
        <v>1178</v>
      </c>
      <c r="E1233" s="315">
        <v>42626.0</v>
      </c>
      <c r="F1233" s="312" t="s">
        <v>43</v>
      </c>
      <c r="G1233" s="303" t="s">
        <v>1180</v>
      </c>
      <c r="H1233" s="303" t="s">
        <v>1181</v>
      </c>
      <c r="I1233" s="303" t="s">
        <v>1187</v>
      </c>
      <c r="J1233" s="306">
        <v>0.8</v>
      </c>
      <c r="K1233" s="312">
        <v>455.0</v>
      </c>
      <c r="L1233" s="312"/>
      <c r="M1233" s="312">
        <v>214.0</v>
      </c>
      <c r="N1233" s="312"/>
      <c r="O1233" s="312"/>
      <c r="P1233" s="315">
        <v>42659.0</v>
      </c>
      <c r="Q1233" s="312">
        <v>2500.0</v>
      </c>
      <c r="R1233" s="312">
        <v>450.0</v>
      </c>
      <c r="S1233" s="316"/>
      <c r="T1233" s="317">
        <v>455.7</v>
      </c>
      <c r="U1233" s="312" t="s">
        <v>1366</v>
      </c>
      <c r="V1233" s="312" t="s">
        <v>1367</v>
      </c>
      <c r="W1233" s="312">
        <v>450.0</v>
      </c>
      <c r="X1233" s="50"/>
      <c r="Y1233" s="50"/>
      <c r="Z1233" s="312"/>
      <c r="AA1233" s="50"/>
      <c r="AB1233" s="50"/>
      <c r="AC1233" s="50"/>
      <c r="AD1233" s="50"/>
      <c r="AE1233" s="50"/>
    </row>
    <row r="1234">
      <c r="A1234" s="307">
        <v>42701.46597222222</v>
      </c>
      <c r="B1234" s="312" t="s">
        <v>1042</v>
      </c>
      <c r="C1234" s="303" t="s">
        <v>1177</v>
      </c>
      <c r="D1234" s="303" t="s">
        <v>1178</v>
      </c>
      <c r="E1234" s="315">
        <v>42626.0</v>
      </c>
      <c r="F1234" s="312" t="s">
        <v>43</v>
      </c>
      <c r="G1234" s="303" t="s">
        <v>1205</v>
      </c>
      <c r="H1234" s="303" t="s">
        <v>1181</v>
      </c>
      <c r="I1234" s="303" t="s">
        <v>1187</v>
      </c>
      <c r="J1234" s="306">
        <v>0.9</v>
      </c>
      <c r="K1234" s="312">
        <v>450.0</v>
      </c>
      <c r="L1234" s="312"/>
      <c r="M1234" s="312">
        <v>220.0</v>
      </c>
      <c r="N1234" s="312"/>
      <c r="O1234" s="312"/>
      <c r="P1234" s="315">
        <v>42701.0</v>
      </c>
      <c r="Q1234" s="312">
        <v>8000.0</v>
      </c>
      <c r="R1234" s="312">
        <v>444.0</v>
      </c>
      <c r="S1234" s="316"/>
      <c r="T1234" s="317">
        <v>449.62</v>
      </c>
      <c r="U1234" s="312" t="s">
        <v>1366</v>
      </c>
      <c r="V1234" s="312" t="s">
        <v>1367</v>
      </c>
      <c r="W1234" s="312">
        <v>444.0</v>
      </c>
      <c r="X1234" s="50"/>
      <c r="Y1234" s="50"/>
      <c r="Z1234" s="312"/>
      <c r="AA1234" s="50"/>
      <c r="AB1234" s="50"/>
      <c r="AC1234" s="50"/>
      <c r="AD1234" s="50"/>
      <c r="AE1234" s="50"/>
    </row>
    <row r="1235">
      <c r="A1235" s="307">
        <v>42903.54791666667</v>
      </c>
      <c r="B1235" s="312" t="s">
        <v>905</v>
      </c>
      <c r="C1235" s="303" t="s">
        <v>1177</v>
      </c>
      <c r="D1235" s="303" t="s">
        <v>1178</v>
      </c>
      <c r="E1235" s="315">
        <v>42899.0</v>
      </c>
      <c r="F1235" s="312" t="s">
        <v>25</v>
      </c>
      <c r="G1235" s="303" t="s">
        <v>1181</v>
      </c>
      <c r="H1235" s="303" t="s">
        <v>1180</v>
      </c>
      <c r="I1235" s="303" t="s">
        <v>1187</v>
      </c>
      <c r="J1235" s="306">
        <v>0.9</v>
      </c>
      <c r="K1235" s="312">
        <v>373.0</v>
      </c>
      <c r="L1235" s="312"/>
      <c r="M1235" s="312">
        <v>194.0</v>
      </c>
      <c r="N1235" s="312"/>
      <c r="O1235" s="312"/>
      <c r="P1235" s="315">
        <v>42903.0</v>
      </c>
      <c r="Q1235" s="312">
        <v>350.0</v>
      </c>
      <c r="R1235" s="312">
        <v>373.0</v>
      </c>
      <c r="S1235" s="316"/>
      <c r="T1235" s="317">
        <v>377.72</v>
      </c>
      <c r="U1235" s="312" t="s">
        <v>1366</v>
      </c>
      <c r="V1235" s="312" t="s">
        <v>1367</v>
      </c>
      <c r="W1235" s="312"/>
      <c r="X1235" s="50"/>
      <c r="Y1235" s="312"/>
      <c r="Z1235" s="312" t="s">
        <v>1366</v>
      </c>
      <c r="AA1235" s="50"/>
      <c r="AB1235" s="50"/>
      <c r="AC1235" s="50"/>
      <c r="AD1235" s="50"/>
      <c r="AE1235" s="50"/>
    </row>
    <row r="1236">
      <c r="A1236" s="307">
        <v>42910.55069444444</v>
      </c>
      <c r="B1236" s="312" t="s">
        <v>905</v>
      </c>
      <c r="C1236" s="303" t="s">
        <v>1177</v>
      </c>
      <c r="D1236" s="303" t="s">
        <v>1178</v>
      </c>
      <c r="E1236" s="315">
        <v>42899.0</v>
      </c>
      <c r="F1236" s="312" t="s">
        <v>25</v>
      </c>
      <c r="G1236" s="303" t="s">
        <v>1180</v>
      </c>
      <c r="H1236" s="303" t="s">
        <v>1180</v>
      </c>
      <c r="I1236" s="303" t="s">
        <v>1187</v>
      </c>
      <c r="J1236" s="306">
        <v>0.9</v>
      </c>
      <c r="K1236" s="312">
        <v>373.0</v>
      </c>
      <c r="L1236" s="312"/>
      <c r="M1236" s="312">
        <v>196.0</v>
      </c>
      <c r="N1236" s="312"/>
      <c r="O1236" s="312"/>
      <c r="P1236" s="315">
        <v>42910.0</v>
      </c>
      <c r="Q1236" s="312">
        <v>736.0</v>
      </c>
      <c r="R1236" s="312">
        <v>373.0</v>
      </c>
      <c r="S1236" s="316"/>
      <c r="T1236" s="317">
        <v>377.72</v>
      </c>
      <c r="U1236" s="312" t="s">
        <v>1366</v>
      </c>
      <c r="V1236" s="312" t="s">
        <v>1367</v>
      </c>
      <c r="W1236" s="50"/>
      <c r="X1236" s="50"/>
      <c r="Y1236" s="50"/>
      <c r="Z1236" s="312"/>
      <c r="AA1236" s="50"/>
      <c r="AB1236" s="50"/>
      <c r="AC1236" s="50"/>
      <c r="AD1236" s="50"/>
      <c r="AE1236" s="50"/>
    </row>
    <row r="1237">
      <c r="A1237" s="307">
        <v>42945.56597222222</v>
      </c>
      <c r="B1237" s="312" t="s">
        <v>905</v>
      </c>
      <c r="C1237" s="303" t="s">
        <v>1177</v>
      </c>
      <c r="D1237" s="303" t="s">
        <v>1178</v>
      </c>
      <c r="E1237" s="315">
        <v>42899.0</v>
      </c>
      <c r="F1237" s="312" t="s">
        <v>25</v>
      </c>
      <c r="G1237" s="303" t="s">
        <v>1180</v>
      </c>
      <c r="H1237" s="303" t="s">
        <v>1181</v>
      </c>
      <c r="I1237" s="303" t="s">
        <v>1187</v>
      </c>
      <c r="J1237" s="306">
        <v>0.8</v>
      </c>
      <c r="K1237" s="312">
        <v>373.0</v>
      </c>
      <c r="L1237" s="312"/>
      <c r="M1237" s="312">
        <v>192.0</v>
      </c>
      <c r="N1237" s="312"/>
      <c r="O1237" s="312"/>
      <c r="P1237" s="315">
        <v>42945.0</v>
      </c>
      <c r="Q1237" s="312">
        <v>7500.0</v>
      </c>
      <c r="R1237" s="312">
        <v>373.0</v>
      </c>
      <c r="S1237" s="316"/>
      <c r="T1237" s="317">
        <v>377.72</v>
      </c>
      <c r="U1237" s="312" t="s">
        <v>1366</v>
      </c>
      <c r="V1237" s="312" t="s">
        <v>1367</v>
      </c>
      <c r="W1237" s="50"/>
      <c r="X1237" s="50"/>
      <c r="Y1237" s="50"/>
      <c r="Z1237" s="312"/>
      <c r="AA1237" s="50"/>
      <c r="AB1237" s="50"/>
      <c r="AC1237" s="50"/>
      <c r="AD1237" s="50"/>
      <c r="AE1237" s="50"/>
    </row>
    <row r="1238">
      <c r="A1238" s="307">
        <v>42990.60555555556</v>
      </c>
      <c r="B1238" s="312" t="s">
        <v>905</v>
      </c>
      <c r="C1238" s="303" t="s">
        <v>1177</v>
      </c>
      <c r="D1238" s="303" t="s">
        <v>1178</v>
      </c>
      <c r="E1238" s="315">
        <v>42899.0</v>
      </c>
      <c r="F1238" s="312" t="s">
        <v>25</v>
      </c>
      <c r="G1238" s="303" t="s">
        <v>1180</v>
      </c>
      <c r="H1238" s="303" t="s">
        <v>1180</v>
      </c>
      <c r="I1238" s="303" t="s">
        <v>1187</v>
      </c>
      <c r="J1238" s="306">
        <v>0.8</v>
      </c>
      <c r="K1238" s="312">
        <v>373.0</v>
      </c>
      <c r="L1238" s="312"/>
      <c r="M1238" s="312">
        <v>190.0</v>
      </c>
      <c r="N1238" s="312"/>
      <c r="O1238" s="312"/>
      <c r="P1238" s="315">
        <v>42990.0</v>
      </c>
      <c r="Q1238" s="312">
        <v>10500.0</v>
      </c>
      <c r="R1238" s="312">
        <v>373.0</v>
      </c>
      <c r="S1238" s="316"/>
      <c r="T1238" s="317">
        <v>377.72</v>
      </c>
      <c r="U1238" s="312" t="s">
        <v>1366</v>
      </c>
      <c r="V1238" s="312" t="s">
        <v>1367</v>
      </c>
      <c r="W1238" s="50"/>
      <c r="X1238" s="50"/>
      <c r="Y1238" s="50"/>
      <c r="Z1238" s="312"/>
      <c r="AA1238" s="50"/>
      <c r="AB1238" s="50"/>
      <c r="AC1238" s="50"/>
      <c r="AD1238" s="50"/>
      <c r="AE1238" s="50"/>
    </row>
    <row r="1239">
      <c r="A1239" s="307">
        <v>43022.623611111114</v>
      </c>
      <c r="B1239" s="312" t="s">
        <v>905</v>
      </c>
      <c r="C1239" s="303" t="s">
        <v>1177</v>
      </c>
      <c r="D1239" s="303" t="s">
        <v>1178</v>
      </c>
      <c r="E1239" s="315">
        <v>42899.0</v>
      </c>
      <c r="F1239" s="312" t="s">
        <v>25</v>
      </c>
      <c r="G1239" s="303" t="s">
        <v>1180</v>
      </c>
      <c r="H1239" s="303" t="s">
        <v>1180</v>
      </c>
      <c r="I1239" s="303" t="s">
        <v>1187</v>
      </c>
      <c r="J1239" s="306">
        <v>0.8</v>
      </c>
      <c r="K1239" s="312">
        <v>373.0</v>
      </c>
      <c r="L1239" s="312"/>
      <c r="M1239" s="312">
        <v>189.0</v>
      </c>
      <c r="N1239" s="312"/>
      <c r="O1239" s="312"/>
      <c r="P1239" s="315">
        <v>43022.0</v>
      </c>
      <c r="Q1239" s="312">
        <v>12063.0</v>
      </c>
      <c r="R1239" s="312">
        <v>373.0</v>
      </c>
      <c r="S1239" s="316"/>
      <c r="T1239" s="317">
        <v>377.72</v>
      </c>
      <c r="U1239" s="312" t="s">
        <v>1366</v>
      </c>
      <c r="V1239" s="312" t="s">
        <v>1367</v>
      </c>
      <c r="W1239" s="50"/>
      <c r="X1239" s="50"/>
      <c r="Y1239" s="50"/>
      <c r="Z1239" s="312"/>
      <c r="AA1239" s="50"/>
      <c r="AB1239" s="50"/>
      <c r="AC1239" s="50"/>
      <c r="AD1239" s="50"/>
      <c r="AE1239" s="50"/>
    </row>
    <row r="1240">
      <c r="A1240" s="307">
        <v>43101.65972222222</v>
      </c>
      <c r="B1240" s="312" t="s">
        <v>905</v>
      </c>
      <c r="C1240" s="303" t="s">
        <v>1177</v>
      </c>
      <c r="D1240" s="303" t="s">
        <v>1178</v>
      </c>
      <c r="E1240" s="315">
        <v>42900.0</v>
      </c>
      <c r="F1240" s="312" t="s">
        <v>25</v>
      </c>
      <c r="G1240" s="303" t="s">
        <v>1180</v>
      </c>
      <c r="H1240" s="303" t="s">
        <v>1180</v>
      </c>
      <c r="I1240" s="303" t="s">
        <v>1187</v>
      </c>
      <c r="J1240" s="306">
        <v>0.8</v>
      </c>
      <c r="K1240" s="312">
        <v>373.0</v>
      </c>
      <c r="L1240" s="312"/>
      <c r="M1240" s="312">
        <v>201.0</v>
      </c>
      <c r="N1240" s="312"/>
      <c r="O1240" s="312"/>
      <c r="P1240" s="315">
        <v>43101.0</v>
      </c>
      <c r="Q1240" s="312">
        <v>17013.0</v>
      </c>
      <c r="R1240" s="312">
        <v>368.0</v>
      </c>
      <c r="S1240" s="316"/>
      <c r="T1240" s="317">
        <v>372.66</v>
      </c>
      <c r="U1240" s="312" t="s">
        <v>1366</v>
      </c>
      <c r="V1240" s="312" t="s">
        <v>1367</v>
      </c>
      <c r="W1240" s="50"/>
      <c r="X1240" s="50"/>
      <c r="Y1240" s="50"/>
      <c r="Z1240" s="312"/>
      <c r="AA1240" s="50"/>
      <c r="AB1240" s="50"/>
      <c r="AC1240" s="50"/>
      <c r="AD1240" s="50"/>
      <c r="AE1240" s="50"/>
    </row>
    <row r="1241">
      <c r="A1241" s="307">
        <v>43078.64375</v>
      </c>
      <c r="B1241" s="312" t="s">
        <v>1691</v>
      </c>
      <c r="C1241" s="303" t="s">
        <v>1177</v>
      </c>
      <c r="D1241" s="303" t="s">
        <v>1178</v>
      </c>
      <c r="E1241" s="315">
        <v>41915.0</v>
      </c>
      <c r="F1241" s="312" t="s">
        <v>34</v>
      </c>
      <c r="G1241" s="303" t="s">
        <v>1180</v>
      </c>
      <c r="H1241" s="303" t="s">
        <v>1181</v>
      </c>
      <c r="I1241" s="303" t="s">
        <v>1186</v>
      </c>
      <c r="J1241" s="306">
        <v>0.9</v>
      </c>
      <c r="K1241" s="50"/>
      <c r="L1241" s="312"/>
      <c r="M1241" s="312">
        <v>217.0</v>
      </c>
      <c r="N1241" s="312"/>
      <c r="O1241" s="312"/>
      <c r="P1241" s="315">
        <v>43078.0</v>
      </c>
      <c r="Q1241" s="312">
        <v>101887.0</v>
      </c>
      <c r="R1241" s="312">
        <v>363.0</v>
      </c>
      <c r="S1241" s="316"/>
      <c r="T1241" s="317">
        <v>363.0</v>
      </c>
      <c r="U1241" s="312" t="s">
        <v>1369</v>
      </c>
      <c r="V1241" s="312" t="s">
        <v>1367</v>
      </c>
      <c r="W1241" s="50"/>
      <c r="X1241" s="50"/>
      <c r="Y1241" s="50"/>
      <c r="Z1241" s="312"/>
      <c r="AA1241" s="50"/>
      <c r="AB1241" s="50"/>
      <c r="AC1241" s="50"/>
      <c r="AD1241" s="50"/>
      <c r="AE1241" s="50"/>
    </row>
    <row r="1242">
      <c r="A1242" s="307">
        <v>42874.64444444444</v>
      </c>
      <c r="B1242" s="312" t="s">
        <v>1691</v>
      </c>
      <c r="C1242" s="303" t="s">
        <v>1177</v>
      </c>
      <c r="D1242" s="303" t="s">
        <v>1178</v>
      </c>
      <c r="E1242" s="315">
        <v>41915.0</v>
      </c>
      <c r="F1242" s="312" t="s">
        <v>34</v>
      </c>
      <c r="G1242" s="303" t="s">
        <v>1203</v>
      </c>
      <c r="H1242" s="303" t="s">
        <v>1190</v>
      </c>
      <c r="I1242" s="303" t="s">
        <v>1186</v>
      </c>
      <c r="J1242" s="306">
        <v>1.0</v>
      </c>
      <c r="K1242" s="50"/>
      <c r="L1242" s="312"/>
      <c r="M1242" s="312">
        <v>217.0</v>
      </c>
      <c r="N1242" s="312"/>
      <c r="O1242" s="312"/>
      <c r="P1242" s="315">
        <v>42874.0</v>
      </c>
      <c r="Q1242" s="312">
        <v>75000.0</v>
      </c>
      <c r="R1242" s="312">
        <v>378.0</v>
      </c>
      <c r="S1242" s="316"/>
      <c r="T1242" s="317">
        <v>378.0</v>
      </c>
      <c r="U1242" s="312" t="s">
        <v>1369</v>
      </c>
      <c r="V1242" s="312" t="s">
        <v>1367</v>
      </c>
      <c r="W1242" s="50"/>
      <c r="X1242" s="50"/>
      <c r="Y1242" s="50"/>
      <c r="Z1242" s="312"/>
      <c r="AA1242" s="50"/>
      <c r="AB1242" s="50"/>
      <c r="AC1242" s="50"/>
      <c r="AD1242" s="50"/>
      <c r="AE1242" s="50"/>
    </row>
    <row r="1243">
      <c r="A1243" s="307">
        <v>43120.67291666667</v>
      </c>
      <c r="B1243" s="312" t="s">
        <v>1692</v>
      </c>
      <c r="C1243" s="303" t="s">
        <v>1177</v>
      </c>
      <c r="D1243" s="303" t="s">
        <v>1178</v>
      </c>
      <c r="E1243" s="315">
        <v>42727.0</v>
      </c>
      <c r="F1243" s="312" t="s">
        <v>43</v>
      </c>
      <c r="G1243" s="303" t="s">
        <v>1180</v>
      </c>
      <c r="H1243" s="303" t="s">
        <v>1190</v>
      </c>
      <c r="I1243" s="303" t="s">
        <v>1181</v>
      </c>
      <c r="J1243" s="306">
        <v>0.9</v>
      </c>
      <c r="K1243" s="312">
        <v>455.0</v>
      </c>
      <c r="L1243" s="312"/>
      <c r="M1243" s="312">
        <v>244.0</v>
      </c>
      <c r="N1243" s="312"/>
      <c r="O1243" s="312"/>
      <c r="P1243" s="315">
        <v>43120.0</v>
      </c>
      <c r="Q1243" s="312">
        <v>14500.0</v>
      </c>
      <c r="R1243" s="312">
        <v>435.0</v>
      </c>
      <c r="S1243" s="316"/>
      <c r="T1243" s="317">
        <v>440.51</v>
      </c>
      <c r="U1243" s="312" t="s">
        <v>1366</v>
      </c>
      <c r="V1243" s="312" t="s">
        <v>1367</v>
      </c>
      <c r="W1243" s="312">
        <v>400.0</v>
      </c>
      <c r="X1243" s="50"/>
      <c r="Y1243" s="50"/>
      <c r="Z1243" s="312"/>
      <c r="AA1243" s="50"/>
      <c r="AB1243" s="50"/>
      <c r="AC1243" s="50"/>
      <c r="AD1243" s="50"/>
      <c r="AE1243" s="50"/>
    </row>
    <row r="1244">
      <c r="A1244" s="307">
        <v>42838.82361111111</v>
      </c>
      <c r="B1244" s="312" t="s">
        <v>603</v>
      </c>
      <c r="C1244" s="312" t="s">
        <v>1184</v>
      </c>
      <c r="D1244" s="303" t="s">
        <v>1185</v>
      </c>
      <c r="E1244" s="315">
        <v>42044.0</v>
      </c>
      <c r="F1244" s="312" t="s">
        <v>30</v>
      </c>
      <c r="G1244" s="303" t="s">
        <v>1181</v>
      </c>
      <c r="H1244" s="303" t="s">
        <v>1186</v>
      </c>
      <c r="I1244" s="303" t="s">
        <v>1187</v>
      </c>
      <c r="J1244" s="306">
        <v>0.9</v>
      </c>
      <c r="K1244" s="312">
        <v>267.0</v>
      </c>
      <c r="L1244" s="312"/>
      <c r="M1244" s="312">
        <v>279.0</v>
      </c>
      <c r="N1244" s="312"/>
      <c r="O1244" s="312"/>
      <c r="P1244" s="315">
        <v>42838.0</v>
      </c>
      <c r="Q1244" s="312">
        <v>25772.0</v>
      </c>
      <c r="R1244" s="312">
        <v>265.0</v>
      </c>
      <c r="S1244" s="316"/>
      <c r="T1244" s="317">
        <v>265.0</v>
      </c>
      <c r="U1244" s="312" t="s">
        <v>1369</v>
      </c>
      <c r="V1244" s="312" t="s">
        <v>1367</v>
      </c>
      <c r="W1244" s="50"/>
      <c r="X1244" s="50"/>
      <c r="Y1244" s="50"/>
      <c r="Z1244" s="312"/>
      <c r="AA1244" s="312" t="s">
        <v>1693</v>
      </c>
      <c r="AB1244" s="50"/>
      <c r="AC1244" s="50"/>
      <c r="AD1244" s="50"/>
      <c r="AE1244" s="50"/>
    </row>
    <row r="1245">
      <c r="A1245" s="307">
        <v>43118.88680555556</v>
      </c>
      <c r="B1245" s="312" t="s">
        <v>603</v>
      </c>
      <c r="C1245" s="312" t="s">
        <v>1184</v>
      </c>
      <c r="D1245" s="303" t="s">
        <v>1185</v>
      </c>
      <c r="E1245" s="315">
        <v>42044.0</v>
      </c>
      <c r="F1245" s="312" t="s">
        <v>30</v>
      </c>
      <c r="G1245" s="303" t="s">
        <v>1180</v>
      </c>
      <c r="H1245" s="303" t="s">
        <v>1181</v>
      </c>
      <c r="I1245" s="303" t="s">
        <v>1187</v>
      </c>
      <c r="J1245" s="306">
        <v>0.7</v>
      </c>
      <c r="K1245" s="312">
        <v>267.0</v>
      </c>
      <c r="L1245" s="312"/>
      <c r="M1245" s="312">
        <v>280.0</v>
      </c>
      <c r="N1245" s="312"/>
      <c r="O1245" s="312"/>
      <c r="P1245" s="315">
        <v>43118.0</v>
      </c>
      <c r="Q1245" s="312">
        <v>35339.0</v>
      </c>
      <c r="R1245" s="312">
        <v>263.0</v>
      </c>
      <c r="S1245" s="316"/>
      <c r="T1245" s="317">
        <v>263.0</v>
      </c>
      <c r="U1245" s="312" t="s">
        <v>1369</v>
      </c>
      <c r="V1245" s="312" t="s">
        <v>1367</v>
      </c>
      <c r="W1245" s="50"/>
      <c r="X1245" s="50"/>
      <c r="Y1245" s="50"/>
      <c r="Z1245" s="312"/>
      <c r="AA1245" s="312" t="s">
        <v>1693</v>
      </c>
      <c r="AB1245" s="50"/>
      <c r="AC1245" s="50"/>
      <c r="AD1245" s="50"/>
      <c r="AE1245" s="50"/>
    </row>
    <row r="1246">
      <c r="A1246" s="307">
        <v>43125.67847222222</v>
      </c>
      <c r="B1246" s="312" t="s">
        <v>1694</v>
      </c>
      <c r="C1246" s="303" t="s">
        <v>1177</v>
      </c>
      <c r="D1246" s="303" t="s">
        <v>1178</v>
      </c>
      <c r="E1246" s="315">
        <v>43048.0</v>
      </c>
      <c r="F1246" s="312" t="s">
        <v>28</v>
      </c>
      <c r="G1246" s="303" t="s">
        <v>1181</v>
      </c>
      <c r="H1246" s="303" t="s">
        <v>1181</v>
      </c>
      <c r="I1246" s="303" t="s">
        <v>1186</v>
      </c>
      <c r="J1246" s="306">
        <v>0.7</v>
      </c>
      <c r="K1246" s="312">
        <v>384.0</v>
      </c>
      <c r="L1246" s="312"/>
      <c r="M1246" s="312">
        <v>240.0</v>
      </c>
      <c r="N1246" s="312"/>
      <c r="O1246" s="312"/>
      <c r="P1246" s="315">
        <v>43125.0</v>
      </c>
      <c r="Q1246" s="312">
        <v>1672.0</v>
      </c>
      <c r="R1246" s="312">
        <v>384.0</v>
      </c>
      <c r="S1246" s="316"/>
      <c r="T1246" s="317">
        <v>388.86</v>
      </c>
      <c r="U1246" s="312" t="s">
        <v>1366</v>
      </c>
      <c r="V1246" s="312" t="s">
        <v>1367</v>
      </c>
      <c r="W1246" s="50"/>
      <c r="X1246" s="50"/>
      <c r="Y1246" s="50"/>
      <c r="Z1246" s="312"/>
      <c r="AA1246" s="312" t="s">
        <v>1695</v>
      </c>
      <c r="AB1246" s="50"/>
      <c r="AC1246" s="50"/>
      <c r="AD1246" s="50"/>
      <c r="AE1246" s="50"/>
    </row>
    <row r="1247">
      <c r="A1247" s="307">
        <v>43015.62013888889</v>
      </c>
      <c r="B1247" s="312" t="s">
        <v>1028</v>
      </c>
      <c r="C1247" s="303" t="s">
        <v>1177</v>
      </c>
      <c r="D1247" s="303" t="s">
        <v>1178</v>
      </c>
      <c r="E1247" s="315">
        <v>42948.0</v>
      </c>
      <c r="F1247" s="312" t="s">
        <v>43</v>
      </c>
      <c r="G1247" s="303" t="s">
        <v>1203</v>
      </c>
      <c r="H1247" s="303" t="s">
        <v>1181</v>
      </c>
      <c r="I1247" s="303" t="s">
        <v>1186</v>
      </c>
      <c r="J1247" s="306">
        <v>0.9</v>
      </c>
      <c r="K1247" s="312">
        <v>448.0</v>
      </c>
      <c r="L1247" s="312"/>
      <c r="M1247" s="312">
        <v>197.0</v>
      </c>
      <c r="N1247" s="312"/>
      <c r="O1247" s="312"/>
      <c r="P1247" s="315">
        <v>43015.0</v>
      </c>
      <c r="Q1247" s="312">
        <v>605.0</v>
      </c>
      <c r="R1247" s="312">
        <v>448.0</v>
      </c>
      <c r="S1247" s="316"/>
      <c r="T1247" s="317">
        <v>453.67</v>
      </c>
      <c r="U1247" s="312" t="s">
        <v>1366</v>
      </c>
      <c r="V1247" s="312" t="s">
        <v>1367</v>
      </c>
      <c r="W1247" s="50"/>
      <c r="X1247" s="50"/>
      <c r="Y1247" s="50"/>
      <c r="Z1247" s="312"/>
      <c r="AA1247" s="50"/>
      <c r="AB1247" s="50"/>
      <c r="AC1247" s="50"/>
      <c r="AD1247" s="50"/>
      <c r="AE1247" s="50"/>
    </row>
    <row r="1248">
      <c r="A1248" s="307">
        <v>43022.62430555555</v>
      </c>
      <c r="B1248" s="312" t="s">
        <v>1028</v>
      </c>
      <c r="C1248" s="303" t="s">
        <v>1177</v>
      </c>
      <c r="D1248" s="303" t="s">
        <v>1178</v>
      </c>
      <c r="E1248" s="315">
        <v>42948.0</v>
      </c>
      <c r="F1248" s="312" t="s">
        <v>43</v>
      </c>
      <c r="G1248" s="303" t="s">
        <v>1203</v>
      </c>
      <c r="H1248" s="303" t="s">
        <v>1179</v>
      </c>
      <c r="I1248" s="303" t="s">
        <v>1186</v>
      </c>
      <c r="J1248" s="306">
        <v>0.9</v>
      </c>
      <c r="K1248" s="312">
        <v>448.0</v>
      </c>
      <c r="L1248" s="312"/>
      <c r="M1248" s="312">
        <v>191.0</v>
      </c>
      <c r="N1248" s="312"/>
      <c r="O1248" s="312"/>
      <c r="P1248" s="315">
        <v>43022.0</v>
      </c>
      <c r="Q1248" s="312">
        <v>1167.0</v>
      </c>
      <c r="R1248" s="312">
        <v>446.0</v>
      </c>
      <c r="S1248" s="316"/>
      <c r="T1248" s="317">
        <v>451.65</v>
      </c>
      <c r="U1248" s="312" t="s">
        <v>1366</v>
      </c>
      <c r="V1248" s="312" t="s">
        <v>1367</v>
      </c>
      <c r="W1248" s="50"/>
      <c r="X1248" s="50"/>
      <c r="Y1248" s="50"/>
      <c r="Z1248" s="312"/>
      <c r="AA1248" s="50"/>
      <c r="AB1248" s="50"/>
      <c r="AC1248" s="50"/>
      <c r="AD1248" s="50"/>
      <c r="AE1248" s="50"/>
    </row>
    <row r="1249">
      <c r="A1249" s="307">
        <v>43065.6375</v>
      </c>
      <c r="B1249" s="312" t="s">
        <v>1028</v>
      </c>
      <c r="C1249" s="303" t="s">
        <v>1177</v>
      </c>
      <c r="D1249" s="303" t="s">
        <v>1178</v>
      </c>
      <c r="E1249" s="315">
        <v>42948.0</v>
      </c>
      <c r="F1249" s="312" t="s">
        <v>43</v>
      </c>
      <c r="G1249" s="303" t="s">
        <v>1203</v>
      </c>
      <c r="H1249" s="303" t="s">
        <v>1180</v>
      </c>
      <c r="I1249" s="303" t="s">
        <v>1186</v>
      </c>
      <c r="J1249" s="306">
        <v>0.9</v>
      </c>
      <c r="K1249" s="312">
        <v>448.0</v>
      </c>
      <c r="L1249" s="312"/>
      <c r="M1249" s="312">
        <v>198.0</v>
      </c>
      <c r="N1249" s="312"/>
      <c r="O1249" s="312"/>
      <c r="P1249" s="315">
        <v>43065.0</v>
      </c>
      <c r="Q1249" s="312">
        <v>3323.0</v>
      </c>
      <c r="R1249" s="312">
        <v>449.0</v>
      </c>
      <c r="S1249" s="316"/>
      <c r="T1249" s="317">
        <v>454.68</v>
      </c>
      <c r="U1249" s="312" t="s">
        <v>1366</v>
      </c>
      <c r="V1249" s="312" t="s">
        <v>1367</v>
      </c>
      <c r="W1249" s="50"/>
      <c r="X1249" s="50"/>
      <c r="Y1249" s="50"/>
      <c r="Z1249" s="312"/>
      <c r="AA1249" s="50"/>
      <c r="AB1249" s="50"/>
      <c r="AC1249" s="50"/>
      <c r="AD1249" s="50"/>
      <c r="AE1249" s="50"/>
    </row>
    <row r="1250">
      <c r="A1250" s="307">
        <v>42956.85277777778</v>
      </c>
      <c r="B1250" s="312" t="s">
        <v>946</v>
      </c>
      <c r="C1250" s="312" t="s">
        <v>1184</v>
      </c>
      <c r="D1250" s="303" t="s">
        <v>1185</v>
      </c>
      <c r="E1250" s="315">
        <v>41913.0</v>
      </c>
      <c r="F1250" s="312" t="s">
        <v>30</v>
      </c>
      <c r="G1250" s="303" t="s">
        <v>1179</v>
      </c>
      <c r="H1250" s="303" t="s">
        <v>1181</v>
      </c>
      <c r="I1250" s="303" t="s">
        <v>1186</v>
      </c>
      <c r="J1250" s="306">
        <v>0.8</v>
      </c>
      <c r="K1250" s="312">
        <v>274.0</v>
      </c>
      <c r="L1250" s="312"/>
      <c r="M1250" s="312">
        <v>316.0</v>
      </c>
      <c r="N1250" s="312"/>
      <c r="O1250" s="312"/>
      <c r="P1250" s="315">
        <v>42956.0</v>
      </c>
      <c r="Q1250" s="312">
        <v>47295.0</v>
      </c>
      <c r="R1250" s="312">
        <v>259.0</v>
      </c>
      <c r="S1250" s="316"/>
      <c r="T1250" s="317">
        <v>259.0</v>
      </c>
      <c r="U1250" s="312" t="s">
        <v>1369</v>
      </c>
      <c r="V1250" s="312" t="s">
        <v>1367</v>
      </c>
      <c r="W1250" s="50"/>
      <c r="X1250" s="50"/>
      <c r="Y1250" s="50"/>
      <c r="Z1250" s="312"/>
      <c r="AA1250" s="50"/>
      <c r="AB1250" s="50"/>
      <c r="AC1250" s="50"/>
      <c r="AD1250" s="50"/>
      <c r="AE1250" s="50"/>
    </row>
    <row r="1251">
      <c r="A1251" s="307">
        <v>43151.873611111114</v>
      </c>
      <c r="B1251" s="312" t="s">
        <v>946</v>
      </c>
      <c r="C1251" s="312" t="s">
        <v>1184</v>
      </c>
      <c r="D1251" s="303" t="s">
        <v>1185</v>
      </c>
      <c r="E1251" s="315">
        <v>43070.0</v>
      </c>
      <c r="F1251" s="312" t="s">
        <v>62</v>
      </c>
      <c r="G1251" s="303" t="s">
        <v>1190</v>
      </c>
      <c r="H1251" s="303" t="s">
        <v>1179</v>
      </c>
      <c r="I1251" s="303" t="s">
        <v>1186</v>
      </c>
      <c r="J1251" s="306">
        <v>0.8</v>
      </c>
      <c r="K1251" s="50"/>
      <c r="L1251" s="312"/>
      <c r="M1251" s="312">
        <v>450.0</v>
      </c>
      <c r="N1251" s="312"/>
      <c r="O1251" s="312"/>
      <c r="P1251" s="315">
        <v>43151.0</v>
      </c>
      <c r="Q1251" s="312">
        <v>3690.0</v>
      </c>
      <c r="R1251" s="312">
        <v>298.0</v>
      </c>
      <c r="S1251" s="316"/>
      <c r="T1251" s="317">
        <v>298.0</v>
      </c>
      <c r="U1251" s="312" t="s">
        <v>1369</v>
      </c>
      <c r="V1251" s="312" t="s">
        <v>1367</v>
      </c>
      <c r="W1251" s="50"/>
      <c r="X1251" s="50"/>
      <c r="Y1251" s="50"/>
      <c r="Z1251" s="312"/>
      <c r="AA1251" s="50"/>
      <c r="AB1251" s="50"/>
      <c r="AC1251" s="50"/>
      <c r="AD1251" s="50"/>
      <c r="AE1251" s="50"/>
    </row>
    <row r="1252">
      <c r="A1252" s="307">
        <v>42958.57430555556</v>
      </c>
      <c r="B1252" s="312" t="s">
        <v>950</v>
      </c>
      <c r="C1252" s="303" t="s">
        <v>1177</v>
      </c>
      <c r="D1252" s="303" t="s">
        <v>1178</v>
      </c>
      <c r="E1252" s="315">
        <v>42414.0</v>
      </c>
      <c r="F1252" s="312" t="s">
        <v>43</v>
      </c>
      <c r="G1252" s="303" t="s">
        <v>1190</v>
      </c>
      <c r="H1252" s="303" t="s">
        <v>1181</v>
      </c>
      <c r="I1252" s="303" t="s">
        <v>1181</v>
      </c>
      <c r="J1252" s="306">
        <v>0.9</v>
      </c>
      <c r="K1252" s="312">
        <v>455.0</v>
      </c>
      <c r="L1252" s="312"/>
      <c r="M1252" s="312">
        <v>210.0</v>
      </c>
      <c r="N1252" s="312"/>
      <c r="O1252" s="312"/>
      <c r="P1252" s="315">
        <v>42958.0</v>
      </c>
      <c r="Q1252" s="312">
        <v>42500.0</v>
      </c>
      <c r="R1252" s="312">
        <v>444.0</v>
      </c>
      <c r="S1252" s="316"/>
      <c r="T1252" s="317">
        <v>449.62</v>
      </c>
      <c r="U1252" s="312" t="s">
        <v>1366</v>
      </c>
      <c r="V1252" s="312" t="s">
        <v>1367</v>
      </c>
      <c r="W1252" s="50"/>
      <c r="X1252" s="50"/>
      <c r="Y1252" s="50"/>
      <c r="Z1252" s="312"/>
      <c r="AA1252" s="312" t="s">
        <v>1373</v>
      </c>
      <c r="AB1252" s="50"/>
      <c r="AC1252" s="50"/>
      <c r="AD1252" s="50"/>
      <c r="AE1252" s="50"/>
    </row>
    <row r="1253">
      <c r="A1253" s="307">
        <v>42663.811111111114</v>
      </c>
      <c r="B1253" s="312" t="s">
        <v>1049</v>
      </c>
      <c r="C1253" s="312" t="s">
        <v>1184</v>
      </c>
      <c r="D1253" s="303" t="s">
        <v>1185</v>
      </c>
      <c r="E1253" s="315">
        <v>42420.0</v>
      </c>
      <c r="F1253" s="312" t="s">
        <v>36</v>
      </c>
      <c r="G1253" s="303" t="s">
        <v>1179</v>
      </c>
      <c r="H1253" s="303" t="s">
        <v>1181</v>
      </c>
      <c r="I1253" s="303" t="s">
        <v>1187</v>
      </c>
      <c r="J1253" s="306">
        <v>0.5</v>
      </c>
      <c r="K1253" s="312">
        <v>270.0</v>
      </c>
      <c r="L1253" s="312"/>
      <c r="M1253" s="312">
        <v>299.0</v>
      </c>
      <c r="N1253" s="312"/>
      <c r="O1253" s="312"/>
      <c r="P1253" s="315">
        <v>42663.0</v>
      </c>
      <c r="Q1253" s="312">
        <v>11000.0</v>
      </c>
      <c r="R1253" s="312">
        <v>275.0</v>
      </c>
      <c r="S1253" s="316"/>
      <c r="T1253" s="317">
        <v>278.48</v>
      </c>
      <c r="U1253" s="312" t="s">
        <v>1366</v>
      </c>
      <c r="V1253" s="312" t="s">
        <v>1367</v>
      </c>
      <c r="W1253" s="312"/>
      <c r="X1253" s="50"/>
      <c r="Y1253" s="50"/>
      <c r="Z1253" s="312"/>
      <c r="AA1253" s="312" t="s">
        <v>1696</v>
      </c>
      <c r="AB1253" s="50"/>
      <c r="AC1253" s="50"/>
      <c r="AD1253" s="50"/>
      <c r="AE1253" s="50"/>
    </row>
    <row r="1254">
      <c r="A1254" s="307">
        <v>42494.79513888889</v>
      </c>
      <c r="B1254" s="312" t="s">
        <v>858</v>
      </c>
      <c r="C1254" s="312" t="s">
        <v>1184</v>
      </c>
      <c r="D1254" s="303" t="s">
        <v>1185</v>
      </c>
      <c r="E1254" s="315">
        <v>41913.0</v>
      </c>
      <c r="F1254" s="312" t="s">
        <v>32</v>
      </c>
      <c r="G1254" s="303" t="s">
        <v>1180</v>
      </c>
      <c r="H1254" s="303" t="s">
        <v>1180</v>
      </c>
      <c r="I1254" s="303" t="s">
        <v>1187</v>
      </c>
      <c r="J1254" s="306">
        <v>0.9</v>
      </c>
      <c r="K1254" s="312">
        <v>265.0</v>
      </c>
      <c r="L1254" s="312"/>
      <c r="M1254" s="312">
        <v>293.0</v>
      </c>
      <c r="N1254" s="312"/>
      <c r="O1254" s="312"/>
      <c r="P1254" s="315">
        <v>42494.0</v>
      </c>
      <c r="Q1254" s="312">
        <v>34970.0</v>
      </c>
      <c r="R1254" s="312">
        <v>261.0</v>
      </c>
      <c r="S1254" s="316"/>
      <c r="T1254" s="317">
        <v>261.0</v>
      </c>
      <c r="U1254" s="312" t="s">
        <v>1369</v>
      </c>
      <c r="V1254" s="312" t="s">
        <v>1367</v>
      </c>
      <c r="W1254" s="50"/>
      <c r="X1254" s="50"/>
      <c r="Y1254" s="50"/>
      <c r="Z1254" s="312"/>
      <c r="AA1254" s="312"/>
      <c r="AB1254" s="50"/>
      <c r="AC1254" s="50"/>
      <c r="AD1254" s="50"/>
      <c r="AE1254" s="50"/>
    </row>
    <row r="1255">
      <c r="A1255" s="307">
        <v>43152.705555555556</v>
      </c>
      <c r="B1255" s="50" t="s">
        <v>1697</v>
      </c>
      <c r="C1255" s="303" t="s">
        <v>1177</v>
      </c>
      <c r="D1255" s="303" t="s">
        <v>1178</v>
      </c>
      <c r="E1255" s="310">
        <v>42278.0</v>
      </c>
      <c r="F1255" s="50" t="s">
        <v>36</v>
      </c>
      <c r="G1255" s="303" t="s">
        <v>1180</v>
      </c>
      <c r="H1255" s="303" t="s">
        <v>1181</v>
      </c>
      <c r="I1255" s="303" t="s">
        <v>1187</v>
      </c>
      <c r="J1255" s="306">
        <v>0.7</v>
      </c>
      <c r="K1255" s="50"/>
      <c r="L1255" s="312"/>
      <c r="M1255" s="312">
        <v>238.0</v>
      </c>
      <c r="N1255" s="312"/>
      <c r="O1255" s="312"/>
      <c r="P1255" s="310">
        <v>43152.0</v>
      </c>
      <c r="Q1255" s="50">
        <v>115848.0</v>
      </c>
      <c r="R1255" s="312">
        <v>401.0</v>
      </c>
      <c r="S1255" s="316"/>
      <c r="T1255" s="317">
        <v>406.08</v>
      </c>
      <c r="U1255" s="312" t="s">
        <v>1366</v>
      </c>
      <c r="V1255" s="312" t="s">
        <v>1367</v>
      </c>
      <c r="W1255" s="50"/>
      <c r="X1255" s="50"/>
      <c r="Y1255" s="50"/>
      <c r="Z1255" s="312"/>
      <c r="AA1255" s="50"/>
      <c r="AB1255" s="50"/>
      <c r="AC1255" s="50"/>
      <c r="AD1255" s="50"/>
      <c r="AE1255" s="50"/>
    </row>
    <row r="1256">
      <c r="A1256" s="307">
        <v>42231.160416666666</v>
      </c>
      <c r="B1256" s="312" t="s">
        <v>959</v>
      </c>
      <c r="C1256" s="303" t="s">
        <v>1177</v>
      </c>
      <c r="D1256" s="303" t="s">
        <v>1178</v>
      </c>
      <c r="E1256" s="315">
        <v>42230.0</v>
      </c>
      <c r="F1256" s="312" t="s">
        <v>22</v>
      </c>
      <c r="G1256" s="312"/>
      <c r="H1256" s="303" t="s">
        <v>1179</v>
      </c>
      <c r="I1256" s="303" t="s">
        <v>1179</v>
      </c>
      <c r="J1256" s="306">
        <v>0.9</v>
      </c>
      <c r="K1256" s="312">
        <v>339.0</v>
      </c>
      <c r="L1256" s="312"/>
      <c r="M1256" s="312">
        <v>187.0</v>
      </c>
      <c r="N1256" s="312"/>
      <c r="O1256" s="312"/>
      <c r="P1256" s="315">
        <v>42231.0</v>
      </c>
      <c r="Q1256" s="312">
        <v>300.0</v>
      </c>
      <c r="R1256" s="312">
        <v>339.0</v>
      </c>
      <c r="S1256" s="316"/>
      <c r="T1256" s="317">
        <v>343.29</v>
      </c>
      <c r="U1256" s="312" t="s">
        <v>1366</v>
      </c>
      <c r="V1256" s="312" t="s">
        <v>1367</v>
      </c>
      <c r="W1256" s="50"/>
      <c r="X1256" s="50"/>
      <c r="Y1256" s="50"/>
      <c r="Z1256" s="312"/>
      <c r="AA1256" s="312" t="s">
        <v>1698</v>
      </c>
      <c r="AB1256" s="50"/>
      <c r="AC1256" s="50"/>
      <c r="AD1256" s="50"/>
      <c r="AE1256" s="50"/>
    </row>
    <row r="1257">
      <c r="A1257" s="307">
        <v>42298.20208333333</v>
      </c>
      <c r="B1257" s="312" t="s">
        <v>1052</v>
      </c>
      <c r="C1257" s="303" t="s">
        <v>1177</v>
      </c>
      <c r="D1257" s="303" t="s">
        <v>1178</v>
      </c>
      <c r="E1257" s="315">
        <v>41723.0</v>
      </c>
      <c r="F1257" s="312" t="s">
        <v>12</v>
      </c>
      <c r="G1257" s="303" t="s">
        <v>1181</v>
      </c>
      <c r="H1257" s="303" t="s">
        <v>1179</v>
      </c>
      <c r="I1257" s="303" t="s">
        <v>1180</v>
      </c>
      <c r="J1257" s="306">
        <v>0.8</v>
      </c>
      <c r="K1257" s="312">
        <v>299.0</v>
      </c>
      <c r="L1257" s="312"/>
      <c r="M1257" s="312">
        <v>200.0</v>
      </c>
      <c r="N1257" s="312"/>
      <c r="O1257" s="312"/>
      <c r="P1257" s="315">
        <v>42298.0</v>
      </c>
      <c r="Q1257" s="312">
        <v>44780.0</v>
      </c>
      <c r="R1257" s="312">
        <v>256.0</v>
      </c>
      <c r="S1257" s="316"/>
      <c r="T1257" s="317">
        <v>256.0</v>
      </c>
      <c r="U1257" s="312" t="s">
        <v>1369</v>
      </c>
      <c r="V1257" s="312" t="s">
        <v>1367</v>
      </c>
      <c r="W1257" s="50"/>
      <c r="X1257" s="50"/>
      <c r="Y1257" s="50"/>
      <c r="Z1257" s="312"/>
      <c r="AA1257" s="50"/>
      <c r="AB1257" s="50"/>
      <c r="AC1257" s="50"/>
      <c r="AD1257" s="50"/>
      <c r="AE1257" s="50"/>
    </row>
    <row r="1258">
      <c r="A1258" s="307">
        <v>43024.62708333333</v>
      </c>
      <c r="B1258" s="312" t="s">
        <v>1041</v>
      </c>
      <c r="C1258" s="303" t="s">
        <v>1177</v>
      </c>
      <c r="D1258" s="303" t="s">
        <v>1178</v>
      </c>
      <c r="E1258" s="315">
        <v>41957.0</v>
      </c>
      <c r="F1258" s="312" t="s">
        <v>30</v>
      </c>
      <c r="G1258" s="303" t="s">
        <v>1179</v>
      </c>
      <c r="H1258" s="303" t="s">
        <v>1181</v>
      </c>
      <c r="I1258" s="303" t="s">
        <v>1179</v>
      </c>
      <c r="J1258" s="306">
        <v>0.6</v>
      </c>
      <c r="K1258" s="312">
        <v>396.0</v>
      </c>
      <c r="L1258" s="312"/>
      <c r="M1258" s="312">
        <v>223.0</v>
      </c>
      <c r="N1258" s="312"/>
      <c r="O1258" s="312"/>
      <c r="P1258" s="315">
        <v>43024.0</v>
      </c>
      <c r="Q1258" s="312">
        <v>157556.0</v>
      </c>
      <c r="R1258" s="312">
        <v>370.0</v>
      </c>
      <c r="S1258" s="316"/>
      <c r="T1258" s="317">
        <v>374.68</v>
      </c>
      <c r="U1258" s="312" t="s">
        <v>1366</v>
      </c>
      <c r="V1258" s="312" t="s">
        <v>1367</v>
      </c>
      <c r="W1258" s="312">
        <v>370.0</v>
      </c>
      <c r="X1258" s="312">
        <v>3.0</v>
      </c>
      <c r="Y1258" s="50"/>
      <c r="Z1258" s="312"/>
      <c r="AA1258" s="50"/>
      <c r="AB1258" s="50"/>
      <c r="AC1258" s="50"/>
      <c r="AD1258" s="50"/>
      <c r="AE1258" s="50"/>
    </row>
    <row r="1259">
      <c r="A1259" s="307">
        <v>42292.20416666667</v>
      </c>
      <c r="B1259" s="312" t="s">
        <v>1039</v>
      </c>
      <c r="C1259" s="303" t="s">
        <v>1177</v>
      </c>
      <c r="D1259" s="303" t="s">
        <v>1178</v>
      </c>
      <c r="E1259" s="315">
        <v>41547.0</v>
      </c>
      <c r="F1259" s="312" t="s">
        <v>34</v>
      </c>
      <c r="G1259" s="303" t="s">
        <v>1181</v>
      </c>
      <c r="H1259" s="303" t="s">
        <v>1181</v>
      </c>
      <c r="I1259" s="303" t="s">
        <v>1186</v>
      </c>
      <c r="J1259" s="306">
        <v>0.7</v>
      </c>
      <c r="K1259" s="312">
        <v>387.0</v>
      </c>
      <c r="L1259" s="312"/>
      <c r="M1259" s="312">
        <v>223.0</v>
      </c>
      <c r="N1259" s="312"/>
      <c r="O1259" s="312"/>
      <c r="P1259" s="315">
        <v>42292.0</v>
      </c>
      <c r="Q1259" s="312">
        <v>40532.0</v>
      </c>
      <c r="R1259" s="312">
        <v>367.0</v>
      </c>
      <c r="S1259" s="316"/>
      <c r="T1259" s="317">
        <v>367.0</v>
      </c>
      <c r="U1259" s="312" t="s">
        <v>1369</v>
      </c>
      <c r="V1259" s="312" t="s">
        <v>1367</v>
      </c>
      <c r="W1259" s="50"/>
      <c r="X1259" s="50"/>
      <c r="Y1259" s="50"/>
      <c r="Z1259" s="312"/>
      <c r="AA1259" s="312" t="s">
        <v>1699</v>
      </c>
      <c r="AB1259" s="50"/>
      <c r="AC1259" s="50"/>
      <c r="AD1259" s="50"/>
      <c r="AE1259" s="50"/>
    </row>
    <row r="1260">
      <c r="A1260" s="307">
        <v>42674.913194444445</v>
      </c>
      <c r="B1260" s="312" t="s">
        <v>1066</v>
      </c>
      <c r="C1260" s="312" t="s">
        <v>1197</v>
      </c>
      <c r="D1260" s="303" t="s">
        <v>1178</v>
      </c>
      <c r="E1260" s="315">
        <v>41685.0</v>
      </c>
      <c r="F1260" s="312" t="s">
        <v>36</v>
      </c>
      <c r="G1260" s="303" t="s">
        <v>1180</v>
      </c>
      <c r="H1260" s="303" t="s">
        <v>1181</v>
      </c>
      <c r="I1260" s="303" t="s">
        <v>1187</v>
      </c>
      <c r="J1260" s="306">
        <v>0.9</v>
      </c>
      <c r="K1260" s="312">
        <v>435.0</v>
      </c>
      <c r="L1260" s="312"/>
      <c r="M1260" s="312">
        <v>214.0</v>
      </c>
      <c r="N1260" s="312"/>
      <c r="O1260" s="312"/>
      <c r="P1260" s="315">
        <v>42674.0</v>
      </c>
      <c r="Q1260" s="312">
        <v>90000.0</v>
      </c>
      <c r="R1260" s="312">
        <v>428.0</v>
      </c>
      <c r="S1260" s="316"/>
      <c r="T1260" s="317">
        <v>428.0</v>
      </c>
      <c r="U1260" s="312" t="s">
        <v>1369</v>
      </c>
      <c r="V1260" s="312" t="s">
        <v>1367</v>
      </c>
      <c r="W1260" s="50"/>
      <c r="X1260" s="50"/>
      <c r="Y1260" s="50"/>
      <c r="Z1260" s="312"/>
      <c r="AA1260" s="312" t="s">
        <v>1700</v>
      </c>
      <c r="AB1260" s="50"/>
      <c r="AC1260" s="50"/>
      <c r="AD1260" s="50"/>
      <c r="AE1260" s="50"/>
    </row>
    <row r="1261">
      <c r="A1261" s="307">
        <v>41909.02361111111</v>
      </c>
      <c r="B1261" s="50" t="s">
        <v>737</v>
      </c>
      <c r="C1261" s="303" t="s">
        <v>1177</v>
      </c>
      <c r="D1261" s="303" t="s">
        <v>1178</v>
      </c>
      <c r="E1261" s="310">
        <v>41766.0</v>
      </c>
      <c r="F1261" s="312" t="s">
        <v>12</v>
      </c>
      <c r="G1261" s="303" t="s">
        <v>1187</v>
      </c>
      <c r="H1261" s="303" t="s">
        <v>1180</v>
      </c>
      <c r="I1261" s="303" t="s">
        <v>1187</v>
      </c>
      <c r="J1261" s="306"/>
      <c r="K1261" s="50"/>
      <c r="L1261" s="50"/>
      <c r="M1261" s="50">
        <v>205.0</v>
      </c>
      <c r="N1261" s="50"/>
      <c r="O1261" s="312"/>
      <c r="P1261" s="310">
        <v>41909.0</v>
      </c>
      <c r="Q1261" s="50">
        <v>9161.0</v>
      </c>
      <c r="R1261" s="50">
        <v>280.0</v>
      </c>
      <c r="S1261" s="318"/>
      <c r="T1261" s="317">
        <v>282.83</v>
      </c>
      <c r="U1261" s="312" t="s">
        <v>1407</v>
      </c>
      <c r="V1261" s="312" t="s">
        <v>1367</v>
      </c>
      <c r="W1261" s="50"/>
      <c r="X1261" s="50"/>
      <c r="Y1261" s="50"/>
      <c r="Z1261" s="312"/>
      <c r="AA1261" s="50"/>
      <c r="AB1261" s="50"/>
      <c r="AC1261" s="50"/>
      <c r="AD1261" s="50"/>
      <c r="AE1261" s="50"/>
    </row>
    <row r="1262">
      <c r="A1262" s="307">
        <v>42020.05625</v>
      </c>
      <c r="B1262" s="50" t="s">
        <v>737</v>
      </c>
      <c r="C1262" s="303" t="s">
        <v>1177</v>
      </c>
      <c r="D1262" s="303" t="s">
        <v>1178</v>
      </c>
      <c r="E1262" s="310">
        <v>41766.0</v>
      </c>
      <c r="F1262" s="50" t="s">
        <v>12</v>
      </c>
      <c r="G1262" s="303" t="s">
        <v>1187</v>
      </c>
      <c r="H1262" s="303" t="s">
        <v>1180</v>
      </c>
      <c r="I1262" s="303" t="s">
        <v>1186</v>
      </c>
      <c r="J1262" s="306"/>
      <c r="K1262" s="50"/>
      <c r="L1262" s="50"/>
      <c r="M1262" s="50">
        <v>216.0</v>
      </c>
      <c r="N1262" s="50"/>
      <c r="O1262" s="312"/>
      <c r="P1262" s="310">
        <v>42020.0</v>
      </c>
      <c r="Q1262" s="50">
        <v>14267.0</v>
      </c>
      <c r="R1262" s="50">
        <v>272.0</v>
      </c>
      <c r="S1262" s="318"/>
      <c r="T1262" s="317">
        <v>275.44</v>
      </c>
      <c r="U1262" s="312" t="s">
        <v>1366</v>
      </c>
      <c r="V1262" s="312" t="s">
        <v>1367</v>
      </c>
      <c r="W1262" s="50"/>
      <c r="X1262" s="50"/>
      <c r="Y1262" s="50"/>
      <c r="Z1262" s="312"/>
      <c r="AA1262" s="50" t="s">
        <v>1701</v>
      </c>
      <c r="AB1262" s="50"/>
      <c r="AC1262" s="50"/>
      <c r="AD1262" s="50"/>
      <c r="AE1262" s="50"/>
    </row>
    <row r="1263">
      <c r="A1263" s="307">
        <v>42120.10486111111</v>
      </c>
      <c r="B1263" s="312" t="s">
        <v>737</v>
      </c>
      <c r="C1263" s="303" t="s">
        <v>1177</v>
      </c>
      <c r="D1263" s="303" t="s">
        <v>1178</v>
      </c>
      <c r="E1263" s="315">
        <v>41766.0</v>
      </c>
      <c r="F1263" s="312" t="s">
        <v>12</v>
      </c>
      <c r="G1263" s="303" t="s">
        <v>1187</v>
      </c>
      <c r="H1263" s="303" t="s">
        <v>1181</v>
      </c>
      <c r="I1263" s="303" t="s">
        <v>1186</v>
      </c>
      <c r="J1263" s="306"/>
      <c r="K1263" s="50"/>
      <c r="L1263" s="312"/>
      <c r="M1263" s="312">
        <v>220.0</v>
      </c>
      <c r="N1263" s="50"/>
      <c r="O1263" s="312"/>
      <c r="P1263" s="315">
        <v>42120.0</v>
      </c>
      <c r="Q1263" s="312">
        <v>18793.0</v>
      </c>
      <c r="R1263" s="312">
        <v>272.0</v>
      </c>
      <c r="S1263" s="316"/>
      <c r="T1263" s="317">
        <v>275.44</v>
      </c>
      <c r="U1263" s="312" t="s">
        <v>1366</v>
      </c>
      <c r="V1263" s="312" t="s">
        <v>1367</v>
      </c>
      <c r="W1263" s="50"/>
      <c r="X1263" s="50"/>
      <c r="Y1263" s="50"/>
      <c r="Z1263" s="312"/>
      <c r="AA1263" s="312" t="s">
        <v>1373</v>
      </c>
      <c r="AB1263" s="50"/>
      <c r="AC1263" s="50"/>
      <c r="AD1263" s="50"/>
      <c r="AE1263" s="50"/>
    </row>
    <row r="1264">
      <c r="A1264" s="307">
        <v>42581.37013888889</v>
      </c>
      <c r="B1264" s="312" t="s">
        <v>798</v>
      </c>
      <c r="C1264" s="303" t="s">
        <v>1177</v>
      </c>
      <c r="D1264" s="303" t="s">
        <v>1178</v>
      </c>
      <c r="E1264" s="315">
        <v>42477.0</v>
      </c>
      <c r="F1264" s="312" t="s">
        <v>22</v>
      </c>
      <c r="G1264" s="312"/>
      <c r="H1264" s="312"/>
      <c r="I1264" s="312"/>
      <c r="J1264" s="306"/>
      <c r="K1264" s="50"/>
      <c r="L1264" s="312"/>
      <c r="M1264" s="312">
        <v>186.0</v>
      </c>
      <c r="N1264" s="312"/>
      <c r="O1264" s="312"/>
      <c r="P1264" s="315">
        <v>42581.0</v>
      </c>
      <c r="Q1264" s="312">
        <v>1700.0</v>
      </c>
      <c r="R1264" s="312">
        <v>363.0</v>
      </c>
      <c r="S1264" s="316"/>
      <c r="T1264" s="317">
        <v>363.0</v>
      </c>
      <c r="U1264" s="312" t="s">
        <v>1369</v>
      </c>
      <c r="V1264" s="312" t="s">
        <v>1367</v>
      </c>
      <c r="W1264" s="50"/>
      <c r="X1264" s="50"/>
      <c r="Y1264" s="50"/>
      <c r="Z1264" s="312"/>
      <c r="AA1264" s="312" t="s">
        <v>1702</v>
      </c>
      <c r="AB1264" s="50"/>
      <c r="AC1264" s="50"/>
      <c r="AD1264" s="50"/>
      <c r="AE1264" s="50"/>
    </row>
    <row r="1265">
      <c r="A1265" s="307">
        <v>42614.38958333333</v>
      </c>
      <c r="B1265" s="312" t="s">
        <v>798</v>
      </c>
      <c r="C1265" s="303" t="s">
        <v>1177</v>
      </c>
      <c r="D1265" s="303" t="s">
        <v>1178</v>
      </c>
      <c r="E1265" s="315">
        <v>42477.0</v>
      </c>
      <c r="F1265" s="312" t="s">
        <v>22</v>
      </c>
      <c r="G1265" s="303" t="s">
        <v>1179</v>
      </c>
      <c r="H1265" s="303" t="s">
        <v>1181</v>
      </c>
      <c r="I1265" s="312"/>
      <c r="J1265" s="306">
        <v>0.9</v>
      </c>
      <c r="K1265" s="312">
        <v>360.0</v>
      </c>
      <c r="L1265" s="312"/>
      <c r="M1265" s="312">
        <v>174.0</v>
      </c>
      <c r="N1265" s="312"/>
      <c r="O1265" s="312"/>
      <c r="P1265" s="315">
        <v>42614.0</v>
      </c>
      <c r="Q1265" s="312">
        <v>4000.0</v>
      </c>
      <c r="R1265" s="312">
        <v>354.0</v>
      </c>
      <c r="S1265" s="316"/>
      <c r="T1265" s="317">
        <v>354.0</v>
      </c>
      <c r="U1265" s="312" t="s">
        <v>1369</v>
      </c>
      <c r="V1265" s="312" t="s">
        <v>1367</v>
      </c>
      <c r="W1265" s="50"/>
      <c r="X1265" s="50"/>
      <c r="Y1265" s="50"/>
      <c r="Z1265" s="312"/>
      <c r="AA1265" s="50"/>
      <c r="AB1265" s="50"/>
      <c r="AC1265" s="50"/>
      <c r="AD1265" s="50"/>
      <c r="AE1265" s="50"/>
    </row>
    <row r="1266">
      <c r="A1266" s="307">
        <v>42644.40902777778</v>
      </c>
      <c r="B1266" s="312" t="s">
        <v>798</v>
      </c>
      <c r="C1266" s="303" t="s">
        <v>1177</v>
      </c>
      <c r="D1266" s="303" t="s">
        <v>1178</v>
      </c>
      <c r="E1266" s="315">
        <v>42477.0</v>
      </c>
      <c r="F1266" s="312" t="s">
        <v>20</v>
      </c>
      <c r="G1266" s="303" t="s">
        <v>1190</v>
      </c>
      <c r="H1266" s="303" t="s">
        <v>1180</v>
      </c>
      <c r="I1266" s="303" t="s">
        <v>1190</v>
      </c>
      <c r="J1266" s="306">
        <v>0.9</v>
      </c>
      <c r="K1266" s="312">
        <v>360.0</v>
      </c>
      <c r="L1266" s="312"/>
      <c r="M1266" s="312">
        <v>218.0</v>
      </c>
      <c r="N1266" s="312"/>
      <c r="O1266" s="312"/>
      <c r="P1266" s="315">
        <v>42644.0</v>
      </c>
      <c r="Q1266" s="312">
        <v>6463.0</v>
      </c>
      <c r="R1266" s="312">
        <v>358.0</v>
      </c>
      <c r="S1266" s="316"/>
      <c r="T1266" s="317">
        <v>358.0</v>
      </c>
      <c r="U1266" s="312" t="s">
        <v>1369</v>
      </c>
      <c r="V1266" s="312" t="s">
        <v>1367</v>
      </c>
      <c r="W1266" s="50"/>
      <c r="X1266" s="50"/>
      <c r="Y1266" s="50"/>
      <c r="Z1266" s="312"/>
      <c r="AA1266" s="50"/>
      <c r="AB1266" s="50"/>
      <c r="AC1266" s="50"/>
      <c r="AD1266" s="50"/>
      <c r="AE1266" s="50"/>
    </row>
    <row r="1267">
      <c r="A1267" s="307">
        <v>42797.50902777778</v>
      </c>
      <c r="B1267" s="312" t="s">
        <v>798</v>
      </c>
      <c r="C1267" s="303" t="s">
        <v>1177</v>
      </c>
      <c r="D1267" s="303" t="s">
        <v>1178</v>
      </c>
      <c r="E1267" s="315">
        <v>42477.0</v>
      </c>
      <c r="F1267" s="312" t="s">
        <v>22</v>
      </c>
      <c r="G1267" s="303" t="s">
        <v>1180</v>
      </c>
      <c r="H1267" s="303" t="s">
        <v>1180</v>
      </c>
      <c r="I1267" s="303" t="s">
        <v>1181</v>
      </c>
      <c r="J1267" s="306">
        <v>0.9</v>
      </c>
      <c r="K1267" s="312">
        <v>360.0</v>
      </c>
      <c r="L1267" s="312"/>
      <c r="M1267" s="312">
        <v>193.0</v>
      </c>
      <c r="N1267" s="312"/>
      <c r="O1267" s="312"/>
      <c r="P1267" s="315">
        <v>42797.0</v>
      </c>
      <c r="Q1267" s="312">
        <v>20000.0</v>
      </c>
      <c r="R1267" s="312">
        <v>344.0</v>
      </c>
      <c r="S1267" s="316"/>
      <c r="T1267" s="317">
        <v>348.35</v>
      </c>
      <c r="U1267" s="312" t="s">
        <v>1366</v>
      </c>
      <c r="V1267" s="312" t="s">
        <v>1367</v>
      </c>
      <c r="W1267" s="50"/>
      <c r="X1267" s="50"/>
      <c r="Y1267" s="50"/>
      <c r="Z1267" s="312"/>
      <c r="AA1267" s="50"/>
      <c r="AB1267" s="50"/>
      <c r="AC1267" s="50"/>
      <c r="AD1267" s="50"/>
      <c r="AE1267" s="50"/>
    </row>
    <row r="1268">
      <c r="A1268" s="307">
        <v>42677.81527777778</v>
      </c>
      <c r="B1268" s="312" t="s">
        <v>992</v>
      </c>
      <c r="C1268" s="312" t="s">
        <v>1184</v>
      </c>
      <c r="D1268" s="303" t="s">
        <v>1185</v>
      </c>
      <c r="E1268" s="315">
        <v>41895.0</v>
      </c>
      <c r="F1268" s="312" t="s">
        <v>30</v>
      </c>
      <c r="G1268" s="303" t="s">
        <v>1180</v>
      </c>
      <c r="H1268" s="303" t="s">
        <v>1180</v>
      </c>
      <c r="I1268" s="303" t="s">
        <v>1187</v>
      </c>
      <c r="J1268" s="306">
        <v>0.6</v>
      </c>
      <c r="K1268" s="312">
        <v>265.0</v>
      </c>
      <c r="L1268" s="312"/>
      <c r="M1268" s="312">
        <v>313.0</v>
      </c>
      <c r="N1268" s="312"/>
      <c r="O1268" s="312"/>
      <c r="P1268" s="315">
        <v>42677.0</v>
      </c>
      <c r="Q1268" s="312">
        <v>24239.0</v>
      </c>
      <c r="R1268" s="312">
        <v>259.0</v>
      </c>
      <c r="S1268" s="316"/>
      <c r="T1268" s="317">
        <v>262.28</v>
      </c>
      <c r="U1268" s="312" t="s">
        <v>1366</v>
      </c>
      <c r="V1268" s="312" t="s">
        <v>1367</v>
      </c>
      <c r="W1268" s="312">
        <v>259.0</v>
      </c>
      <c r="X1268" s="312">
        <v>103.0</v>
      </c>
      <c r="Y1268" s="312">
        <v>43.2</v>
      </c>
      <c r="Z1268" s="312" t="s">
        <v>1366</v>
      </c>
      <c r="AA1268" s="312" t="s">
        <v>1703</v>
      </c>
      <c r="AB1268" s="50"/>
      <c r="AC1268" s="50"/>
      <c r="AD1268" s="50"/>
      <c r="AE1268" s="50"/>
    </row>
    <row r="1269">
      <c r="A1269" s="307">
        <v>42986.853472222225</v>
      </c>
      <c r="B1269" s="312" t="s">
        <v>992</v>
      </c>
      <c r="C1269" s="312" t="s">
        <v>1184</v>
      </c>
      <c r="D1269" s="303" t="s">
        <v>1185</v>
      </c>
      <c r="E1269" s="315">
        <v>41895.0</v>
      </c>
      <c r="F1269" s="312" t="s">
        <v>30</v>
      </c>
      <c r="G1269" s="303" t="s">
        <v>1180</v>
      </c>
      <c r="H1269" s="303" t="s">
        <v>1180</v>
      </c>
      <c r="I1269" s="303" t="s">
        <v>1187</v>
      </c>
      <c r="J1269" s="306">
        <v>0.6</v>
      </c>
      <c r="K1269" s="312">
        <v>265.0</v>
      </c>
      <c r="L1269" s="312"/>
      <c r="M1269" s="312">
        <v>315.0</v>
      </c>
      <c r="N1269" s="312"/>
      <c r="O1269" s="312"/>
      <c r="P1269" s="315">
        <v>42986.0</v>
      </c>
      <c r="Q1269" s="312">
        <v>34428.0</v>
      </c>
      <c r="R1269" s="312">
        <v>257.0</v>
      </c>
      <c r="S1269" s="316"/>
      <c r="T1269" s="317">
        <v>260.25</v>
      </c>
      <c r="U1269" s="312" t="s">
        <v>1366</v>
      </c>
      <c r="V1269" s="312" t="s">
        <v>1367</v>
      </c>
      <c r="W1269" s="312">
        <v>257.0</v>
      </c>
      <c r="X1269" s="312">
        <v>69.0</v>
      </c>
      <c r="Y1269" s="312">
        <v>51.7</v>
      </c>
      <c r="Z1269" s="312" t="s">
        <v>1366</v>
      </c>
      <c r="AA1269" s="312" t="s">
        <v>1703</v>
      </c>
      <c r="AB1269" s="50"/>
      <c r="AC1269" s="50"/>
      <c r="AD1269" s="50"/>
      <c r="AE1269" s="50"/>
    </row>
    <row r="1270">
      <c r="A1270" s="307">
        <v>42663.81180555555</v>
      </c>
      <c r="B1270" s="312" t="s">
        <v>1050</v>
      </c>
      <c r="C1270" s="312" t="s">
        <v>1184</v>
      </c>
      <c r="D1270" s="303" t="s">
        <v>1185</v>
      </c>
      <c r="E1270" s="315">
        <v>42571.0</v>
      </c>
      <c r="F1270" s="312" t="s">
        <v>12</v>
      </c>
      <c r="G1270" s="303" t="s">
        <v>1181</v>
      </c>
      <c r="H1270" s="303" t="s">
        <v>1190</v>
      </c>
      <c r="I1270" s="303" t="s">
        <v>1187</v>
      </c>
      <c r="J1270" s="306">
        <v>0.9</v>
      </c>
      <c r="K1270" s="312">
        <v>210.0</v>
      </c>
      <c r="L1270" s="312"/>
      <c r="M1270" s="312">
        <v>284.0</v>
      </c>
      <c r="N1270" s="312"/>
      <c r="O1270" s="312"/>
      <c r="P1270" s="315">
        <v>42663.0</v>
      </c>
      <c r="Q1270" s="312">
        <v>11104.0</v>
      </c>
      <c r="R1270" s="312">
        <v>207.0</v>
      </c>
      <c r="S1270" s="316"/>
      <c r="T1270" s="317">
        <v>209.62</v>
      </c>
      <c r="U1270" s="312" t="s">
        <v>1366</v>
      </c>
      <c r="V1270" s="312" t="s">
        <v>1367</v>
      </c>
      <c r="W1270" s="50"/>
      <c r="X1270" s="50"/>
      <c r="Y1270" s="50"/>
      <c r="Z1270" s="312"/>
      <c r="AA1270" s="312" t="s">
        <v>1704</v>
      </c>
      <c r="AB1270" s="50"/>
      <c r="AC1270" s="50"/>
      <c r="AD1270" s="50"/>
      <c r="AE1270" s="50"/>
    </row>
    <row r="1271">
      <c r="A1271" s="307">
        <v>43072.86319444444</v>
      </c>
      <c r="B1271" s="312" t="s">
        <v>1705</v>
      </c>
      <c r="C1271" s="312" t="s">
        <v>1184</v>
      </c>
      <c r="D1271" s="303" t="s">
        <v>1185</v>
      </c>
      <c r="E1271" s="315">
        <v>42719.0</v>
      </c>
      <c r="F1271" s="312" t="s">
        <v>25</v>
      </c>
      <c r="G1271" s="303" t="s">
        <v>1180</v>
      </c>
      <c r="H1271" s="303" t="s">
        <v>1180</v>
      </c>
      <c r="I1271" s="303" t="s">
        <v>1181</v>
      </c>
      <c r="J1271" s="306">
        <v>0.9</v>
      </c>
      <c r="K1271" s="312">
        <v>248.0</v>
      </c>
      <c r="L1271" s="312"/>
      <c r="M1271" s="312">
        <v>312.0</v>
      </c>
      <c r="N1271" s="312"/>
      <c r="O1271" s="312"/>
      <c r="P1271" s="315">
        <v>43072.0</v>
      </c>
      <c r="Q1271" s="312">
        <v>33000.0</v>
      </c>
      <c r="R1271" s="312">
        <v>229.0</v>
      </c>
      <c r="S1271" s="316"/>
      <c r="T1271" s="317">
        <v>231.9</v>
      </c>
      <c r="U1271" s="312" t="s">
        <v>1366</v>
      </c>
      <c r="V1271" s="312" t="s">
        <v>1367</v>
      </c>
      <c r="W1271" s="50"/>
      <c r="X1271" s="50"/>
      <c r="Y1271" s="50"/>
      <c r="Z1271" s="312"/>
      <c r="AA1271" s="50"/>
      <c r="AB1271" s="50"/>
      <c r="AC1271" s="50"/>
      <c r="AD1271" s="50"/>
      <c r="AE1271" s="50"/>
    </row>
    <row r="1272">
      <c r="A1272" s="307">
        <v>42182.90138888889</v>
      </c>
      <c r="B1272" s="312" t="s">
        <v>915</v>
      </c>
      <c r="C1272" s="312" t="s">
        <v>1197</v>
      </c>
      <c r="D1272" s="303" t="s">
        <v>1178</v>
      </c>
      <c r="E1272" s="315">
        <v>41647.0</v>
      </c>
      <c r="F1272" s="312" t="s">
        <v>30</v>
      </c>
      <c r="G1272" s="303" t="s">
        <v>1181</v>
      </c>
      <c r="H1272" s="303" t="s">
        <v>1181</v>
      </c>
      <c r="I1272" s="303" t="s">
        <v>1187</v>
      </c>
      <c r="J1272" s="306">
        <v>0.8</v>
      </c>
      <c r="K1272" s="312">
        <v>425.0</v>
      </c>
      <c r="L1272" s="312"/>
      <c r="M1272" s="312">
        <v>210.0</v>
      </c>
      <c r="N1272" s="312"/>
      <c r="O1272" s="312"/>
      <c r="P1272" s="315">
        <v>42182.0</v>
      </c>
      <c r="Q1272" s="312">
        <v>45756.0</v>
      </c>
      <c r="R1272" s="312">
        <v>409.0</v>
      </c>
      <c r="S1272" s="316"/>
      <c r="T1272" s="317">
        <v>409.0</v>
      </c>
      <c r="U1272" s="312" t="s">
        <v>1369</v>
      </c>
      <c r="V1272" s="312" t="s">
        <v>1367</v>
      </c>
      <c r="W1272" s="312">
        <v>416.0</v>
      </c>
      <c r="X1272" s="312">
        <v>50.0</v>
      </c>
      <c r="Y1272" s="50"/>
      <c r="Z1272" s="312" t="s">
        <v>1369</v>
      </c>
      <c r="AA1272" s="312" t="s">
        <v>1706</v>
      </c>
      <c r="AB1272" s="50"/>
      <c r="AC1272" s="50"/>
      <c r="AD1272" s="50"/>
      <c r="AE1272" s="50"/>
    </row>
    <row r="1273">
      <c r="A1273" s="307">
        <v>43021.62569444445</v>
      </c>
      <c r="B1273" s="312" t="s">
        <v>1036</v>
      </c>
      <c r="C1273" s="303" t="s">
        <v>1177</v>
      </c>
      <c r="D1273" s="303" t="s">
        <v>1178</v>
      </c>
      <c r="E1273" s="315">
        <v>42481.0</v>
      </c>
      <c r="F1273" s="312" t="s">
        <v>43</v>
      </c>
      <c r="G1273" s="303" t="s">
        <v>1179</v>
      </c>
      <c r="H1273" s="303" t="s">
        <v>1181</v>
      </c>
      <c r="I1273" s="303" t="s">
        <v>1181</v>
      </c>
      <c r="J1273" s="306">
        <v>0.8</v>
      </c>
      <c r="K1273" s="312">
        <v>459.0</v>
      </c>
      <c r="L1273" s="312"/>
      <c r="M1273" s="312">
        <v>220.0</v>
      </c>
      <c r="N1273" s="312"/>
      <c r="O1273" s="312"/>
      <c r="P1273" s="315">
        <v>43021.0</v>
      </c>
      <c r="Q1273" s="312">
        <v>99390.0</v>
      </c>
      <c r="R1273" s="312">
        <v>425.0</v>
      </c>
      <c r="S1273" s="316"/>
      <c r="T1273" s="317">
        <v>430.38</v>
      </c>
      <c r="U1273" s="312" t="s">
        <v>1366</v>
      </c>
      <c r="V1273" s="312" t="s">
        <v>1367</v>
      </c>
      <c r="W1273" s="50"/>
      <c r="X1273" s="50"/>
      <c r="Y1273" s="50"/>
      <c r="Z1273" s="312"/>
      <c r="AA1273" s="312" t="s">
        <v>1707</v>
      </c>
      <c r="AB1273" s="50"/>
      <c r="AC1273" s="50"/>
      <c r="AD1273" s="50"/>
      <c r="AE1273" s="50"/>
    </row>
    <row r="1274">
      <c r="A1274" s="307">
        <v>42459.31527777778</v>
      </c>
      <c r="B1274" s="312" t="s">
        <v>511</v>
      </c>
      <c r="C1274" s="303" t="s">
        <v>1177</v>
      </c>
      <c r="D1274" s="303" t="s">
        <v>1178</v>
      </c>
      <c r="E1274" s="315">
        <v>42156.0</v>
      </c>
      <c r="F1274" s="312" t="s">
        <v>36</v>
      </c>
      <c r="G1274" s="303" t="s">
        <v>1203</v>
      </c>
      <c r="H1274" s="303" t="s">
        <v>1181</v>
      </c>
      <c r="I1274" s="303" t="s">
        <v>1179</v>
      </c>
      <c r="J1274" s="306">
        <v>0.5</v>
      </c>
      <c r="K1274" s="312">
        <v>404.0</v>
      </c>
      <c r="L1274" s="312"/>
      <c r="M1274" s="312">
        <v>256.0</v>
      </c>
      <c r="N1274" s="312"/>
      <c r="O1274" s="312"/>
      <c r="P1274" s="315">
        <v>42459.0</v>
      </c>
      <c r="Q1274" s="312">
        <v>41187.0</v>
      </c>
      <c r="R1274" s="312">
        <v>404.0</v>
      </c>
      <c r="S1274" s="316"/>
      <c r="T1274" s="317">
        <v>404.0</v>
      </c>
      <c r="U1274" s="312" t="s">
        <v>1369</v>
      </c>
      <c r="V1274" s="312" t="s">
        <v>1367</v>
      </c>
      <c r="W1274" s="50"/>
      <c r="X1274" s="50"/>
      <c r="Y1274" s="50"/>
      <c r="Z1274" s="312"/>
      <c r="AA1274" s="312"/>
      <c r="AB1274" s="50"/>
      <c r="AC1274" s="50"/>
      <c r="AD1274" s="50"/>
      <c r="AE1274" s="50"/>
    </row>
    <row r="1275">
      <c r="A1275" s="307">
        <v>42929.561111111114</v>
      </c>
      <c r="B1275" s="312" t="s">
        <v>511</v>
      </c>
      <c r="C1275" s="303" t="s">
        <v>1177</v>
      </c>
      <c r="D1275" s="303" t="s">
        <v>1178</v>
      </c>
      <c r="E1275" s="315">
        <v>42156.0</v>
      </c>
      <c r="F1275" s="312" t="s">
        <v>36</v>
      </c>
      <c r="G1275" s="303" t="s">
        <v>1203</v>
      </c>
      <c r="H1275" s="303" t="s">
        <v>1179</v>
      </c>
      <c r="I1275" s="303" t="s">
        <v>1190</v>
      </c>
      <c r="J1275" s="306">
        <v>0.5</v>
      </c>
      <c r="K1275" s="312">
        <v>404.0</v>
      </c>
      <c r="L1275" s="312"/>
      <c r="M1275" s="312">
        <v>248.0</v>
      </c>
      <c r="N1275" s="312"/>
      <c r="O1275" s="312"/>
      <c r="P1275" s="315">
        <v>42929.0</v>
      </c>
      <c r="Q1275" s="312">
        <v>169000.0</v>
      </c>
      <c r="R1275" s="312">
        <v>414.0</v>
      </c>
      <c r="S1275" s="316"/>
      <c r="T1275" s="317">
        <v>414.0</v>
      </c>
      <c r="U1275" s="312" t="s">
        <v>1369</v>
      </c>
      <c r="V1275" s="312" t="s">
        <v>1367</v>
      </c>
      <c r="W1275" s="50"/>
      <c r="X1275" s="50"/>
      <c r="Y1275" s="50"/>
      <c r="Z1275" s="312"/>
      <c r="AA1275" s="50"/>
      <c r="AB1275" s="50"/>
      <c r="AC1275" s="50"/>
      <c r="AD1275" s="50"/>
      <c r="AE1275" s="50"/>
    </row>
    <row r="1276">
      <c r="A1276" s="307">
        <v>43118.67152777778</v>
      </c>
      <c r="B1276" s="312" t="s">
        <v>511</v>
      </c>
      <c r="C1276" s="303" t="s">
        <v>1177</v>
      </c>
      <c r="D1276" s="303" t="s">
        <v>1178</v>
      </c>
      <c r="E1276" s="315">
        <v>42156.0</v>
      </c>
      <c r="F1276" s="312" t="s">
        <v>36</v>
      </c>
      <c r="G1276" s="303" t="s">
        <v>1203</v>
      </c>
      <c r="H1276" s="303" t="s">
        <v>1179</v>
      </c>
      <c r="I1276" s="303" t="s">
        <v>1179</v>
      </c>
      <c r="J1276" s="306">
        <v>0.9</v>
      </c>
      <c r="K1276" s="312">
        <v>404.0</v>
      </c>
      <c r="L1276" s="312"/>
      <c r="M1276" s="312">
        <v>249.0</v>
      </c>
      <c r="N1276" s="312"/>
      <c r="O1276" s="312"/>
      <c r="P1276" s="315">
        <v>43118.0</v>
      </c>
      <c r="Q1276" s="312">
        <v>228291.0</v>
      </c>
      <c r="R1276" s="312">
        <v>403.0</v>
      </c>
      <c r="S1276" s="316"/>
      <c r="T1276" s="317">
        <v>403.0</v>
      </c>
      <c r="U1276" s="312" t="s">
        <v>1369</v>
      </c>
      <c r="V1276" s="312" t="s">
        <v>1367</v>
      </c>
      <c r="W1276" s="50"/>
      <c r="X1276" s="50"/>
      <c r="Y1276" s="50"/>
      <c r="Z1276" s="312"/>
      <c r="AA1276" s="50"/>
      <c r="AB1276" s="50"/>
      <c r="AC1276" s="50"/>
      <c r="AD1276" s="50"/>
      <c r="AE1276" s="50"/>
    </row>
    <row r="1277">
      <c r="A1277" s="307">
        <v>42256.75625</v>
      </c>
      <c r="B1277" s="312" t="s">
        <v>996</v>
      </c>
      <c r="C1277" s="312" t="s">
        <v>1184</v>
      </c>
      <c r="D1277" s="303" t="s">
        <v>1185</v>
      </c>
      <c r="E1277" s="315">
        <v>42139.0</v>
      </c>
      <c r="F1277" s="312" t="s">
        <v>22</v>
      </c>
      <c r="G1277" s="303" t="s">
        <v>1179</v>
      </c>
      <c r="H1277" s="303" t="s">
        <v>1187</v>
      </c>
      <c r="I1277" s="303" t="s">
        <v>1187</v>
      </c>
      <c r="J1277" s="306">
        <v>0.9</v>
      </c>
      <c r="K1277" s="312">
        <v>240.0</v>
      </c>
      <c r="L1277" s="312"/>
      <c r="M1277" s="312">
        <v>281.0</v>
      </c>
      <c r="N1277" s="312"/>
      <c r="O1277" s="312"/>
      <c r="P1277" s="315">
        <v>42256.0</v>
      </c>
      <c r="Q1277" s="312">
        <v>4674.0</v>
      </c>
      <c r="R1277" s="312">
        <v>237.0</v>
      </c>
      <c r="S1277" s="316"/>
      <c r="T1277" s="317">
        <v>237.0</v>
      </c>
      <c r="U1277" s="312" t="s">
        <v>1369</v>
      </c>
      <c r="V1277" s="312" t="s">
        <v>1367</v>
      </c>
      <c r="W1277" s="50"/>
      <c r="X1277" s="50"/>
      <c r="Y1277" s="50"/>
      <c r="Z1277" s="312"/>
      <c r="AA1277" s="312" t="s">
        <v>1708</v>
      </c>
      <c r="AB1277" s="50"/>
      <c r="AC1277" s="50"/>
      <c r="AD1277" s="50"/>
      <c r="AE1277" s="50"/>
    </row>
    <row r="1278">
      <c r="A1278" s="307">
        <v>42470.34305555555</v>
      </c>
      <c r="B1278" s="312" t="s">
        <v>831</v>
      </c>
      <c r="C1278" s="303" t="s">
        <v>1177</v>
      </c>
      <c r="D1278" s="303" t="s">
        <v>1178</v>
      </c>
      <c r="E1278" s="315">
        <v>42389.0</v>
      </c>
      <c r="F1278" s="312" t="s">
        <v>22</v>
      </c>
      <c r="G1278" s="303" t="s">
        <v>1180</v>
      </c>
      <c r="H1278" s="303" t="s">
        <v>1181</v>
      </c>
      <c r="I1278" s="303" t="s">
        <v>1187</v>
      </c>
      <c r="J1278" s="306">
        <v>0.7</v>
      </c>
      <c r="K1278" s="50"/>
      <c r="L1278" s="312"/>
      <c r="M1278" s="312">
        <v>179.0</v>
      </c>
      <c r="N1278" s="312"/>
      <c r="O1278" s="312"/>
      <c r="P1278" s="315">
        <v>42470.0</v>
      </c>
      <c r="Q1278" s="312">
        <v>1340.0</v>
      </c>
      <c r="R1278" s="312">
        <v>364.0</v>
      </c>
      <c r="S1278" s="316"/>
      <c r="T1278" s="317">
        <v>364.0</v>
      </c>
      <c r="U1278" s="312" t="s">
        <v>1369</v>
      </c>
      <c r="V1278" s="312" t="s">
        <v>1367</v>
      </c>
      <c r="W1278" s="50"/>
      <c r="X1278" s="50"/>
      <c r="Y1278" s="312">
        <v>20.2</v>
      </c>
      <c r="Z1278" s="312" t="s">
        <v>1369</v>
      </c>
      <c r="AA1278" s="50"/>
      <c r="AB1278" s="50"/>
      <c r="AC1278" s="50"/>
      <c r="AD1278" s="50"/>
      <c r="AE1278" s="50"/>
    </row>
    <row r="1279">
      <c r="A1279" s="307">
        <v>42504.34375</v>
      </c>
      <c r="B1279" s="312" t="s">
        <v>831</v>
      </c>
      <c r="C1279" s="303" t="s">
        <v>1177</v>
      </c>
      <c r="D1279" s="303" t="s">
        <v>1178</v>
      </c>
      <c r="E1279" s="315">
        <v>42389.0</v>
      </c>
      <c r="F1279" s="312" t="s">
        <v>22</v>
      </c>
      <c r="G1279" s="303" t="s">
        <v>1180</v>
      </c>
      <c r="H1279" s="303" t="s">
        <v>1181</v>
      </c>
      <c r="I1279" s="303" t="s">
        <v>1187</v>
      </c>
      <c r="J1279" s="306">
        <v>0.7</v>
      </c>
      <c r="K1279" s="50"/>
      <c r="L1279" s="312"/>
      <c r="M1279" s="312">
        <v>179.0</v>
      </c>
      <c r="N1279" s="312"/>
      <c r="O1279" s="312"/>
      <c r="P1279" s="315">
        <v>42504.0</v>
      </c>
      <c r="Q1279" s="312">
        <v>3177.0</v>
      </c>
      <c r="R1279" s="312">
        <v>364.0</v>
      </c>
      <c r="S1279" s="316"/>
      <c r="T1279" s="317">
        <v>368.61</v>
      </c>
      <c r="U1279" s="312" t="s">
        <v>1366</v>
      </c>
      <c r="V1279" s="312" t="s">
        <v>1367</v>
      </c>
      <c r="W1279" s="50"/>
      <c r="X1279" s="50"/>
      <c r="Y1279" s="312">
        <v>17.3</v>
      </c>
      <c r="Z1279" s="312" t="s">
        <v>1366</v>
      </c>
      <c r="AA1279" s="50"/>
      <c r="AB1279" s="50"/>
      <c r="AC1279" s="50"/>
      <c r="AD1279" s="50"/>
      <c r="AE1279" s="50"/>
    </row>
    <row r="1280">
      <c r="A1280" s="307">
        <v>43188.7125</v>
      </c>
      <c r="B1280" s="312" t="s">
        <v>1709</v>
      </c>
      <c r="C1280" s="303" t="s">
        <v>1177</v>
      </c>
      <c r="D1280" s="303" t="s">
        <v>1178</v>
      </c>
      <c r="E1280" s="315">
        <v>42583.0</v>
      </c>
      <c r="F1280" s="312" t="s">
        <v>43</v>
      </c>
      <c r="G1280" s="303" t="s">
        <v>1181</v>
      </c>
      <c r="H1280" s="303" t="s">
        <v>1180</v>
      </c>
      <c r="I1280" s="303" t="s">
        <v>1180</v>
      </c>
      <c r="J1280" s="306">
        <v>0.9</v>
      </c>
      <c r="K1280" s="50"/>
      <c r="L1280" s="312"/>
      <c r="M1280" s="312">
        <v>218.0</v>
      </c>
      <c r="N1280" s="312"/>
      <c r="O1280" s="312"/>
      <c r="P1280" s="315">
        <v>43188.0</v>
      </c>
      <c r="Q1280" s="312">
        <v>60968.0</v>
      </c>
      <c r="R1280" s="312">
        <v>435.0</v>
      </c>
      <c r="S1280" s="316"/>
      <c r="T1280" s="317">
        <v>440.51</v>
      </c>
      <c r="U1280" s="312" t="s">
        <v>1366</v>
      </c>
      <c r="V1280" s="312" t="s">
        <v>1367</v>
      </c>
      <c r="W1280" s="50"/>
      <c r="X1280" s="50"/>
      <c r="Y1280" s="50"/>
      <c r="Z1280" s="312"/>
      <c r="AA1280" s="50"/>
      <c r="AB1280" s="50"/>
      <c r="AC1280" s="50"/>
      <c r="AD1280" s="50"/>
      <c r="AE1280" s="50"/>
    </row>
    <row r="1281">
      <c r="A1281" s="307">
        <v>42355.2625</v>
      </c>
      <c r="B1281" s="312" t="s">
        <v>1111</v>
      </c>
      <c r="C1281" s="303" t="s">
        <v>1177</v>
      </c>
      <c r="D1281" s="303" t="s">
        <v>1178</v>
      </c>
      <c r="E1281" s="310">
        <v>42013.0</v>
      </c>
      <c r="F1281" s="312" t="s">
        <v>30</v>
      </c>
      <c r="G1281" s="303" t="s">
        <v>1179</v>
      </c>
      <c r="H1281" s="303" t="s">
        <v>1180</v>
      </c>
      <c r="I1281" s="303" t="s">
        <v>1181</v>
      </c>
      <c r="J1281" s="306">
        <v>0.9</v>
      </c>
      <c r="K1281" s="50"/>
      <c r="L1281" s="312"/>
      <c r="M1281" s="312">
        <v>222.0</v>
      </c>
      <c r="N1281" s="312"/>
      <c r="O1281" s="312"/>
      <c r="P1281" s="315">
        <v>42355.0</v>
      </c>
      <c r="Q1281" s="312">
        <v>34822.0</v>
      </c>
      <c r="R1281" s="312">
        <v>377.0</v>
      </c>
      <c r="S1281" s="316"/>
      <c r="T1281" s="317">
        <v>381.77</v>
      </c>
      <c r="U1281" s="312" t="s">
        <v>1366</v>
      </c>
      <c r="V1281" s="312" t="s">
        <v>1367</v>
      </c>
      <c r="W1281" s="50"/>
      <c r="X1281" s="50"/>
      <c r="Y1281" s="50"/>
      <c r="Z1281" s="312"/>
      <c r="AA1281" s="50"/>
      <c r="AB1281" s="50"/>
      <c r="AC1281" s="50"/>
      <c r="AD1281" s="50"/>
      <c r="AE1281" s="50"/>
    </row>
    <row r="1282">
      <c r="A1282" s="307">
        <v>42874.85763888889</v>
      </c>
      <c r="B1282" s="312" t="s">
        <v>547</v>
      </c>
      <c r="C1282" s="312" t="s">
        <v>1184</v>
      </c>
      <c r="D1282" s="303" t="s">
        <v>1185</v>
      </c>
      <c r="E1282" s="315">
        <v>42703.0</v>
      </c>
      <c r="F1282" s="312" t="s">
        <v>43</v>
      </c>
      <c r="G1282" s="303" t="s">
        <v>1181</v>
      </c>
      <c r="H1282" s="303" t="s">
        <v>1181</v>
      </c>
      <c r="I1282" s="303" t="s">
        <v>1187</v>
      </c>
      <c r="J1282" s="306">
        <v>0.9</v>
      </c>
      <c r="K1282" s="312">
        <v>293.0</v>
      </c>
      <c r="L1282" s="312"/>
      <c r="M1282" s="312">
        <v>263.0</v>
      </c>
      <c r="N1282" s="312"/>
      <c r="O1282" s="312"/>
      <c r="P1282" s="315">
        <v>42874.0</v>
      </c>
      <c r="Q1282" s="312">
        <v>5000.0</v>
      </c>
      <c r="R1282" s="312">
        <v>291.0</v>
      </c>
      <c r="S1282" s="316"/>
      <c r="T1282" s="317">
        <v>294.68</v>
      </c>
      <c r="U1282" s="312" t="s">
        <v>1366</v>
      </c>
      <c r="V1282" s="312" t="s">
        <v>1367</v>
      </c>
      <c r="W1282" s="312"/>
      <c r="X1282" s="312"/>
      <c r="Y1282" s="50"/>
      <c r="Z1282" s="312"/>
      <c r="AA1282" s="50"/>
      <c r="AB1282" s="50"/>
      <c r="AC1282" s="50"/>
      <c r="AD1282" s="50"/>
      <c r="AE1282" s="50"/>
    </row>
    <row r="1283">
      <c r="A1283" s="307">
        <v>42971.85833333333</v>
      </c>
      <c r="B1283" s="312" t="s">
        <v>547</v>
      </c>
      <c r="C1283" s="312" t="s">
        <v>1184</v>
      </c>
      <c r="D1283" s="303" t="s">
        <v>1185</v>
      </c>
      <c r="E1283" s="315">
        <v>42703.0</v>
      </c>
      <c r="F1283" s="312" t="s">
        <v>43</v>
      </c>
      <c r="G1283" s="303" t="s">
        <v>1181</v>
      </c>
      <c r="H1283" s="303" t="s">
        <v>1181</v>
      </c>
      <c r="I1283" s="303" t="s">
        <v>1187</v>
      </c>
      <c r="J1283" s="306">
        <v>0.9</v>
      </c>
      <c r="K1283" s="312">
        <v>293.0</v>
      </c>
      <c r="L1283" s="312"/>
      <c r="M1283" s="312">
        <v>263.0</v>
      </c>
      <c r="N1283" s="312"/>
      <c r="O1283" s="312"/>
      <c r="P1283" s="315">
        <v>42971.0</v>
      </c>
      <c r="Q1283" s="312">
        <v>10000.0</v>
      </c>
      <c r="R1283" s="312">
        <v>284.0</v>
      </c>
      <c r="S1283" s="316"/>
      <c r="T1283" s="317">
        <v>287.59</v>
      </c>
      <c r="U1283" s="312" t="s">
        <v>1366</v>
      </c>
      <c r="V1283" s="312" t="s">
        <v>1367</v>
      </c>
      <c r="W1283" s="50"/>
      <c r="X1283" s="50"/>
      <c r="Y1283" s="50"/>
      <c r="Z1283" s="312"/>
      <c r="AA1283" s="50"/>
      <c r="AB1283" s="50"/>
      <c r="AC1283" s="50"/>
      <c r="AD1283" s="50"/>
      <c r="AE1283" s="50"/>
    </row>
    <row r="1284">
      <c r="A1284" s="307">
        <v>42697.46041666667</v>
      </c>
      <c r="B1284" s="312" t="s">
        <v>1090</v>
      </c>
      <c r="C1284" s="303" t="s">
        <v>1177</v>
      </c>
      <c r="D1284" s="303" t="s">
        <v>1178</v>
      </c>
      <c r="E1284" s="315">
        <v>42122.0</v>
      </c>
      <c r="F1284" s="312" t="s">
        <v>36</v>
      </c>
      <c r="G1284" s="303" t="s">
        <v>1181</v>
      </c>
      <c r="H1284" s="303" t="s">
        <v>1180</v>
      </c>
      <c r="I1284" s="303" t="s">
        <v>1186</v>
      </c>
      <c r="J1284" s="306">
        <v>0.9</v>
      </c>
      <c r="K1284" s="50"/>
      <c r="L1284" s="312"/>
      <c r="M1284" s="312">
        <v>203.0</v>
      </c>
      <c r="N1284" s="312"/>
      <c r="O1284" s="312"/>
      <c r="P1284" s="315">
        <v>42697.0</v>
      </c>
      <c r="Q1284" s="312">
        <v>88932.0</v>
      </c>
      <c r="R1284" s="312">
        <v>410.0</v>
      </c>
      <c r="S1284" s="316"/>
      <c r="T1284" s="317">
        <v>415.19</v>
      </c>
      <c r="U1284" s="312" t="s">
        <v>1366</v>
      </c>
      <c r="V1284" s="312" t="s">
        <v>1367</v>
      </c>
      <c r="W1284" s="50"/>
      <c r="X1284" s="50"/>
      <c r="Y1284" s="50"/>
      <c r="Z1284" s="312"/>
      <c r="AA1284" s="50"/>
      <c r="AB1284" s="50"/>
      <c r="AC1284" s="50"/>
      <c r="AD1284" s="50"/>
      <c r="AE1284" s="50"/>
    </row>
    <row r="1285">
      <c r="A1285" s="307">
        <v>43192.717361111114</v>
      </c>
      <c r="B1285" s="312" t="s">
        <v>1710</v>
      </c>
      <c r="C1285" s="303" t="s">
        <v>1177</v>
      </c>
      <c r="D1285" s="303" t="s">
        <v>1178</v>
      </c>
      <c r="E1285" s="315">
        <v>41558.0</v>
      </c>
      <c r="F1285" s="312" t="s">
        <v>30</v>
      </c>
      <c r="G1285" s="303" t="s">
        <v>1181</v>
      </c>
      <c r="H1285" s="303" t="s">
        <v>1181</v>
      </c>
      <c r="I1285" s="303" t="s">
        <v>1181</v>
      </c>
      <c r="J1285" s="306">
        <v>0.8</v>
      </c>
      <c r="K1285" s="50"/>
      <c r="L1285" s="312"/>
      <c r="M1285" s="312">
        <v>210.0</v>
      </c>
      <c r="N1285" s="312">
        <v>27000.0</v>
      </c>
      <c r="O1285" s="303" t="s">
        <v>1711</v>
      </c>
      <c r="P1285" s="315">
        <v>43192.0</v>
      </c>
      <c r="Q1285" s="312">
        <v>129000.0</v>
      </c>
      <c r="R1285" s="312">
        <v>360.0</v>
      </c>
      <c r="S1285" s="316"/>
      <c r="T1285" s="317">
        <v>364.56</v>
      </c>
      <c r="U1285" s="312" t="s">
        <v>1366</v>
      </c>
      <c r="V1285" s="312" t="s">
        <v>1399</v>
      </c>
      <c r="W1285" s="50"/>
      <c r="X1285" s="50"/>
      <c r="Y1285" s="50"/>
      <c r="Z1285" s="312"/>
      <c r="AA1285" s="50"/>
      <c r="AB1285" s="50"/>
      <c r="AC1285" s="50"/>
      <c r="AD1285" s="50"/>
      <c r="AE1285" s="50"/>
    </row>
    <row r="1286">
      <c r="A1286" s="307">
        <v>42318.22430555556</v>
      </c>
      <c r="B1286" s="312" t="s">
        <v>1082</v>
      </c>
      <c r="C1286" s="303" t="s">
        <v>1177</v>
      </c>
      <c r="D1286" s="303" t="s">
        <v>1178</v>
      </c>
      <c r="E1286" s="315">
        <v>41548.0</v>
      </c>
      <c r="F1286" s="312" t="s">
        <v>30</v>
      </c>
      <c r="G1286" s="303" t="s">
        <v>1181</v>
      </c>
      <c r="H1286" s="303" t="s">
        <v>1181</v>
      </c>
      <c r="I1286" s="303" t="s">
        <v>1186</v>
      </c>
      <c r="J1286" s="306">
        <v>0.8</v>
      </c>
      <c r="K1286" s="50"/>
      <c r="L1286" s="312"/>
      <c r="M1286" s="312">
        <v>230.0</v>
      </c>
      <c r="N1286" s="312"/>
      <c r="O1286" s="312"/>
      <c r="P1286" s="315">
        <v>42318.0</v>
      </c>
      <c r="Q1286" s="312">
        <v>40108.0</v>
      </c>
      <c r="R1286" s="312">
        <v>386.0</v>
      </c>
      <c r="S1286" s="316"/>
      <c r="T1286" s="317">
        <v>390.89</v>
      </c>
      <c r="U1286" s="312" t="s">
        <v>1366</v>
      </c>
      <c r="V1286" s="312" t="s">
        <v>1367</v>
      </c>
      <c r="W1286" s="50"/>
      <c r="X1286" s="50"/>
      <c r="Y1286" s="50"/>
      <c r="Z1286" s="312"/>
      <c r="AA1286" s="312" t="s">
        <v>1387</v>
      </c>
      <c r="AB1286" s="50"/>
      <c r="AC1286" s="50"/>
      <c r="AD1286" s="50"/>
      <c r="AE1286" s="50"/>
    </row>
    <row r="1287">
      <c r="A1287" s="307">
        <v>42984.60138888889</v>
      </c>
      <c r="B1287" s="312" t="s">
        <v>989</v>
      </c>
      <c r="C1287" s="303" t="s">
        <v>1177</v>
      </c>
      <c r="D1287" s="303" t="s">
        <v>1178</v>
      </c>
      <c r="E1287" s="315">
        <v>41973.0</v>
      </c>
      <c r="F1287" s="312" t="s">
        <v>30</v>
      </c>
      <c r="G1287" s="303" t="s">
        <v>1190</v>
      </c>
      <c r="H1287" s="303" t="s">
        <v>1186</v>
      </c>
      <c r="I1287" s="303" t="s">
        <v>1186</v>
      </c>
      <c r="J1287" s="306">
        <v>0.6</v>
      </c>
      <c r="K1287" s="50"/>
      <c r="L1287" s="312"/>
      <c r="M1287" s="312">
        <v>204.0</v>
      </c>
      <c r="N1287" s="312"/>
      <c r="O1287" s="312"/>
      <c r="P1287" s="315">
        <v>42984.0</v>
      </c>
      <c r="Q1287" s="312">
        <v>69189.0</v>
      </c>
      <c r="R1287" s="312">
        <v>388.0</v>
      </c>
      <c r="S1287" s="316"/>
      <c r="T1287" s="317">
        <v>392.91</v>
      </c>
      <c r="U1287" s="312" t="s">
        <v>1366</v>
      </c>
      <c r="V1287" s="312" t="s">
        <v>1367</v>
      </c>
      <c r="W1287" s="50"/>
      <c r="X1287" s="50"/>
      <c r="Y1287" s="50"/>
      <c r="Z1287" s="312"/>
      <c r="AA1287" s="312" t="s">
        <v>1707</v>
      </c>
      <c r="AB1287" s="50"/>
      <c r="AC1287" s="50"/>
      <c r="AD1287" s="50"/>
      <c r="AE1287" s="50"/>
    </row>
    <row r="1288">
      <c r="A1288" s="307">
        <v>42143.118055555555</v>
      </c>
      <c r="B1288" s="312" t="s">
        <v>875</v>
      </c>
      <c r="C1288" s="303" t="s">
        <v>1177</v>
      </c>
      <c r="D1288" s="303" t="s">
        <v>1178</v>
      </c>
      <c r="E1288" s="315">
        <v>41729.0</v>
      </c>
      <c r="F1288" s="312" t="s">
        <v>30</v>
      </c>
      <c r="G1288" s="303" t="s">
        <v>1203</v>
      </c>
      <c r="H1288" s="303" t="s">
        <v>1179</v>
      </c>
      <c r="I1288" s="303" t="s">
        <v>1181</v>
      </c>
      <c r="J1288" s="306">
        <v>0.9</v>
      </c>
      <c r="K1288" s="50"/>
      <c r="L1288" s="312"/>
      <c r="M1288" s="312">
        <v>254.0</v>
      </c>
      <c r="N1288" s="312">
        <v>31500.0</v>
      </c>
      <c r="O1288" s="303" t="s">
        <v>1207</v>
      </c>
      <c r="P1288" s="315">
        <v>42143.0</v>
      </c>
      <c r="Q1288" s="312">
        <v>57500.0</v>
      </c>
      <c r="R1288" s="312">
        <v>375.0</v>
      </c>
      <c r="S1288" s="316"/>
      <c r="T1288" s="317">
        <v>379.75</v>
      </c>
      <c r="U1288" s="312" t="s">
        <v>1366</v>
      </c>
      <c r="V1288" s="312" t="s">
        <v>1399</v>
      </c>
      <c r="W1288" s="50"/>
      <c r="X1288" s="50"/>
      <c r="Y1288" s="50"/>
      <c r="Z1288" s="312"/>
      <c r="AA1288" s="312" t="s">
        <v>1435</v>
      </c>
      <c r="AB1288" s="50"/>
      <c r="AC1288" s="50"/>
      <c r="AD1288" s="50"/>
      <c r="AE1288" s="50"/>
    </row>
    <row r="1289">
      <c r="A1289" s="307">
        <v>42871.53680555556</v>
      </c>
      <c r="B1289" s="312" t="s">
        <v>869</v>
      </c>
      <c r="C1289" s="303" t="s">
        <v>1177</v>
      </c>
      <c r="D1289" s="303" t="s">
        <v>1178</v>
      </c>
      <c r="E1289" s="315">
        <v>42864.0</v>
      </c>
      <c r="F1289" s="312" t="s">
        <v>49</v>
      </c>
      <c r="G1289" s="303" t="s">
        <v>1190</v>
      </c>
      <c r="H1289" s="303" t="s">
        <v>1181</v>
      </c>
      <c r="I1289" s="303" t="s">
        <v>1187</v>
      </c>
      <c r="J1289" s="306">
        <v>0.8</v>
      </c>
      <c r="K1289" s="312">
        <v>488.0</v>
      </c>
      <c r="L1289" s="312"/>
      <c r="M1289" s="312">
        <v>188.0</v>
      </c>
      <c r="N1289" s="312"/>
      <c r="O1289" s="312"/>
      <c r="P1289" s="315">
        <v>42871.0</v>
      </c>
      <c r="Q1289" s="312">
        <v>1364.0</v>
      </c>
      <c r="R1289" s="312">
        <v>488.0</v>
      </c>
      <c r="S1289" s="316"/>
      <c r="T1289" s="317">
        <v>488.0</v>
      </c>
      <c r="U1289" s="312" t="s">
        <v>1369</v>
      </c>
      <c r="V1289" s="312" t="s">
        <v>1367</v>
      </c>
      <c r="W1289" s="50"/>
      <c r="X1289" s="50"/>
      <c r="Y1289" s="50"/>
      <c r="Z1289" s="312"/>
      <c r="AA1289" s="50"/>
      <c r="AB1289" s="50"/>
      <c r="AC1289" s="50"/>
      <c r="AD1289" s="50"/>
      <c r="AE1289" s="50"/>
    </row>
    <row r="1290">
      <c r="A1290" s="307">
        <v>42962.57708333333</v>
      </c>
      <c r="B1290" s="312" t="s">
        <v>869</v>
      </c>
      <c r="C1290" s="303" t="s">
        <v>1177</v>
      </c>
      <c r="D1290" s="303" t="s">
        <v>1178</v>
      </c>
      <c r="E1290" s="315">
        <v>42864.0</v>
      </c>
      <c r="F1290" s="312" t="s">
        <v>49</v>
      </c>
      <c r="G1290" s="303" t="s">
        <v>1190</v>
      </c>
      <c r="H1290" s="303" t="s">
        <v>1180</v>
      </c>
      <c r="I1290" s="303" t="s">
        <v>1187</v>
      </c>
      <c r="J1290" s="306">
        <v>0.8</v>
      </c>
      <c r="K1290" s="312">
        <v>488.0</v>
      </c>
      <c r="L1290" s="312"/>
      <c r="M1290" s="312"/>
      <c r="N1290" s="312"/>
      <c r="O1290" s="312"/>
      <c r="P1290" s="315">
        <v>42962.0</v>
      </c>
      <c r="Q1290" s="312">
        <v>9695.0</v>
      </c>
      <c r="R1290" s="312">
        <v>484.0</v>
      </c>
      <c r="S1290" s="316"/>
      <c r="T1290" s="317">
        <v>484.0</v>
      </c>
      <c r="U1290" s="312" t="s">
        <v>1369</v>
      </c>
      <c r="V1290" s="312" t="s">
        <v>1367</v>
      </c>
      <c r="W1290" s="50"/>
      <c r="X1290" s="50"/>
      <c r="Y1290" s="50"/>
      <c r="Z1290" s="312"/>
      <c r="AA1290" s="50"/>
      <c r="AB1290" s="50"/>
      <c r="AC1290" s="50"/>
      <c r="AD1290" s="50"/>
      <c r="AE1290" s="50"/>
    </row>
    <row r="1291">
      <c r="A1291" s="307">
        <v>43090.65</v>
      </c>
      <c r="B1291" s="312" t="s">
        <v>869</v>
      </c>
      <c r="C1291" s="303" t="s">
        <v>1177</v>
      </c>
      <c r="D1291" s="303" t="s">
        <v>1178</v>
      </c>
      <c r="E1291" s="315">
        <v>42864.0</v>
      </c>
      <c r="F1291" s="312" t="s">
        <v>49</v>
      </c>
      <c r="G1291" s="303" t="s">
        <v>1179</v>
      </c>
      <c r="H1291" s="303" t="s">
        <v>1181</v>
      </c>
      <c r="I1291" s="303" t="s">
        <v>1186</v>
      </c>
      <c r="J1291" s="306">
        <v>0.8</v>
      </c>
      <c r="K1291" s="312">
        <v>488.0</v>
      </c>
      <c r="L1291" s="312"/>
      <c r="M1291" s="312">
        <v>182.0</v>
      </c>
      <c r="N1291" s="312"/>
      <c r="O1291" s="312"/>
      <c r="P1291" s="315">
        <v>43090.0</v>
      </c>
      <c r="Q1291" s="312">
        <v>13558.0</v>
      </c>
      <c r="R1291" s="312">
        <v>480.0</v>
      </c>
      <c r="S1291" s="316"/>
      <c r="T1291" s="317">
        <v>480.0</v>
      </c>
      <c r="U1291" s="312" t="s">
        <v>1369</v>
      </c>
      <c r="V1291" s="312" t="s">
        <v>1367</v>
      </c>
      <c r="W1291" s="50"/>
      <c r="X1291" s="50"/>
      <c r="Y1291" s="50"/>
      <c r="Z1291" s="312"/>
      <c r="AA1291" s="50"/>
      <c r="AB1291" s="50"/>
      <c r="AC1291" s="50"/>
      <c r="AD1291" s="50"/>
      <c r="AE1291" s="50"/>
    </row>
    <row r="1292">
      <c r="A1292" s="307">
        <v>41906.01458333333</v>
      </c>
      <c r="B1292" s="50" t="s">
        <v>731</v>
      </c>
      <c r="C1292" s="303" t="s">
        <v>1177</v>
      </c>
      <c r="D1292" s="303" t="s">
        <v>1178</v>
      </c>
      <c r="E1292" s="310">
        <v>41543.0</v>
      </c>
      <c r="F1292" s="50" t="s">
        <v>30</v>
      </c>
      <c r="G1292" s="303" t="s">
        <v>1179</v>
      </c>
      <c r="H1292" s="303" t="s">
        <v>1180</v>
      </c>
      <c r="I1292" s="303" t="s">
        <v>1187</v>
      </c>
      <c r="J1292" s="306"/>
      <c r="K1292" s="50"/>
      <c r="L1292" s="50"/>
      <c r="M1292" s="50">
        <v>221.0</v>
      </c>
      <c r="N1292" s="50"/>
      <c r="O1292" s="312"/>
      <c r="P1292" s="310">
        <v>41906.0</v>
      </c>
      <c r="Q1292" s="50">
        <v>49600.0</v>
      </c>
      <c r="R1292" s="50">
        <v>386.0</v>
      </c>
      <c r="S1292" s="318"/>
      <c r="T1292" s="317">
        <v>389.9</v>
      </c>
      <c r="U1292" s="312" t="s">
        <v>1407</v>
      </c>
      <c r="V1292" s="312" t="s">
        <v>1367</v>
      </c>
      <c r="W1292" s="50"/>
      <c r="X1292" s="50"/>
      <c r="Y1292" s="50"/>
      <c r="Z1292" s="312"/>
      <c r="AA1292" s="50"/>
      <c r="AB1292" s="50"/>
      <c r="AC1292" s="50"/>
      <c r="AD1292" s="50"/>
      <c r="AE1292" s="50"/>
    </row>
    <row r="1293">
      <c r="A1293" s="307">
        <v>41950.035416666666</v>
      </c>
      <c r="B1293" s="50" t="s">
        <v>731</v>
      </c>
      <c r="C1293" s="303" t="s">
        <v>1177</v>
      </c>
      <c r="D1293" s="303" t="s">
        <v>1178</v>
      </c>
      <c r="E1293" s="310">
        <v>41543.0</v>
      </c>
      <c r="F1293" s="312" t="s">
        <v>30</v>
      </c>
      <c r="G1293" s="303" t="s">
        <v>1179</v>
      </c>
      <c r="H1293" s="303" t="s">
        <v>1179</v>
      </c>
      <c r="I1293" s="303" t="s">
        <v>1187</v>
      </c>
      <c r="J1293" s="306"/>
      <c r="K1293" s="50"/>
      <c r="L1293" s="50"/>
      <c r="M1293" s="50">
        <v>221.0</v>
      </c>
      <c r="N1293" s="50"/>
      <c r="O1293" s="312"/>
      <c r="P1293" s="310">
        <v>41950.0</v>
      </c>
      <c r="Q1293" s="50">
        <v>54000.0</v>
      </c>
      <c r="R1293" s="50">
        <v>377.0</v>
      </c>
      <c r="S1293" s="318"/>
      <c r="T1293" s="317">
        <v>380.81</v>
      </c>
      <c r="U1293" s="312" t="s">
        <v>1407</v>
      </c>
      <c r="V1293" s="312" t="s">
        <v>1367</v>
      </c>
      <c r="W1293" s="50"/>
      <c r="X1293" s="50"/>
      <c r="Y1293" s="50"/>
      <c r="Z1293" s="312"/>
      <c r="AA1293" s="50"/>
      <c r="AB1293" s="50"/>
      <c r="AC1293" s="50"/>
      <c r="AD1293" s="50"/>
      <c r="AE1293" s="50"/>
    </row>
    <row r="1294">
      <c r="A1294" s="307">
        <v>42019.05416666667</v>
      </c>
      <c r="B1294" s="50" t="s">
        <v>731</v>
      </c>
      <c r="C1294" s="303" t="s">
        <v>1177</v>
      </c>
      <c r="D1294" s="303" t="s">
        <v>1178</v>
      </c>
      <c r="E1294" s="310">
        <v>41543.0</v>
      </c>
      <c r="F1294" s="312" t="s">
        <v>30</v>
      </c>
      <c r="G1294" s="303" t="s">
        <v>1179</v>
      </c>
      <c r="H1294" s="303" t="s">
        <v>1179</v>
      </c>
      <c r="I1294" s="303" t="s">
        <v>1186</v>
      </c>
      <c r="J1294" s="306"/>
      <c r="K1294" s="50"/>
      <c r="L1294" s="50"/>
      <c r="M1294" s="50">
        <v>227.0</v>
      </c>
      <c r="N1294" s="50"/>
      <c r="O1294" s="312"/>
      <c r="P1294" s="310">
        <v>42019.0</v>
      </c>
      <c r="Q1294" s="50">
        <v>59500.0</v>
      </c>
      <c r="R1294" s="50">
        <v>374.0</v>
      </c>
      <c r="S1294" s="318"/>
      <c r="T1294" s="317">
        <v>377.78</v>
      </c>
      <c r="U1294" s="312" t="s">
        <v>1407</v>
      </c>
      <c r="V1294" s="312" t="s">
        <v>1367</v>
      </c>
      <c r="W1294" s="50"/>
      <c r="X1294" s="50"/>
      <c r="Y1294" s="50"/>
      <c r="Z1294" s="312"/>
      <c r="AA1294" s="50"/>
      <c r="AB1294" s="50"/>
      <c r="AC1294" s="50"/>
      <c r="AD1294" s="50"/>
      <c r="AE1294" s="50"/>
    </row>
    <row r="1295">
      <c r="A1295" s="307">
        <v>42029.06597222222</v>
      </c>
      <c r="B1295" s="50" t="s">
        <v>731</v>
      </c>
      <c r="C1295" s="303" t="s">
        <v>1177</v>
      </c>
      <c r="D1295" s="303" t="s">
        <v>1178</v>
      </c>
      <c r="E1295" s="310">
        <v>41543.0</v>
      </c>
      <c r="F1295" s="312" t="s">
        <v>30</v>
      </c>
      <c r="G1295" s="303" t="s">
        <v>1190</v>
      </c>
      <c r="H1295" s="303" t="s">
        <v>1179</v>
      </c>
      <c r="I1295" s="303" t="s">
        <v>1186</v>
      </c>
      <c r="J1295" s="306"/>
      <c r="K1295" s="50"/>
      <c r="L1295" s="50"/>
      <c r="M1295" s="50">
        <v>224.0</v>
      </c>
      <c r="N1295" s="50"/>
      <c r="O1295" s="312"/>
      <c r="P1295" s="310">
        <v>42029.0</v>
      </c>
      <c r="Q1295" s="50">
        <v>63000.0</v>
      </c>
      <c r="R1295" s="50">
        <v>374.0</v>
      </c>
      <c r="S1295" s="318"/>
      <c r="T1295" s="317">
        <v>378.73</v>
      </c>
      <c r="U1295" s="312" t="s">
        <v>1366</v>
      </c>
      <c r="V1295" s="312" t="s">
        <v>1367</v>
      </c>
      <c r="W1295" s="50"/>
      <c r="X1295" s="50"/>
      <c r="Y1295" s="50"/>
      <c r="Z1295" s="312"/>
      <c r="AA1295" s="50"/>
      <c r="AB1295" s="50"/>
      <c r="AC1295" s="50"/>
      <c r="AD1295" s="50"/>
      <c r="AE1295" s="50"/>
    </row>
    <row r="1296">
      <c r="A1296" s="307">
        <v>42060.07777777778</v>
      </c>
      <c r="B1296" s="50" t="s">
        <v>731</v>
      </c>
      <c r="C1296" s="303" t="s">
        <v>1177</v>
      </c>
      <c r="D1296" s="303" t="s">
        <v>1178</v>
      </c>
      <c r="E1296" s="310">
        <v>41543.0</v>
      </c>
      <c r="F1296" s="312" t="s">
        <v>30</v>
      </c>
      <c r="G1296" s="303" t="s">
        <v>1179</v>
      </c>
      <c r="H1296" s="303" t="s">
        <v>1180</v>
      </c>
      <c r="I1296" s="303" t="s">
        <v>1186</v>
      </c>
      <c r="J1296" s="306"/>
      <c r="K1296" s="50"/>
      <c r="L1296" s="50"/>
      <c r="M1296" s="50">
        <v>226.0</v>
      </c>
      <c r="N1296" s="50">
        <v>66000.0</v>
      </c>
      <c r="O1296" s="303" t="s">
        <v>1207</v>
      </c>
      <c r="P1296" s="310">
        <v>42060.0</v>
      </c>
      <c r="Q1296" s="50">
        <v>68018.0</v>
      </c>
      <c r="R1296" s="50">
        <v>373.0</v>
      </c>
      <c r="S1296" s="318"/>
      <c r="T1296" s="317">
        <v>377.72</v>
      </c>
      <c r="U1296" s="312" t="s">
        <v>1366</v>
      </c>
      <c r="V1296" s="312" t="s">
        <v>1399</v>
      </c>
      <c r="W1296" s="50"/>
      <c r="X1296" s="50"/>
      <c r="Y1296" s="50"/>
      <c r="Z1296" s="312"/>
      <c r="AA1296" s="50"/>
      <c r="AB1296" s="50"/>
      <c r="AC1296" s="50"/>
      <c r="AD1296" s="50"/>
      <c r="AE1296" s="50"/>
    </row>
    <row r="1297">
      <c r="A1297" s="307">
        <v>42106.09444444445</v>
      </c>
      <c r="B1297" s="312" t="s">
        <v>731</v>
      </c>
      <c r="C1297" s="303" t="s">
        <v>1177</v>
      </c>
      <c r="D1297" s="303" t="s">
        <v>1178</v>
      </c>
      <c r="E1297" s="315">
        <v>41543.0</v>
      </c>
      <c r="F1297" s="312" t="s">
        <v>30</v>
      </c>
      <c r="G1297" s="303" t="s">
        <v>1179</v>
      </c>
      <c r="H1297" s="303" t="s">
        <v>1179</v>
      </c>
      <c r="I1297" s="303" t="s">
        <v>1186</v>
      </c>
      <c r="J1297" s="306"/>
      <c r="K1297" s="50"/>
      <c r="L1297" s="312"/>
      <c r="M1297" s="312">
        <v>225.0</v>
      </c>
      <c r="N1297" s="312">
        <v>65000.0</v>
      </c>
      <c r="O1297" s="303" t="s">
        <v>1207</v>
      </c>
      <c r="P1297" s="315">
        <v>42106.0</v>
      </c>
      <c r="Q1297" s="312">
        <v>74020.0</v>
      </c>
      <c r="R1297" s="312">
        <v>375.0</v>
      </c>
      <c r="S1297" s="316"/>
      <c r="T1297" s="317">
        <v>379.75</v>
      </c>
      <c r="U1297" s="312" t="s">
        <v>1366</v>
      </c>
      <c r="V1297" s="312" t="s">
        <v>1399</v>
      </c>
      <c r="W1297" s="50"/>
      <c r="X1297" s="50"/>
      <c r="Y1297" s="50"/>
      <c r="Z1297" s="312"/>
      <c r="AA1297" s="50"/>
      <c r="AB1297" s="50"/>
      <c r="AC1297" s="50"/>
      <c r="AD1297" s="50"/>
      <c r="AE1297" s="50"/>
    </row>
    <row r="1298">
      <c r="A1298" s="307">
        <v>42142.11736111111</v>
      </c>
      <c r="B1298" s="312" t="s">
        <v>731</v>
      </c>
      <c r="C1298" s="303" t="s">
        <v>1177</v>
      </c>
      <c r="D1298" s="303" t="s">
        <v>1178</v>
      </c>
      <c r="E1298" s="315">
        <v>41543.0</v>
      </c>
      <c r="F1298" s="312" t="s">
        <v>30</v>
      </c>
      <c r="G1298" s="303" t="s">
        <v>1179</v>
      </c>
      <c r="H1298" s="303" t="s">
        <v>1180</v>
      </c>
      <c r="I1298" s="303" t="s">
        <v>1186</v>
      </c>
      <c r="J1298" s="306">
        <v>0.9</v>
      </c>
      <c r="K1298" s="50"/>
      <c r="L1298" s="312"/>
      <c r="M1298" s="312">
        <v>224.0</v>
      </c>
      <c r="N1298" s="312">
        <v>65000.0</v>
      </c>
      <c r="O1298" s="303" t="s">
        <v>1207</v>
      </c>
      <c r="P1298" s="315">
        <v>42142.0</v>
      </c>
      <c r="Q1298" s="312">
        <v>78500.0</v>
      </c>
      <c r="R1298" s="312">
        <v>375.0</v>
      </c>
      <c r="S1298" s="316"/>
      <c r="T1298" s="317">
        <v>379.75</v>
      </c>
      <c r="U1298" s="312" t="s">
        <v>1366</v>
      </c>
      <c r="V1298" s="312" t="s">
        <v>1399</v>
      </c>
      <c r="W1298" s="50"/>
      <c r="X1298" s="50"/>
      <c r="Y1298" s="50"/>
      <c r="Z1298" s="312"/>
      <c r="AA1298" s="312"/>
      <c r="AB1298" s="50"/>
      <c r="AC1298" s="50"/>
      <c r="AD1298" s="50"/>
      <c r="AE1298" s="50"/>
    </row>
    <row r="1299">
      <c r="A1299" s="307">
        <v>42159.131944444445</v>
      </c>
      <c r="B1299" s="312" t="s">
        <v>731</v>
      </c>
      <c r="C1299" s="303" t="s">
        <v>1177</v>
      </c>
      <c r="D1299" s="303" t="s">
        <v>1178</v>
      </c>
      <c r="E1299" s="315">
        <v>41543.0</v>
      </c>
      <c r="F1299" s="312" t="s">
        <v>30</v>
      </c>
      <c r="G1299" s="303" t="s">
        <v>1180</v>
      </c>
      <c r="H1299" s="303" t="s">
        <v>1179</v>
      </c>
      <c r="I1299" s="303" t="s">
        <v>1181</v>
      </c>
      <c r="J1299" s="306">
        <v>0.9</v>
      </c>
      <c r="K1299" s="50"/>
      <c r="L1299" s="312"/>
      <c r="M1299" s="312">
        <v>223.0</v>
      </c>
      <c r="N1299" s="312">
        <v>62000.0</v>
      </c>
      <c r="O1299" s="303" t="s">
        <v>1207</v>
      </c>
      <c r="P1299" s="315">
        <v>42159.0</v>
      </c>
      <c r="Q1299" s="312">
        <v>81000.0</v>
      </c>
      <c r="R1299" s="312">
        <v>375.0</v>
      </c>
      <c r="S1299" s="316"/>
      <c r="T1299" s="317">
        <v>379.75</v>
      </c>
      <c r="U1299" s="312" t="s">
        <v>1366</v>
      </c>
      <c r="V1299" s="312" t="s">
        <v>1399</v>
      </c>
      <c r="W1299" s="50"/>
      <c r="X1299" s="50"/>
      <c r="Y1299" s="50"/>
      <c r="Z1299" s="312"/>
      <c r="AA1299" s="50"/>
      <c r="AB1299" s="50"/>
      <c r="AC1299" s="50"/>
      <c r="AD1299" s="50"/>
      <c r="AE1299" s="50"/>
    </row>
    <row r="1300">
      <c r="A1300" s="307">
        <v>42228.15625</v>
      </c>
      <c r="B1300" s="312" t="s">
        <v>731</v>
      </c>
      <c r="C1300" s="303" t="s">
        <v>1177</v>
      </c>
      <c r="D1300" s="303" t="s">
        <v>1178</v>
      </c>
      <c r="E1300" s="315">
        <v>41543.0</v>
      </c>
      <c r="F1300" s="312" t="s">
        <v>30</v>
      </c>
      <c r="G1300" s="303" t="s">
        <v>1180</v>
      </c>
      <c r="H1300" s="303" t="s">
        <v>1179</v>
      </c>
      <c r="I1300" s="303" t="s">
        <v>1181</v>
      </c>
      <c r="J1300" s="306">
        <v>0.9</v>
      </c>
      <c r="K1300" s="312">
        <v>399.0</v>
      </c>
      <c r="L1300" s="312"/>
      <c r="M1300" s="312">
        <v>219.0</v>
      </c>
      <c r="N1300" s="312">
        <v>65000.0</v>
      </c>
      <c r="O1300" s="303" t="s">
        <v>1207</v>
      </c>
      <c r="P1300" s="315">
        <v>42228.0</v>
      </c>
      <c r="Q1300" s="312">
        <v>90600.0</v>
      </c>
      <c r="R1300" s="312">
        <v>378.0</v>
      </c>
      <c r="S1300" s="316"/>
      <c r="T1300" s="317">
        <v>378.0</v>
      </c>
      <c r="U1300" s="312" t="s">
        <v>1369</v>
      </c>
      <c r="V1300" s="312" t="s">
        <v>1399</v>
      </c>
      <c r="W1300" s="50"/>
      <c r="X1300" s="50"/>
      <c r="Y1300" s="50"/>
      <c r="Z1300" s="312"/>
      <c r="AA1300" s="312" t="s">
        <v>1473</v>
      </c>
      <c r="AB1300" s="50"/>
      <c r="AC1300" s="50"/>
      <c r="AD1300" s="50"/>
      <c r="AE1300" s="50"/>
    </row>
    <row r="1301">
      <c r="A1301" s="307">
        <v>42319.225694444445</v>
      </c>
      <c r="B1301" s="312" t="s">
        <v>731</v>
      </c>
      <c r="C1301" s="303" t="s">
        <v>1177</v>
      </c>
      <c r="D1301" s="303" t="s">
        <v>1178</v>
      </c>
      <c r="E1301" s="315">
        <v>41543.0</v>
      </c>
      <c r="F1301" s="312" t="s">
        <v>30</v>
      </c>
      <c r="G1301" s="303" t="s">
        <v>1180</v>
      </c>
      <c r="H1301" s="303" t="s">
        <v>1181</v>
      </c>
      <c r="I1301" s="303" t="s">
        <v>1186</v>
      </c>
      <c r="J1301" s="306">
        <v>0.9</v>
      </c>
      <c r="K1301" s="50"/>
      <c r="L1301" s="312"/>
      <c r="M1301" s="312">
        <v>211.0</v>
      </c>
      <c r="N1301" s="312">
        <v>65000.0</v>
      </c>
      <c r="O1301" s="303" t="s">
        <v>1207</v>
      </c>
      <c r="P1301" s="315">
        <v>42319.0</v>
      </c>
      <c r="Q1301" s="312">
        <v>99478.0</v>
      </c>
      <c r="R1301" s="312">
        <v>372.0</v>
      </c>
      <c r="S1301" s="316"/>
      <c r="T1301" s="317">
        <v>376.71</v>
      </c>
      <c r="U1301" s="312" t="s">
        <v>1366</v>
      </c>
      <c r="V1301" s="312" t="s">
        <v>1399</v>
      </c>
      <c r="W1301" s="50"/>
      <c r="X1301" s="50"/>
      <c r="Y1301" s="50"/>
      <c r="Z1301" s="312"/>
      <c r="AA1301" s="50"/>
      <c r="AB1301" s="50"/>
      <c r="AC1301" s="50"/>
      <c r="AD1301" s="50"/>
      <c r="AE1301" s="50"/>
    </row>
    <row r="1302">
      <c r="A1302" s="307">
        <v>42365.26111111111</v>
      </c>
      <c r="B1302" s="312" t="s">
        <v>731</v>
      </c>
      <c r="C1302" s="303" t="s">
        <v>1177</v>
      </c>
      <c r="D1302" s="303" t="s">
        <v>1178</v>
      </c>
      <c r="E1302" s="315">
        <v>41543.0</v>
      </c>
      <c r="F1302" s="312" t="s">
        <v>30</v>
      </c>
      <c r="G1302" s="303" t="s">
        <v>1180</v>
      </c>
      <c r="H1302" s="303" t="s">
        <v>1181</v>
      </c>
      <c r="I1302" s="303" t="s">
        <v>1181</v>
      </c>
      <c r="J1302" s="306">
        <v>0.9</v>
      </c>
      <c r="K1302" s="50"/>
      <c r="L1302" s="312"/>
      <c r="M1302" s="312">
        <v>223.0</v>
      </c>
      <c r="N1302" s="312">
        <v>66000.0</v>
      </c>
      <c r="O1302" s="303" t="s">
        <v>1207</v>
      </c>
      <c r="P1302" s="315">
        <v>42365.0</v>
      </c>
      <c r="Q1302" s="312">
        <v>106023.0</v>
      </c>
      <c r="R1302" s="312">
        <v>368.0</v>
      </c>
      <c r="S1302" s="316"/>
      <c r="T1302" s="317">
        <v>372.66</v>
      </c>
      <c r="U1302" s="312" t="s">
        <v>1366</v>
      </c>
      <c r="V1302" s="312" t="s">
        <v>1399</v>
      </c>
      <c r="W1302" s="50"/>
      <c r="X1302" s="50"/>
      <c r="Y1302" s="50"/>
      <c r="Z1302" s="312"/>
      <c r="AA1302" s="50"/>
      <c r="AB1302" s="50"/>
      <c r="AC1302" s="50"/>
      <c r="AD1302" s="50"/>
      <c r="AE1302" s="50"/>
    </row>
    <row r="1303">
      <c r="A1303" s="307">
        <v>43202.72083333333</v>
      </c>
      <c r="B1303" s="312" t="s">
        <v>731</v>
      </c>
      <c r="C1303" s="303" t="s">
        <v>1177</v>
      </c>
      <c r="D1303" s="303" t="s">
        <v>1178</v>
      </c>
      <c r="E1303" s="315">
        <v>41487.0</v>
      </c>
      <c r="F1303" s="312" t="s">
        <v>30</v>
      </c>
      <c r="G1303" s="312"/>
      <c r="H1303" s="312"/>
      <c r="I1303" s="312"/>
      <c r="J1303" s="306"/>
      <c r="K1303" s="50"/>
      <c r="L1303" s="312"/>
      <c r="M1303" s="312">
        <v>224.0</v>
      </c>
      <c r="N1303" s="312">
        <v>67000.0</v>
      </c>
      <c r="O1303" s="303" t="s">
        <v>1207</v>
      </c>
      <c r="P1303" s="315">
        <v>43202.0</v>
      </c>
      <c r="Q1303" s="312">
        <v>211130.0</v>
      </c>
      <c r="R1303" s="312">
        <v>381.0</v>
      </c>
      <c r="S1303" s="316"/>
      <c r="T1303" s="317">
        <v>385.82</v>
      </c>
      <c r="U1303" s="312" t="s">
        <v>1366</v>
      </c>
      <c r="V1303" s="312" t="s">
        <v>1399</v>
      </c>
      <c r="W1303" s="50"/>
      <c r="X1303" s="50"/>
      <c r="Y1303" s="50"/>
      <c r="Z1303" s="312"/>
      <c r="AA1303" s="50"/>
      <c r="AB1303" s="50"/>
      <c r="AC1303" s="50"/>
      <c r="AD1303" s="50"/>
      <c r="AE1303" s="50"/>
    </row>
    <row r="1304">
      <c r="A1304" s="307">
        <v>41916.02638888889</v>
      </c>
      <c r="B1304" s="50" t="s">
        <v>1025</v>
      </c>
      <c r="C1304" s="303" t="s">
        <v>1177</v>
      </c>
      <c r="D1304" s="303" t="s">
        <v>1178</v>
      </c>
      <c r="E1304" s="310">
        <v>41614.0</v>
      </c>
      <c r="F1304" s="312" t="s">
        <v>1370</v>
      </c>
      <c r="G1304" s="303" t="s">
        <v>1180</v>
      </c>
      <c r="H1304" s="303" t="s">
        <v>1186</v>
      </c>
      <c r="I1304" s="303" t="s">
        <v>1186</v>
      </c>
      <c r="J1304" s="306"/>
      <c r="K1304" s="50"/>
      <c r="L1304" s="50"/>
      <c r="M1304" s="50">
        <v>193.0</v>
      </c>
      <c r="N1304" s="50"/>
      <c r="O1304" s="312"/>
      <c r="P1304" s="310">
        <v>41916.0</v>
      </c>
      <c r="Q1304" s="50">
        <v>25050.0</v>
      </c>
      <c r="R1304" s="50">
        <v>391.0</v>
      </c>
      <c r="S1304" s="318"/>
      <c r="T1304" s="317">
        <v>394.95</v>
      </c>
      <c r="U1304" s="312" t="s">
        <v>1407</v>
      </c>
      <c r="V1304" s="312" t="s">
        <v>1367</v>
      </c>
      <c r="W1304" s="50"/>
      <c r="X1304" s="50"/>
      <c r="Y1304" s="50"/>
      <c r="Z1304" s="312"/>
      <c r="AA1304" s="50"/>
      <c r="AB1304" s="50"/>
      <c r="AC1304" s="50"/>
      <c r="AD1304" s="50"/>
      <c r="AE1304" s="50"/>
    </row>
    <row r="1305">
      <c r="A1305" s="307">
        <v>41906.01527777778</v>
      </c>
      <c r="B1305" s="50" t="s">
        <v>705</v>
      </c>
      <c r="C1305" s="303" t="s">
        <v>1177</v>
      </c>
      <c r="D1305" s="303" t="s">
        <v>1178</v>
      </c>
      <c r="E1305" s="310">
        <v>41601.0</v>
      </c>
      <c r="F1305" s="50" t="s">
        <v>30</v>
      </c>
      <c r="G1305" s="303" t="s">
        <v>1180</v>
      </c>
      <c r="H1305" s="303" t="s">
        <v>1180</v>
      </c>
      <c r="I1305" s="303" t="s">
        <v>1187</v>
      </c>
      <c r="J1305" s="306"/>
      <c r="K1305" s="50"/>
      <c r="L1305" s="50"/>
      <c r="M1305" s="50">
        <v>219.0</v>
      </c>
      <c r="N1305" s="50"/>
      <c r="O1305" s="312"/>
      <c r="P1305" s="310">
        <v>41906.0</v>
      </c>
      <c r="Q1305" s="50">
        <v>17800.0</v>
      </c>
      <c r="R1305" s="50">
        <v>386.0</v>
      </c>
      <c r="S1305" s="318"/>
      <c r="T1305" s="317">
        <v>389.9</v>
      </c>
      <c r="U1305" s="312" t="s">
        <v>1407</v>
      </c>
      <c r="V1305" s="312" t="s">
        <v>1367</v>
      </c>
      <c r="W1305" s="50"/>
      <c r="X1305" s="50"/>
      <c r="Y1305" s="50"/>
      <c r="Z1305" s="312"/>
      <c r="AA1305" s="312" t="s">
        <v>1712</v>
      </c>
      <c r="AB1305" s="50"/>
      <c r="AC1305" s="50"/>
      <c r="AD1305" s="50"/>
      <c r="AE1305" s="50"/>
    </row>
    <row r="1306">
      <c r="A1306" s="307">
        <v>42005.04722222222</v>
      </c>
      <c r="B1306" s="50" t="s">
        <v>705</v>
      </c>
      <c r="C1306" s="303" t="s">
        <v>1177</v>
      </c>
      <c r="D1306" s="303" t="s">
        <v>1178</v>
      </c>
      <c r="E1306" s="310">
        <v>41601.0</v>
      </c>
      <c r="F1306" s="312" t="s">
        <v>30</v>
      </c>
      <c r="G1306" s="303" t="s">
        <v>1180</v>
      </c>
      <c r="H1306" s="303" t="s">
        <v>1180</v>
      </c>
      <c r="I1306" s="303" t="s">
        <v>1187</v>
      </c>
      <c r="J1306" s="306"/>
      <c r="K1306" s="50"/>
      <c r="L1306" s="50"/>
      <c r="M1306" s="50">
        <v>219.0</v>
      </c>
      <c r="N1306" s="50"/>
      <c r="O1306" s="312"/>
      <c r="P1306" s="315">
        <v>42005.0</v>
      </c>
      <c r="Q1306" s="50">
        <v>20500.0</v>
      </c>
      <c r="R1306" s="50">
        <v>378.0</v>
      </c>
      <c r="S1306" s="318"/>
      <c r="T1306" s="317">
        <v>381.82</v>
      </c>
      <c r="U1306" s="312" t="s">
        <v>1407</v>
      </c>
      <c r="V1306" s="312" t="s">
        <v>1367</v>
      </c>
      <c r="W1306" s="50"/>
      <c r="X1306" s="50"/>
      <c r="Y1306" s="50"/>
      <c r="Z1306" s="312"/>
      <c r="AA1306" s="50" t="s">
        <v>1713</v>
      </c>
      <c r="AB1306" s="50"/>
      <c r="AC1306" s="50"/>
      <c r="AD1306" s="50"/>
      <c r="AE1306" s="50"/>
    </row>
    <row r="1307">
      <c r="A1307" s="307">
        <v>42247.17638888889</v>
      </c>
      <c r="B1307" s="312" t="s">
        <v>705</v>
      </c>
      <c r="C1307" s="303" t="s">
        <v>1177</v>
      </c>
      <c r="D1307" s="303" t="s">
        <v>1178</v>
      </c>
      <c r="E1307" s="315">
        <v>41601.0</v>
      </c>
      <c r="F1307" s="312" t="s">
        <v>30</v>
      </c>
      <c r="G1307" s="303" t="s">
        <v>1181</v>
      </c>
      <c r="H1307" s="303" t="s">
        <v>1181</v>
      </c>
      <c r="I1307" s="303" t="s">
        <v>1186</v>
      </c>
      <c r="J1307" s="306">
        <v>0.8</v>
      </c>
      <c r="K1307" s="312">
        <v>398.0</v>
      </c>
      <c r="L1307" s="312"/>
      <c r="M1307" s="312">
        <v>214.0</v>
      </c>
      <c r="N1307" s="312"/>
      <c r="O1307" s="312"/>
      <c r="P1307" s="315">
        <v>42247.0</v>
      </c>
      <c r="Q1307" s="312">
        <v>31960.0</v>
      </c>
      <c r="R1307" s="312">
        <v>378.0</v>
      </c>
      <c r="S1307" s="316"/>
      <c r="T1307" s="317">
        <v>378.0</v>
      </c>
      <c r="U1307" s="312" t="s">
        <v>1369</v>
      </c>
      <c r="V1307" s="312" t="s">
        <v>1367</v>
      </c>
      <c r="W1307" s="50"/>
      <c r="X1307" s="50"/>
      <c r="Y1307" s="50"/>
      <c r="Z1307" s="312"/>
      <c r="AA1307" s="312" t="s">
        <v>1435</v>
      </c>
      <c r="AB1307" s="50"/>
      <c r="AC1307" s="50"/>
      <c r="AD1307" s="50"/>
      <c r="AE1307" s="50"/>
    </row>
    <row r="1308">
      <c r="A1308" s="307">
        <v>42348.77777777778</v>
      </c>
      <c r="B1308" s="312" t="s">
        <v>780</v>
      </c>
      <c r="C1308" s="312" t="s">
        <v>1184</v>
      </c>
      <c r="D1308" s="303" t="s">
        <v>1185</v>
      </c>
      <c r="E1308" s="315">
        <v>42272.0</v>
      </c>
      <c r="F1308" s="312" t="s">
        <v>1512</v>
      </c>
      <c r="G1308" s="303" t="s">
        <v>1181</v>
      </c>
      <c r="H1308" s="303" t="s">
        <v>1181</v>
      </c>
      <c r="I1308" s="303" t="s">
        <v>1186</v>
      </c>
      <c r="J1308" s="306">
        <v>0.6</v>
      </c>
      <c r="K1308" s="312">
        <v>282.0</v>
      </c>
      <c r="L1308" s="312"/>
      <c r="M1308" s="312">
        <v>317.0</v>
      </c>
      <c r="N1308" s="312"/>
      <c r="O1308" s="312"/>
      <c r="P1308" s="315">
        <v>42348.0</v>
      </c>
      <c r="Q1308" s="312">
        <v>2132.0</v>
      </c>
      <c r="R1308" s="312">
        <v>274.0</v>
      </c>
      <c r="S1308" s="316"/>
      <c r="T1308" s="317">
        <v>277.47</v>
      </c>
      <c r="U1308" s="312" t="s">
        <v>1366</v>
      </c>
      <c r="V1308" s="312" t="s">
        <v>1367</v>
      </c>
      <c r="W1308" s="50"/>
      <c r="X1308" s="50"/>
      <c r="Y1308" s="50"/>
      <c r="Z1308" s="312"/>
      <c r="AA1308" s="50"/>
      <c r="AB1308" s="50"/>
      <c r="AC1308" s="50"/>
      <c r="AD1308" s="50"/>
      <c r="AE1308" s="50"/>
    </row>
    <row r="1309">
      <c r="A1309" s="307">
        <v>42413.78958333333</v>
      </c>
      <c r="B1309" s="312" t="s">
        <v>780</v>
      </c>
      <c r="C1309" s="312" t="s">
        <v>1184</v>
      </c>
      <c r="D1309" s="303" t="s">
        <v>1185</v>
      </c>
      <c r="E1309" s="315">
        <v>42272.0</v>
      </c>
      <c r="F1309" s="312" t="s">
        <v>1512</v>
      </c>
      <c r="G1309" s="303" t="s">
        <v>1180</v>
      </c>
      <c r="H1309" s="303" t="s">
        <v>1181</v>
      </c>
      <c r="I1309" s="303" t="s">
        <v>1186</v>
      </c>
      <c r="J1309" s="306">
        <v>0.5</v>
      </c>
      <c r="K1309" s="312">
        <v>282.0</v>
      </c>
      <c r="L1309" s="312"/>
      <c r="M1309" s="312">
        <v>314.0</v>
      </c>
      <c r="N1309" s="312"/>
      <c r="O1309" s="312"/>
      <c r="P1309" s="315">
        <v>42413.0</v>
      </c>
      <c r="Q1309" s="312">
        <v>4935.0</v>
      </c>
      <c r="R1309" s="312">
        <v>277.0</v>
      </c>
      <c r="S1309" s="316"/>
      <c r="T1309" s="317">
        <v>280.51</v>
      </c>
      <c r="U1309" s="312" t="s">
        <v>1366</v>
      </c>
      <c r="V1309" s="312" t="s">
        <v>1367</v>
      </c>
      <c r="W1309" s="312"/>
      <c r="X1309" s="50"/>
      <c r="Y1309" s="50"/>
      <c r="Z1309" s="312"/>
      <c r="AA1309" s="50"/>
      <c r="AB1309" s="50"/>
      <c r="AC1309" s="50"/>
      <c r="AD1309" s="50"/>
      <c r="AE1309" s="50"/>
    </row>
    <row r="1310">
      <c r="A1310" s="307">
        <v>43198.71666666667</v>
      </c>
      <c r="B1310" s="312" t="s">
        <v>1714</v>
      </c>
      <c r="C1310" s="303" t="s">
        <v>1177</v>
      </c>
      <c r="D1310" s="303" t="s">
        <v>1178</v>
      </c>
      <c r="E1310" s="315">
        <v>41521.0</v>
      </c>
      <c r="F1310" s="312" t="s">
        <v>34</v>
      </c>
      <c r="G1310" s="303" t="s">
        <v>1203</v>
      </c>
      <c r="H1310" s="303" t="s">
        <v>1190</v>
      </c>
      <c r="I1310" s="303" t="s">
        <v>1190</v>
      </c>
      <c r="J1310" s="311">
        <v>0.9</v>
      </c>
      <c r="K1310" s="50">
        <v>403.0</v>
      </c>
      <c r="L1310" s="312"/>
      <c r="M1310" s="312">
        <v>203.0</v>
      </c>
      <c r="N1310" s="312">
        <v>50000.0</v>
      </c>
      <c r="O1310" s="303" t="s">
        <v>1715</v>
      </c>
      <c r="P1310" s="315">
        <v>43198.0</v>
      </c>
      <c r="Q1310" s="312">
        <v>273200.0</v>
      </c>
      <c r="R1310" s="312">
        <v>360.0</v>
      </c>
      <c r="S1310" s="316"/>
      <c r="T1310" s="317">
        <v>364.56</v>
      </c>
      <c r="U1310" s="312" t="s">
        <v>1366</v>
      </c>
      <c r="V1310" s="312" t="s">
        <v>1399</v>
      </c>
      <c r="W1310" s="50">
        <v>360.0</v>
      </c>
      <c r="X1310" s="50">
        <v>24.0</v>
      </c>
      <c r="Y1310" s="50">
        <v>64.0</v>
      </c>
      <c r="Z1310" s="50" t="s">
        <v>1366</v>
      </c>
      <c r="AA1310" s="312" t="s">
        <v>1716</v>
      </c>
      <c r="AB1310" s="50"/>
      <c r="AC1310" s="50"/>
      <c r="AD1310" s="50"/>
      <c r="AE1310" s="50"/>
    </row>
    <row r="1311">
      <c r="A1311" s="307">
        <v>42007.04791666667</v>
      </c>
      <c r="B1311" s="50" t="s">
        <v>708</v>
      </c>
      <c r="C1311" s="303" t="s">
        <v>1177</v>
      </c>
      <c r="D1311" s="303" t="s">
        <v>1178</v>
      </c>
      <c r="E1311" s="310">
        <v>41542.0</v>
      </c>
      <c r="F1311" s="312" t="s">
        <v>1370</v>
      </c>
      <c r="G1311" s="303" t="s">
        <v>1179</v>
      </c>
      <c r="H1311" s="303" t="s">
        <v>1179</v>
      </c>
      <c r="I1311" s="303" t="s">
        <v>1181</v>
      </c>
      <c r="J1311" s="306"/>
      <c r="K1311" s="50"/>
      <c r="L1311" s="50"/>
      <c r="M1311" s="50">
        <v>210.0</v>
      </c>
      <c r="N1311" s="50"/>
      <c r="O1311" s="312"/>
      <c r="P1311" s="310">
        <v>42007.0</v>
      </c>
      <c r="Q1311" s="50">
        <v>37000.0</v>
      </c>
      <c r="R1311" s="50">
        <v>374.0</v>
      </c>
      <c r="S1311" s="318"/>
      <c r="T1311" s="317">
        <v>378.73</v>
      </c>
      <c r="U1311" s="312" t="s">
        <v>1366</v>
      </c>
      <c r="V1311" s="312" t="s">
        <v>1367</v>
      </c>
      <c r="W1311" s="50"/>
      <c r="X1311" s="50"/>
      <c r="Y1311" s="50"/>
      <c r="Z1311" s="312"/>
      <c r="AA1311" s="50" t="s">
        <v>1717</v>
      </c>
      <c r="AB1311" s="50"/>
      <c r="AC1311" s="50"/>
      <c r="AD1311" s="50"/>
      <c r="AE1311" s="50"/>
    </row>
    <row r="1312">
      <c r="A1312" s="307">
        <v>42677.8125</v>
      </c>
      <c r="B1312" s="312" t="s">
        <v>1069</v>
      </c>
      <c r="C1312" s="312" t="s">
        <v>1184</v>
      </c>
      <c r="D1312" s="303" t="s">
        <v>1185</v>
      </c>
      <c r="E1312" s="315">
        <v>42571.0</v>
      </c>
      <c r="F1312" s="312" t="s">
        <v>16</v>
      </c>
      <c r="G1312" s="303" t="s">
        <v>1179</v>
      </c>
      <c r="H1312" s="303" t="s">
        <v>1179</v>
      </c>
      <c r="I1312" s="303" t="s">
        <v>1187</v>
      </c>
      <c r="J1312" s="306">
        <v>0.9</v>
      </c>
      <c r="K1312" s="312">
        <v>219.0</v>
      </c>
      <c r="L1312" s="312"/>
      <c r="M1312" s="312">
        <v>292.0</v>
      </c>
      <c r="N1312" s="312"/>
      <c r="O1312" s="312"/>
      <c r="P1312" s="315">
        <v>42677.0</v>
      </c>
      <c r="Q1312" s="312">
        <v>5420.0</v>
      </c>
      <c r="R1312" s="312">
        <v>219.0</v>
      </c>
      <c r="S1312" s="316"/>
      <c r="T1312" s="317">
        <v>219.0</v>
      </c>
      <c r="U1312" s="312" t="s">
        <v>1369</v>
      </c>
      <c r="V1312" s="312" t="s">
        <v>1367</v>
      </c>
      <c r="W1312" s="50"/>
      <c r="X1312" s="50"/>
      <c r="Y1312" s="50"/>
      <c r="Z1312" s="312"/>
      <c r="AA1312" s="50"/>
      <c r="AB1312" s="50"/>
      <c r="AC1312" s="50"/>
      <c r="AD1312" s="50"/>
      <c r="AE1312" s="50"/>
    </row>
    <row r="1313">
      <c r="A1313" s="307">
        <v>41903.00833333333</v>
      </c>
      <c r="B1313" s="50" t="s">
        <v>744</v>
      </c>
      <c r="C1313" s="303" t="s">
        <v>1177</v>
      </c>
      <c r="D1313" s="303" t="s">
        <v>1178</v>
      </c>
      <c r="E1313" s="310">
        <v>41601.0</v>
      </c>
      <c r="F1313" s="50" t="s">
        <v>12</v>
      </c>
      <c r="G1313" s="303" t="s">
        <v>1181</v>
      </c>
      <c r="H1313" s="303" t="s">
        <v>1181</v>
      </c>
      <c r="I1313" s="303" t="s">
        <v>1186</v>
      </c>
      <c r="J1313" s="306"/>
      <c r="K1313" s="50"/>
      <c r="L1313" s="50"/>
      <c r="M1313" s="50">
        <v>207.0</v>
      </c>
      <c r="N1313" s="50"/>
      <c r="O1313" s="312"/>
      <c r="P1313" s="310">
        <v>41903.0</v>
      </c>
      <c r="Q1313" s="50">
        <v>14995.0</v>
      </c>
      <c r="R1313" s="50">
        <v>284.0</v>
      </c>
      <c r="S1313" s="318"/>
      <c r="T1313" s="317">
        <v>286.87</v>
      </c>
      <c r="U1313" s="50" t="s">
        <v>1407</v>
      </c>
      <c r="V1313" s="312" t="s">
        <v>1367</v>
      </c>
      <c r="W1313" s="50"/>
      <c r="X1313" s="50"/>
      <c r="Y1313" s="50"/>
      <c r="Z1313" s="312"/>
      <c r="AA1313" s="312"/>
      <c r="AB1313" s="50"/>
      <c r="AC1313" s="50"/>
      <c r="AD1313" s="50"/>
      <c r="AE1313" s="50"/>
    </row>
    <row r="1314">
      <c r="A1314" s="307">
        <v>41973.04305555556</v>
      </c>
      <c r="B1314" s="50" t="s">
        <v>744</v>
      </c>
      <c r="C1314" s="303" t="s">
        <v>1177</v>
      </c>
      <c r="D1314" s="303" t="s">
        <v>1178</v>
      </c>
      <c r="E1314" s="310">
        <v>41601.0</v>
      </c>
      <c r="F1314" s="312" t="s">
        <v>12</v>
      </c>
      <c r="G1314" s="303" t="s">
        <v>1180</v>
      </c>
      <c r="H1314" s="303" t="s">
        <v>1181</v>
      </c>
      <c r="I1314" s="303" t="s">
        <v>1186</v>
      </c>
      <c r="J1314" s="306"/>
      <c r="K1314" s="50"/>
      <c r="L1314" s="50"/>
      <c r="M1314" s="50">
        <v>208.0</v>
      </c>
      <c r="N1314" s="50"/>
      <c r="O1314" s="312"/>
      <c r="P1314" s="310">
        <v>41973.0</v>
      </c>
      <c r="Q1314" s="50">
        <v>19700.0</v>
      </c>
      <c r="R1314" s="50">
        <v>285.0</v>
      </c>
      <c r="S1314" s="318"/>
      <c r="T1314" s="317">
        <v>287.88</v>
      </c>
      <c r="U1314" s="312" t="s">
        <v>1407</v>
      </c>
      <c r="V1314" s="312" t="s">
        <v>1367</v>
      </c>
      <c r="W1314" s="50"/>
      <c r="X1314" s="50"/>
      <c r="Y1314" s="50"/>
      <c r="Z1314" s="312"/>
      <c r="AA1314" s="50"/>
      <c r="AB1314" s="50"/>
      <c r="AC1314" s="50"/>
      <c r="AD1314" s="50"/>
      <c r="AE1314" s="50"/>
    </row>
    <row r="1315">
      <c r="A1315" s="307">
        <v>42022.05902777778</v>
      </c>
      <c r="B1315" s="50" t="s">
        <v>744</v>
      </c>
      <c r="C1315" s="303" t="s">
        <v>1177</v>
      </c>
      <c r="D1315" s="303" t="s">
        <v>1178</v>
      </c>
      <c r="E1315" s="310">
        <v>41601.0</v>
      </c>
      <c r="F1315" s="312" t="s">
        <v>12</v>
      </c>
      <c r="G1315" s="303" t="s">
        <v>1179</v>
      </c>
      <c r="H1315" s="303" t="s">
        <v>1181</v>
      </c>
      <c r="I1315" s="303" t="s">
        <v>1186</v>
      </c>
      <c r="J1315" s="306"/>
      <c r="K1315" s="50"/>
      <c r="L1315" s="50"/>
      <c r="M1315" s="50">
        <v>211.0</v>
      </c>
      <c r="N1315" s="50"/>
      <c r="O1315" s="312"/>
      <c r="P1315" s="310">
        <v>42022.0</v>
      </c>
      <c r="Q1315" s="50">
        <v>23373.0</v>
      </c>
      <c r="R1315" s="50">
        <v>282.0</v>
      </c>
      <c r="S1315" s="318"/>
      <c r="T1315" s="317">
        <v>282.0</v>
      </c>
      <c r="U1315" s="312" t="s">
        <v>1369</v>
      </c>
      <c r="V1315" s="312" t="s">
        <v>1367</v>
      </c>
      <c r="W1315" s="50"/>
      <c r="X1315" s="50"/>
      <c r="Y1315" s="50"/>
      <c r="Z1315" s="312"/>
      <c r="AA1315" s="50"/>
      <c r="AB1315" s="50"/>
      <c r="AC1315" s="50"/>
      <c r="AD1315" s="50"/>
      <c r="AE1315" s="50"/>
    </row>
    <row r="1316">
      <c r="A1316" s="307">
        <v>42109.09652777778</v>
      </c>
      <c r="B1316" s="312" t="s">
        <v>744</v>
      </c>
      <c r="C1316" s="303" t="s">
        <v>1177</v>
      </c>
      <c r="D1316" s="303" t="s">
        <v>1178</v>
      </c>
      <c r="E1316" s="315">
        <v>41601.0</v>
      </c>
      <c r="F1316" s="312" t="s">
        <v>12</v>
      </c>
      <c r="G1316" s="303" t="s">
        <v>1179</v>
      </c>
      <c r="H1316" s="303" t="s">
        <v>1180</v>
      </c>
      <c r="I1316" s="303" t="s">
        <v>1187</v>
      </c>
      <c r="J1316" s="306"/>
      <c r="K1316" s="50"/>
      <c r="L1316" s="312"/>
      <c r="M1316" s="312">
        <v>213.0</v>
      </c>
      <c r="N1316" s="50"/>
      <c r="O1316" s="312"/>
      <c r="P1316" s="315">
        <v>42109.0</v>
      </c>
      <c r="Q1316" s="312">
        <v>27120.0</v>
      </c>
      <c r="R1316" s="312">
        <v>275.0</v>
      </c>
      <c r="S1316" s="316"/>
      <c r="T1316" s="317">
        <v>275.0</v>
      </c>
      <c r="U1316" s="312" t="s">
        <v>1369</v>
      </c>
      <c r="V1316" s="312" t="s">
        <v>1367</v>
      </c>
      <c r="W1316" s="50"/>
      <c r="X1316" s="50"/>
      <c r="Y1316" s="50"/>
      <c r="Z1316" s="312"/>
      <c r="AA1316" s="50"/>
      <c r="AB1316" s="50"/>
      <c r="AC1316" s="320"/>
      <c r="AD1316" s="320"/>
      <c r="AE1316" s="50"/>
    </row>
    <row r="1317">
      <c r="A1317" s="307">
        <v>42150.12291666667</v>
      </c>
      <c r="B1317" s="312" t="s">
        <v>744</v>
      </c>
      <c r="C1317" s="303" t="s">
        <v>1177</v>
      </c>
      <c r="D1317" s="303" t="s">
        <v>1178</v>
      </c>
      <c r="E1317" s="315">
        <v>41601.0</v>
      </c>
      <c r="F1317" s="312" t="s">
        <v>12</v>
      </c>
      <c r="G1317" s="303" t="s">
        <v>1203</v>
      </c>
      <c r="H1317" s="303" t="s">
        <v>1190</v>
      </c>
      <c r="I1317" s="303" t="s">
        <v>1186</v>
      </c>
      <c r="J1317" s="306">
        <v>0.9</v>
      </c>
      <c r="K1317" s="50"/>
      <c r="L1317" s="312"/>
      <c r="M1317" s="312">
        <v>210.0</v>
      </c>
      <c r="N1317" s="50"/>
      <c r="O1317" s="312"/>
      <c r="P1317" s="315">
        <v>42150.0</v>
      </c>
      <c r="Q1317" s="312">
        <v>31000.0</v>
      </c>
      <c r="R1317" s="312">
        <v>277.0</v>
      </c>
      <c r="S1317" s="316"/>
      <c r="T1317" s="317">
        <v>277.0</v>
      </c>
      <c r="U1317" s="312" t="s">
        <v>1369</v>
      </c>
      <c r="V1317" s="312" t="s">
        <v>1367</v>
      </c>
      <c r="W1317" s="50"/>
      <c r="X1317" s="50"/>
      <c r="Y1317" s="50"/>
      <c r="Z1317" s="312"/>
      <c r="AA1317" s="50"/>
      <c r="AB1317" s="50"/>
      <c r="AC1317" s="320"/>
      <c r="AD1317" s="320"/>
      <c r="AE1317" s="50"/>
    </row>
    <row r="1318">
      <c r="A1318" s="307">
        <v>42225.152083333334</v>
      </c>
      <c r="B1318" s="312" t="s">
        <v>744</v>
      </c>
      <c r="C1318" s="303" t="s">
        <v>1177</v>
      </c>
      <c r="D1318" s="303" t="s">
        <v>1178</v>
      </c>
      <c r="E1318" s="315">
        <v>41601.0</v>
      </c>
      <c r="F1318" s="312" t="s">
        <v>12</v>
      </c>
      <c r="G1318" s="303" t="s">
        <v>1203</v>
      </c>
      <c r="H1318" s="303" t="s">
        <v>1181</v>
      </c>
      <c r="I1318" s="303" t="s">
        <v>1186</v>
      </c>
      <c r="J1318" s="306">
        <v>0.7</v>
      </c>
      <c r="K1318" s="312">
        <v>286.0</v>
      </c>
      <c r="L1318" s="312"/>
      <c r="M1318" s="312">
        <v>209.0</v>
      </c>
      <c r="N1318" s="312"/>
      <c r="O1318" s="312"/>
      <c r="P1318" s="315">
        <v>42225.0</v>
      </c>
      <c r="Q1318" s="312">
        <v>35900.0</v>
      </c>
      <c r="R1318" s="312">
        <v>276.0</v>
      </c>
      <c r="S1318" s="316"/>
      <c r="T1318" s="317">
        <v>279.49</v>
      </c>
      <c r="U1318" s="312" t="s">
        <v>1366</v>
      </c>
      <c r="V1318" s="312" t="s">
        <v>1367</v>
      </c>
      <c r="W1318" s="50"/>
      <c r="X1318" s="50"/>
      <c r="Y1318" s="50"/>
      <c r="Z1318" s="312"/>
      <c r="AA1318" s="50"/>
      <c r="AB1318" s="50"/>
      <c r="AC1318" s="320"/>
      <c r="AD1318" s="320"/>
      <c r="AE1318" s="50"/>
    </row>
    <row r="1319">
      <c r="A1319" s="307">
        <v>42301.2125</v>
      </c>
      <c r="B1319" s="312" t="s">
        <v>744</v>
      </c>
      <c r="C1319" s="303" t="s">
        <v>1177</v>
      </c>
      <c r="D1319" s="303" t="s">
        <v>1178</v>
      </c>
      <c r="E1319" s="315">
        <v>41601.0</v>
      </c>
      <c r="F1319" s="312" t="s">
        <v>12</v>
      </c>
      <c r="G1319" s="303" t="s">
        <v>1203</v>
      </c>
      <c r="H1319" s="303" t="s">
        <v>1180</v>
      </c>
      <c r="I1319" s="303" t="s">
        <v>1179</v>
      </c>
      <c r="J1319" s="306">
        <v>0.8</v>
      </c>
      <c r="K1319" s="312">
        <v>286.0</v>
      </c>
      <c r="L1319" s="312"/>
      <c r="M1319" s="312">
        <v>209.0</v>
      </c>
      <c r="N1319" s="312"/>
      <c r="O1319" s="312"/>
      <c r="P1319" s="315">
        <v>42301.0</v>
      </c>
      <c r="Q1319" s="312">
        <v>39300.0</v>
      </c>
      <c r="R1319" s="312">
        <v>275.0</v>
      </c>
      <c r="S1319" s="316"/>
      <c r="T1319" s="317">
        <v>275.0</v>
      </c>
      <c r="U1319" s="312" t="s">
        <v>1369</v>
      </c>
      <c r="V1319" s="312" t="s">
        <v>1367</v>
      </c>
      <c r="W1319" s="50"/>
      <c r="X1319" s="50"/>
      <c r="Y1319" s="50"/>
      <c r="Z1319" s="312"/>
      <c r="AA1319" s="50"/>
      <c r="AB1319" s="50"/>
      <c r="AC1319" s="320"/>
      <c r="AD1319" s="320"/>
      <c r="AE1319" s="50"/>
    </row>
    <row r="1320">
      <c r="A1320" s="307">
        <v>42320.22708333333</v>
      </c>
      <c r="B1320" s="312" t="s">
        <v>744</v>
      </c>
      <c r="C1320" s="303" t="s">
        <v>1177</v>
      </c>
      <c r="D1320" s="303" t="s">
        <v>1178</v>
      </c>
      <c r="E1320" s="315">
        <v>41601.0</v>
      </c>
      <c r="F1320" s="312" t="s">
        <v>12</v>
      </c>
      <c r="G1320" s="303" t="s">
        <v>1203</v>
      </c>
      <c r="H1320" s="303" t="s">
        <v>1190</v>
      </c>
      <c r="I1320" s="303" t="s">
        <v>1181</v>
      </c>
      <c r="J1320" s="306">
        <v>0.8</v>
      </c>
      <c r="K1320" s="50"/>
      <c r="L1320" s="312"/>
      <c r="M1320" s="312">
        <v>208.0</v>
      </c>
      <c r="N1320" s="312"/>
      <c r="O1320" s="312"/>
      <c r="P1320" s="315">
        <v>42320.0</v>
      </c>
      <c r="Q1320" s="312">
        <v>40750.0</v>
      </c>
      <c r="R1320" s="312">
        <v>295.0</v>
      </c>
      <c r="S1320" s="316"/>
      <c r="T1320" s="317">
        <v>295.0</v>
      </c>
      <c r="U1320" s="312" t="s">
        <v>1369</v>
      </c>
      <c r="V1320" s="312" t="s">
        <v>1367</v>
      </c>
      <c r="W1320" s="50"/>
      <c r="X1320" s="50"/>
      <c r="Y1320" s="50"/>
      <c r="Z1320" s="312"/>
      <c r="AA1320" s="50"/>
      <c r="AB1320" s="50"/>
      <c r="AC1320" s="320"/>
      <c r="AD1320" s="320"/>
      <c r="AE1320" s="50"/>
    </row>
    <row r="1321">
      <c r="A1321" s="307">
        <v>42357.25625</v>
      </c>
      <c r="B1321" s="312" t="s">
        <v>1114</v>
      </c>
      <c r="C1321" s="303" t="s">
        <v>1177</v>
      </c>
      <c r="D1321" s="303" t="s">
        <v>1178</v>
      </c>
      <c r="E1321" s="315">
        <v>42249.0</v>
      </c>
      <c r="F1321" s="312" t="s">
        <v>30</v>
      </c>
      <c r="G1321" s="303" t="s">
        <v>1190</v>
      </c>
      <c r="H1321" s="303" t="s">
        <v>1179</v>
      </c>
      <c r="I1321" s="303" t="s">
        <v>1181</v>
      </c>
      <c r="J1321" s="306">
        <v>0.8</v>
      </c>
      <c r="K1321" s="50"/>
      <c r="L1321" s="312"/>
      <c r="M1321" s="312">
        <v>218.0</v>
      </c>
      <c r="N1321" s="312"/>
      <c r="O1321" s="312"/>
      <c r="P1321" s="315">
        <v>42357.0</v>
      </c>
      <c r="Q1321" s="312">
        <v>3200.0</v>
      </c>
      <c r="R1321" s="312">
        <v>398.0</v>
      </c>
      <c r="S1321" s="316"/>
      <c r="T1321" s="317">
        <v>403.04</v>
      </c>
      <c r="U1321" s="312" t="s">
        <v>1366</v>
      </c>
      <c r="V1321" s="312" t="s">
        <v>1367</v>
      </c>
      <c r="W1321" s="50"/>
      <c r="X1321" s="50"/>
      <c r="Y1321" s="50"/>
      <c r="Z1321" s="312"/>
      <c r="AA1321" s="50"/>
      <c r="AB1321" s="50"/>
      <c r="AC1321" s="320"/>
      <c r="AD1321" s="320"/>
      <c r="AE1321" s="50"/>
    </row>
    <row r="1322">
      <c r="A1322" s="307">
        <v>42605.38333333333</v>
      </c>
      <c r="B1322" s="312" t="s">
        <v>973</v>
      </c>
      <c r="C1322" s="303" t="s">
        <v>1177</v>
      </c>
      <c r="D1322" s="303" t="s">
        <v>1178</v>
      </c>
      <c r="E1322" s="315">
        <v>42249.0</v>
      </c>
      <c r="F1322" s="312" t="s">
        <v>32</v>
      </c>
      <c r="G1322" s="303" t="s">
        <v>1190</v>
      </c>
      <c r="H1322" s="303" t="s">
        <v>1179</v>
      </c>
      <c r="I1322" s="303" t="s">
        <v>1186</v>
      </c>
      <c r="J1322" s="306">
        <v>0.8</v>
      </c>
      <c r="K1322" s="312">
        <v>398.0</v>
      </c>
      <c r="L1322" s="312"/>
      <c r="M1322" s="312">
        <v>212.0</v>
      </c>
      <c r="N1322" s="312"/>
      <c r="O1322" s="312"/>
      <c r="P1322" s="315">
        <v>42605.0</v>
      </c>
      <c r="Q1322" s="312">
        <v>20500.0</v>
      </c>
      <c r="R1322" s="312">
        <v>386.0</v>
      </c>
      <c r="S1322" s="316"/>
      <c r="T1322" s="317">
        <v>390.89</v>
      </c>
      <c r="U1322" s="312" t="s">
        <v>1366</v>
      </c>
      <c r="V1322" s="312" t="s">
        <v>1367</v>
      </c>
      <c r="W1322" s="50"/>
      <c r="X1322" s="50"/>
      <c r="Y1322" s="50"/>
      <c r="Z1322" s="312"/>
      <c r="AA1322" s="50"/>
      <c r="AB1322" s="50"/>
      <c r="AC1322" s="320"/>
      <c r="AD1322" s="320"/>
      <c r="AE1322" s="50"/>
    </row>
    <row r="1323">
      <c r="A1323" s="307">
        <v>43124.67638888889</v>
      </c>
      <c r="B1323" s="312" t="s">
        <v>1114</v>
      </c>
      <c r="C1323" s="303" t="s">
        <v>1177</v>
      </c>
      <c r="D1323" s="303" t="s">
        <v>1178</v>
      </c>
      <c r="E1323" s="315">
        <v>42249.0</v>
      </c>
      <c r="F1323" s="312" t="s">
        <v>30</v>
      </c>
      <c r="G1323" s="303" t="s">
        <v>1203</v>
      </c>
      <c r="H1323" s="303" t="s">
        <v>1181</v>
      </c>
      <c r="I1323" s="303" t="s">
        <v>1187</v>
      </c>
      <c r="J1323" s="306">
        <v>0.8</v>
      </c>
      <c r="K1323" s="312">
        <v>398.0</v>
      </c>
      <c r="L1323" s="312"/>
      <c r="M1323" s="312">
        <v>215.0</v>
      </c>
      <c r="N1323" s="312"/>
      <c r="O1323" s="312"/>
      <c r="P1323" s="315">
        <v>43124.0</v>
      </c>
      <c r="Q1323" s="312">
        <v>62010.0</v>
      </c>
      <c r="R1323" s="312">
        <v>385.0</v>
      </c>
      <c r="S1323" s="316"/>
      <c r="T1323" s="317">
        <v>389.87</v>
      </c>
      <c r="U1323" s="312" t="s">
        <v>1366</v>
      </c>
      <c r="V1323" s="312" t="s">
        <v>1367</v>
      </c>
      <c r="W1323" s="50"/>
      <c r="X1323" s="50"/>
      <c r="Y1323" s="50"/>
      <c r="Z1323" s="312"/>
      <c r="AA1323" s="50"/>
      <c r="AB1323" s="50"/>
      <c r="AC1323" s="320"/>
      <c r="AD1323" s="320"/>
      <c r="AE1323" s="50"/>
    </row>
    <row r="1324">
      <c r="A1324" s="307">
        <v>42230.24652777778</v>
      </c>
      <c r="B1324" s="312" t="s">
        <v>956</v>
      </c>
      <c r="C1324" s="303" t="s">
        <v>1177</v>
      </c>
      <c r="D1324" s="303" t="s">
        <v>1178</v>
      </c>
      <c r="E1324" s="315">
        <v>41816.0</v>
      </c>
      <c r="F1324" s="312" t="s">
        <v>30</v>
      </c>
      <c r="G1324" s="303" t="s">
        <v>1190</v>
      </c>
      <c r="H1324" s="303" t="s">
        <v>1181</v>
      </c>
      <c r="I1324" s="303" t="s">
        <v>1186</v>
      </c>
      <c r="J1324" s="306">
        <v>0.9</v>
      </c>
      <c r="K1324" s="312">
        <v>400.0</v>
      </c>
      <c r="L1324" s="312"/>
      <c r="M1324" s="312">
        <v>223.0</v>
      </c>
      <c r="N1324" s="312"/>
      <c r="O1324" s="312"/>
      <c r="P1324" s="315">
        <v>42230.0</v>
      </c>
      <c r="Q1324" s="312">
        <v>48000.0</v>
      </c>
      <c r="R1324" s="312">
        <v>374.0</v>
      </c>
      <c r="S1324" s="316"/>
      <c r="T1324" s="317">
        <v>378.73</v>
      </c>
      <c r="U1324" s="312" t="s">
        <v>1366</v>
      </c>
      <c r="V1324" s="312" t="s">
        <v>1367</v>
      </c>
      <c r="W1324" s="50"/>
      <c r="X1324" s="50"/>
      <c r="Y1324" s="50"/>
      <c r="Z1324" s="312"/>
      <c r="AA1324" s="50"/>
      <c r="AB1324" s="50"/>
      <c r="AC1324" s="320"/>
      <c r="AD1324" s="320"/>
      <c r="AE1324" s="50"/>
    </row>
    <row r="1325">
      <c r="A1325" s="307">
        <v>42620.39444444444</v>
      </c>
      <c r="B1325" s="312" t="s">
        <v>993</v>
      </c>
      <c r="C1325" s="303" t="s">
        <v>1177</v>
      </c>
      <c r="D1325" s="303" t="s">
        <v>1178</v>
      </c>
      <c r="E1325" s="315">
        <v>42489.0</v>
      </c>
      <c r="F1325" s="312" t="s">
        <v>22</v>
      </c>
      <c r="G1325" s="312"/>
      <c r="H1325" s="312"/>
      <c r="I1325" s="312"/>
      <c r="J1325" s="306"/>
      <c r="K1325" s="50"/>
      <c r="L1325" s="312"/>
      <c r="M1325" s="312">
        <v>221.0</v>
      </c>
      <c r="N1325" s="312"/>
      <c r="O1325" s="312"/>
      <c r="P1325" s="315">
        <v>42620.0</v>
      </c>
      <c r="Q1325" s="312">
        <v>10000.0</v>
      </c>
      <c r="R1325" s="312">
        <v>365.0</v>
      </c>
      <c r="S1325" s="316"/>
      <c r="T1325" s="317">
        <v>365.0</v>
      </c>
      <c r="U1325" s="312" t="s">
        <v>1369</v>
      </c>
      <c r="V1325" s="312" t="s">
        <v>1367</v>
      </c>
      <c r="W1325" s="50"/>
      <c r="X1325" s="50"/>
      <c r="Y1325" s="50"/>
      <c r="Z1325" s="312"/>
      <c r="AA1325" s="50"/>
      <c r="AB1325" s="50"/>
      <c r="AC1325" s="320"/>
      <c r="AD1325" s="320"/>
      <c r="AE1325" s="50"/>
    </row>
    <row r="1326">
      <c r="A1326" s="307">
        <v>42988.854166666664</v>
      </c>
      <c r="B1326" s="312" t="s">
        <v>998</v>
      </c>
      <c r="C1326" s="312" t="s">
        <v>1184</v>
      </c>
      <c r="D1326" s="303" t="s">
        <v>1185</v>
      </c>
      <c r="E1326" s="315">
        <v>41456.0</v>
      </c>
      <c r="F1326" s="312" t="s">
        <v>32</v>
      </c>
      <c r="G1326" s="303" t="s">
        <v>1179</v>
      </c>
      <c r="H1326" s="303" t="s">
        <v>1180</v>
      </c>
      <c r="I1326" s="303" t="s">
        <v>1187</v>
      </c>
      <c r="J1326" s="306">
        <v>0.9</v>
      </c>
      <c r="K1326" s="312">
        <v>265.0</v>
      </c>
      <c r="L1326" s="312"/>
      <c r="M1326" s="312">
        <v>403.0</v>
      </c>
      <c r="N1326" s="312"/>
      <c r="O1326" s="312"/>
      <c r="P1326" s="315">
        <v>42988.0</v>
      </c>
      <c r="Q1326" s="312">
        <v>70109.0</v>
      </c>
      <c r="R1326" s="312">
        <v>249.0</v>
      </c>
      <c r="S1326" s="316"/>
      <c r="T1326" s="317">
        <v>249.0</v>
      </c>
      <c r="U1326" s="312" t="s">
        <v>1369</v>
      </c>
      <c r="V1326" s="312" t="s">
        <v>1367</v>
      </c>
      <c r="W1326" s="312">
        <v>249.0</v>
      </c>
      <c r="X1326" s="312">
        <v>53.0</v>
      </c>
      <c r="Y1326" s="312">
        <v>52.2</v>
      </c>
      <c r="Z1326" s="312" t="s">
        <v>1369</v>
      </c>
      <c r="AA1326" s="50"/>
      <c r="AB1326" s="50"/>
      <c r="AC1326" s="320"/>
      <c r="AD1326" s="320"/>
      <c r="AE1326" s="50"/>
    </row>
    <row r="1327">
      <c r="A1327" s="307">
        <v>42644.86111111111</v>
      </c>
      <c r="B1327" s="312" t="s">
        <v>1022</v>
      </c>
      <c r="C1327" s="312" t="s">
        <v>1184</v>
      </c>
      <c r="D1327" s="303" t="s">
        <v>1185</v>
      </c>
      <c r="E1327" s="315">
        <v>41472.0</v>
      </c>
      <c r="F1327" s="312" t="s">
        <v>12</v>
      </c>
      <c r="G1327" s="312"/>
      <c r="H1327" s="312"/>
      <c r="I1327" s="312"/>
      <c r="J1327" s="306"/>
      <c r="K1327" s="50"/>
      <c r="L1327" s="312"/>
      <c r="M1327" s="312">
        <v>273.0</v>
      </c>
      <c r="N1327" s="312"/>
      <c r="O1327" s="312"/>
      <c r="P1327" s="315">
        <v>42644.0</v>
      </c>
      <c r="Q1327" s="312">
        <v>77500.0</v>
      </c>
      <c r="R1327" s="312">
        <v>191.0</v>
      </c>
      <c r="S1327" s="316"/>
      <c r="T1327" s="317">
        <v>193.42</v>
      </c>
      <c r="U1327" s="312" t="s">
        <v>1366</v>
      </c>
      <c r="V1327" s="312" t="s">
        <v>1367</v>
      </c>
      <c r="W1327" s="50"/>
      <c r="X1327" s="50"/>
      <c r="Y1327" s="50"/>
      <c r="Z1327" s="312"/>
      <c r="AA1327" s="50"/>
      <c r="AB1327" s="50"/>
      <c r="AC1327" s="320"/>
      <c r="AD1327" s="320"/>
      <c r="AE1327" s="50"/>
    </row>
    <row r="1328">
      <c r="A1328" s="307">
        <v>42249.75555555556</v>
      </c>
      <c r="B1328" s="312" t="s">
        <v>983</v>
      </c>
      <c r="C1328" s="312" t="s">
        <v>1184</v>
      </c>
      <c r="D1328" s="303" t="s">
        <v>1185</v>
      </c>
      <c r="E1328" s="315">
        <v>41379.0</v>
      </c>
      <c r="F1328" s="312" t="s">
        <v>12</v>
      </c>
      <c r="G1328" s="303" t="s">
        <v>1187</v>
      </c>
      <c r="H1328" s="303" t="s">
        <v>1187</v>
      </c>
      <c r="I1328" s="303" t="s">
        <v>1181</v>
      </c>
      <c r="J1328" s="306">
        <v>0.7</v>
      </c>
      <c r="K1328" s="312">
        <v>209.0</v>
      </c>
      <c r="L1328" s="312"/>
      <c r="M1328" s="312">
        <v>275.0</v>
      </c>
      <c r="N1328" s="312"/>
      <c r="O1328" s="312"/>
      <c r="P1328" s="315">
        <v>42249.0</v>
      </c>
      <c r="Q1328" s="312">
        <v>28000.0</v>
      </c>
      <c r="R1328" s="312">
        <v>197.0</v>
      </c>
      <c r="S1328" s="316"/>
      <c r="T1328" s="317">
        <v>197.0</v>
      </c>
      <c r="U1328" s="312" t="s">
        <v>1369</v>
      </c>
      <c r="V1328" s="312" t="s">
        <v>1367</v>
      </c>
      <c r="W1328" s="50"/>
      <c r="X1328" s="50"/>
      <c r="Y1328" s="50"/>
      <c r="Z1328" s="312"/>
      <c r="AA1328" s="50"/>
      <c r="AB1328" s="50"/>
      <c r="AC1328" s="320"/>
      <c r="AD1328" s="320"/>
      <c r="AE1328" s="50"/>
    </row>
    <row r="1329">
      <c r="A1329" s="307">
        <v>42146.12222222222</v>
      </c>
      <c r="B1329" s="312" t="s">
        <v>877</v>
      </c>
      <c r="C1329" s="303" t="s">
        <v>1177</v>
      </c>
      <c r="D1329" s="303" t="s">
        <v>1178</v>
      </c>
      <c r="E1329" s="315">
        <v>42090.0</v>
      </c>
      <c r="F1329" s="312" t="s">
        <v>36</v>
      </c>
      <c r="G1329" s="303" t="s">
        <v>1179</v>
      </c>
      <c r="H1329" s="303" t="s">
        <v>1180</v>
      </c>
      <c r="I1329" s="303" t="s">
        <v>1187</v>
      </c>
      <c r="J1329" s="306">
        <v>0.9</v>
      </c>
      <c r="K1329" s="50"/>
      <c r="L1329" s="312"/>
      <c r="M1329" s="312">
        <v>222.0</v>
      </c>
      <c r="N1329" s="50"/>
      <c r="O1329" s="312"/>
      <c r="P1329" s="315">
        <v>42146.0</v>
      </c>
      <c r="Q1329" s="312">
        <v>4700.0</v>
      </c>
      <c r="R1329" s="312">
        <v>405.0</v>
      </c>
      <c r="S1329" s="316"/>
      <c r="T1329" s="317">
        <v>405.0</v>
      </c>
      <c r="U1329" s="312" t="s">
        <v>1369</v>
      </c>
      <c r="V1329" s="312" t="s">
        <v>1367</v>
      </c>
      <c r="W1329" s="50"/>
      <c r="X1329" s="50"/>
      <c r="Y1329" s="50"/>
      <c r="Z1329" s="312"/>
      <c r="AA1329" s="312" t="s">
        <v>1718</v>
      </c>
      <c r="AB1329" s="50"/>
      <c r="AC1329" s="50"/>
      <c r="AD1329" s="50"/>
      <c r="AE1329" s="50"/>
    </row>
    <row r="1330">
      <c r="A1330" s="307">
        <v>42168.13958333333</v>
      </c>
      <c r="B1330" s="312" t="s">
        <v>877</v>
      </c>
      <c r="C1330" s="303" t="s">
        <v>1177</v>
      </c>
      <c r="D1330" s="303" t="s">
        <v>1178</v>
      </c>
      <c r="E1330" s="315">
        <v>42090.0</v>
      </c>
      <c r="F1330" s="312" t="s">
        <v>36</v>
      </c>
      <c r="G1330" s="303" t="s">
        <v>1179</v>
      </c>
      <c r="H1330" s="303" t="s">
        <v>1180</v>
      </c>
      <c r="I1330" s="303" t="s">
        <v>1187</v>
      </c>
      <c r="J1330" s="306">
        <v>0.9</v>
      </c>
      <c r="K1330" s="50"/>
      <c r="L1330" s="312"/>
      <c r="M1330" s="312">
        <v>220.0</v>
      </c>
      <c r="N1330" s="312"/>
      <c r="O1330" s="312"/>
      <c r="P1330" s="315">
        <v>42168.0</v>
      </c>
      <c r="Q1330" s="312">
        <v>6950.0</v>
      </c>
      <c r="R1330" s="312">
        <v>403.0</v>
      </c>
      <c r="S1330" s="316"/>
      <c r="T1330" s="317">
        <v>403.0</v>
      </c>
      <c r="U1330" s="312" t="s">
        <v>1369</v>
      </c>
      <c r="V1330" s="312" t="s">
        <v>1367</v>
      </c>
      <c r="W1330" s="50"/>
      <c r="X1330" s="50"/>
      <c r="Y1330" s="50"/>
      <c r="Z1330" s="312"/>
      <c r="AA1330" s="50"/>
      <c r="AB1330" s="50"/>
      <c r="AC1330" s="50"/>
      <c r="AD1330" s="50"/>
      <c r="AE1330" s="50"/>
    </row>
    <row r="1331">
      <c r="A1331" s="307">
        <v>42289.78055555555</v>
      </c>
      <c r="B1331" s="312" t="s">
        <v>714</v>
      </c>
      <c r="C1331" s="312" t="s">
        <v>1184</v>
      </c>
      <c r="D1331" s="303" t="s">
        <v>1185</v>
      </c>
      <c r="E1331" s="315">
        <v>41241.0</v>
      </c>
      <c r="F1331" s="312" t="s">
        <v>32</v>
      </c>
      <c r="G1331" s="303" t="s">
        <v>1181</v>
      </c>
      <c r="H1331" s="303" t="s">
        <v>1181</v>
      </c>
      <c r="I1331" s="303" t="s">
        <v>1186</v>
      </c>
      <c r="J1331" s="306">
        <v>0.8</v>
      </c>
      <c r="K1331" s="312">
        <v>272.0</v>
      </c>
      <c r="L1331" s="312"/>
      <c r="M1331" s="312">
        <v>365.0</v>
      </c>
      <c r="N1331" s="312">
        <v>20796.0</v>
      </c>
      <c r="O1331" s="303" t="s">
        <v>1641</v>
      </c>
      <c r="P1331" s="315">
        <v>42289.0</v>
      </c>
      <c r="Q1331" s="312">
        <v>42042.0</v>
      </c>
      <c r="R1331" s="312">
        <v>257.0</v>
      </c>
      <c r="S1331" s="316"/>
      <c r="T1331" s="317">
        <v>257.0</v>
      </c>
      <c r="U1331" s="312" t="s">
        <v>1369</v>
      </c>
      <c r="V1331" s="312" t="s">
        <v>1399</v>
      </c>
      <c r="W1331" s="312">
        <v>230.0</v>
      </c>
      <c r="X1331" s="50"/>
      <c r="Y1331" s="50"/>
      <c r="Z1331" s="312"/>
      <c r="AA1331" s="312" t="s">
        <v>1719</v>
      </c>
      <c r="AB1331" s="50"/>
      <c r="AC1331" s="50"/>
      <c r="AD1331" s="50"/>
      <c r="AE1331" s="50"/>
    </row>
    <row r="1332">
      <c r="A1332" s="307">
        <v>42377.78888888889</v>
      </c>
      <c r="B1332" s="312" t="s">
        <v>714</v>
      </c>
      <c r="C1332" s="312" t="s">
        <v>1184</v>
      </c>
      <c r="D1332" s="303" t="s">
        <v>1185</v>
      </c>
      <c r="E1332" s="315">
        <v>41241.0</v>
      </c>
      <c r="F1332" s="312" t="s">
        <v>32</v>
      </c>
      <c r="G1332" s="303" t="s">
        <v>1181</v>
      </c>
      <c r="H1332" s="303" t="s">
        <v>1181</v>
      </c>
      <c r="I1332" s="303" t="s">
        <v>1186</v>
      </c>
      <c r="J1332" s="306">
        <v>0.8</v>
      </c>
      <c r="K1332" s="312">
        <v>272.0</v>
      </c>
      <c r="L1332" s="312"/>
      <c r="M1332" s="312">
        <v>363.0</v>
      </c>
      <c r="N1332" s="312">
        <v>20796.0</v>
      </c>
      <c r="O1332" s="303" t="s">
        <v>1641</v>
      </c>
      <c r="P1332" s="315">
        <v>42377.0</v>
      </c>
      <c r="Q1332" s="312">
        <v>44950.0</v>
      </c>
      <c r="R1332" s="312">
        <v>257.0</v>
      </c>
      <c r="S1332" s="316"/>
      <c r="T1332" s="317">
        <v>257.0</v>
      </c>
      <c r="U1332" s="312" t="s">
        <v>1369</v>
      </c>
      <c r="V1332" s="312" t="s">
        <v>1399</v>
      </c>
      <c r="W1332" s="50"/>
      <c r="X1332" s="50"/>
      <c r="Y1332" s="50"/>
      <c r="Z1332" s="312"/>
      <c r="AA1332" s="312"/>
      <c r="AB1332" s="50"/>
      <c r="AC1332" s="50"/>
      <c r="AD1332" s="50"/>
      <c r="AE1332" s="50"/>
    </row>
    <row r="1333">
      <c r="A1333" s="307">
        <v>42969.84861111111</v>
      </c>
      <c r="B1333" s="312" t="s">
        <v>714</v>
      </c>
      <c r="C1333" s="312" t="s">
        <v>1184</v>
      </c>
      <c r="D1333" s="303" t="s">
        <v>1185</v>
      </c>
      <c r="E1333" s="315">
        <v>41210.0</v>
      </c>
      <c r="F1333" s="312" t="s">
        <v>32</v>
      </c>
      <c r="G1333" s="303" t="s">
        <v>1179</v>
      </c>
      <c r="H1333" s="303" t="s">
        <v>1181</v>
      </c>
      <c r="I1333" s="303" t="s">
        <v>1181</v>
      </c>
      <c r="J1333" s="306">
        <v>0.8</v>
      </c>
      <c r="K1333" s="312">
        <v>265.0</v>
      </c>
      <c r="L1333" s="312"/>
      <c r="M1333" s="312">
        <v>363.0</v>
      </c>
      <c r="N1333" s="312">
        <v>20796.0</v>
      </c>
      <c r="O1333" s="303" t="s">
        <v>1641</v>
      </c>
      <c r="P1333" s="315">
        <v>42969.0</v>
      </c>
      <c r="Q1333" s="312">
        <v>66450.0</v>
      </c>
      <c r="R1333" s="312">
        <v>250.0</v>
      </c>
      <c r="S1333" s="316"/>
      <c r="T1333" s="317">
        <v>253.16</v>
      </c>
      <c r="U1333" s="312" t="s">
        <v>1366</v>
      </c>
      <c r="V1333" s="312" t="s">
        <v>1399</v>
      </c>
      <c r="W1333" s="50"/>
      <c r="X1333" s="50"/>
      <c r="Y1333" s="50"/>
      <c r="Z1333" s="312"/>
      <c r="AA1333" s="50"/>
      <c r="AB1333" s="50"/>
      <c r="AC1333" s="50"/>
      <c r="AD1333" s="50"/>
      <c r="AE1333" s="50"/>
    </row>
    <row r="1334">
      <c r="A1334" s="307">
        <v>42354.24930555555</v>
      </c>
      <c r="B1334" s="312" t="s">
        <v>1020</v>
      </c>
      <c r="C1334" s="303" t="s">
        <v>1177</v>
      </c>
      <c r="D1334" s="303" t="s">
        <v>1178</v>
      </c>
      <c r="E1334" s="315">
        <v>41609.0</v>
      </c>
      <c r="F1334" s="312" t="s">
        <v>30</v>
      </c>
      <c r="G1334" s="303" t="s">
        <v>1181</v>
      </c>
      <c r="H1334" s="303" t="s">
        <v>1181</v>
      </c>
      <c r="I1334" s="303" t="s">
        <v>1187</v>
      </c>
      <c r="J1334" s="306">
        <v>0.7</v>
      </c>
      <c r="K1334" s="312">
        <v>400.0</v>
      </c>
      <c r="L1334" s="312"/>
      <c r="M1334" s="312">
        <v>202.0</v>
      </c>
      <c r="N1334" s="312"/>
      <c r="O1334" s="312"/>
      <c r="P1334" s="315">
        <v>42354.0</v>
      </c>
      <c r="Q1334" s="312">
        <v>61000.0</v>
      </c>
      <c r="R1334" s="312">
        <v>363.0</v>
      </c>
      <c r="S1334" s="316"/>
      <c r="T1334" s="317">
        <v>367.59</v>
      </c>
      <c r="U1334" s="312" t="s">
        <v>1366</v>
      </c>
      <c r="V1334" s="312" t="s">
        <v>1367</v>
      </c>
      <c r="W1334" s="50"/>
      <c r="X1334" s="50"/>
      <c r="Y1334" s="50"/>
      <c r="Z1334" s="312"/>
      <c r="AA1334" s="50"/>
      <c r="AB1334" s="50"/>
      <c r="AC1334" s="50"/>
      <c r="AD1334" s="50"/>
      <c r="AE1334" s="50"/>
    </row>
    <row r="1335">
      <c r="A1335" s="307">
        <v>42642.407638888886</v>
      </c>
      <c r="B1335" s="312" t="s">
        <v>1020</v>
      </c>
      <c r="C1335" s="303" t="s">
        <v>1177</v>
      </c>
      <c r="D1335" s="303" t="s">
        <v>1178</v>
      </c>
      <c r="E1335" s="315">
        <v>41609.0</v>
      </c>
      <c r="F1335" s="312" t="s">
        <v>30</v>
      </c>
      <c r="G1335" s="303" t="s">
        <v>1180</v>
      </c>
      <c r="H1335" s="303" t="s">
        <v>1181</v>
      </c>
      <c r="I1335" s="303" t="s">
        <v>1181</v>
      </c>
      <c r="J1335" s="306">
        <v>0.8</v>
      </c>
      <c r="K1335" s="312">
        <v>400.0</v>
      </c>
      <c r="L1335" s="312"/>
      <c r="M1335" s="312">
        <v>203.0</v>
      </c>
      <c r="N1335" s="312"/>
      <c r="O1335" s="312"/>
      <c r="P1335" s="315">
        <v>42642.0</v>
      </c>
      <c r="Q1335" s="312">
        <v>84000.0</v>
      </c>
      <c r="R1335" s="312">
        <v>379.0</v>
      </c>
      <c r="S1335" s="316"/>
      <c r="T1335" s="317">
        <v>383.8</v>
      </c>
      <c r="U1335" s="312" t="s">
        <v>1366</v>
      </c>
      <c r="V1335" s="312" t="s">
        <v>1367</v>
      </c>
      <c r="W1335" s="50"/>
      <c r="X1335" s="50"/>
      <c r="Y1335" s="50"/>
      <c r="Z1335" s="312"/>
      <c r="AA1335" s="312" t="s">
        <v>1720</v>
      </c>
      <c r="AB1335" s="50"/>
      <c r="AC1335" s="50"/>
      <c r="AD1335" s="50"/>
      <c r="AE1335" s="50"/>
    </row>
    <row r="1336">
      <c r="A1336" s="307">
        <v>42227.154861111114</v>
      </c>
      <c r="B1336" s="312" t="s">
        <v>952</v>
      </c>
      <c r="C1336" s="303" t="s">
        <v>1177</v>
      </c>
      <c r="D1336" s="303" t="s">
        <v>1178</v>
      </c>
      <c r="E1336" s="315">
        <v>42192.0</v>
      </c>
      <c r="F1336" s="312" t="s">
        <v>30</v>
      </c>
      <c r="G1336" s="303" t="s">
        <v>1203</v>
      </c>
      <c r="H1336" s="303" t="s">
        <v>1179</v>
      </c>
      <c r="I1336" s="303" t="s">
        <v>1186</v>
      </c>
      <c r="J1336" s="306">
        <v>0.9</v>
      </c>
      <c r="K1336" s="312">
        <v>399.0</v>
      </c>
      <c r="L1336" s="312"/>
      <c r="M1336" s="312">
        <v>205.0</v>
      </c>
      <c r="N1336" s="312"/>
      <c r="O1336" s="312"/>
      <c r="P1336" s="315">
        <v>42227.0</v>
      </c>
      <c r="Q1336" s="312">
        <v>5650.0</v>
      </c>
      <c r="R1336" s="312">
        <v>399.0</v>
      </c>
      <c r="S1336" s="316"/>
      <c r="T1336" s="317">
        <v>404.05</v>
      </c>
      <c r="U1336" s="312" t="s">
        <v>1366</v>
      </c>
      <c r="V1336" s="312" t="s">
        <v>1367</v>
      </c>
      <c r="W1336" s="50"/>
      <c r="X1336" s="50"/>
      <c r="Y1336" s="50"/>
      <c r="Z1336" s="312"/>
      <c r="AA1336" s="50"/>
      <c r="AB1336" s="50"/>
      <c r="AC1336" s="50"/>
      <c r="AD1336" s="50"/>
      <c r="AE1336" s="50"/>
    </row>
    <row r="1337">
      <c r="A1337" s="307">
        <v>42214.751388888886</v>
      </c>
      <c r="B1337" s="312" t="s">
        <v>936</v>
      </c>
      <c r="C1337" s="312" t="s">
        <v>1184</v>
      </c>
      <c r="D1337" s="303" t="s">
        <v>1185</v>
      </c>
      <c r="E1337" s="315">
        <v>42068.0</v>
      </c>
      <c r="F1337" s="312" t="s">
        <v>38</v>
      </c>
      <c r="G1337" s="303" t="s">
        <v>1179</v>
      </c>
      <c r="H1337" s="303" t="s">
        <v>1180</v>
      </c>
      <c r="I1337" s="303" t="s">
        <v>1187</v>
      </c>
      <c r="J1337" s="306">
        <v>0.9</v>
      </c>
      <c r="K1337" s="312">
        <v>255.0</v>
      </c>
      <c r="L1337" s="312"/>
      <c r="M1337" s="312">
        <v>316.0</v>
      </c>
      <c r="N1337" s="312"/>
      <c r="O1337" s="312"/>
      <c r="P1337" s="315">
        <v>42214.0</v>
      </c>
      <c r="Q1337" s="312">
        <v>9100.0</v>
      </c>
      <c r="R1337" s="312">
        <v>254.0</v>
      </c>
      <c r="S1337" s="316"/>
      <c r="T1337" s="317">
        <v>254.0</v>
      </c>
      <c r="U1337" s="312" t="s">
        <v>1369</v>
      </c>
      <c r="V1337" s="312" t="s">
        <v>1367</v>
      </c>
      <c r="W1337" s="50"/>
      <c r="X1337" s="50"/>
      <c r="Y1337" s="50"/>
      <c r="Z1337" s="312"/>
      <c r="AA1337" s="312" t="s">
        <v>1721</v>
      </c>
      <c r="AB1337" s="50"/>
      <c r="AC1337" s="50"/>
      <c r="AD1337" s="50"/>
      <c r="AE1337" s="50"/>
    </row>
    <row r="1338">
      <c r="A1338" s="307">
        <v>41916.027083333334</v>
      </c>
      <c r="B1338" s="50" t="s">
        <v>750</v>
      </c>
      <c r="C1338" s="303" t="s">
        <v>1177</v>
      </c>
      <c r="D1338" s="303" t="s">
        <v>1178</v>
      </c>
      <c r="E1338" s="310">
        <v>41618.0</v>
      </c>
      <c r="F1338" s="312" t="s">
        <v>32</v>
      </c>
      <c r="G1338" s="303" t="s">
        <v>1179</v>
      </c>
      <c r="H1338" s="303" t="s">
        <v>1180</v>
      </c>
      <c r="I1338" s="303" t="s">
        <v>1181</v>
      </c>
      <c r="J1338" s="306"/>
      <c r="K1338" s="50"/>
      <c r="L1338" s="50"/>
      <c r="M1338" s="50">
        <v>203.0</v>
      </c>
      <c r="N1338" s="50"/>
      <c r="O1338" s="312"/>
      <c r="P1338" s="310">
        <v>41916.0</v>
      </c>
      <c r="Q1338" s="50">
        <v>23945.0</v>
      </c>
      <c r="R1338" s="50">
        <v>387.0</v>
      </c>
      <c r="S1338" s="318"/>
      <c r="T1338" s="317">
        <v>390.91</v>
      </c>
      <c r="U1338" s="312" t="s">
        <v>1407</v>
      </c>
      <c r="V1338" s="312" t="s">
        <v>1367</v>
      </c>
      <c r="W1338" s="50"/>
      <c r="X1338" s="50"/>
      <c r="Y1338" s="50"/>
      <c r="Z1338" s="312"/>
      <c r="AA1338" s="50" t="s">
        <v>1373</v>
      </c>
      <c r="AB1338" s="50"/>
      <c r="AC1338" s="50"/>
      <c r="AD1338" s="50"/>
      <c r="AE1338" s="50"/>
    </row>
    <row r="1339">
      <c r="A1339" s="307">
        <v>42025.0625</v>
      </c>
      <c r="B1339" s="50" t="s">
        <v>750</v>
      </c>
      <c r="C1339" s="303" t="s">
        <v>1177</v>
      </c>
      <c r="D1339" s="303" t="s">
        <v>1178</v>
      </c>
      <c r="E1339" s="310">
        <v>41618.0</v>
      </c>
      <c r="F1339" s="312" t="s">
        <v>32</v>
      </c>
      <c r="G1339" s="303" t="s">
        <v>1179</v>
      </c>
      <c r="H1339" s="303" t="s">
        <v>1180</v>
      </c>
      <c r="I1339" s="303" t="s">
        <v>1187</v>
      </c>
      <c r="J1339" s="306"/>
      <c r="K1339" s="50"/>
      <c r="L1339" s="50"/>
      <c r="M1339" s="50">
        <v>209.0</v>
      </c>
      <c r="N1339" s="50"/>
      <c r="O1339" s="312"/>
      <c r="P1339" s="310">
        <v>42025.0</v>
      </c>
      <c r="Q1339" s="50">
        <v>33000.0</v>
      </c>
      <c r="R1339" s="50">
        <v>384.0</v>
      </c>
      <c r="S1339" s="318"/>
      <c r="T1339" s="317">
        <v>384.0</v>
      </c>
      <c r="U1339" s="312" t="s">
        <v>1369</v>
      </c>
      <c r="V1339" s="312" t="s">
        <v>1367</v>
      </c>
      <c r="W1339" s="50"/>
      <c r="X1339" s="50"/>
      <c r="Y1339" s="50"/>
      <c r="Z1339" s="312"/>
      <c r="AA1339" s="50" t="s">
        <v>1373</v>
      </c>
      <c r="AB1339" s="50"/>
      <c r="AC1339" s="50"/>
      <c r="AD1339" s="50"/>
      <c r="AE1339" s="50"/>
    </row>
    <row r="1340">
      <c r="A1340" s="307">
        <v>42129.1125</v>
      </c>
      <c r="B1340" s="312" t="s">
        <v>750</v>
      </c>
      <c r="C1340" s="303" t="s">
        <v>1177</v>
      </c>
      <c r="D1340" s="303" t="s">
        <v>1178</v>
      </c>
      <c r="E1340" s="315">
        <v>41618.0</v>
      </c>
      <c r="F1340" s="312" t="s">
        <v>32</v>
      </c>
      <c r="G1340" s="303" t="s">
        <v>1203</v>
      </c>
      <c r="H1340" s="303" t="s">
        <v>1181</v>
      </c>
      <c r="I1340" s="303" t="s">
        <v>1181</v>
      </c>
      <c r="J1340" s="306">
        <v>0.8</v>
      </c>
      <c r="K1340" s="50"/>
      <c r="L1340" s="312"/>
      <c r="M1340" s="312">
        <v>207.0</v>
      </c>
      <c r="N1340" s="50"/>
      <c r="O1340" s="312"/>
      <c r="P1340" s="315">
        <v>42129.0</v>
      </c>
      <c r="Q1340" s="312">
        <v>45025.0</v>
      </c>
      <c r="R1340" s="312">
        <v>378.0</v>
      </c>
      <c r="S1340" s="316"/>
      <c r="T1340" s="317">
        <v>382.78</v>
      </c>
      <c r="U1340" s="312" t="s">
        <v>1366</v>
      </c>
      <c r="V1340" s="312" t="s">
        <v>1367</v>
      </c>
      <c r="W1340" s="50"/>
      <c r="X1340" s="50"/>
      <c r="Y1340" s="50"/>
      <c r="Z1340" s="312"/>
      <c r="AA1340" s="312" t="s">
        <v>1373</v>
      </c>
      <c r="AB1340" s="50"/>
      <c r="AC1340" s="50"/>
      <c r="AD1340" s="50"/>
      <c r="AE1340" s="5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sheetViews>
  <sheetFormatPr customHeight="1" defaultColWidth="14.43" defaultRowHeight="15.75"/>
  <cols>
    <col customWidth="1" min="1" max="3" width="14.43"/>
    <col customWidth="1" min="4" max="4" width="6.71"/>
    <col customWidth="1" min="5" max="5" width="5.86"/>
    <col customWidth="1" min="6" max="6" width="16.0"/>
    <col customWidth="1" min="12" max="12" width="5.86"/>
    <col customWidth="1" min="14" max="14" width="7.43"/>
    <col customWidth="1" min="15" max="15" width="5.86"/>
    <col customWidth="1" min="16" max="19" width="13.0"/>
    <col customWidth="1" min="20" max="20" width="5.86"/>
    <col customWidth="1" min="21" max="21" width="23.57"/>
    <col customWidth="1" min="22" max="22" width="9.43"/>
    <col customWidth="1" min="23" max="25" width="18.43"/>
    <col customWidth="1" min="26" max="26" width="5.86"/>
    <col customWidth="1" min="27" max="29" width="29.57"/>
  </cols>
  <sheetData>
    <row r="1">
      <c r="A1" s="321" t="s">
        <v>1722</v>
      </c>
      <c r="E1" s="199"/>
      <c r="F1" s="322"/>
      <c r="G1" s="323" t="s">
        <v>1184</v>
      </c>
      <c r="H1" s="323" t="s">
        <v>1197</v>
      </c>
      <c r="I1" s="323" t="s">
        <v>1292</v>
      </c>
      <c r="J1" s="323" t="s">
        <v>1177</v>
      </c>
      <c r="K1" s="324" t="s">
        <v>1723</v>
      </c>
      <c r="L1" s="180"/>
      <c r="M1" s="180"/>
      <c r="N1" s="180"/>
      <c r="O1" s="180"/>
      <c r="P1" s="325" t="s">
        <v>1724</v>
      </c>
      <c r="T1" s="180"/>
      <c r="U1" s="320" t="s">
        <v>1725</v>
      </c>
      <c r="V1" s="326"/>
      <c r="W1" s="320" t="s">
        <v>1726</v>
      </c>
      <c r="X1" s="180"/>
      <c r="Y1" s="180"/>
      <c r="Z1" s="180"/>
      <c r="AA1" s="92" t="s">
        <v>1727</v>
      </c>
      <c r="AB1" s="327"/>
      <c r="AC1" s="327"/>
      <c r="AD1" s="180"/>
      <c r="AE1" s="180"/>
    </row>
    <row r="2">
      <c r="A2" s="283" t="s">
        <v>1728</v>
      </c>
      <c r="B2" s="283" t="s">
        <v>1729</v>
      </c>
      <c r="E2" s="199"/>
      <c r="F2" s="322"/>
      <c r="G2" s="328" t="s">
        <v>1730</v>
      </c>
      <c r="H2" s="328" t="s">
        <v>1730</v>
      </c>
      <c r="I2" s="324" t="s">
        <v>1731</v>
      </c>
      <c r="J2" s="324" t="s">
        <v>1731</v>
      </c>
      <c r="K2" s="329"/>
      <c r="L2" s="180"/>
      <c r="M2" s="330" t="str">
        <f>IFERROR(__xludf.DUMMYFUNCTION("query(arrayformula({
F4:F73&amp;G1,G4:G73;
F4:F73&amp;H1,H4:H73;
F4:F73&amp;I1,I4:I73;
F4:F73&amp;J1,J4:J73
}),""select * where Col2 is not null"")"),"Unspecified 85 kWhUSA")</f>
        <v>Unspecified 85 kWhUSA</v>
      </c>
      <c r="N2" s="331">
        <f>IFERROR(__xludf.DUMMYFUNCTION("""COMPUTED_VALUE"""),264.0)</f>
        <v>264</v>
      </c>
      <c r="O2" s="180"/>
      <c r="P2" s="332" t="s">
        <v>1732</v>
      </c>
      <c r="Q2" s="333">
        <f>iferror((sum(Q7:Q150)-max(Q7:Q150)-min(Q7:Q150))/(count(Q7:Q150)-2),average(Q7:Q150))</f>
        <v>0</v>
      </c>
      <c r="R2" s="332" t="s">
        <v>1732</v>
      </c>
      <c r="S2" s="333">
        <f>iferror((sum(S8:S150)-max(S8:S150)-min(S8:S150))/(count(S8:S150)-2),average(S8:S150))</f>
        <v>0</v>
      </c>
      <c r="T2" s="180"/>
      <c r="U2" s="334" t="s">
        <v>1323</v>
      </c>
      <c r="V2" s="335">
        <v>3.0</v>
      </c>
      <c r="W2" s="336" t="s">
        <v>1205</v>
      </c>
      <c r="X2" s="337" t="s">
        <v>1177</v>
      </c>
      <c r="Y2" s="338" t="s">
        <v>1178</v>
      </c>
      <c r="Z2" s="180"/>
      <c r="AA2" s="339" t="s">
        <v>1733</v>
      </c>
      <c r="AB2" s="339" t="s">
        <v>1734</v>
      </c>
      <c r="AC2" s="339" t="s">
        <v>1735</v>
      </c>
      <c r="AD2" s="180"/>
      <c r="AE2" s="180"/>
    </row>
    <row r="3">
      <c r="A3" s="340">
        <f>if(min(C20,C35,C48)=C20,B23,if(min(C20,C35,C48)=C35,A8,if(min(C20,C35,C48)=C48,B51)))</f>
        <v>17200</v>
      </c>
      <c r="B3" s="341">
        <v>17200.0</v>
      </c>
      <c r="C3" s="342" t="s">
        <v>1736</v>
      </c>
      <c r="E3" s="199"/>
      <c r="F3" s="322"/>
      <c r="G3" s="343" t="s">
        <v>1737</v>
      </c>
      <c r="H3" s="344" t="s">
        <v>1738</v>
      </c>
      <c r="I3" s="343" t="s">
        <v>1737</v>
      </c>
      <c r="J3" s="344" t="s">
        <v>1738</v>
      </c>
      <c r="K3" s="344" t="s">
        <v>1739</v>
      </c>
      <c r="L3" s="180"/>
      <c r="M3" s="331" t="str">
        <f>IFERROR(__xludf.DUMMYFUNCTION("""COMPUTED_VALUE"""),"Model S 60USA")</f>
        <v>Model S 60USA</v>
      </c>
      <c r="N3" s="331">
        <f>IFERROR(__xludf.DUMMYFUNCTION("""COMPUTED_VALUE"""),207.0)</f>
        <v>207</v>
      </c>
      <c r="O3" s="180"/>
      <c r="P3" s="345" t="s">
        <v>1740</v>
      </c>
      <c r="Q3" s="346" t="str">
        <f>iferror(median(Q7:Q73))</f>
        <v/>
      </c>
      <c r="R3" s="345" t="s">
        <v>1740</v>
      </c>
      <c r="S3" s="346" t="str">
        <f>iferror(median(S8:S73))</f>
        <v/>
      </c>
      <c r="T3" s="180"/>
      <c r="U3" s="334" t="s">
        <v>1207</v>
      </c>
      <c r="V3" s="335">
        <v>0.0</v>
      </c>
      <c r="W3" s="336" t="s">
        <v>1203</v>
      </c>
      <c r="X3" s="337" t="s">
        <v>1292</v>
      </c>
      <c r="Y3" s="338" t="s">
        <v>1185</v>
      </c>
      <c r="Z3" s="180"/>
      <c r="AA3" s="347" t="str">
        <f t="array" ref="AA3:AA17">transpose('Form responses'!A1:O1)</f>
        <v>Timestamp</v>
      </c>
      <c r="AB3" s="348" t="str">
        <f t="array" ref="AB3:AB17">transpose('Preform entries'!A1:O1)</f>
        <v>Timestamp</v>
      </c>
      <c r="AC3" s="347" t="str">
        <f t="array" ref="AC3:AC17">transpose('All entries'!A1:O1)</f>
        <v>Timestamp</v>
      </c>
      <c r="AD3" s="180"/>
      <c r="AE3" s="180"/>
    </row>
    <row r="4">
      <c r="A4" s="112"/>
      <c r="B4" s="112"/>
      <c r="C4" s="112"/>
      <c r="E4" s="199"/>
      <c r="F4" s="322" t="s">
        <v>1370</v>
      </c>
      <c r="G4" s="349">
        <v>264.0</v>
      </c>
      <c r="H4" s="350">
        <f t="shared" ref="H4:H34" si="1">if(isnumber(value(G4)),round(convert(G4,"mi","km"),0),"unknown")</f>
        <v>425</v>
      </c>
      <c r="I4" s="350">
        <f t="shared" ref="I4:I34" si="2">if(isnumber(value(J4)),round(convert(J4,"km","mi"),0),"unknown")</f>
        <v>245</v>
      </c>
      <c r="J4" s="349">
        <v>395.0</v>
      </c>
      <c r="K4" s="351">
        <v>77500.0</v>
      </c>
      <c r="L4" s="180"/>
      <c r="M4" s="331" t="str">
        <f>IFERROR(__xludf.DUMMYFUNCTION("""COMPUTED_VALUE"""),"Model S 60DUSA")</f>
        <v>Model S 60DUSA</v>
      </c>
      <c r="N4" s="331">
        <f>IFERROR(__xludf.DUMMYFUNCTION("""COMPUTED_VALUE"""),219.0)</f>
        <v>219</v>
      </c>
      <c r="O4" s="180"/>
      <c r="P4" s="352" t="str">
        <f>"Column "&amp;char(64+column(K1))&amp;" last updated on:"</f>
        <v>Column K last updated on:</v>
      </c>
      <c r="Q4" s="5"/>
      <c r="R4" s="352" t="str">
        <f>"Column "&amp;char(64+column(N1))&amp;" last updated on:"</f>
        <v>Column N last updated on:</v>
      </c>
      <c r="S4" s="5"/>
      <c r="T4" s="180"/>
      <c r="U4" s="334" t="s">
        <v>1741</v>
      </c>
      <c r="V4" s="335">
        <v>1.0</v>
      </c>
      <c r="W4" s="336" t="s">
        <v>1190</v>
      </c>
      <c r="X4" s="337" t="s">
        <v>1197</v>
      </c>
      <c r="Y4" s="337"/>
      <c r="Z4" s="180"/>
      <c r="AA4" s="327" t="s">
        <v>59</v>
      </c>
      <c r="AB4" s="327" t="s">
        <v>59</v>
      </c>
      <c r="AC4" s="327" t="s">
        <v>59</v>
      </c>
      <c r="AD4" s="180"/>
      <c r="AE4" s="180"/>
    </row>
    <row r="5">
      <c r="A5" s="353">
        <f>1-A7</f>
        <v>0.9695594962</v>
      </c>
      <c r="B5" s="354">
        <v>0.9695594962489078</v>
      </c>
      <c r="C5" s="355" t="s">
        <v>1742</v>
      </c>
      <c r="E5" s="199"/>
      <c r="F5" s="322" t="s">
        <v>12</v>
      </c>
      <c r="G5" s="349">
        <v>207.0</v>
      </c>
      <c r="H5" s="350">
        <f t="shared" si="1"/>
        <v>333</v>
      </c>
      <c r="I5" s="350">
        <f t="shared" si="2"/>
        <v>176</v>
      </c>
      <c r="J5" s="349">
        <v>284.0</v>
      </c>
      <c r="K5" s="356">
        <v>58500.0</v>
      </c>
      <c r="L5" s="180"/>
      <c r="M5" s="331" t="str">
        <f>IFERROR(__xludf.DUMMYFUNCTION("""COMPUTED_VALUE"""),"Model S 70USA")</f>
        <v>Model S 70USA</v>
      </c>
      <c r="N5" s="331">
        <f>IFERROR(__xludf.DUMMYFUNCTION("""COMPUTED_VALUE"""),231.0)</f>
        <v>231</v>
      </c>
      <c r="O5" s="180"/>
      <c r="P5" s="357">
        <v>42994.0</v>
      </c>
      <c r="Q5" s="5"/>
      <c r="R5" s="357">
        <v>42994.0</v>
      </c>
      <c r="S5" s="5"/>
      <c r="T5" s="180"/>
      <c r="U5" s="334" t="s">
        <v>1743</v>
      </c>
      <c r="V5" s="335">
        <v>2.0</v>
      </c>
      <c r="W5" s="336" t="s">
        <v>1179</v>
      </c>
      <c r="X5" s="337" t="s">
        <v>1184</v>
      </c>
      <c r="Y5" s="337"/>
      <c r="Z5" s="180"/>
      <c r="AA5" s="327" t="s">
        <v>1118</v>
      </c>
      <c r="AB5" s="327" t="s">
        <v>1118</v>
      </c>
      <c r="AC5" s="327" t="s">
        <v>73</v>
      </c>
      <c r="AD5" s="180"/>
      <c r="AE5" s="180"/>
    </row>
    <row r="6">
      <c r="A6" s="358">
        <f>-1/C31/100</f>
        <v>43356.29545</v>
      </c>
      <c r="B6" s="359">
        <v>43356.29545379155</v>
      </c>
      <c r="C6" s="355" t="s">
        <v>1744</v>
      </c>
      <c r="E6" s="199"/>
      <c r="F6" s="322" t="s">
        <v>16</v>
      </c>
      <c r="G6" s="349">
        <v>219.0</v>
      </c>
      <c r="H6" s="350">
        <f t="shared" si="1"/>
        <v>352</v>
      </c>
      <c r="I6" s="350">
        <f t="shared" si="2"/>
        <v>204</v>
      </c>
      <c r="J6" s="349">
        <v>328.0</v>
      </c>
      <c r="K6" s="356">
        <v>58500.0</v>
      </c>
      <c r="L6" s="180"/>
      <c r="M6" s="331" t="str">
        <f>IFERROR(__xludf.DUMMYFUNCTION("""COMPUTED_VALUE"""),"Model S 70DUSA")</f>
        <v>Model S 70DUSA</v>
      </c>
      <c r="N6" s="331">
        <f>IFERROR(__xludf.DUMMYFUNCTION("""COMPUTED_VALUE"""),240.0)</f>
        <v>240</v>
      </c>
      <c r="O6" s="180"/>
      <c r="P6" s="360"/>
      <c r="Q6" s="5"/>
      <c r="R6" s="361" t="s">
        <v>1745</v>
      </c>
      <c r="S6" s="5"/>
      <c r="T6" s="180"/>
      <c r="U6" s="334" t="s">
        <v>1746</v>
      </c>
      <c r="V6" s="335">
        <v>3.0</v>
      </c>
      <c r="W6" s="336" t="s">
        <v>1180</v>
      </c>
      <c r="X6" s="337"/>
      <c r="Y6" s="337"/>
      <c r="Z6" s="180"/>
      <c r="AA6" s="327" t="s">
        <v>1119</v>
      </c>
      <c r="AB6" s="327" t="s">
        <v>1349</v>
      </c>
      <c r="AC6" s="327" t="s">
        <v>1747</v>
      </c>
      <c r="AD6" s="180"/>
      <c r="AE6" s="180"/>
    </row>
    <row r="7">
      <c r="A7" s="362">
        <f>B31</f>
        <v>0.03044050375</v>
      </c>
      <c r="B7" s="354">
        <v>0.030440503751092224</v>
      </c>
      <c r="C7" s="355" t="s">
        <v>703</v>
      </c>
      <c r="E7" s="199"/>
      <c r="F7" s="322" t="s">
        <v>20</v>
      </c>
      <c r="G7" s="349">
        <v>231.0</v>
      </c>
      <c r="H7" s="350">
        <f t="shared" si="1"/>
        <v>372</v>
      </c>
      <c r="I7" s="350">
        <f t="shared" si="2"/>
        <v>221</v>
      </c>
      <c r="J7" s="349">
        <v>355.0</v>
      </c>
      <c r="K7" s="356">
        <v>68800.0</v>
      </c>
      <c r="L7" s="180"/>
      <c r="M7" s="331" t="str">
        <f>IFERROR(__xludf.DUMMYFUNCTION("""COMPUTED_VALUE"""),"Model S 75USA")</f>
        <v>Model S 75USA</v>
      </c>
      <c r="N7" s="331">
        <f>IFERROR(__xludf.DUMMYFUNCTION("""COMPUTED_VALUE"""),246.0)</f>
        <v>246</v>
      </c>
      <c r="O7" s="180"/>
      <c r="P7" s="363" t="str">
        <f>IFERROR(__xludf.DUMMYFUNCTION("if(P6="""","""",iferror(query({'All entries'!$B:$B,'All entries'!$F:$F,'All entries'!$K:$K,'All entries'!$C:$C},""select Col1,avg(Col3) where Col3&gt;180 and Col2='""&amp;P6&amp;""' and Col4='USA' group by Col1 label avg(Col3)'Range [mi]' "",1)))"),"")</f>
        <v/>
      </c>
      <c r="Q7" s="364"/>
      <c r="R7" s="363" t="str">
        <f>IFERROR(__xludf.DUMMYFUNCTION("if(P6="""","""",iferror(query({'All entries'!$B:$B,'All entries'!$F:$F,'All entries'!$K:$K,'All entries'!$C:$C},""select Col1,avg(Col3) where Col3&gt;180 and Col2='""&amp;P6&amp;""' and Col4='Europe (excluding UK) &amp; Asia Pacific' group by Col1 label avg(Col3)'Range "&amp;"[km]' "",1)))"),"")</f>
        <v/>
      </c>
      <c r="S7" s="332"/>
      <c r="T7" s="180"/>
      <c r="U7" s="334" t="s">
        <v>1715</v>
      </c>
      <c r="V7" s="335">
        <v>4.0</v>
      </c>
      <c r="W7" s="336" t="s">
        <v>1181</v>
      </c>
      <c r="X7" s="365"/>
      <c r="Y7" s="365"/>
      <c r="Z7" s="180"/>
      <c r="AA7" s="327" t="s">
        <v>1120</v>
      </c>
      <c r="AB7" s="366" t="s">
        <v>1120</v>
      </c>
      <c r="AC7" s="366" t="s">
        <v>1748</v>
      </c>
      <c r="AD7" s="180"/>
      <c r="AE7" s="180"/>
    </row>
    <row r="8">
      <c r="A8" s="367">
        <f>$B$3</f>
        <v>17200</v>
      </c>
      <c r="B8" s="368">
        <v>17200.0</v>
      </c>
      <c r="C8" s="355" t="s">
        <v>1749</v>
      </c>
      <c r="E8" s="199"/>
      <c r="F8" s="322" t="s">
        <v>22</v>
      </c>
      <c r="G8" s="349">
        <v>240.0</v>
      </c>
      <c r="H8" s="350">
        <f t="shared" si="1"/>
        <v>386</v>
      </c>
      <c r="I8" s="350">
        <f t="shared" si="2"/>
        <v>224</v>
      </c>
      <c r="J8" s="349">
        <v>360.0</v>
      </c>
      <c r="K8" s="356">
        <v>68800.0</v>
      </c>
      <c r="L8" s="180"/>
      <c r="M8" s="331" t="str">
        <f>IFERROR(__xludf.DUMMYFUNCTION("""COMPUTED_VALUE"""),"Model S 75DUSA")</f>
        <v>Model S 75DUSA</v>
      </c>
      <c r="N8" s="331">
        <f>IFERROR(__xludf.DUMMYFUNCTION("""COMPUTED_VALUE"""),259.0)</f>
        <v>259</v>
      </c>
      <c r="O8" s="180"/>
      <c r="P8" s="332"/>
      <c r="Q8" s="364"/>
      <c r="R8" s="332"/>
      <c r="S8" s="364"/>
      <c r="T8" s="180"/>
      <c r="U8" s="334" t="s">
        <v>1527</v>
      </c>
      <c r="V8" s="335">
        <v>5.0</v>
      </c>
      <c r="W8" s="336" t="s">
        <v>1186</v>
      </c>
      <c r="X8" s="365"/>
      <c r="Y8" s="365"/>
      <c r="Z8" s="180"/>
      <c r="AA8" s="327" t="s">
        <v>1121</v>
      </c>
      <c r="AB8" s="327" t="s">
        <v>1121</v>
      </c>
      <c r="AC8" s="327" t="s">
        <v>1121</v>
      </c>
      <c r="AD8" s="180"/>
      <c r="AE8" s="180"/>
    </row>
    <row r="9">
      <c r="A9" s="369"/>
      <c r="B9" s="369"/>
      <c r="E9" s="199"/>
      <c r="F9" s="322" t="s">
        <v>25</v>
      </c>
      <c r="G9" s="349">
        <v>246.0</v>
      </c>
      <c r="H9" s="350">
        <f t="shared" si="1"/>
        <v>396</v>
      </c>
      <c r="I9" s="350">
        <f t="shared" si="2"/>
        <v>233</v>
      </c>
      <c r="J9" s="349">
        <v>375.0</v>
      </c>
      <c r="K9" s="370">
        <f t="shared" ref="K9:K10" si="3">HYPERLINK("https://iaspub.epa.gov/otaqpub/display_file.jsp?docid=39834&amp;flag=1",73200)</f>
        <v>73200</v>
      </c>
      <c r="L9" s="180"/>
      <c r="M9" s="331" t="str">
        <f>IFERROR(__xludf.DUMMYFUNCTION("""COMPUTED_VALUE"""),"Model S 85USA")</f>
        <v>Model S 85USA</v>
      </c>
      <c r="N9" s="331">
        <f>IFERROR(__xludf.DUMMYFUNCTION("""COMPUTED_VALUE"""),266.0)</f>
        <v>266</v>
      </c>
      <c r="O9" s="180"/>
      <c r="P9" s="332"/>
      <c r="Q9" s="364"/>
      <c r="R9" s="332"/>
      <c r="S9" s="364"/>
      <c r="T9" s="180"/>
      <c r="U9" s="334" t="s">
        <v>1641</v>
      </c>
      <c r="V9" s="335">
        <v>6.0</v>
      </c>
      <c r="W9" s="336" t="s">
        <v>1187</v>
      </c>
      <c r="X9" s="365"/>
      <c r="Y9" s="365"/>
      <c r="Z9" s="180"/>
      <c r="AA9" s="327" t="s">
        <v>1122</v>
      </c>
      <c r="AB9" s="327" t="s">
        <v>1122</v>
      </c>
      <c r="AC9" s="327" t="s">
        <v>1750</v>
      </c>
      <c r="AD9" s="180"/>
      <c r="AE9" s="180"/>
    </row>
    <row r="10">
      <c r="A10" s="369"/>
      <c r="B10" s="369"/>
      <c r="E10" s="199"/>
      <c r="F10" s="322" t="s">
        <v>28</v>
      </c>
      <c r="G10" s="349">
        <v>259.0</v>
      </c>
      <c r="H10" s="350">
        <f t="shared" si="1"/>
        <v>417</v>
      </c>
      <c r="I10" s="350">
        <f t="shared" si="2"/>
        <v>239</v>
      </c>
      <c r="J10" s="349">
        <v>384.0</v>
      </c>
      <c r="K10" s="370">
        <f t="shared" si="3"/>
        <v>73200</v>
      </c>
      <c r="L10" s="180"/>
      <c r="M10" s="331" t="str">
        <f>IFERROR(__xludf.DUMMYFUNCTION("""COMPUTED_VALUE"""),"Model S P85USA")</f>
        <v>Model S P85USA</v>
      </c>
      <c r="N10" s="331">
        <f>IFERROR(__xludf.DUMMYFUNCTION("""COMPUTED_VALUE"""),266.0)</f>
        <v>266</v>
      </c>
      <c r="O10" s="180"/>
      <c r="P10" s="332"/>
      <c r="Q10" s="364"/>
      <c r="R10" s="332"/>
      <c r="S10" s="364"/>
      <c r="T10" s="180"/>
      <c r="U10" s="334" t="s">
        <v>1481</v>
      </c>
      <c r="V10" s="335">
        <v>7.0</v>
      </c>
      <c r="W10" s="371"/>
      <c r="X10" s="365"/>
      <c r="Y10" s="365"/>
      <c r="Z10" s="180"/>
      <c r="AA10" s="327" t="s">
        <v>1123</v>
      </c>
      <c r="AB10" s="327" t="s">
        <v>1123</v>
      </c>
      <c r="AC10" s="327" t="s">
        <v>1751</v>
      </c>
      <c r="AD10" s="180"/>
      <c r="AE10" s="180"/>
    </row>
    <row r="11">
      <c r="A11" s="369"/>
      <c r="B11" s="369"/>
      <c r="E11" s="199"/>
      <c r="F11" s="322" t="s">
        <v>30</v>
      </c>
      <c r="G11" s="349">
        <v>266.0</v>
      </c>
      <c r="H11" s="350">
        <f t="shared" si="1"/>
        <v>428</v>
      </c>
      <c r="I11" s="350">
        <f t="shared" si="2"/>
        <v>245</v>
      </c>
      <c r="J11" s="349">
        <v>395.0</v>
      </c>
      <c r="K11" s="351">
        <v>77500.0</v>
      </c>
      <c r="L11" s="180"/>
      <c r="M11" s="331" t="str">
        <f>IFERROR(__xludf.DUMMYFUNCTION("""COMPUTED_VALUE"""),"Model S P85+USA")</f>
        <v>Model S P85+USA</v>
      </c>
      <c r="N11" s="331">
        <f>IFERROR(__xludf.DUMMYFUNCTION("""COMPUTED_VALUE"""),266.0)</f>
        <v>266</v>
      </c>
      <c r="O11" s="180"/>
      <c r="P11" s="332"/>
      <c r="Q11" s="364"/>
      <c r="R11" s="332"/>
      <c r="S11" s="364"/>
      <c r="T11" s="180"/>
      <c r="U11" s="334" t="s">
        <v>1467</v>
      </c>
      <c r="V11" s="335">
        <v>8.0</v>
      </c>
      <c r="W11" s="371"/>
      <c r="X11" s="365"/>
      <c r="Y11" s="365"/>
      <c r="Z11" s="180"/>
      <c r="AA11" s="327" t="s">
        <v>1124</v>
      </c>
      <c r="AB11" s="327" t="s">
        <v>1124</v>
      </c>
      <c r="AC11" s="327" t="s">
        <v>1752</v>
      </c>
      <c r="AD11" s="180"/>
      <c r="AE11" s="180"/>
    </row>
    <row r="12">
      <c r="A12" s="372" t="s">
        <v>1753</v>
      </c>
      <c r="B12" s="3"/>
      <c r="C12" s="3"/>
      <c r="D12" s="5"/>
      <c r="E12" s="199"/>
      <c r="F12" s="322" t="s">
        <v>32</v>
      </c>
      <c r="G12" s="349">
        <v>266.0</v>
      </c>
      <c r="H12" s="350">
        <f t="shared" si="1"/>
        <v>428</v>
      </c>
      <c r="I12" s="350">
        <f t="shared" si="2"/>
        <v>245</v>
      </c>
      <c r="J12" s="349">
        <v>395.0</v>
      </c>
      <c r="K12" s="351">
        <v>77500.0</v>
      </c>
      <c r="L12" s="180"/>
      <c r="M12" s="331" t="str">
        <f>IFERROR(__xludf.DUMMYFUNCTION("""COMPUTED_VALUE"""),"Model S 85DUSA")</f>
        <v>Model S 85DUSA</v>
      </c>
      <c r="N12" s="331">
        <f>IFERROR(__xludf.DUMMYFUNCTION("""COMPUTED_VALUE"""),270.0)</f>
        <v>270</v>
      </c>
      <c r="O12" s="180"/>
      <c r="P12" s="332"/>
      <c r="Q12" s="364"/>
      <c r="R12" s="332"/>
      <c r="S12" s="364"/>
      <c r="T12" s="180"/>
      <c r="U12" s="334" t="s">
        <v>1342</v>
      </c>
      <c r="V12" s="335">
        <v>9.0</v>
      </c>
      <c r="W12" s="371"/>
      <c r="X12" s="365"/>
      <c r="Y12" s="365"/>
      <c r="Z12" s="180"/>
      <c r="AA12" s="327" t="s">
        <v>1125</v>
      </c>
      <c r="AB12" s="373" t="s">
        <v>1125</v>
      </c>
      <c r="AC12" s="327" t="s">
        <v>1754</v>
      </c>
      <c r="AD12" s="180"/>
      <c r="AE12" s="180"/>
    </row>
    <row r="13">
      <c r="A13" s="374" t="s">
        <v>1755</v>
      </c>
      <c r="B13" s="194"/>
      <c r="C13" s="194"/>
      <c r="D13" s="61"/>
      <c r="E13" s="199"/>
      <c r="F13" s="322" t="s">
        <v>34</v>
      </c>
      <c r="G13" s="349">
        <v>266.0</v>
      </c>
      <c r="H13" s="350">
        <f t="shared" si="1"/>
        <v>428</v>
      </c>
      <c r="I13" s="350">
        <f t="shared" si="2"/>
        <v>245</v>
      </c>
      <c r="J13" s="349">
        <v>395.0</v>
      </c>
      <c r="K13" s="351">
        <v>77500.0</v>
      </c>
      <c r="L13" s="180"/>
      <c r="M13" s="331" t="str">
        <f>IFERROR(__xludf.DUMMYFUNCTION("""COMPUTED_VALUE"""),"Model S P85DUSA")</f>
        <v>Model S P85DUSA</v>
      </c>
      <c r="N13" s="331">
        <f>IFERROR(__xludf.DUMMYFUNCTION("""COMPUTED_VALUE"""),253.0)</f>
        <v>253</v>
      </c>
      <c r="O13" s="180"/>
      <c r="P13" s="332"/>
      <c r="Q13" s="364"/>
      <c r="R13" s="332"/>
      <c r="S13" s="364"/>
      <c r="T13" s="180"/>
      <c r="U13" s="334" t="s">
        <v>1302</v>
      </c>
      <c r="V13" s="335">
        <v>10.0</v>
      </c>
      <c r="W13" s="371"/>
      <c r="X13" s="365"/>
      <c r="Y13" s="365"/>
      <c r="Z13" s="180"/>
      <c r="AA13" s="327" t="s">
        <v>1126</v>
      </c>
      <c r="AB13" s="327" t="s">
        <v>1350</v>
      </c>
      <c r="AC13" s="327" t="s">
        <v>1756</v>
      </c>
      <c r="AD13" s="180"/>
      <c r="AE13" s="180"/>
    </row>
    <row r="14">
      <c r="A14" s="66"/>
      <c r="D14" s="69"/>
      <c r="E14" s="199"/>
      <c r="F14" s="322" t="s">
        <v>36</v>
      </c>
      <c r="G14" s="349">
        <v>270.0</v>
      </c>
      <c r="H14" s="350">
        <f t="shared" si="1"/>
        <v>435</v>
      </c>
      <c r="I14" s="350">
        <f t="shared" si="2"/>
        <v>264</v>
      </c>
      <c r="J14" s="349">
        <v>425.0</v>
      </c>
      <c r="K14" s="351">
        <v>77500.0</v>
      </c>
      <c r="L14" s="180"/>
      <c r="M14" s="331" t="str">
        <f>IFERROR(__xludf.DUMMYFUNCTION("""COMPUTED_VALUE"""),"Model S 90USA")</f>
        <v>Model S 90USA</v>
      </c>
      <c r="N14" s="331">
        <f>IFERROR(__xludf.DUMMYFUNCTION("""COMPUTED_VALUE"""),277.0)</f>
        <v>277</v>
      </c>
      <c r="O14" s="180"/>
      <c r="P14" s="332"/>
      <c r="Q14" s="364"/>
      <c r="R14" s="332"/>
      <c r="S14" s="364"/>
      <c r="T14" s="180"/>
      <c r="U14" s="334" t="s">
        <v>1757</v>
      </c>
      <c r="V14" s="335">
        <v>11.0</v>
      </c>
      <c r="W14" s="371"/>
      <c r="X14" s="365"/>
      <c r="Y14" s="365"/>
      <c r="Z14" s="180"/>
      <c r="AA14" s="327" t="s">
        <v>1127</v>
      </c>
      <c r="AB14" s="327" t="s">
        <v>1351</v>
      </c>
      <c r="AC14" s="327" t="s">
        <v>1758</v>
      </c>
      <c r="AD14" s="180"/>
      <c r="AE14" s="180"/>
    </row>
    <row r="15">
      <c r="A15" s="71"/>
      <c r="B15" s="197"/>
      <c r="C15" s="197"/>
      <c r="D15" s="73"/>
      <c r="E15" s="199"/>
      <c r="F15" s="322" t="s">
        <v>38</v>
      </c>
      <c r="G15" s="349">
        <v>253.0</v>
      </c>
      <c r="H15" s="350">
        <f t="shared" si="1"/>
        <v>407</v>
      </c>
      <c r="I15" s="350">
        <f t="shared" si="2"/>
        <v>250</v>
      </c>
      <c r="J15" s="349">
        <v>403.0</v>
      </c>
      <c r="K15" s="351">
        <v>77500.0</v>
      </c>
      <c r="L15" s="180"/>
      <c r="M15" s="331" t="str">
        <f>IFERROR(__xludf.DUMMYFUNCTION("""COMPUTED_VALUE"""),"Model S 90D 2015USA")</f>
        <v>Model S 90D 2015USA</v>
      </c>
      <c r="N15" s="331">
        <f>IFERROR(__xludf.DUMMYFUNCTION("""COMPUTED_VALUE"""),277.0)</f>
        <v>277</v>
      </c>
      <c r="O15" s="180"/>
      <c r="P15" s="332"/>
      <c r="Q15" s="364"/>
      <c r="R15" s="332"/>
      <c r="S15" s="364"/>
      <c r="T15" s="180"/>
      <c r="U15" s="334" t="s">
        <v>1759</v>
      </c>
      <c r="V15" s="335">
        <v>12.0</v>
      </c>
      <c r="W15" s="371"/>
      <c r="X15" s="365"/>
      <c r="Y15" s="365"/>
      <c r="Z15" s="180"/>
      <c r="AA15" s="327" t="s">
        <v>1128</v>
      </c>
      <c r="AB15" s="327" t="s">
        <v>1352</v>
      </c>
      <c r="AC15" s="375" t="s">
        <v>1760</v>
      </c>
      <c r="AD15" s="180"/>
      <c r="AE15" s="180"/>
    </row>
    <row r="16">
      <c r="A16" s="376"/>
      <c r="B16" s="377">
        <f>IFERROR(__xludf.DUMMYFUNCTION("iferror(linest(
query(arrayformula({'All entries'!$T2:$T150,'All entries'!$V2:$V150,exp(-'All entries'!$V2:$V150/$B$23)-1}),""select Col1-1 where Col1 is not null and Col2 is not null order by Col2 desc label Col1-1'' "",0),
query(arrayformula({'All entri"&amp;"es'!$T2:$T150,'All entries'!$V2:$V150,exp(-'All entries'!$V2:$V150/$B$23)-1}),""select Col2,Col3 where Col1 is not null and Col2 is not null order by Col2 desc "",0)
,false,true))"),0.030119767566282776)</f>
        <v>0.03011976757</v>
      </c>
      <c r="C16" s="378">
        <f>IFERROR(__xludf.DUMMYFUNCTION("""COMPUTED_VALUE"""),-2.3278869282113436E-7)</f>
        <v>-0.0000002327886928</v>
      </c>
      <c r="D16" s="379">
        <f>IFERROR(__xludf.DUMMYFUNCTION("""COMPUTED_VALUE"""),0.0)</f>
        <v>0</v>
      </c>
      <c r="E16" s="199"/>
      <c r="F16" s="322" t="s">
        <v>40</v>
      </c>
      <c r="G16" s="380">
        <v>277.0</v>
      </c>
      <c r="H16" s="350">
        <f t="shared" si="1"/>
        <v>446</v>
      </c>
      <c r="I16" s="350">
        <f t="shared" si="2"/>
        <v>261</v>
      </c>
      <c r="J16" s="349">
        <v>420.0</v>
      </c>
      <c r="K16" s="356">
        <v>81800.0</v>
      </c>
      <c r="L16" s="180"/>
      <c r="M16" s="331" t="str">
        <f>IFERROR(__xludf.DUMMYFUNCTION("""COMPUTED_VALUE"""),"Model S 90DUSA")</f>
        <v>Model S 90DUSA</v>
      </c>
      <c r="N16" s="331">
        <f>IFERROR(__xludf.DUMMYFUNCTION("""COMPUTED_VALUE"""),292.0)</f>
        <v>292</v>
      </c>
      <c r="O16" s="180"/>
      <c r="P16" s="332"/>
      <c r="Q16" s="364"/>
      <c r="R16" s="332"/>
      <c r="S16" s="364"/>
      <c r="T16" s="180"/>
      <c r="U16" s="334" t="s">
        <v>1761</v>
      </c>
      <c r="V16" s="335">
        <v>13.0</v>
      </c>
      <c r="W16" s="381"/>
      <c r="X16" s="180"/>
      <c r="Y16" s="180"/>
      <c r="Z16" s="180"/>
      <c r="AA16" s="327" t="s">
        <v>1129</v>
      </c>
      <c r="AB16" s="327" t="s">
        <v>1353</v>
      </c>
      <c r="AC16" s="327" t="s">
        <v>1762</v>
      </c>
      <c r="AD16" s="180"/>
      <c r="AE16" s="180"/>
    </row>
    <row r="17">
      <c r="A17" s="376"/>
      <c r="B17" s="378">
        <f>IFERROR(__xludf.DUMMYFUNCTION("""COMPUTED_VALUE"""),0.0016034319059140382)</f>
        <v>0.001603431906</v>
      </c>
      <c r="C17" s="378">
        <f>IFERROR(__xludf.DUMMYFUNCTION("""COMPUTED_VALUE"""),1.6875986326245487E-8)</f>
        <v>0.00000001687598633</v>
      </c>
      <c r="D17" s="379" t="str">
        <f>IFERROR(__xludf.DUMMYFUNCTION("""COMPUTED_VALUE"""),"")</f>
        <v/>
      </c>
      <c r="E17" s="199"/>
      <c r="F17" s="322" t="s">
        <v>1512</v>
      </c>
      <c r="G17" s="349">
        <v>277.0</v>
      </c>
      <c r="H17" s="350">
        <f t="shared" si="1"/>
        <v>446</v>
      </c>
      <c r="I17" s="350">
        <f t="shared" si="2"/>
        <v>265</v>
      </c>
      <c r="J17" s="349">
        <v>427.0</v>
      </c>
      <c r="K17" s="356">
        <v>81800.0</v>
      </c>
      <c r="L17" s="180"/>
      <c r="M17" s="331" t="str">
        <f>IFERROR(__xludf.DUMMYFUNCTION("""COMPUTED_VALUE"""),"Model S P90DUSA")</f>
        <v>Model S P90DUSA</v>
      </c>
      <c r="N17" s="331">
        <f>IFERROR(__xludf.DUMMYFUNCTION("""COMPUTED_VALUE"""),271.0)</f>
        <v>271</v>
      </c>
      <c r="O17" s="180"/>
      <c r="P17" s="332"/>
      <c r="Q17" s="364"/>
      <c r="R17" s="332"/>
      <c r="S17" s="364"/>
      <c r="T17" s="180"/>
      <c r="U17" s="334" t="s">
        <v>1763</v>
      </c>
      <c r="V17" s="335">
        <v>14.0</v>
      </c>
      <c r="W17" s="381"/>
      <c r="X17" s="180"/>
      <c r="Y17" s="180"/>
      <c r="Z17" s="180"/>
      <c r="AA17" s="327" t="s">
        <v>1130</v>
      </c>
      <c r="AB17" s="327" t="s">
        <v>1354</v>
      </c>
      <c r="AC17" s="366" t="s">
        <v>1764</v>
      </c>
      <c r="AD17" s="180"/>
      <c r="AE17" s="180"/>
    </row>
    <row r="18">
      <c r="A18" s="382" t="s">
        <v>1765</v>
      </c>
      <c r="B18" s="378">
        <f>IFERROR(__xludf.DUMMYFUNCTION("""COMPUTED_VALUE"""),0.6734231633558805)</f>
        <v>0.6734231634</v>
      </c>
      <c r="C18" s="378">
        <f>IFERROR(__xludf.DUMMYFUNCTION("""COMPUTED_VALUE"""),0.029076002693400754)</f>
        <v>0.02907600269</v>
      </c>
      <c r="D18" s="379" t="str">
        <f>IFERROR(__xludf.DUMMYFUNCTION("""COMPUTED_VALUE"""),"")</f>
        <v/>
      </c>
      <c r="E18" s="199"/>
      <c r="F18" s="322" t="s">
        <v>43</v>
      </c>
      <c r="G18" s="349">
        <v>292.0</v>
      </c>
      <c r="H18" s="350">
        <f t="shared" si="1"/>
        <v>470</v>
      </c>
      <c r="I18" s="350">
        <f t="shared" si="2"/>
        <v>278</v>
      </c>
      <c r="J18" s="349">
        <v>447.0</v>
      </c>
      <c r="K18" s="356">
        <v>81800.0</v>
      </c>
      <c r="L18" s="180"/>
      <c r="M18" s="331" t="str">
        <f>IFERROR(__xludf.DUMMYFUNCTION("""COMPUTED_VALUE"""),"Model S 100DUSA")</f>
        <v>Model S 100DUSA</v>
      </c>
      <c r="N18" s="331">
        <f>IFERROR(__xludf.DUMMYFUNCTION("""COMPUTED_VALUE"""),332.0)</f>
        <v>332</v>
      </c>
      <c r="O18" s="180"/>
      <c r="P18" s="332"/>
      <c r="Q18" s="364"/>
      <c r="R18" s="332"/>
      <c r="S18" s="364"/>
      <c r="T18" s="180"/>
      <c r="U18" s="334" t="s">
        <v>1766</v>
      </c>
      <c r="V18" s="335">
        <v>15.0</v>
      </c>
      <c r="W18" s="381"/>
      <c r="X18" s="180"/>
      <c r="Y18" s="180"/>
      <c r="Z18" s="180"/>
      <c r="AA18" s="327"/>
      <c r="AB18" s="327"/>
      <c r="AC18" s="327"/>
      <c r="AD18" s="180"/>
      <c r="AE18" s="180"/>
    </row>
    <row r="19">
      <c r="A19" s="382" t="s">
        <v>1767</v>
      </c>
      <c r="B19" s="378">
        <f>IFERROR(__xludf.DUMMYFUNCTION("""COMPUTED_VALUE"""),1580.5739929889091)</f>
        <v>1580.573993</v>
      </c>
      <c r="C19" s="378">
        <f>IFERROR(__xludf.DUMMYFUNCTION("""COMPUTED_VALUE"""),1533.0)</f>
        <v>1533</v>
      </c>
      <c r="D19" s="379" t="str">
        <f>IFERROR(__xludf.DUMMYFUNCTION("""COMPUTED_VALUE"""),"")</f>
        <v/>
      </c>
      <c r="E19" s="199"/>
      <c r="F19" s="322" t="s">
        <v>47</v>
      </c>
      <c r="G19" s="349">
        <v>271.0</v>
      </c>
      <c r="H19" s="350">
        <f t="shared" si="1"/>
        <v>436</v>
      </c>
      <c r="I19" s="350">
        <f t="shared" si="2"/>
        <v>256</v>
      </c>
      <c r="J19" s="349">
        <v>412.0</v>
      </c>
      <c r="K19" s="356">
        <v>81800.0</v>
      </c>
      <c r="L19" s="180"/>
      <c r="M19" s="331" t="str">
        <f>IFERROR(__xludf.DUMMYFUNCTION("""COMPUTED_VALUE"""),"Model S P100DUSA")</f>
        <v>Model S P100DUSA</v>
      </c>
      <c r="N19" s="331">
        <f>IFERROR(__xludf.DUMMYFUNCTION("""COMPUTED_VALUE"""),314.0)</f>
        <v>314</v>
      </c>
      <c r="O19" s="180"/>
      <c r="P19" s="332"/>
      <c r="Q19" s="364"/>
      <c r="R19" s="332"/>
      <c r="S19" s="364"/>
      <c r="T19" s="180"/>
      <c r="U19" s="334" t="s">
        <v>1768</v>
      </c>
      <c r="V19" s="335">
        <v>16.0</v>
      </c>
      <c r="W19" s="381"/>
      <c r="X19" s="180"/>
      <c r="Y19" s="180"/>
      <c r="Z19" s="180"/>
      <c r="AA19" s="327"/>
      <c r="AB19" s="327"/>
      <c r="AC19" s="327"/>
      <c r="AD19" s="180"/>
      <c r="AE19" s="180"/>
    </row>
    <row r="20">
      <c r="A20" s="376"/>
      <c r="B20" s="378">
        <f>IFERROR(__xludf.DUMMYFUNCTION("""COMPUTED_VALUE"""),2.6724785504403146)</f>
        <v>2.67247855</v>
      </c>
      <c r="C20" s="378">
        <f>IFERROR(__xludf.DUMMYFUNCTION("""COMPUTED_VALUE"""),1.2960195587166512)</f>
        <v>1.296019559</v>
      </c>
      <c r="D20" s="379" t="str">
        <f>IFERROR(__xludf.DUMMYFUNCTION("""COMPUTED_VALUE"""),"")</f>
        <v/>
      </c>
      <c r="E20" s="199"/>
      <c r="F20" s="322" t="s">
        <v>45</v>
      </c>
      <c r="G20" s="349">
        <v>332.0</v>
      </c>
      <c r="H20" s="350">
        <f t="shared" si="1"/>
        <v>534</v>
      </c>
      <c r="I20" s="350">
        <f t="shared" si="2"/>
        <v>317</v>
      </c>
      <c r="J20" s="383">
        <v>510.0</v>
      </c>
      <c r="K20" s="384">
        <f t="shared" ref="K20:K21" si="4">HYPERLINK("https://teslamotorsclub.com/tmc/posts/1939393/",98400)</f>
        <v>98400</v>
      </c>
      <c r="L20" s="180"/>
      <c r="M20" s="331" t="str">
        <f>IFERROR(__xludf.DUMMYFUNCTION("""COMPUTED_VALUE"""),"Model X 60DUSA")</f>
        <v>Model X 60DUSA</v>
      </c>
      <c r="N20" s="331">
        <f>IFERROR(__xludf.DUMMYFUNCTION("""COMPUTED_VALUE"""),197.0)</f>
        <v>197</v>
      </c>
      <c r="O20" s="180"/>
      <c r="P20" s="332"/>
      <c r="Q20" s="364"/>
      <c r="R20" s="332"/>
      <c r="S20" s="364"/>
      <c r="T20" s="180"/>
      <c r="U20" s="334" t="s">
        <v>1769</v>
      </c>
      <c r="V20" s="335">
        <v>17.0</v>
      </c>
      <c r="W20" s="381"/>
      <c r="X20" s="180"/>
      <c r="Y20" s="180"/>
      <c r="Z20" s="180"/>
      <c r="AA20" s="327"/>
      <c r="AB20" s="327"/>
      <c r="AC20" s="327"/>
      <c r="AD20" s="180"/>
      <c r="AE20" s="180"/>
    </row>
    <row r="21">
      <c r="A21" s="376"/>
      <c r="B21" s="379"/>
      <c r="C21" s="378" t="s">
        <v>1770</v>
      </c>
      <c r="D21" s="379"/>
      <c r="E21" s="199"/>
      <c r="F21" s="322" t="s">
        <v>49</v>
      </c>
      <c r="G21" s="349">
        <v>314.0</v>
      </c>
      <c r="H21" s="350">
        <f t="shared" si="1"/>
        <v>505</v>
      </c>
      <c r="I21" s="350">
        <f t="shared" si="2"/>
        <v>300</v>
      </c>
      <c r="J21" s="349">
        <v>483.0</v>
      </c>
      <c r="K21" s="384">
        <f t="shared" si="4"/>
        <v>98400</v>
      </c>
      <c r="L21" s="180"/>
      <c r="M21" s="331" t="str">
        <f>IFERROR(__xludf.DUMMYFUNCTION("""COMPUTED_VALUE"""),"Model X 70DUSA")</f>
        <v>Model X 70DUSA</v>
      </c>
      <c r="N21" s="331">
        <f>IFERROR(__xludf.DUMMYFUNCTION("""COMPUTED_VALUE"""),217.0)</f>
        <v>217</v>
      </c>
      <c r="O21" s="180"/>
      <c r="P21" s="332"/>
      <c r="Q21" s="364"/>
      <c r="R21" s="332"/>
      <c r="S21" s="364"/>
      <c r="T21" s="180"/>
      <c r="U21" s="334" t="s">
        <v>1771</v>
      </c>
      <c r="V21" s="335">
        <v>18.0</v>
      </c>
      <c r="W21" s="381"/>
      <c r="X21" s="180"/>
      <c r="Y21" s="180"/>
      <c r="Z21" s="180"/>
      <c r="AA21" s="327"/>
      <c r="AB21" s="327"/>
      <c r="AC21" s="327"/>
      <c r="AD21" s="180"/>
      <c r="AE21" s="180"/>
    </row>
    <row r="22">
      <c r="A22" s="180"/>
      <c r="B22" s="385"/>
      <c r="C22" s="385"/>
      <c r="D22" s="385"/>
      <c r="E22" s="199"/>
      <c r="F22" s="322" t="s">
        <v>51</v>
      </c>
      <c r="G22" s="349">
        <v>197.0</v>
      </c>
      <c r="H22" s="350">
        <f t="shared" si="1"/>
        <v>317</v>
      </c>
      <c r="I22" s="350" t="str">
        <f t="shared" si="2"/>
        <v>unknown</v>
      </c>
      <c r="J22" s="344" t="s">
        <v>41</v>
      </c>
      <c r="K22" s="356">
        <v>62400.0</v>
      </c>
      <c r="L22" s="180"/>
      <c r="M22" s="331" t="str">
        <f>IFERROR(__xludf.DUMMYFUNCTION("""COMPUTED_VALUE"""),"Model X 75DUSA")</f>
        <v>Model X 75DUSA</v>
      </c>
      <c r="N22" s="331">
        <f>IFERROR(__xludf.DUMMYFUNCTION("""COMPUTED_VALUE"""),234.0)</f>
        <v>234</v>
      </c>
      <c r="O22" s="180"/>
      <c r="P22" s="332"/>
      <c r="Q22" s="364"/>
      <c r="R22" s="332"/>
      <c r="S22" s="364"/>
      <c r="T22" s="180"/>
      <c r="U22" s="334" t="s">
        <v>1772</v>
      </c>
      <c r="V22" s="335">
        <v>19.0</v>
      </c>
      <c r="W22" s="381"/>
      <c r="X22" s="180"/>
      <c r="Y22" s="180"/>
      <c r="Z22" s="180"/>
      <c r="AA22" s="327"/>
      <c r="AB22" s="327"/>
      <c r="AC22" s="327"/>
      <c r="AD22" s="180"/>
      <c r="AE22" s="180"/>
    </row>
    <row r="23">
      <c r="A23" s="382" t="s">
        <v>1773</v>
      </c>
      <c r="B23" s="367">
        <f>A8-500</f>
        <v>16700</v>
      </c>
      <c r="D23" s="385"/>
      <c r="E23" s="199"/>
      <c r="F23" s="386" t="s">
        <v>53</v>
      </c>
      <c r="G23" s="349">
        <v>217.0</v>
      </c>
      <c r="H23" s="350">
        <f t="shared" si="1"/>
        <v>349</v>
      </c>
      <c r="I23" s="350" t="str">
        <f t="shared" si="2"/>
        <v>unknown</v>
      </c>
      <c r="J23" s="344" t="s">
        <v>41</v>
      </c>
      <c r="K23" s="356">
        <v>68800.0</v>
      </c>
      <c r="L23" s="180"/>
      <c r="M23" s="331" t="str">
        <f>IFERROR(__xludf.DUMMYFUNCTION("""COMPUTED_VALUE"""),"Model X 90DUSA")</f>
        <v>Model X 90DUSA</v>
      </c>
      <c r="N23" s="331">
        <f>IFERROR(__xludf.DUMMYFUNCTION("""COMPUTED_VALUE"""),257.0)</f>
        <v>257</v>
      </c>
      <c r="O23" s="180"/>
      <c r="P23" s="332"/>
      <c r="Q23" s="364"/>
      <c r="R23" s="332"/>
      <c r="S23" s="364"/>
      <c r="T23" s="180"/>
      <c r="U23" s="334" t="s">
        <v>1456</v>
      </c>
      <c r="V23" s="335">
        <v>20.0</v>
      </c>
      <c r="W23" s="381"/>
      <c r="Z23" s="180"/>
      <c r="AA23" s="327"/>
      <c r="AB23" s="327"/>
      <c r="AC23" s="327"/>
      <c r="AD23" s="180"/>
      <c r="AE23" s="180"/>
    </row>
    <row r="24">
      <c r="D24" s="180"/>
      <c r="E24" s="199"/>
      <c r="F24" s="322" t="s">
        <v>55</v>
      </c>
      <c r="G24" s="349">
        <v>234.0</v>
      </c>
      <c r="H24" s="350">
        <f t="shared" si="1"/>
        <v>377</v>
      </c>
      <c r="I24" s="350">
        <f t="shared" si="2"/>
        <v>204</v>
      </c>
      <c r="J24" s="349">
        <v>329.0</v>
      </c>
      <c r="K24" s="370">
        <f>HYPERLINK("https://iaspub.epa.gov/otaqpub/display_file.jsp?docid=39834&amp;flag=1",73200)</f>
        <v>73200</v>
      </c>
      <c r="L24" s="180"/>
      <c r="M24" s="331" t="str">
        <f>IFERROR(__xludf.DUMMYFUNCTION("""COMPUTED_VALUE"""),"Model X P90DUSA")</f>
        <v>Model X P90DUSA</v>
      </c>
      <c r="N24" s="331">
        <f>IFERROR(__xludf.DUMMYFUNCTION("""COMPUTED_VALUE"""),247.0)</f>
        <v>247</v>
      </c>
      <c r="O24" s="180"/>
      <c r="P24" s="332"/>
      <c r="Q24" s="364"/>
      <c r="R24" s="332"/>
      <c r="S24" s="364"/>
      <c r="T24" s="180"/>
      <c r="U24" s="334" t="s">
        <v>1774</v>
      </c>
      <c r="V24" s="335">
        <v>21.0</v>
      </c>
      <c r="W24" s="381"/>
      <c r="Z24" s="180"/>
      <c r="AA24" s="327"/>
      <c r="AB24" s="327"/>
      <c r="AC24" s="327"/>
      <c r="AD24" s="180"/>
      <c r="AE24" s="180"/>
    </row>
    <row r="25">
      <c r="E25" s="199"/>
      <c r="F25" s="386" t="s">
        <v>57</v>
      </c>
      <c r="G25" s="349">
        <v>257.0</v>
      </c>
      <c r="H25" s="350">
        <f t="shared" si="1"/>
        <v>414</v>
      </c>
      <c r="I25" s="350">
        <f t="shared" si="2"/>
        <v>249</v>
      </c>
      <c r="J25" s="380">
        <v>400.0</v>
      </c>
      <c r="K25" s="356">
        <v>81800.0</v>
      </c>
      <c r="L25" s="180"/>
      <c r="M25" s="331" t="str">
        <f>IFERROR(__xludf.DUMMYFUNCTION("""COMPUTED_VALUE"""),"Model X 100DUSA")</f>
        <v>Model X 100DUSA</v>
      </c>
      <c r="N25" s="331">
        <f>IFERROR(__xludf.DUMMYFUNCTION("""COMPUTED_VALUE"""),292.0)</f>
        <v>292</v>
      </c>
      <c r="O25" s="180"/>
      <c r="P25" s="332"/>
      <c r="Q25" s="364"/>
      <c r="R25" s="332"/>
      <c r="S25" s="364"/>
      <c r="T25" s="180"/>
      <c r="U25" s="334" t="s">
        <v>1775</v>
      </c>
      <c r="V25" s="335">
        <v>22.0</v>
      </c>
      <c r="W25" s="381"/>
      <c r="Z25" s="180"/>
      <c r="AA25" s="327"/>
      <c r="AB25" s="327"/>
      <c r="AC25" s="327"/>
      <c r="AD25" s="180"/>
      <c r="AE25" s="180"/>
    </row>
    <row r="26">
      <c r="E26" s="199"/>
      <c r="F26" s="386" t="s">
        <v>67</v>
      </c>
      <c r="G26" s="349">
        <v>247.0</v>
      </c>
      <c r="H26" s="350">
        <f t="shared" si="1"/>
        <v>398</v>
      </c>
      <c r="I26" s="350">
        <f t="shared" si="2"/>
        <v>235</v>
      </c>
      <c r="J26" s="383">
        <v>379.0</v>
      </c>
      <c r="K26" s="356">
        <v>81800.0</v>
      </c>
      <c r="L26" s="180"/>
      <c r="M26" s="331" t="str">
        <f>IFERROR(__xludf.DUMMYFUNCTION("""COMPUTED_VALUE"""),"Model X P100DUSA")</f>
        <v>Model X P100DUSA</v>
      </c>
      <c r="N26" s="331">
        <f>IFERROR(__xludf.DUMMYFUNCTION("""COMPUTED_VALUE"""),286.0)</f>
        <v>286</v>
      </c>
      <c r="O26" s="180"/>
      <c r="P26" s="332"/>
      <c r="Q26" s="364"/>
      <c r="R26" s="332"/>
      <c r="S26" s="364"/>
      <c r="T26" s="180"/>
      <c r="U26" s="334" t="s">
        <v>1776</v>
      </c>
      <c r="V26" s="335">
        <v>23.0</v>
      </c>
      <c r="W26" s="381"/>
      <c r="Z26" s="180"/>
      <c r="AA26" s="327"/>
      <c r="AB26" s="327"/>
      <c r="AC26" s="327"/>
      <c r="AD26" s="180"/>
      <c r="AE26" s="180"/>
    </row>
    <row r="27">
      <c r="A27" s="387" t="s">
        <v>1777</v>
      </c>
      <c r="B27" s="3"/>
      <c r="C27" s="3"/>
      <c r="D27" s="5"/>
      <c r="E27" s="199"/>
      <c r="F27" s="322" t="s">
        <v>62</v>
      </c>
      <c r="G27" s="349">
        <v>292.0</v>
      </c>
      <c r="H27" s="350">
        <f t="shared" si="1"/>
        <v>470</v>
      </c>
      <c r="I27" s="350">
        <f t="shared" si="2"/>
        <v>278</v>
      </c>
      <c r="J27" s="349">
        <v>448.0</v>
      </c>
      <c r="K27" s="384">
        <f t="shared" ref="K27:K28" si="5">HYPERLINK("https://teslamotorsclub.com/tmc/posts/1939393/",98400)</f>
        <v>98400</v>
      </c>
      <c r="L27" s="180"/>
      <c r="M27" s="331" t="str">
        <f>IFERROR(__xludf.DUMMYFUNCTION("""COMPUTED_VALUE"""),"Model 3 LRUSA")</f>
        <v>Model 3 LRUSA</v>
      </c>
      <c r="N27" s="331">
        <f>IFERROR(__xludf.DUMMYFUNCTION("""COMPUTED_VALUE"""),325.0)</f>
        <v>325</v>
      </c>
      <c r="O27" s="180"/>
      <c r="P27" s="332"/>
      <c r="Q27" s="364"/>
      <c r="R27" s="332"/>
      <c r="S27" s="364"/>
      <c r="T27" s="180"/>
      <c r="U27" s="334" t="s">
        <v>1398</v>
      </c>
      <c r="V27" s="335">
        <v>24.0</v>
      </c>
      <c r="W27" s="381"/>
      <c r="Z27" s="180"/>
      <c r="AA27" s="327"/>
      <c r="AB27" s="327"/>
      <c r="AC27" s="327"/>
      <c r="AD27" s="180"/>
      <c r="AE27" s="180"/>
    </row>
    <row r="28">
      <c r="A28" s="374" t="s">
        <v>1755</v>
      </c>
      <c r="B28" s="194"/>
      <c r="C28" s="194"/>
      <c r="D28" s="61"/>
      <c r="E28" s="199"/>
      <c r="F28" s="322" t="s">
        <v>69</v>
      </c>
      <c r="G28" s="349">
        <v>286.0</v>
      </c>
      <c r="H28" s="350">
        <f t="shared" si="1"/>
        <v>460</v>
      </c>
      <c r="I28" s="350" t="str">
        <f t="shared" si="2"/>
        <v>unknown</v>
      </c>
      <c r="J28" s="344" t="s">
        <v>41</v>
      </c>
      <c r="K28" s="384">
        <f t="shared" si="5"/>
        <v>98400</v>
      </c>
      <c r="L28" s="180"/>
      <c r="M28" s="331" t="str">
        <f>IFERROR(__xludf.DUMMYFUNCTION("""COMPUTED_VALUE"""),"Model 3 LR AWDUSA")</f>
        <v>Model 3 LR AWDUSA</v>
      </c>
      <c r="N28" s="331">
        <f>IFERROR(__xludf.DUMMYFUNCTION("""COMPUTED_VALUE"""),310.0)</f>
        <v>310</v>
      </c>
      <c r="O28" s="180"/>
      <c r="P28" s="332"/>
      <c r="Q28" s="364"/>
      <c r="R28" s="332"/>
      <c r="S28" s="364"/>
      <c r="T28" s="180"/>
      <c r="U28" s="334" t="s">
        <v>1778</v>
      </c>
      <c r="V28" s="335">
        <v>25.0</v>
      </c>
      <c r="W28" s="381"/>
      <c r="Z28" s="180"/>
      <c r="AA28" s="327"/>
      <c r="AB28" s="327"/>
      <c r="AC28" s="327"/>
      <c r="AD28" s="180"/>
      <c r="AE28" s="180"/>
    </row>
    <row r="29">
      <c r="A29" s="66"/>
      <c r="D29" s="69"/>
      <c r="E29" s="199"/>
      <c r="F29" s="322" t="s">
        <v>1221</v>
      </c>
      <c r="G29" s="349">
        <v>325.0</v>
      </c>
      <c r="H29" s="350">
        <f t="shared" si="1"/>
        <v>523</v>
      </c>
      <c r="I29" s="350">
        <f t="shared" si="2"/>
        <v>338</v>
      </c>
      <c r="J29" s="349">
        <v>544.0</v>
      </c>
      <c r="K29" s="388">
        <f t="shared" ref="K29:K31" si="6">HYPERLINK("https://www3.epa.gov/otaq/datafiles/CSI-HTSLV00.0L13.PDF",78270)</f>
        <v>78270</v>
      </c>
      <c r="L29" s="180"/>
      <c r="M29" s="331" t="str">
        <f>IFERROR(__xludf.DUMMYFUNCTION("""COMPUTED_VALUE"""),"Model 3 PUSA")</f>
        <v>Model 3 PUSA</v>
      </c>
      <c r="N29" s="331">
        <f>IFERROR(__xludf.DUMMYFUNCTION("""COMPUTED_VALUE"""),310.0)</f>
        <v>310</v>
      </c>
      <c r="O29" s="180"/>
      <c r="P29" s="332"/>
      <c r="Q29" s="364"/>
      <c r="R29" s="332"/>
      <c r="S29" s="364"/>
      <c r="T29" s="180"/>
      <c r="U29" s="334" t="s">
        <v>1779</v>
      </c>
      <c r="V29" s="335">
        <v>26.0</v>
      </c>
      <c r="W29" s="381"/>
      <c r="Z29" s="180"/>
      <c r="AA29" s="327"/>
      <c r="AB29" s="327"/>
      <c r="AC29" s="327"/>
      <c r="AD29" s="180"/>
      <c r="AE29" s="180"/>
    </row>
    <row r="30">
      <c r="A30" s="71"/>
      <c r="B30" s="197"/>
      <c r="C30" s="197"/>
      <c r="D30" s="73"/>
      <c r="E30" s="199"/>
      <c r="F30" s="322" t="s">
        <v>1217</v>
      </c>
      <c r="G30" s="349">
        <v>310.0</v>
      </c>
      <c r="H30" s="350">
        <f t="shared" si="1"/>
        <v>499</v>
      </c>
      <c r="I30" s="350">
        <f t="shared" si="2"/>
        <v>338</v>
      </c>
      <c r="J30" s="389">
        <f>HYPERLINK("https://i.imgur.com/NL4I0yO.jpg",544)</f>
        <v>544</v>
      </c>
      <c r="K30" s="388">
        <f t="shared" si="6"/>
        <v>78270</v>
      </c>
      <c r="L30" s="180"/>
      <c r="M30" s="331" t="str">
        <f>IFERROR(__xludf.DUMMYFUNCTION("""COMPUTED_VALUE"""),"Model 3 MRUSA")</f>
        <v>Model 3 MRUSA</v>
      </c>
      <c r="N30" s="331">
        <f>IFERROR(__xludf.DUMMYFUNCTION("""COMPUTED_VALUE"""),264.0)</f>
        <v>264</v>
      </c>
      <c r="O30" s="180"/>
      <c r="P30" s="332"/>
      <c r="Q30" s="364"/>
      <c r="R30" s="332"/>
      <c r="S30" s="364"/>
      <c r="T30" s="180"/>
      <c r="U30" s="334" t="s">
        <v>1780</v>
      </c>
      <c r="V30" s="335">
        <v>27.0</v>
      </c>
      <c r="W30" s="381"/>
      <c r="Z30" s="180"/>
      <c r="AA30" s="327"/>
      <c r="AB30" s="327"/>
      <c r="AC30" s="327"/>
      <c r="AD30" s="180"/>
      <c r="AE30" s="180"/>
    </row>
    <row r="31">
      <c r="A31" s="376"/>
      <c r="B31" s="377">
        <f>IFERROR(__xludf.DUMMYFUNCTION("iferror(linest(
query(arrayformula({'All entries'!$T2:$T150,'All entries'!$V2:$V150,exp(-'All entries'!$V2:$V150/$A$8)-1}),""select Col1-1 where Col1 is not null and Col2 is not null order by Col2 desc label Col1-1'' "",0),
query(arrayformula({'All entrie"&amp;"s'!$T2:$T150,'All entries'!$V2:$V150,exp(-'All entries'!$V2:$V150/$A$8)-1}),""select Col2,Col3 where Col1 is not null and Col2 is not null order by Col2 desc "",0)
,false,true))"),0.030440503751092224)</f>
        <v>0.03044050375</v>
      </c>
      <c r="C31" s="390">
        <f>IFERROR(__xludf.DUMMYFUNCTION("""COMPUTED_VALUE"""),-2.306470120505992E-7)</f>
        <v>-0.0000002306470121</v>
      </c>
      <c r="D31" s="391">
        <f>IFERROR(__xludf.DUMMYFUNCTION("""COMPUTED_VALUE"""),0.0)</f>
        <v>0</v>
      </c>
      <c r="E31" s="199"/>
      <c r="F31" s="322" t="s">
        <v>1199</v>
      </c>
      <c r="G31" s="349">
        <v>310.0</v>
      </c>
      <c r="H31" s="350">
        <f t="shared" si="1"/>
        <v>499</v>
      </c>
      <c r="I31" s="350">
        <f t="shared" si="2"/>
        <v>329</v>
      </c>
      <c r="J31" s="389">
        <f>HYPERLINK("https://i.imgur.com/NL4I0yO.jpg",530)</f>
        <v>530</v>
      </c>
      <c r="K31" s="388">
        <f t="shared" si="6"/>
        <v>78270</v>
      </c>
      <c r="L31" s="180"/>
      <c r="M31" s="331" t="str">
        <f>IFERROR(__xludf.DUMMYFUNCTION("""COMPUTED_VALUE"""),"Model 3 SRUSA")</f>
        <v>Model 3 SRUSA</v>
      </c>
      <c r="N31" s="331">
        <f>IFERROR(__xludf.DUMMYFUNCTION("""COMPUTED_VALUE"""),220.0)</f>
        <v>220</v>
      </c>
      <c r="O31" s="180"/>
      <c r="P31" s="332"/>
      <c r="Q31" s="364"/>
      <c r="R31" s="332"/>
      <c r="S31" s="364"/>
      <c r="T31" s="180"/>
      <c r="U31" s="334" t="s">
        <v>1781</v>
      </c>
      <c r="V31" s="335">
        <v>28.0</v>
      </c>
      <c r="W31" s="381"/>
      <c r="Z31" s="180"/>
      <c r="AA31" s="327"/>
      <c r="AB31" s="327"/>
      <c r="AC31" s="327"/>
      <c r="AD31" s="180"/>
      <c r="AE31" s="180"/>
    </row>
    <row r="32">
      <c r="A32" s="376"/>
      <c r="B32" s="390">
        <f>IFERROR(__xludf.DUMMYFUNCTION("""COMPUTED_VALUE"""),0.0016203991158642579)</f>
        <v>0.001620399116</v>
      </c>
      <c r="C32" s="390">
        <f>IFERROR(__xludf.DUMMYFUNCTION("""COMPUTED_VALUE"""),1.6970090861440092E-8)</f>
        <v>0.00000001697009086</v>
      </c>
      <c r="D32" s="379" t="str">
        <f>IFERROR(__xludf.DUMMYFUNCTION("""COMPUTED_VALUE"""),"")</f>
        <v/>
      </c>
      <c r="E32" s="199"/>
      <c r="F32" s="322" t="s">
        <v>1225</v>
      </c>
      <c r="G32" s="349">
        <v>264.0</v>
      </c>
      <c r="H32" s="350">
        <f t="shared" si="1"/>
        <v>425</v>
      </c>
      <c r="I32" s="350">
        <f t="shared" si="2"/>
        <v>283</v>
      </c>
      <c r="J32" s="349">
        <v>455.0</v>
      </c>
      <c r="K32" s="356">
        <v>63810.0</v>
      </c>
      <c r="L32" s="180"/>
      <c r="M32" s="331" t="str">
        <f>IFERROR(__xludf.DUMMYFUNCTION("""COMPUTED_VALUE"""),"Model 3 SR+USA")</f>
        <v>Model 3 SR+USA</v>
      </c>
      <c r="N32" s="331">
        <f>IFERROR(__xludf.DUMMYFUNCTION("""COMPUTED_VALUE"""),240.0)</f>
        <v>240</v>
      </c>
      <c r="O32" s="180"/>
      <c r="P32" s="332"/>
      <c r="Q32" s="364"/>
      <c r="R32" s="332"/>
      <c r="S32" s="364"/>
      <c r="T32" s="180"/>
      <c r="U32" s="334" t="s">
        <v>1782</v>
      </c>
      <c r="V32" s="335">
        <v>29.0</v>
      </c>
      <c r="W32" s="381"/>
      <c r="Z32" s="180"/>
      <c r="AA32" s="327"/>
      <c r="AB32" s="327"/>
      <c r="AC32" s="327"/>
      <c r="AD32" s="180"/>
      <c r="AE32" s="180"/>
    </row>
    <row r="33">
      <c r="A33" s="382" t="s">
        <v>1765</v>
      </c>
      <c r="B33" s="390">
        <f>IFERROR(__xludf.DUMMYFUNCTION("""COMPUTED_VALUE"""),0.6734312518785652)</f>
        <v>0.6734312519</v>
      </c>
      <c r="C33" s="390">
        <f>IFERROR(__xludf.DUMMYFUNCTION("""COMPUTED_VALUE"""),0.029075642619848043)</f>
        <v>0.02907564262</v>
      </c>
      <c r="D33" s="379" t="str">
        <f>IFERROR(__xludf.DUMMYFUNCTION("""COMPUTED_VALUE"""),"")</f>
        <v/>
      </c>
      <c r="E33" s="199"/>
      <c r="F33" s="322" t="s">
        <v>1234</v>
      </c>
      <c r="G33" s="349">
        <v>220.0</v>
      </c>
      <c r="H33" s="350">
        <f t="shared" si="1"/>
        <v>354</v>
      </c>
      <c r="I33" s="350">
        <f t="shared" si="2"/>
        <v>232</v>
      </c>
      <c r="J33" s="349">
        <v>374.0</v>
      </c>
      <c r="K33" s="356">
        <v>47475.0</v>
      </c>
      <c r="L33" s="180"/>
      <c r="M33" s="331" t="str">
        <f>IFERROR(__xludf.DUMMYFUNCTION("""COMPUTED_VALUE"""),"Unspecified 85 kWhCanada")</f>
        <v>Unspecified 85 kWhCanada</v>
      </c>
      <c r="N33" s="331">
        <f>IFERROR(__xludf.DUMMYFUNCTION("""COMPUTED_VALUE"""),425.0)</f>
        <v>425</v>
      </c>
      <c r="O33" s="180"/>
      <c r="P33" s="332"/>
      <c r="Q33" s="364"/>
      <c r="R33" s="332"/>
      <c r="S33" s="364"/>
      <c r="T33" s="180"/>
      <c r="U33" s="334" t="s">
        <v>1783</v>
      </c>
      <c r="V33" s="335">
        <v>30.0</v>
      </c>
      <c r="W33" s="381"/>
      <c r="Z33" s="180"/>
      <c r="AA33" s="327"/>
      <c r="AB33" s="327"/>
      <c r="AC33" s="327"/>
      <c r="AD33" s="180"/>
      <c r="AE33" s="180"/>
    </row>
    <row r="34">
      <c r="A34" s="382" t="s">
        <v>1767</v>
      </c>
      <c r="B34" s="390">
        <f>IFERROR(__xludf.DUMMYFUNCTION("""COMPUTED_VALUE"""),1580.6321258057942)</f>
        <v>1580.632126</v>
      </c>
      <c r="C34" s="390">
        <f>IFERROR(__xludf.DUMMYFUNCTION("""COMPUTED_VALUE"""),1533.0)</f>
        <v>1533</v>
      </c>
      <c r="D34" s="379" t="str">
        <f>IFERROR(__xludf.DUMMYFUNCTION("""COMPUTED_VALUE"""),"")</f>
        <v/>
      </c>
      <c r="E34" s="199"/>
      <c r="F34" s="322" t="s">
        <v>1192</v>
      </c>
      <c r="G34" s="349">
        <v>240.0</v>
      </c>
      <c r="H34" s="350">
        <f t="shared" si="1"/>
        <v>386</v>
      </c>
      <c r="I34" s="350">
        <f t="shared" si="2"/>
        <v>258</v>
      </c>
      <c r="J34" s="349">
        <v>415.0</v>
      </c>
      <c r="K34" s="356">
        <v>52750.0</v>
      </c>
      <c r="L34" s="180"/>
      <c r="M34" s="331" t="str">
        <f>IFERROR(__xludf.DUMMYFUNCTION("""COMPUTED_VALUE"""),"Model S 60Canada")</f>
        <v>Model S 60Canada</v>
      </c>
      <c r="N34" s="331">
        <f>IFERROR(__xludf.DUMMYFUNCTION("""COMPUTED_VALUE"""),333.0)</f>
        <v>333</v>
      </c>
      <c r="O34" s="180"/>
      <c r="P34" s="332"/>
      <c r="Q34" s="364"/>
      <c r="R34" s="332"/>
      <c r="S34" s="364"/>
      <c r="T34" s="180"/>
      <c r="U34" s="334" t="s">
        <v>1784</v>
      </c>
      <c r="V34" s="335">
        <v>-1.0</v>
      </c>
      <c r="W34" s="381"/>
      <c r="Z34" s="180"/>
      <c r="AA34" s="327"/>
      <c r="AB34" s="327"/>
      <c r="AC34" s="327"/>
      <c r="AD34" s="180"/>
      <c r="AE34" s="180"/>
    </row>
    <row r="35">
      <c r="A35" s="376"/>
      <c r="B35" s="390">
        <f>IFERROR(__xludf.DUMMYFUNCTION("""COMPUTED_VALUE"""),2.6725106497272946)</f>
        <v>2.67251065</v>
      </c>
      <c r="C35" s="392">
        <f>IFERROR(__xludf.DUMMYFUNCTION("""COMPUTED_VALUE"""),1.295987459429671)</f>
        <v>1.295987459</v>
      </c>
      <c r="D35" s="379" t="str">
        <f>IFERROR(__xludf.DUMMYFUNCTION("""COMPUTED_VALUE"""),"")</f>
        <v/>
      </c>
      <c r="E35" s="198"/>
      <c r="F35" s="393"/>
      <c r="G35" s="394"/>
      <c r="H35" s="344"/>
      <c r="I35" s="394"/>
      <c r="J35" s="394"/>
      <c r="K35" s="395"/>
      <c r="L35" s="180"/>
      <c r="M35" s="331" t="str">
        <f>IFERROR(__xludf.DUMMYFUNCTION("""COMPUTED_VALUE"""),"Model S 60DCanada")</f>
        <v>Model S 60DCanada</v>
      </c>
      <c r="N35" s="331">
        <f>IFERROR(__xludf.DUMMYFUNCTION("""COMPUTED_VALUE"""),352.0)</f>
        <v>352</v>
      </c>
      <c r="O35" s="180"/>
      <c r="P35" s="332"/>
      <c r="Q35" s="364"/>
      <c r="R35" s="332"/>
      <c r="S35" s="364"/>
      <c r="T35" s="180"/>
      <c r="U35" s="334" t="s">
        <v>1785</v>
      </c>
      <c r="V35" s="335">
        <v>-2.0</v>
      </c>
      <c r="W35" s="180"/>
      <c r="Z35" s="180"/>
      <c r="AA35" s="327"/>
      <c r="AB35" s="327"/>
      <c r="AC35" s="327"/>
      <c r="AD35" s="180"/>
      <c r="AE35" s="180"/>
    </row>
    <row r="36">
      <c r="A36" s="376"/>
      <c r="B36" s="379"/>
      <c r="C36" s="378" t="s">
        <v>1770</v>
      </c>
      <c r="D36" s="379"/>
      <c r="E36" s="198"/>
      <c r="F36" s="393"/>
      <c r="G36" s="394"/>
      <c r="H36" s="344"/>
      <c r="I36" s="394"/>
      <c r="J36" s="394"/>
      <c r="K36" s="395"/>
      <c r="L36" s="180"/>
      <c r="M36" s="331" t="str">
        <f>IFERROR(__xludf.DUMMYFUNCTION("""COMPUTED_VALUE"""),"Model S 70Canada")</f>
        <v>Model S 70Canada</v>
      </c>
      <c r="N36" s="331">
        <f>IFERROR(__xludf.DUMMYFUNCTION("""COMPUTED_VALUE"""),372.0)</f>
        <v>372</v>
      </c>
      <c r="O36" s="180"/>
      <c r="P36" s="332"/>
      <c r="Q36" s="364"/>
      <c r="R36" s="332"/>
      <c r="S36" s="364"/>
      <c r="T36" s="180"/>
      <c r="U36" s="334" t="s">
        <v>1680</v>
      </c>
      <c r="V36" s="335">
        <v>-3.0</v>
      </c>
      <c r="W36" s="180"/>
      <c r="X36" s="180"/>
      <c r="Y36" s="180"/>
      <c r="Z36" s="180"/>
      <c r="AA36" s="327"/>
      <c r="AB36" s="327"/>
      <c r="AC36" s="327"/>
      <c r="AD36" s="180"/>
      <c r="AE36" s="180"/>
    </row>
    <row r="37">
      <c r="E37" s="198"/>
      <c r="F37" s="393"/>
      <c r="G37" s="394"/>
      <c r="H37" s="394"/>
      <c r="I37" s="394"/>
      <c r="J37" s="394"/>
      <c r="K37" s="395"/>
      <c r="L37" s="180"/>
      <c r="M37" s="331" t="str">
        <f>IFERROR(__xludf.DUMMYFUNCTION("""COMPUTED_VALUE"""),"Model S 70DCanada")</f>
        <v>Model S 70DCanada</v>
      </c>
      <c r="N37" s="331">
        <f>IFERROR(__xludf.DUMMYFUNCTION("""COMPUTED_VALUE"""),386.0)</f>
        <v>386</v>
      </c>
      <c r="O37" s="180"/>
      <c r="P37" s="332"/>
      <c r="Q37" s="364"/>
      <c r="R37" s="332"/>
      <c r="S37" s="364"/>
      <c r="T37" s="180"/>
      <c r="U37" s="334" t="s">
        <v>1711</v>
      </c>
      <c r="V37" s="335">
        <v>-4.0</v>
      </c>
      <c r="W37" s="180"/>
      <c r="X37" s="180"/>
      <c r="Y37" s="180"/>
      <c r="Z37" s="180"/>
      <c r="AA37" s="327"/>
      <c r="AB37" s="327"/>
      <c r="AC37" s="327"/>
      <c r="AD37" s="180"/>
      <c r="AE37" s="180"/>
    </row>
    <row r="38">
      <c r="E38" s="198"/>
      <c r="F38" s="393"/>
      <c r="G38" s="394"/>
      <c r="H38" s="394"/>
      <c r="I38" s="394"/>
      <c r="J38" s="394"/>
      <c r="K38" s="395"/>
      <c r="L38" s="180"/>
      <c r="M38" s="331" t="str">
        <f>IFERROR(__xludf.DUMMYFUNCTION("""COMPUTED_VALUE"""),"Model S 75Canada")</f>
        <v>Model S 75Canada</v>
      </c>
      <c r="N38" s="331">
        <f>IFERROR(__xludf.DUMMYFUNCTION("""COMPUTED_VALUE"""),396.0)</f>
        <v>396</v>
      </c>
      <c r="O38" s="180"/>
      <c r="P38" s="332"/>
      <c r="Q38" s="364"/>
      <c r="R38" s="332"/>
      <c r="S38" s="364"/>
      <c r="T38" s="180"/>
      <c r="U38" s="334" t="s">
        <v>1786</v>
      </c>
      <c r="V38" s="335">
        <v>-5.0</v>
      </c>
      <c r="W38" s="180"/>
      <c r="X38" s="180"/>
      <c r="Y38" s="180"/>
      <c r="Z38" s="180"/>
      <c r="AA38" s="327"/>
      <c r="AB38" s="327"/>
      <c r="AC38" s="327"/>
      <c r="AD38" s="180"/>
      <c r="AE38" s="180"/>
    </row>
    <row r="39">
      <c r="E39" s="198"/>
      <c r="F39" s="393"/>
      <c r="G39" s="394"/>
      <c r="H39" s="394"/>
      <c r="I39" s="394"/>
      <c r="J39" s="394"/>
      <c r="K39" s="395"/>
      <c r="L39" s="180"/>
      <c r="M39" s="331" t="str">
        <f>IFERROR(__xludf.DUMMYFUNCTION("""COMPUTED_VALUE"""),"Model S 75DCanada")</f>
        <v>Model S 75DCanada</v>
      </c>
      <c r="N39" s="331">
        <f>IFERROR(__xludf.DUMMYFUNCTION("""COMPUTED_VALUE"""),417.0)</f>
        <v>417</v>
      </c>
      <c r="O39" s="180"/>
      <c r="P39" s="332"/>
      <c r="Q39" s="364"/>
      <c r="R39" s="332"/>
      <c r="S39" s="364"/>
      <c r="T39" s="180"/>
      <c r="U39" s="396"/>
      <c r="V39" s="397"/>
      <c r="W39" s="180"/>
      <c r="X39" s="180"/>
      <c r="Y39" s="180"/>
      <c r="Z39" s="180"/>
      <c r="AA39" s="327"/>
      <c r="AB39" s="327"/>
      <c r="AC39" s="327"/>
      <c r="AD39" s="180"/>
      <c r="AE39" s="180"/>
    </row>
    <row r="40">
      <c r="A40" s="372" t="s">
        <v>1787</v>
      </c>
      <c r="B40" s="3"/>
      <c r="C40" s="3"/>
      <c r="D40" s="5"/>
      <c r="E40" s="198"/>
      <c r="F40" s="393"/>
      <c r="G40" s="394"/>
      <c r="H40" s="394"/>
      <c r="I40" s="394"/>
      <c r="J40" s="394"/>
      <c r="K40" s="395"/>
      <c r="L40" s="180"/>
      <c r="M40" s="331" t="str">
        <f>IFERROR(__xludf.DUMMYFUNCTION("""COMPUTED_VALUE"""),"Model S 85Canada")</f>
        <v>Model S 85Canada</v>
      </c>
      <c r="N40" s="331">
        <f>IFERROR(__xludf.DUMMYFUNCTION("""COMPUTED_VALUE"""),428.0)</f>
        <v>428</v>
      </c>
      <c r="O40" s="180"/>
      <c r="P40" s="332"/>
      <c r="Q40" s="364"/>
      <c r="R40" s="332"/>
      <c r="S40" s="364"/>
      <c r="T40" s="180"/>
      <c r="U40" s="396"/>
      <c r="V40" s="397"/>
      <c r="W40" s="180"/>
      <c r="X40" s="180"/>
      <c r="Y40" s="180"/>
      <c r="Z40" s="180"/>
      <c r="AA40" s="327"/>
      <c r="AB40" s="327"/>
      <c r="AC40" s="327"/>
      <c r="AD40" s="180"/>
      <c r="AE40" s="180"/>
    </row>
    <row r="41">
      <c r="A41" s="374" t="s">
        <v>1755</v>
      </c>
      <c r="B41" s="194"/>
      <c r="C41" s="194"/>
      <c r="D41" s="61"/>
      <c r="E41" s="198"/>
      <c r="F41" s="393"/>
      <c r="G41" s="394"/>
      <c r="H41" s="398"/>
      <c r="I41" s="398"/>
      <c r="J41" s="398"/>
      <c r="K41" s="395"/>
      <c r="L41" s="180"/>
      <c r="M41" s="331" t="str">
        <f>IFERROR(__xludf.DUMMYFUNCTION("""COMPUTED_VALUE"""),"Model S P85Canada")</f>
        <v>Model S P85Canada</v>
      </c>
      <c r="N41" s="331">
        <f>IFERROR(__xludf.DUMMYFUNCTION("""COMPUTED_VALUE"""),428.0)</f>
        <v>428</v>
      </c>
      <c r="O41" s="180"/>
      <c r="P41" s="332"/>
      <c r="Q41" s="364"/>
      <c r="R41" s="332"/>
      <c r="S41" s="364"/>
      <c r="T41" s="180"/>
      <c r="U41" s="396"/>
      <c r="V41" s="397"/>
      <c r="W41" s="180"/>
      <c r="X41" s="180"/>
      <c r="Y41" s="180"/>
      <c r="Z41" s="180"/>
      <c r="AA41" s="327"/>
      <c r="AB41" s="327"/>
      <c r="AC41" s="327"/>
      <c r="AD41" s="180"/>
      <c r="AE41" s="180"/>
    </row>
    <row r="42">
      <c r="A42" s="66"/>
      <c r="D42" s="69"/>
      <c r="E42" s="198"/>
      <c r="F42" s="393"/>
      <c r="G42" s="394"/>
      <c r="H42" s="398"/>
      <c r="I42" s="398"/>
      <c r="J42" s="398"/>
      <c r="K42" s="395"/>
      <c r="L42" s="180"/>
      <c r="M42" s="331" t="str">
        <f>IFERROR(__xludf.DUMMYFUNCTION("""COMPUTED_VALUE"""),"Model S P85+Canada")</f>
        <v>Model S P85+Canada</v>
      </c>
      <c r="N42" s="331">
        <f>IFERROR(__xludf.DUMMYFUNCTION("""COMPUTED_VALUE"""),428.0)</f>
        <v>428</v>
      </c>
      <c r="O42" s="180"/>
      <c r="P42" s="332"/>
      <c r="Q42" s="364"/>
      <c r="R42" s="332"/>
      <c r="S42" s="364"/>
      <c r="T42" s="180"/>
      <c r="U42" s="396"/>
      <c r="V42" s="397"/>
      <c r="W42" s="180"/>
      <c r="X42" s="180"/>
      <c r="Y42" s="180"/>
      <c r="Z42" s="180"/>
      <c r="AA42" s="327"/>
      <c r="AB42" s="327"/>
      <c r="AC42" s="327"/>
      <c r="AD42" s="180"/>
      <c r="AE42" s="180"/>
    </row>
    <row r="43">
      <c r="A43" s="71"/>
      <c r="B43" s="197"/>
      <c r="C43" s="197"/>
      <c r="D43" s="73"/>
      <c r="E43" s="198"/>
      <c r="F43" s="393"/>
      <c r="G43" s="394"/>
      <c r="H43" s="398"/>
      <c r="I43" s="398"/>
      <c r="J43" s="398"/>
      <c r="K43" s="395"/>
      <c r="L43" s="180"/>
      <c r="M43" s="331" t="str">
        <f>IFERROR(__xludf.DUMMYFUNCTION("""COMPUTED_VALUE"""),"Model S 85DCanada")</f>
        <v>Model S 85DCanada</v>
      </c>
      <c r="N43" s="331">
        <f>IFERROR(__xludf.DUMMYFUNCTION("""COMPUTED_VALUE"""),435.0)</f>
        <v>435</v>
      </c>
      <c r="O43" s="180"/>
      <c r="P43" s="332"/>
      <c r="Q43" s="364"/>
      <c r="R43" s="332"/>
      <c r="S43" s="364"/>
      <c r="T43" s="180"/>
      <c r="U43" s="396"/>
      <c r="V43" s="397"/>
      <c r="W43" s="180"/>
      <c r="X43" s="180"/>
      <c r="Y43" s="180"/>
      <c r="Z43" s="180"/>
      <c r="AA43" s="327"/>
      <c r="AB43" s="327"/>
      <c r="AC43" s="327"/>
      <c r="AD43" s="180"/>
      <c r="AE43" s="180"/>
    </row>
    <row r="44">
      <c r="A44" s="376"/>
      <c r="B44" s="377">
        <f>IFERROR(__xludf.DUMMYFUNCTION("iferror(linest(
query(arrayformula({'All entries'!$T2:$T150,'All entries'!$V2:$V150,exp(-'All entries'!$V2:$V150/$B$51)-1}),""select Col1-1 where Col1 is not null and Col2 is not null order by Col2 desc label Col1-1'' "",0),
query(arrayformula({'All entri"&amp;"es'!$T2:$T150,'All entries'!$V2:$V150,exp(-'All entries'!$V2:$V150/$B$51)-1}),""select Col2,Col3 where Col1 is not null and Col2 is not null order by Col2 desc "",0)
,false,true))"),0.030761859788220536)</f>
        <v>0.03076185979</v>
      </c>
      <c r="C44" s="378">
        <f>IFERROR(__xludf.DUMMYFUNCTION("""COMPUTED_VALUE"""),-2.285222781550564E-7)</f>
        <v>-0.0000002285222782</v>
      </c>
      <c r="D44" s="379">
        <f>IFERROR(__xludf.DUMMYFUNCTION("""COMPUTED_VALUE"""),0.0)</f>
        <v>0</v>
      </c>
      <c r="E44" s="198"/>
      <c r="F44" s="393"/>
      <c r="G44" s="394"/>
      <c r="H44" s="398"/>
      <c r="I44" s="398"/>
      <c r="J44" s="398"/>
      <c r="K44" s="395"/>
      <c r="L44" s="180"/>
      <c r="M44" s="331" t="str">
        <f>IFERROR(__xludf.DUMMYFUNCTION("""COMPUTED_VALUE"""),"Model S P85DCanada")</f>
        <v>Model S P85DCanada</v>
      </c>
      <c r="N44" s="331">
        <f>IFERROR(__xludf.DUMMYFUNCTION("""COMPUTED_VALUE"""),407.0)</f>
        <v>407</v>
      </c>
      <c r="O44" s="180"/>
      <c r="P44" s="332"/>
      <c r="Q44" s="364"/>
      <c r="R44" s="332"/>
      <c r="S44" s="364"/>
      <c r="T44" s="180"/>
      <c r="U44" s="396"/>
      <c r="V44" s="397"/>
      <c r="W44" s="180"/>
      <c r="X44" s="180"/>
      <c r="Y44" s="180"/>
      <c r="Z44" s="180"/>
      <c r="AA44" s="327"/>
      <c r="AB44" s="327"/>
      <c r="AC44" s="327"/>
      <c r="AD44" s="180"/>
      <c r="AE44" s="180"/>
    </row>
    <row r="45">
      <c r="A45" s="376"/>
      <c r="B45" s="378">
        <f>IFERROR(__xludf.DUMMYFUNCTION("""COMPUTED_VALUE"""),0.0016375198121443492)</f>
        <v>0.001637519812</v>
      </c>
      <c r="C45" s="378">
        <f>IFERROR(__xludf.DUMMYFUNCTION("""COMPUTED_VALUE"""),1.7064624971550176E-8)</f>
        <v>0.00000001706462497</v>
      </c>
      <c r="D45" s="379" t="str">
        <f>IFERROR(__xludf.DUMMYFUNCTION("""COMPUTED_VALUE"""),"")</f>
        <v/>
      </c>
      <c r="E45" s="198"/>
      <c r="F45" s="393"/>
      <c r="G45" s="394"/>
      <c r="H45" s="398"/>
      <c r="I45" s="398"/>
      <c r="J45" s="398"/>
      <c r="K45" s="395"/>
      <c r="L45" s="180"/>
      <c r="M45" s="331" t="str">
        <f>IFERROR(__xludf.DUMMYFUNCTION("""COMPUTED_VALUE"""),"Model S 90Canada")</f>
        <v>Model S 90Canada</v>
      </c>
      <c r="N45" s="331">
        <f>IFERROR(__xludf.DUMMYFUNCTION("""COMPUTED_VALUE"""),446.0)</f>
        <v>446</v>
      </c>
      <c r="O45" s="180"/>
      <c r="P45" s="332"/>
      <c r="Q45" s="364"/>
      <c r="R45" s="332"/>
      <c r="S45" s="364"/>
      <c r="T45" s="180"/>
      <c r="U45" s="396"/>
      <c r="V45" s="397"/>
      <c r="W45" s="180"/>
      <c r="X45" s="180"/>
      <c r="Y45" s="180"/>
      <c r="Z45" s="180"/>
      <c r="AA45" s="327"/>
      <c r="AB45" s="327"/>
      <c r="AC45" s="327"/>
      <c r="AD45" s="180"/>
      <c r="AE45" s="180"/>
    </row>
    <row r="46">
      <c r="A46" s="382" t="s">
        <v>1765</v>
      </c>
      <c r="B46" s="378">
        <f>IFERROR(__xludf.DUMMYFUNCTION("""COMPUTED_VALUE"""),0.6734301789677919)</f>
        <v>0.673430179</v>
      </c>
      <c r="C46" s="378">
        <f>IFERROR(__xludf.DUMMYFUNCTION("""COMPUTED_VALUE"""),0.029075690382447446)</f>
        <v>0.02907569038</v>
      </c>
      <c r="D46" s="379" t="str">
        <f>IFERROR(__xludf.DUMMYFUNCTION("""COMPUTED_VALUE"""),"")</f>
        <v/>
      </c>
      <c r="E46" s="198"/>
      <c r="F46" s="393"/>
      <c r="G46" s="394"/>
      <c r="H46" s="398"/>
      <c r="I46" s="398"/>
      <c r="J46" s="398"/>
      <c r="K46" s="395"/>
      <c r="L46" s="180"/>
      <c r="M46" s="331" t="str">
        <f>IFERROR(__xludf.DUMMYFUNCTION("""COMPUTED_VALUE"""),"Model S 90D 2015Canada")</f>
        <v>Model S 90D 2015Canada</v>
      </c>
      <c r="N46" s="331">
        <f>IFERROR(__xludf.DUMMYFUNCTION("""COMPUTED_VALUE"""),446.0)</f>
        <v>446</v>
      </c>
      <c r="O46" s="180"/>
      <c r="P46" s="332"/>
      <c r="Q46" s="364"/>
      <c r="R46" s="332"/>
      <c r="S46" s="364"/>
      <c r="T46" s="180"/>
      <c r="U46" s="396"/>
      <c r="V46" s="397"/>
      <c r="W46" s="180"/>
      <c r="X46" s="180"/>
      <c r="Y46" s="180"/>
      <c r="Z46" s="180"/>
      <c r="AA46" s="327"/>
      <c r="AB46" s="327"/>
      <c r="AC46" s="327"/>
      <c r="AD46" s="180"/>
      <c r="AE46" s="180"/>
    </row>
    <row r="47">
      <c r="A47" s="382" t="s">
        <v>1767</v>
      </c>
      <c r="B47" s="378">
        <f>IFERROR(__xludf.DUMMYFUNCTION("""COMPUTED_VALUE"""),1580.6244145502458)</f>
        <v>1580.624415</v>
      </c>
      <c r="C47" s="378">
        <f>IFERROR(__xludf.DUMMYFUNCTION("""COMPUTED_VALUE"""),1533.0)</f>
        <v>1533</v>
      </c>
      <c r="D47" s="379" t="str">
        <f>IFERROR(__xludf.DUMMYFUNCTION("""COMPUTED_VALUE"""),"")</f>
        <v/>
      </c>
      <c r="E47" s="198"/>
      <c r="F47" s="393"/>
      <c r="G47" s="394"/>
      <c r="H47" s="398"/>
      <c r="I47" s="398"/>
      <c r="J47" s="398"/>
      <c r="K47" s="399"/>
      <c r="L47" s="180"/>
      <c r="M47" s="331" t="str">
        <f>IFERROR(__xludf.DUMMYFUNCTION("""COMPUTED_VALUE"""),"Model S 90DCanada")</f>
        <v>Model S 90DCanada</v>
      </c>
      <c r="N47" s="331">
        <f>IFERROR(__xludf.DUMMYFUNCTION("""COMPUTED_VALUE"""),470.0)</f>
        <v>470</v>
      </c>
      <c r="O47" s="180"/>
      <c r="P47" s="180"/>
      <c r="Q47" s="180"/>
      <c r="R47" s="180"/>
      <c r="S47" s="180"/>
      <c r="T47" s="180"/>
      <c r="U47" s="180"/>
      <c r="V47" s="326"/>
      <c r="W47" s="180"/>
      <c r="X47" s="180"/>
      <c r="Y47" s="180"/>
      <c r="Z47" s="180"/>
      <c r="AA47" s="327"/>
      <c r="AB47" s="327"/>
      <c r="AC47" s="327"/>
      <c r="AD47" s="180"/>
      <c r="AE47" s="180"/>
    </row>
    <row r="48">
      <c r="A48" s="376"/>
      <c r="B48" s="378">
        <f>IFERROR(__xludf.DUMMYFUNCTION("""COMPUTED_VALUE"""),2.6725063918829193)</f>
        <v>2.672506392</v>
      </c>
      <c r="C48" s="378">
        <f>IFERROR(__xludf.DUMMYFUNCTION("""COMPUTED_VALUE"""),1.2959917172740465)</f>
        <v>1.295991717</v>
      </c>
      <c r="D48" s="379" t="str">
        <f>IFERROR(__xludf.DUMMYFUNCTION("""COMPUTED_VALUE"""),"")</f>
        <v/>
      </c>
      <c r="E48" s="198"/>
      <c r="F48" s="393"/>
      <c r="G48" s="394"/>
      <c r="H48" s="398"/>
      <c r="I48" s="398"/>
      <c r="J48" s="398"/>
      <c r="K48" s="399"/>
      <c r="L48" s="180"/>
      <c r="M48" s="331" t="str">
        <f>IFERROR(__xludf.DUMMYFUNCTION("""COMPUTED_VALUE"""),"Model S P90DCanada")</f>
        <v>Model S P90DCanada</v>
      </c>
      <c r="N48" s="331">
        <f>IFERROR(__xludf.DUMMYFUNCTION("""COMPUTED_VALUE"""),436.0)</f>
        <v>436</v>
      </c>
      <c r="O48" s="180"/>
      <c r="P48" s="180"/>
      <c r="Q48" s="180"/>
      <c r="R48" s="180"/>
      <c r="S48" s="180"/>
      <c r="T48" s="180"/>
      <c r="U48" s="180"/>
      <c r="V48" s="326"/>
      <c r="W48" s="180"/>
      <c r="X48" s="180"/>
      <c r="Y48" s="180"/>
      <c r="Z48" s="180"/>
      <c r="AA48" s="327"/>
      <c r="AB48" s="327"/>
      <c r="AC48" s="327"/>
      <c r="AD48" s="180"/>
      <c r="AE48" s="180"/>
    </row>
    <row r="49">
      <c r="A49" s="376"/>
      <c r="B49" s="379"/>
      <c r="C49" s="378" t="s">
        <v>1770</v>
      </c>
      <c r="D49" s="379"/>
      <c r="E49" s="198"/>
      <c r="F49" s="393"/>
      <c r="G49" s="394"/>
      <c r="H49" s="398"/>
      <c r="I49" s="398"/>
      <c r="J49" s="398"/>
      <c r="K49" s="399"/>
      <c r="L49" s="180"/>
      <c r="M49" s="331" t="str">
        <f>IFERROR(__xludf.DUMMYFUNCTION("""COMPUTED_VALUE"""),"Model S 100DCanada")</f>
        <v>Model S 100DCanada</v>
      </c>
      <c r="N49" s="331">
        <f>IFERROR(__xludf.DUMMYFUNCTION("""COMPUTED_VALUE"""),534.0)</f>
        <v>534</v>
      </c>
      <c r="O49" s="180"/>
      <c r="P49" s="180"/>
      <c r="Q49" s="180"/>
      <c r="R49" s="180"/>
      <c r="S49" s="180"/>
      <c r="T49" s="180"/>
      <c r="U49" s="180"/>
      <c r="V49" s="326"/>
      <c r="W49" s="180"/>
      <c r="X49" s="180"/>
      <c r="Y49" s="180"/>
      <c r="Z49" s="180"/>
      <c r="AA49" s="327"/>
      <c r="AB49" s="327"/>
      <c r="AC49" s="327"/>
      <c r="AD49" s="180"/>
      <c r="AE49" s="180"/>
    </row>
    <row r="50">
      <c r="A50" s="385"/>
      <c r="B50" s="385"/>
      <c r="C50" s="385"/>
      <c r="D50" s="385"/>
      <c r="E50" s="198"/>
      <c r="F50" s="393"/>
      <c r="G50" s="394"/>
      <c r="H50" s="398"/>
      <c r="I50" s="398"/>
      <c r="J50" s="398"/>
      <c r="K50" s="399"/>
      <c r="L50" s="180"/>
      <c r="M50" s="331" t="str">
        <f>IFERROR(__xludf.DUMMYFUNCTION("""COMPUTED_VALUE"""),"Model S P100DCanada")</f>
        <v>Model S P100DCanada</v>
      </c>
      <c r="N50" s="331">
        <f>IFERROR(__xludf.DUMMYFUNCTION("""COMPUTED_VALUE"""),505.0)</f>
        <v>505</v>
      </c>
      <c r="O50" s="180"/>
      <c r="P50" s="180"/>
      <c r="Q50" s="180"/>
      <c r="R50" s="180"/>
      <c r="S50" s="180"/>
      <c r="T50" s="180"/>
      <c r="V50" s="326"/>
      <c r="W50" s="180"/>
      <c r="X50" s="180"/>
      <c r="Y50" s="180"/>
      <c r="Z50" s="180"/>
      <c r="AA50" s="327"/>
      <c r="AB50" s="327"/>
      <c r="AC50" s="327"/>
      <c r="AD50" s="180"/>
      <c r="AE50" s="180"/>
    </row>
    <row r="51">
      <c r="A51" s="382" t="s">
        <v>1773</v>
      </c>
      <c r="B51" s="367">
        <f>A8+500</f>
        <v>17700</v>
      </c>
      <c r="D51" s="385"/>
      <c r="E51" s="198"/>
      <c r="F51" s="393"/>
      <c r="G51" s="394"/>
      <c r="H51" s="398"/>
      <c r="I51" s="398"/>
      <c r="J51" s="398"/>
      <c r="K51" s="399"/>
      <c r="L51" s="180"/>
      <c r="M51" s="331" t="str">
        <f>IFERROR(__xludf.DUMMYFUNCTION("""COMPUTED_VALUE"""),"Model X 60DCanada")</f>
        <v>Model X 60DCanada</v>
      </c>
      <c r="N51" s="331">
        <f>IFERROR(__xludf.DUMMYFUNCTION("""COMPUTED_VALUE"""),317.0)</f>
        <v>317</v>
      </c>
      <c r="O51" s="180"/>
      <c r="P51" s="180"/>
      <c r="Q51" s="180"/>
      <c r="R51" s="180"/>
      <c r="S51" s="180"/>
      <c r="T51" s="180"/>
      <c r="V51" s="326"/>
      <c r="W51" s="180"/>
      <c r="X51" s="180"/>
      <c r="Y51" s="180"/>
      <c r="Z51" s="180"/>
      <c r="AA51" s="327"/>
      <c r="AB51" s="327"/>
      <c r="AC51" s="327"/>
      <c r="AD51" s="180"/>
      <c r="AE51" s="180"/>
    </row>
    <row r="52">
      <c r="D52" s="385"/>
      <c r="E52" s="198"/>
      <c r="F52" s="393"/>
      <c r="G52" s="394"/>
      <c r="H52" s="398"/>
      <c r="I52" s="398"/>
      <c r="J52" s="398"/>
      <c r="K52" s="399"/>
      <c r="L52" s="180"/>
      <c r="M52" s="331" t="str">
        <f>IFERROR(__xludf.DUMMYFUNCTION("""COMPUTED_VALUE"""),"Model X 70DCanada")</f>
        <v>Model X 70DCanada</v>
      </c>
      <c r="N52" s="331">
        <f>IFERROR(__xludf.DUMMYFUNCTION("""COMPUTED_VALUE"""),349.0)</f>
        <v>349</v>
      </c>
      <c r="O52" s="180"/>
      <c r="P52" s="180"/>
      <c r="Q52" s="180"/>
      <c r="R52" s="180"/>
      <c r="S52" s="180"/>
      <c r="T52" s="180"/>
      <c r="V52" s="326"/>
      <c r="W52" s="180"/>
      <c r="X52" s="180"/>
      <c r="Y52" s="180"/>
      <c r="Z52" s="180"/>
      <c r="AA52" s="327"/>
      <c r="AB52" s="327"/>
      <c r="AC52" s="327"/>
      <c r="AD52" s="180"/>
      <c r="AE52" s="180"/>
    </row>
    <row r="53">
      <c r="A53" s="385"/>
      <c r="B53" s="385"/>
      <c r="C53" s="385"/>
      <c r="D53" s="385"/>
      <c r="E53" s="198"/>
      <c r="F53" s="393"/>
      <c r="G53" s="394"/>
      <c r="H53" s="398"/>
      <c r="I53" s="398"/>
      <c r="J53" s="398"/>
      <c r="K53" s="399"/>
      <c r="L53" s="180"/>
      <c r="M53" s="331" t="str">
        <f>IFERROR(__xludf.DUMMYFUNCTION("""COMPUTED_VALUE"""),"Model X 75DCanada")</f>
        <v>Model X 75DCanada</v>
      </c>
      <c r="N53" s="331">
        <f>IFERROR(__xludf.DUMMYFUNCTION("""COMPUTED_VALUE"""),377.0)</f>
        <v>377</v>
      </c>
      <c r="O53" s="180"/>
      <c r="P53" s="180"/>
      <c r="Q53" s="180"/>
      <c r="R53" s="180"/>
      <c r="S53" s="180"/>
      <c r="T53" s="180"/>
      <c r="V53" s="326"/>
      <c r="W53" s="180"/>
      <c r="X53" s="180"/>
      <c r="Y53" s="180"/>
      <c r="Z53" s="180"/>
      <c r="AA53" s="327"/>
      <c r="AB53" s="327"/>
      <c r="AC53" s="327"/>
      <c r="AD53" s="180"/>
      <c r="AE53" s="180"/>
    </row>
    <row r="54">
      <c r="A54" s="385"/>
      <c r="B54" s="385"/>
      <c r="C54" s="385"/>
      <c r="D54" s="180"/>
      <c r="E54" s="198"/>
      <c r="F54" s="393"/>
      <c r="G54" s="394"/>
      <c r="H54" s="398"/>
      <c r="I54" s="398"/>
      <c r="J54" s="398"/>
      <c r="K54" s="399"/>
      <c r="L54" s="180"/>
      <c r="M54" s="331" t="str">
        <f>IFERROR(__xludf.DUMMYFUNCTION("""COMPUTED_VALUE"""),"Model X 90DCanada")</f>
        <v>Model X 90DCanada</v>
      </c>
      <c r="N54" s="331">
        <f>IFERROR(__xludf.DUMMYFUNCTION("""COMPUTED_VALUE"""),414.0)</f>
        <v>414</v>
      </c>
      <c r="O54" s="180"/>
      <c r="P54" s="180"/>
      <c r="Q54" s="180"/>
      <c r="R54" s="180"/>
      <c r="S54" s="180"/>
      <c r="T54" s="180"/>
      <c r="V54" s="326"/>
      <c r="W54" s="180"/>
      <c r="X54" s="180"/>
      <c r="Y54" s="180"/>
      <c r="Z54" s="180"/>
      <c r="AA54" s="327"/>
      <c r="AB54" s="327"/>
      <c r="AC54" s="327"/>
      <c r="AD54" s="180"/>
      <c r="AE54" s="180"/>
    </row>
    <row r="55">
      <c r="A55" s="385" t="s">
        <v>1788</v>
      </c>
      <c r="B55" s="385"/>
      <c r="C55" s="385"/>
      <c r="D55" s="180"/>
      <c r="E55" s="198"/>
      <c r="F55" s="393"/>
      <c r="G55" s="394"/>
      <c r="H55" s="398"/>
      <c r="I55" s="398"/>
      <c r="J55" s="398"/>
      <c r="K55" s="399"/>
      <c r="L55" s="180"/>
      <c r="M55" s="331" t="str">
        <f>IFERROR(__xludf.DUMMYFUNCTION("""COMPUTED_VALUE"""),"Model X P90DCanada")</f>
        <v>Model X P90DCanada</v>
      </c>
      <c r="N55" s="331">
        <f>IFERROR(__xludf.DUMMYFUNCTION("""COMPUTED_VALUE"""),398.0)</f>
        <v>398</v>
      </c>
      <c r="O55" s="180"/>
      <c r="P55" s="180"/>
      <c r="Q55" s="180"/>
      <c r="R55" s="180"/>
      <c r="S55" s="180"/>
      <c r="T55" s="180"/>
      <c r="V55" s="326"/>
      <c r="W55" s="180"/>
      <c r="X55" s="180"/>
      <c r="Y55" s="180"/>
      <c r="Z55" s="180"/>
      <c r="AA55" s="327"/>
      <c r="AB55" s="327"/>
      <c r="AC55" s="327"/>
      <c r="AD55" s="180"/>
      <c r="AE55" s="180"/>
    </row>
    <row r="56">
      <c r="A56" s="400" t="s">
        <v>1789</v>
      </c>
      <c r="B56" s="385"/>
      <c r="C56" s="385"/>
      <c r="D56" s="180"/>
      <c r="E56" s="198"/>
      <c r="F56" s="393"/>
      <c r="G56" s="394"/>
      <c r="H56" s="398"/>
      <c r="I56" s="398"/>
      <c r="J56" s="398"/>
      <c r="K56" s="399"/>
      <c r="L56" s="180"/>
      <c r="M56" s="331" t="str">
        <f>IFERROR(__xludf.DUMMYFUNCTION("""COMPUTED_VALUE"""),"Model X 100DCanada")</f>
        <v>Model X 100DCanada</v>
      </c>
      <c r="N56" s="331">
        <f>IFERROR(__xludf.DUMMYFUNCTION("""COMPUTED_VALUE"""),470.0)</f>
        <v>470</v>
      </c>
      <c r="O56" s="180"/>
      <c r="P56" s="180"/>
      <c r="Q56" s="180"/>
      <c r="R56" s="180"/>
      <c r="S56" s="180"/>
      <c r="T56" s="180"/>
      <c r="V56" s="326"/>
      <c r="W56" s="180"/>
      <c r="X56" s="180"/>
      <c r="Y56" s="180"/>
      <c r="Z56" s="180"/>
      <c r="AA56" s="327"/>
      <c r="AB56" s="327"/>
      <c r="AC56" s="327"/>
      <c r="AD56" s="180"/>
      <c r="AE56" s="180"/>
    </row>
    <row r="57">
      <c r="A57" s="382" t="s">
        <v>1790</v>
      </c>
      <c r="B57" s="401" t="s">
        <v>1791</v>
      </c>
      <c r="C57" s="401" t="s">
        <v>1791</v>
      </c>
      <c r="D57" s="180"/>
      <c r="E57" s="198"/>
      <c r="F57" s="393"/>
      <c r="G57" s="394"/>
      <c r="H57" s="398"/>
      <c r="I57" s="398"/>
      <c r="J57" s="398"/>
      <c r="K57" s="399"/>
      <c r="L57" s="180"/>
      <c r="M57" s="331" t="str">
        <f>IFERROR(__xludf.DUMMYFUNCTION("""COMPUTED_VALUE"""),"Model X P100DCanada")</f>
        <v>Model X P100DCanada</v>
      </c>
      <c r="N57" s="331">
        <f>IFERROR(__xludf.DUMMYFUNCTION("""COMPUTED_VALUE"""),460.0)</f>
        <v>460</v>
      </c>
      <c r="O57" s="180"/>
      <c r="P57" s="180"/>
      <c r="Q57" s="180"/>
      <c r="R57" s="180"/>
      <c r="S57" s="180"/>
      <c r="T57" s="180"/>
      <c r="V57" s="326"/>
      <c r="W57" s="180"/>
      <c r="X57" s="180"/>
      <c r="Y57" s="180"/>
      <c r="Z57" s="180"/>
      <c r="AA57" s="327"/>
      <c r="AB57" s="327"/>
      <c r="AC57" s="327"/>
      <c r="AD57" s="180"/>
      <c r="AE57" s="180"/>
    </row>
    <row r="58">
      <c r="A58" s="402">
        <v>150000.0</v>
      </c>
      <c r="B58" s="403">
        <f>$B$5-A58/($B$6*100)+$B$7*exp(-A58/$B$8)</f>
        <v>0.9349674104</v>
      </c>
      <c r="C58" s="404">
        <f>96.34%-A58/(55294*100)+(3.66%)*exp(-A58/27700)</f>
        <v>0.936435102</v>
      </c>
      <c r="D58" s="385"/>
      <c r="E58" s="198"/>
      <c r="F58" s="393"/>
      <c r="G58" s="394"/>
      <c r="H58" s="398"/>
      <c r="I58" s="398"/>
      <c r="J58" s="398"/>
      <c r="K58" s="399"/>
      <c r="L58" s="180"/>
      <c r="M58" s="331" t="str">
        <f>IFERROR(__xludf.DUMMYFUNCTION("""COMPUTED_VALUE"""),"Model 3 LRCanada")</f>
        <v>Model 3 LRCanada</v>
      </c>
      <c r="N58" s="331">
        <f>IFERROR(__xludf.DUMMYFUNCTION("""COMPUTED_VALUE"""),523.0)</f>
        <v>523</v>
      </c>
      <c r="O58" s="180"/>
      <c r="P58" s="180"/>
      <c r="Q58" s="180"/>
      <c r="R58" s="180"/>
      <c r="S58" s="180"/>
      <c r="T58" s="180"/>
      <c r="V58" s="326"/>
      <c r="W58" s="180"/>
      <c r="X58" s="180"/>
      <c r="Y58" s="180"/>
      <c r="Z58" s="180"/>
      <c r="AA58" s="327"/>
      <c r="AB58" s="327"/>
      <c r="AC58" s="327"/>
      <c r="AD58" s="180"/>
      <c r="AE58" s="180"/>
    </row>
    <row r="59">
      <c r="A59" s="180"/>
      <c r="B59" s="180"/>
      <c r="C59" s="180"/>
      <c r="D59" s="385"/>
      <c r="E59" s="198"/>
      <c r="F59" s="393"/>
      <c r="G59" s="394"/>
      <c r="H59" s="398"/>
      <c r="I59" s="398"/>
      <c r="J59" s="398"/>
      <c r="K59" s="399"/>
      <c r="L59" s="180"/>
      <c r="M59" s="331" t="str">
        <f>IFERROR(__xludf.DUMMYFUNCTION("""COMPUTED_VALUE"""),"Model 3 LR AWDCanada")</f>
        <v>Model 3 LR AWDCanada</v>
      </c>
      <c r="N59" s="331">
        <f>IFERROR(__xludf.DUMMYFUNCTION("""COMPUTED_VALUE"""),499.0)</f>
        <v>499</v>
      </c>
      <c r="O59" s="180"/>
      <c r="P59" s="180"/>
      <c r="Q59" s="180"/>
      <c r="R59" s="180"/>
      <c r="S59" s="180"/>
      <c r="T59" s="180"/>
      <c r="V59" s="326"/>
      <c r="W59" s="180"/>
      <c r="X59" s="180"/>
      <c r="Y59" s="180"/>
      <c r="Z59" s="180"/>
      <c r="AA59" s="327"/>
      <c r="AB59" s="327"/>
      <c r="AC59" s="327"/>
      <c r="AD59" s="180"/>
      <c r="AE59" s="180"/>
    </row>
    <row r="60">
      <c r="A60" s="405"/>
      <c r="B60" s="405"/>
      <c r="C60" s="405"/>
      <c r="D60" s="405"/>
      <c r="E60" s="199"/>
      <c r="F60" s="322"/>
      <c r="G60" s="394"/>
      <c r="H60" s="394"/>
      <c r="I60" s="394"/>
      <c r="J60" s="394"/>
      <c r="K60" s="395"/>
      <c r="L60" s="180"/>
      <c r="M60" s="331" t="str">
        <f>IFERROR(__xludf.DUMMYFUNCTION("""COMPUTED_VALUE"""),"Model 3 PCanada")</f>
        <v>Model 3 PCanada</v>
      </c>
      <c r="N60" s="331">
        <f>IFERROR(__xludf.DUMMYFUNCTION("""COMPUTED_VALUE"""),499.0)</f>
        <v>499</v>
      </c>
      <c r="O60" s="180"/>
      <c r="P60" s="180"/>
      <c r="Q60" s="180"/>
      <c r="R60" s="180"/>
      <c r="S60" s="180"/>
      <c r="T60" s="180"/>
      <c r="V60" s="326"/>
      <c r="W60" s="180"/>
      <c r="X60" s="180"/>
      <c r="Y60" s="180"/>
      <c r="Z60" s="180"/>
      <c r="AA60" s="327"/>
      <c r="AB60" s="327"/>
      <c r="AC60" s="327"/>
      <c r="AD60" s="180"/>
      <c r="AE60" s="180"/>
    </row>
    <row r="61">
      <c r="A61" s="198"/>
      <c r="B61" s="198"/>
      <c r="C61" s="198"/>
      <c r="D61" s="198"/>
      <c r="E61" s="405"/>
      <c r="F61" s="406"/>
      <c r="G61" s="344"/>
      <c r="H61" s="407"/>
      <c r="I61" s="407"/>
      <c r="J61" s="407"/>
      <c r="K61" s="408"/>
      <c r="L61" s="180"/>
      <c r="M61" s="331" t="str">
        <f>IFERROR(__xludf.DUMMYFUNCTION("""COMPUTED_VALUE"""),"Model 3 MRCanada")</f>
        <v>Model 3 MRCanada</v>
      </c>
      <c r="N61" s="331">
        <f>IFERROR(__xludf.DUMMYFUNCTION("""COMPUTED_VALUE"""),425.0)</f>
        <v>425</v>
      </c>
      <c r="O61" s="180"/>
      <c r="P61" s="180"/>
      <c r="Q61" s="180"/>
      <c r="R61" s="180"/>
      <c r="S61" s="180"/>
      <c r="T61" s="180"/>
      <c r="V61" s="326"/>
      <c r="W61" s="180"/>
      <c r="X61" s="180"/>
      <c r="Y61" s="180"/>
      <c r="Z61" s="180"/>
      <c r="AA61" s="327"/>
      <c r="AB61" s="327"/>
      <c r="AC61" s="327"/>
      <c r="AD61" s="180"/>
      <c r="AE61" s="180"/>
    </row>
    <row r="62">
      <c r="A62" s="198"/>
      <c r="B62" s="198"/>
      <c r="C62" s="198"/>
      <c r="D62" s="198"/>
      <c r="E62" s="198"/>
      <c r="F62" s="393"/>
      <c r="G62" s="398"/>
      <c r="H62" s="398"/>
      <c r="I62" s="407"/>
      <c r="J62" s="407"/>
      <c r="K62" s="408"/>
      <c r="L62" s="180"/>
      <c r="M62" s="331" t="str">
        <f>IFERROR(__xludf.DUMMYFUNCTION("""COMPUTED_VALUE"""),"Model 3 SRCanada")</f>
        <v>Model 3 SRCanada</v>
      </c>
      <c r="N62" s="331">
        <f>IFERROR(__xludf.DUMMYFUNCTION("""COMPUTED_VALUE"""),354.0)</f>
        <v>354</v>
      </c>
      <c r="O62" s="180"/>
      <c r="P62" s="180"/>
      <c r="Q62" s="180"/>
      <c r="R62" s="180"/>
      <c r="S62" s="180"/>
      <c r="T62" s="180"/>
      <c r="V62" s="326"/>
      <c r="W62" s="180"/>
      <c r="X62" s="180"/>
      <c r="Y62" s="180"/>
      <c r="Z62" s="180"/>
      <c r="AA62" s="327"/>
      <c r="AB62" s="327"/>
      <c r="AC62" s="327"/>
      <c r="AD62" s="180"/>
      <c r="AE62" s="180"/>
    </row>
    <row r="63">
      <c r="A63" s="198"/>
      <c r="B63" s="198"/>
      <c r="C63" s="198"/>
      <c r="D63" s="198"/>
      <c r="E63" s="198"/>
      <c r="F63" s="393"/>
      <c r="G63" s="394"/>
      <c r="H63" s="398"/>
      <c r="I63" s="398"/>
      <c r="J63" s="398"/>
      <c r="K63" s="399"/>
      <c r="L63" s="180"/>
      <c r="M63" s="331" t="str">
        <f>IFERROR(__xludf.DUMMYFUNCTION("""COMPUTED_VALUE"""),"Model 3 SR+Canada")</f>
        <v>Model 3 SR+Canada</v>
      </c>
      <c r="N63" s="331">
        <f>IFERROR(__xludf.DUMMYFUNCTION("""COMPUTED_VALUE"""),386.0)</f>
        <v>386</v>
      </c>
      <c r="O63" s="180"/>
      <c r="P63" s="180"/>
      <c r="Q63" s="180"/>
      <c r="R63" s="180"/>
      <c r="S63" s="180"/>
      <c r="T63" s="180"/>
      <c r="U63" s="180"/>
      <c r="V63" s="326"/>
      <c r="W63" s="180"/>
      <c r="X63" s="180"/>
      <c r="Y63" s="180"/>
      <c r="Z63" s="180"/>
      <c r="AA63" s="327"/>
      <c r="AB63" s="327"/>
      <c r="AC63" s="327"/>
      <c r="AD63" s="180"/>
      <c r="AE63" s="180"/>
    </row>
    <row r="64">
      <c r="E64" s="198"/>
      <c r="F64" s="393"/>
      <c r="G64" s="394"/>
      <c r="H64" s="398"/>
      <c r="I64" s="398"/>
      <c r="J64" s="398"/>
      <c r="K64" s="399"/>
      <c r="L64" s="180"/>
      <c r="M64" s="331" t="str">
        <f>IFERROR(__xludf.DUMMYFUNCTION("""COMPUTED_VALUE"""),"Unspecified 85 kWhUK")</f>
        <v>Unspecified 85 kWhUK</v>
      </c>
      <c r="N64" s="331">
        <f>IFERROR(__xludf.DUMMYFUNCTION("""COMPUTED_VALUE"""),245.0)</f>
        <v>245</v>
      </c>
      <c r="O64" s="180"/>
      <c r="P64" s="180"/>
      <c r="Q64" s="180"/>
      <c r="R64" s="180"/>
      <c r="S64" s="180"/>
      <c r="T64" s="180"/>
      <c r="U64" s="180"/>
      <c r="V64" s="326"/>
      <c r="W64" s="180"/>
      <c r="X64" s="180"/>
      <c r="Y64" s="180"/>
      <c r="Z64" s="180"/>
      <c r="AA64" s="327"/>
      <c r="AB64" s="327"/>
      <c r="AC64" s="327"/>
      <c r="AD64" s="180"/>
      <c r="AE64" s="180"/>
    </row>
    <row r="65">
      <c r="E65" s="198"/>
      <c r="F65" s="393"/>
      <c r="G65" s="394"/>
      <c r="H65" s="398"/>
      <c r="I65" s="398"/>
      <c r="J65" s="398"/>
      <c r="K65" s="399"/>
      <c r="L65" s="180"/>
      <c r="M65" s="331" t="str">
        <f>IFERROR(__xludf.DUMMYFUNCTION("""COMPUTED_VALUE"""),"Model S 60UK")</f>
        <v>Model S 60UK</v>
      </c>
      <c r="N65" s="331">
        <f>IFERROR(__xludf.DUMMYFUNCTION("""COMPUTED_VALUE"""),176.0)</f>
        <v>176</v>
      </c>
      <c r="O65" s="180"/>
      <c r="P65" s="180"/>
      <c r="Q65" s="180"/>
      <c r="R65" s="180"/>
      <c r="S65" s="180"/>
      <c r="T65" s="180"/>
      <c r="U65" s="180"/>
      <c r="V65" s="326"/>
      <c r="W65" s="180"/>
      <c r="X65" s="180"/>
      <c r="Y65" s="180"/>
      <c r="Z65" s="180"/>
      <c r="AA65" s="327"/>
      <c r="AB65" s="327"/>
      <c r="AC65" s="327"/>
      <c r="AD65" s="180"/>
      <c r="AE65" s="180"/>
    </row>
    <row r="66">
      <c r="E66" s="198"/>
      <c r="F66" s="393"/>
      <c r="G66" s="394"/>
      <c r="H66" s="398"/>
      <c r="I66" s="398"/>
      <c r="J66" s="398"/>
      <c r="K66" s="399"/>
      <c r="L66" s="180"/>
      <c r="M66" s="331" t="str">
        <f>IFERROR(__xludf.DUMMYFUNCTION("""COMPUTED_VALUE"""),"Model S 60DUK")</f>
        <v>Model S 60DUK</v>
      </c>
      <c r="N66" s="331">
        <f>IFERROR(__xludf.DUMMYFUNCTION("""COMPUTED_VALUE"""),204.0)</f>
        <v>204</v>
      </c>
      <c r="O66" s="180"/>
      <c r="P66" s="180"/>
      <c r="Q66" s="180"/>
      <c r="R66" s="180"/>
      <c r="S66" s="180"/>
      <c r="T66" s="180"/>
      <c r="U66" s="180"/>
      <c r="V66" s="326"/>
      <c r="W66" s="180"/>
      <c r="X66" s="180"/>
      <c r="Y66" s="180"/>
      <c r="Z66" s="180"/>
      <c r="AA66" s="327"/>
      <c r="AB66" s="327"/>
      <c r="AC66" s="327"/>
      <c r="AD66" s="180"/>
      <c r="AE66" s="180"/>
    </row>
    <row r="67">
      <c r="E67" s="198"/>
      <c r="F67" s="393"/>
      <c r="G67" s="394"/>
      <c r="H67" s="398"/>
      <c r="I67" s="398"/>
      <c r="J67" s="398"/>
      <c r="K67" s="399"/>
      <c r="L67" s="180"/>
      <c r="M67" s="331" t="str">
        <f>IFERROR(__xludf.DUMMYFUNCTION("""COMPUTED_VALUE"""),"Model S 70UK")</f>
        <v>Model S 70UK</v>
      </c>
      <c r="N67" s="331">
        <f>IFERROR(__xludf.DUMMYFUNCTION("""COMPUTED_VALUE"""),221.0)</f>
        <v>221</v>
      </c>
      <c r="O67" s="180"/>
      <c r="P67" s="180"/>
      <c r="Q67" s="180"/>
      <c r="R67" s="180"/>
      <c r="S67" s="180"/>
      <c r="T67" s="180"/>
      <c r="U67" s="180"/>
      <c r="V67" s="326"/>
      <c r="W67" s="180"/>
      <c r="X67" s="180"/>
      <c r="Y67" s="180"/>
      <c r="Z67" s="180"/>
      <c r="AA67" s="327"/>
      <c r="AB67" s="327"/>
      <c r="AC67" s="327"/>
      <c r="AD67" s="180"/>
      <c r="AE67" s="180"/>
    </row>
    <row r="68">
      <c r="E68" s="198"/>
      <c r="F68" s="393"/>
      <c r="G68" s="394"/>
      <c r="H68" s="398"/>
      <c r="I68" s="398"/>
      <c r="J68" s="398"/>
      <c r="K68" s="399"/>
      <c r="L68" s="180"/>
      <c r="M68" s="331" t="str">
        <f>IFERROR(__xludf.DUMMYFUNCTION("""COMPUTED_VALUE"""),"Model S 70DUK")</f>
        <v>Model S 70DUK</v>
      </c>
      <c r="N68" s="331">
        <f>IFERROR(__xludf.DUMMYFUNCTION("""COMPUTED_VALUE"""),224.0)</f>
        <v>224</v>
      </c>
      <c r="O68" s="180"/>
      <c r="P68" s="180"/>
      <c r="Q68" s="180"/>
      <c r="R68" s="180"/>
      <c r="S68" s="180"/>
      <c r="T68" s="180"/>
      <c r="U68" s="180"/>
      <c r="V68" s="326"/>
      <c r="W68" s="180"/>
      <c r="X68" s="180"/>
      <c r="Y68" s="180"/>
      <c r="Z68" s="180"/>
      <c r="AA68" s="327"/>
      <c r="AB68" s="327"/>
      <c r="AC68" s="327"/>
      <c r="AD68" s="180"/>
      <c r="AE68" s="180"/>
    </row>
    <row r="69">
      <c r="E69" s="198"/>
      <c r="F69" s="393"/>
      <c r="G69" s="394"/>
      <c r="H69" s="398"/>
      <c r="I69" s="398"/>
      <c r="J69" s="398"/>
      <c r="K69" s="399"/>
      <c r="L69" s="180"/>
      <c r="M69" s="331" t="str">
        <f>IFERROR(__xludf.DUMMYFUNCTION("""COMPUTED_VALUE"""),"Model S 75UK")</f>
        <v>Model S 75UK</v>
      </c>
      <c r="N69" s="331">
        <f>IFERROR(__xludf.DUMMYFUNCTION("""COMPUTED_VALUE"""),233.0)</f>
        <v>233</v>
      </c>
      <c r="O69" s="180"/>
      <c r="P69" s="180"/>
      <c r="Q69" s="180"/>
      <c r="R69" s="180"/>
      <c r="S69" s="180"/>
      <c r="T69" s="180"/>
      <c r="U69" s="180"/>
      <c r="V69" s="326"/>
      <c r="W69" s="180"/>
      <c r="X69" s="180"/>
      <c r="Y69" s="180"/>
      <c r="Z69" s="180"/>
      <c r="AA69" s="327"/>
      <c r="AB69" s="327"/>
      <c r="AC69" s="327"/>
      <c r="AD69" s="180"/>
      <c r="AE69" s="180"/>
    </row>
    <row r="70">
      <c r="E70" s="198"/>
      <c r="F70" s="393"/>
      <c r="G70" s="394"/>
      <c r="H70" s="398"/>
      <c r="I70" s="398"/>
      <c r="J70" s="398"/>
      <c r="K70" s="399"/>
      <c r="L70" s="180"/>
      <c r="M70" s="331" t="str">
        <f>IFERROR(__xludf.DUMMYFUNCTION("""COMPUTED_VALUE"""),"Model S 75DUK")</f>
        <v>Model S 75DUK</v>
      </c>
      <c r="N70" s="331">
        <f>IFERROR(__xludf.DUMMYFUNCTION("""COMPUTED_VALUE"""),239.0)</f>
        <v>239</v>
      </c>
      <c r="O70" s="180"/>
      <c r="P70" s="180"/>
      <c r="Q70" s="180"/>
      <c r="R70" s="180"/>
      <c r="S70" s="180"/>
      <c r="T70" s="180"/>
      <c r="U70" s="180"/>
      <c r="V70" s="326"/>
      <c r="W70" s="180"/>
      <c r="X70" s="180"/>
      <c r="Y70" s="180"/>
      <c r="Z70" s="180"/>
      <c r="AA70" s="327"/>
      <c r="AB70" s="327"/>
      <c r="AC70" s="327"/>
      <c r="AD70" s="180"/>
      <c r="AE70" s="180"/>
    </row>
    <row r="71">
      <c r="E71" s="198"/>
      <c r="F71" s="393"/>
      <c r="G71" s="394"/>
      <c r="H71" s="398"/>
      <c r="I71" s="398"/>
      <c r="J71" s="398"/>
      <c r="K71" s="399"/>
      <c r="L71" s="180"/>
      <c r="M71" s="331" t="str">
        <f>IFERROR(__xludf.DUMMYFUNCTION("""COMPUTED_VALUE"""),"Model S 85UK")</f>
        <v>Model S 85UK</v>
      </c>
      <c r="N71" s="331">
        <f>IFERROR(__xludf.DUMMYFUNCTION("""COMPUTED_VALUE"""),245.0)</f>
        <v>245</v>
      </c>
      <c r="O71" s="180"/>
      <c r="P71" s="180"/>
      <c r="Q71" s="180"/>
      <c r="R71" s="180"/>
      <c r="S71" s="180"/>
      <c r="T71" s="180"/>
      <c r="U71" s="180"/>
      <c r="V71" s="326"/>
      <c r="W71" s="180"/>
      <c r="X71" s="180"/>
      <c r="Y71" s="180"/>
      <c r="Z71" s="180"/>
      <c r="AA71" s="327"/>
      <c r="AB71" s="327"/>
      <c r="AC71" s="327"/>
      <c r="AD71" s="180"/>
      <c r="AE71" s="180"/>
    </row>
    <row r="72">
      <c r="E72" s="198"/>
      <c r="F72" s="393"/>
      <c r="G72" s="394"/>
      <c r="H72" s="398"/>
      <c r="I72" s="398"/>
      <c r="J72" s="398"/>
      <c r="K72" s="399"/>
      <c r="L72" s="180"/>
      <c r="M72" s="331" t="str">
        <f>IFERROR(__xludf.DUMMYFUNCTION("""COMPUTED_VALUE"""),"Model S P85UK")</f>
        <v>Model S P85UK</v>
      </c>
      <c r="N72" s="331">
        <f>IFERROR(__xludf.DUMMYFUNCTION("""COMPUTED_VALUE"""),245.0)</f>
        <v>245</v>
      </c>
      <c r="O72" s="180"/>
      <c r="P72" s="180"/>
      <c r="Q72" s="180"/>
      <c r="R72" s="180"/>
      <c r="S72" s="180"/>
      <c r="T72" s="180"/>
      <c r="U72" s="180"/>
      <c r="V72" s="326"/>
      <c r="W72" s="180"/>
      <c r="X72" s="180"/>
      <c r="Y72" s="180"/>
      <c r="Z72" s="180"/>
      <c r="AA72" s="327"/>
      <c r="AB72" s="327"/>
      <c r="AC72" s="327"/>
      <c r="AD72" s="180"/>
      <c r="AE72" s="180"/>
    </row>
    <row r="73">
      <c r="E73" s="198"/>
      <c r="F73" s="393"/>
      <c r="G73" s="394"/>
      <c r="H73" s="398"/>
      <c r="I73" s="398"/>
      <c r="J73" s="398"/>
      <c r="K73" s="399"/>
      <c r="L73" s="180"/>
      <c r="M73" s="331" t="str">
        <f>IFERROR(__xludf.DUMMYFUNCTION("""COMPUTED_VALUE"""),"Model S P85+UK")</f>
        <v>Model S P85+UK</v>
      </c>
      <c r="N73" s="331">
        <f>IFERROR(__xludf.DUMMYFUNCTION("""COMPUTED_VALUE"""),245.0)</f>
        <v>245</v>
      </c>
      <c r="O73" s="180"/>
      <c r="P73" s="180"/>
      <c r="Q73" s="180"/>
      <c r="R73" s="180"/>
      <c r="S73" s="180"/>
      <c r="T73" s="180"/>
      <c r="U73" s="180"/>
      <c r="V73" s="326"/>
      <c r="W73" s="180"/>
      <c r="X73" s="180"/>
      <c r="Y73" s="180"/>
      <c r="Z73" s="180"/>
      <c r="AA73" s="327"/>
      <c r="AB73" s="327"/>
      <c r="AC73" s="327"/>
      <c r="AD73" s="180"/>
      <c r="AE73" s="180"/>
    </row>
    <row r="74">
      <c r="E74" s="198"/>
      <c r="F74" s="198"/>
      <c r="G74" s="409" t="s">
        <v>1792</v>
      </c>
      <c r="H74" s="198"/>
      <c r="I74" s="198"/>
      <c r="J74" s="198"/>
      <c r="K74" s="410" t="str">
        <f>HYPERLINK("https://teslamotorsclub.com/tmc/posts/1865416/","wk057 data")</f>
        <v>wk057 data</v>
      </c>
      <c r="L74" s="180"/>
      <c r="M74" s="331" t="str">
        <f>IFERROR(__xludf.DUMMYFUNCTION("""COMPUTED_VALUE"""),"Model S 85DUK")</f>
        <v>Model S 85DUK</v>
      </c>
      <c r="N74" s="331">
        <f>IFERROR(__xludf.DUMMYFUNCTION("""COMPUTED_VALUE"""),264.0)</f>
        <v>264</v>
      </c>
      <c r="O74" s="180"/>
      <c r="P74" s="180"/>
      <c r="Q74" s="180"/>
      <c r="R74" s="180"/>
      <c r="S74" s="180"/>
      <c r="T74" s="180"/>
      <c r="U74" s="180"/>
      <c r="V74" s="326"/>
      <c r="W74" s="180"/>
      <c r="X74" s="180"/>
      <c r="Y74" s="180"/>
      <c r="Z74" s="180"/>
      <c r="AA74" s="327"/>
      <c r="AB74" s="327"/>
      <c r="AC74" s="327"/>
      <c r="AD74" s="180"/>
      <c r="AE74" s="180"/>
    </row>
    <row r="75">
      <c r="E75" s="198"/>
      <c r="F75" s="198"/>
      <c r="G75" s="411" t="s">
        <v>1793</v>
      </c>
      <c r="H75" s="412"/>
      <c r="I75" s="180"/>
      <c r="J75" s="198"/>
      <c r="K75" s="413"/>
      <c r="L75" s="180"/>
      <c r="M75" s="331" t="str">
        <f>IFERROR(__xludf.DUMMYFUNCTION("""COMPUTED_VALUE"""),"Model S P85DUK")</f>
        <v>Model S P85DUK</v>
      </c>
      <c r="N75" s="331">
        <f>IFERROR(__xludf.DUMMYFUNCTION("""COMPUTED_VALUE"""),250.0)</f>
        <v>250</v>
      </c>
      <c r="O75" s="180"/>
      <c r="P75" s="180"/>
      <c r="Q75" s="180"/>
      <c r="R75" s="180"/>
      <c r="S75" s="180"/>
      <c r="T75" s="180"/>
      <c r="U75" s="180"/>
      <c r="V75" s="326"/>
      <c r="W75" s="180"/>
      <c r="X75" s="180"/>
      <c r="Y75" s="180"/>
      <c r="Z75" s="180"/>
      <c r="AA75" s="327"/>
      <c r="AB75" s="327"/>
      <c r="AC75" s="327"/>
      <c r="AD75" s="180"/>
      <c r="AE75" s="180"/>
    </row>
    <row r="76">
      <c r="E76" s="198"/>
      <c r="F76" s="198"/>
      <c r="G76" s="414" t="s">
        <v>1794</v>
      </c>
      <c r="H76" s="415"/>
      <c r="I76" s="415"/>
      <c r="J76" s="415"/>
      <c r="K76" s="415"/>
      <c r="L76" s="180"/>
      <c r="M76" s="331" t="str">
        <f>IFERROR(__xludf.DUMMYFUNCTION("""COMPUTED_VALUE"""),"Model S 90UK")</f>
        <v>Model S 90UK</v>
      </c>
      <c r="N76" s="331">
        <f>IFERROR(__xludf.DUMMYFUNCTION("""COMPUTED_VALUE"""),261.0)</f>
        <v>261</v>
      </c>
      <c r="O76" s="180"/>
      <c r="P76" s="180"/>
      <c r="Q76" s="180"/>
      <c r="R76" s="180"/>
      <c r="S76" s="180"/>
      <c r="T76" s="180"/>
      <c r="U76" s="180"/>
      <c r="V76" s="326"/>
      <c r="W76" s="180"/>
      <c r="X76" s="180"/>
      <c r="Y76" s="180"/>
      <c r="Z76" s="180"/>
      <c r="AA76" s="327"/>
      <c r="AB76" s="327"/>
      <c r="AC76" s="327"/>
      <c r="AD76" s="180"/>
      <c r="AE76" s="180"/>
    </row>
    <row r="77">
      <c r="E77" s="198"/>
      <c r="F77" s="198"/>
      <c r="G77" s="416" t="s">
        <v>1795</v>
      </c>
      <c r="H77" s="417"/>
      <c r="I77" s="417"/>
      <c r="J77" s="198"/>
      <c r="K77" s="198"/>
      <c r="L77" s="180"/>
      <c r="M77" s="331" t="str">
        <f>IFERROR(__xludf.DUMMYFUNCTION("""COMPUTED_VALUE"""),"Model S 90D 2015UK")</f>
        <v>Model S 90D 2015UK</v>
      </c>
      <c r="N77" s="331">
        <f>IFERROR(__xludf.DUMMYFUNCTION("""COMPUTED_VALUE"""),265.0)</f>
        <v>265</v>
      </c>
      <c r="O77" s="180"/>
      <c r="P77" s="180"/>
      <c r="Q77" s="180"/>
      <c r="R77" s="180"/>
      <c r="S77" s="180"/>
      <c r="T77" s="180"/>
      <c r="U77" s="180"/>
      <c r="V77" s="326"/>
      <c r="W77" s="180"/>
      <c r="X77" s="180"/>
      <c r="Y77" s="180"/>
      <c r="Z77" s="180"/>
      <c r="AA77" s="327"/>
      <c r="AB77" s="327"/>
      <c r="AC77" s="327"/>
      <c r="AD77" s="180"/>
      <c r="AE77" s="180"/>
    </row>
    <row r="78">
      <c r="A78" s="199"/>
      <c r="B78" s="418"/>
      <c r="C78" s="419"/>
      <c r="D78" s="198"/>
      <c r="E78" s="198"/>
      <c r="F78" s="198"/>
      <c r="G78" s="180"/>
      <c r="H78" s="198"/>
      <c r="I78" s="198"/>
      <c r="J78" s="198"/>
      <c r="K78" s="198"/>
      <c r="L78" s="180"/>
      <c r="M78" s="331" t="str">
        <f>IFERROR(__xludf.DUMMYFUNCTION("""COMPUTED_VALUE"""),"Model S 90DUK")</f>
        <v>Model S 90DUK</v>
      </c>
      <c r="N78" s="331">
        <f>IFERROR(__xludf.DUMMYFUNCTION("""COMPUTED_VALUE"""),278.0)</f>
        <v>278</v>
      </c>
      <c r="O78" s="180"/>
      <c r="P78" s="180"/>
      <c r="Q78" s="180"/>
      <c r="R78" s="180"/>
      <c r="S78" s="180"/>
      <c r="T78" s="180"/>
      <c r="U78" s="180"/>
      <c r="V78" s="326"/>
      <c r="W78" s="180"/>
      <c r="X78" s="180"/>
      <c r="Y78" s="180"/>
      <c r="Z78" s="180"/>
      <c r="AA78" s="327"/>
      <c r="AB78" s="327"/>
      <c r="AC78" s="327"/>
      <c r="AD78" s="180"/>
      <c r="AE78" s="180"/>
    </row>
    <row r="79">
      <c r="A79" s="199"/>
      <c r="B79" s="418"/>
      <c r="C79" s="198"/>
      <c r="D79" s="198"/>
      <c r="E79" s="198"/>
      <c r="F79" s="198"/>
      <c r="G79" s="420" t="str">
        <f>HYPERLINK("https://youtu.be/5_VL_76BoC8?t=89","Model S 100D, 327 mi, UK")</f>
        <v>Model S 100D, 327 mi, UK</v>
      </c>
      <c r="H79" s="180"/>
      <c r="I79" s="198"/>
      <c r="J79" s="198"/>
      <c r="K79" s="198"/>
      <c r="L79" s="180"/>
      <c r="M79" s="331" t="str">
        <f>IFERROR(__xludf.DUMMYFUNCTION("""COMPUTED_VALUE"""),"Model S P90DUK")</f>
        <v>Model S P90DUK</v>
      </c>
      <c r="N79" s="331">
        <f>IFERROR(__xludf.DUMMYFUNCTION("""COMPUTED_VALUE"""),256.0)</f>
        <v>256</v>
      </c>
      <c r="O79" s="180"/>
      <c r="P79" s="180"/>
      <c r="Q79" s="180"/>
      <c r="R79" s="180"/>
      <c r="S79" s="180"/>
      <c r="T79" s="180"/>
      <c r="U79" s="180"/>
      <c r="V79" s="326"/>
      <c r="W79" s="180"/>
      <c r="X79" s="180"/>
      <c r="Y79" s="180"/>
      <c r="Z79" s="180"/>
      <c r="AA79" s="327"/>
      <c r="AB79" s="327"/>
      <c r="AC79" s="327"/>
      <c r="AD79" s="180"/>
      <c r="AE79" s="180"/>
    </row>
    <row r="80">
      <c r="A80" s="199"/>
      <c r="B80" s="418"/>
      <c r="C80" s="198"/>
      <c r="D80" s="198"/>
      <c r="E80" s="198"/>
      <c r="F80" s="198"/>
      <c r="G80" s="420" t="str">
        <f>HYPERLINK("https://teslamotorsclub.com/tmc/posts/2523037/","Model S 100D, 512 km, Europe")</f>
        <v>Model S 100D, 512 km, Europe</v>
      </c>
      <c r="H80" s="180"/>
      <c r="I80" s="198"/>
      <c r="J80" s="198"/>
      <c r="K80" s="198"/>
      <c r="L80" s="180"/>
      <c r="M80" s="331" t="str">
        <f>IFERROR(__xludf.DUMMYFUNCTION("""COMPUTED_VALUE"""),"Model S 100DUK")</f>
        <v>Model S 100DUK</v>
      </c>
      <c r="N80" s="331">
        <f>IFERROR(__xludf.DUMMYFUNCTION("""COMPUTED_VALUE"""),317.0)</f>
        <v>317</v>
      </c>
      <c r="O80" s="180"/>
      <c r="P80" s="180"/>
      <c r="Q80" s="180"/>
      <c r="R80" s="180"/>
      <c r="S80" s="180"/>
      <c r="T80" s="180"/>
      <c r="U80" s="180"/>
      <c r="V80" s="326"/>
      <c r="W80" s="180"/>
      <c r="X80" s="180"/>
      <c r="Y80" s="180"/>
      <c r="Z80" s="180"/>
      <c r="AA80" s="327"/>
      <c r="AB80" s="327"/>
      <c r="AC80" s="327"/>
      <c r="AD80" s="180"/>
      <c r="AE80" s="180"/>
    </row>
    <row r="81">
      <c r="A81" s="198"/>
      <c r="B81" s="418"/>
      <c r="C81" s="198"/>
      <c r="D81" s="198"/>
      <c r="E81" s="198"/>
      <c r="F81" s="198"/>
      <c r="G81" s="39"/>
      <c r="H81" s="180"/>
      <c r="I81" s="198"/>
      <c r="J81" s="198"/>
      <c r="K81" s="198"/>
      <c r="L81" s="180"/>
      <c r="M81" s="331" t="str">
        <f>IFERROR(__xludf.DUMMYFUNCTION("""COMPUTED_VALUE"""),"Model S P100DUK")</f>
        <v>Model S P100DUK</v>
      </c>
      <c r="N81" s="331">
        <f>IFERROR(__xludf.DUMMYFUNCTION("""COMPUTED_VALUE"""),300.0)</f>
        <v>300</v>
      </c>
      <c r="O81" s="180"/>
      <c r="P81" s="180"/>
      <c r="Q81" s="180"/>
      <c r="R81" s="180"/>
      <c r="S81" s="180"/>
      <c r="T81" s="180"/>
      <c r="U81" s="180"/>
      <c r="V81" s="326"/>
      <c r="W81" s="180"/>
      <c r="X81" s="180"/>
      <c r="Y81" s="180"/>
      <c r="Z81" s="180"/>
      <c r="AA81" s="327"/>
      <c r="AB81" s="327"/>
      <c r="AC81" s="327"/>
      <c r="AD81" s="180"/>
      <c r="AE81" s="180"/>
    </row>
    <row r="82">
      <c r="A82" s="198"/>
      <c r="B82" s="418"/>
      <c r="C82" s="198"/>
      <c r="D82" s="198"/>
      <c r="E82" s="198"/>
      <c r="F82" s="198"/>
      <c r="G82" s="39"/>
      <c r="H82" s="180"/>
      <c r="I82" s="198"/>
      <c r="J82" s="198"/>
      <c r="K82" s="198"/>
      <c r="L82" s="180"/>
      <c r="M82" s="331" t="str">
        <f>IFERROR(__xludf.DUMMYFUNCTION("""COMPUTED_VALUE"""),"Model X 75DUK")</f>
        <v>Model X 75DUK</v>
      </c>
      <c r="N82" s="331">
        <f>IFERROR(__xludf.DUMMYFUNCTION("""COMPUTED_VALUE"""),204.0)</f>
        <v>204</v>
      </c>
      <c r="O82" s="180"/>
      <c r="P82" s="180"/>
      <c r="Q82" s="180"/>
      <c r="R82" s="180"/>
      <c r="S82" s="180"/>
      <c r="T82" s="180"/>
      <c r="U82" s="180"/>
      <c r="V82" s="326"/>
      <c r="W82" s="180"/>
      <c r="X82" s="180"/>
      <c r="Y82" s="180"/>
      <c r="Z82" s="180"/>
      <c r="AA82" s="327"/>
      <c r="AB82" s="327"/>
      <c r="AC82" s="327"/>
      <c r="AD82" s="180"/>
      <c r="AE82" s="180"/>
    </row>
    <row r="83">
      <c r="A83" s="198"/>
      <c r="B83" s="418"/>
      <c r="C83" s="198"/>
      <c r="D83" s="198"/>
      <c r="E83" s="198"/>
      <c r="F83" s="198"/>
      <c r="G83" s="39"/>
      <c r="H83" s="180"/>
      <c r="I83" s="198"/>
      <c r="J83" s="198"/>
      <c r="K83" s="198"/>
      <c r="L83" s="180"/>
      <c r="M83" s="331" t="str">
        <f>IFERROR(__xludf.DUMMYFUNCTION("""COMPUTED_VALUE"""),"Model X 90DUK")</f>
        <v>Model X 90DUK</v>
      </c>
      <c r="N83" s="331">
        <f>IFERROR(__xludf.DUMMYFUNCTION("""COMPUTED_VALUE"""),249.0)</f>
        <v>249</v>
      </c>
      <c r="O83" s="180"/>
      <c r="P83" s="180"/>
      <c r="Q83" s="180"/>
      <c r="R83" s="180"/>
      <c r="S83" s="180"/>
      <c r="T83" s="180"/>
      <c r="U83" s="180"/>
      <c r="V83" s="326"/>
      <c r="W83" s="180"/>
      <c r="X83" s="180"/>
      <c r="Y83" s="180"/>
      <c r="Z83" s="180"/>
      <c r="AA83" s="327"/>
      <c r="AB83" s="327"/>
      <c r="AC83" s="327"/>
      <c r="AD83" s="180"/>
      <c r="AE83" s="180"/>
    </row>
    <row r="84">
      <c r="A84" s="198"/>
      <c r="B84" s="418"/>
      <c r="C84" s="198"/>
      <c r="D84" s="198"/>
      <c r="E84" s="198"/>
      <c r="F84" s="198"/>
      <c r="G84" s="39"/>
      <c r="H84" s="180"/>
      <c r="I84" s="198"/>
      <c r="J84" s="198"/>
      <c r="K84" s="198"/>
      <c r="L84" s="180"/>
      <c r="M84" s="331" t="str">
        <f>IFERROR(__xludf.DUMMYFUNCTION("""COMPUTED_VALUE"""),"Model X P90DUK")</f>
        <v>Model X P90DUK</v>
      </c>
      <c r="N84" s="331">
        <f>IFERROR(__xludf.DUMMYFUNCTION("""COMPUTED_VALUE"""),235.0)</f>
        <v>235</v>
      </c>
      <c r="O84" s="180"/>
      <c r="P84" s="180"/>
      <c r="Q84" s="180"/>
      <c r="R84" s="180"/>
      <c r="S84" s="180"/>
      <c r="T84" s="180"/>
      <c r="U84" s="180"/>
      <c r="V84" s="326"/>
      <c r="W84" s="180"/>
      <c r="X84" s="180"/>
      <c r="Y84" s="180"/>
      <c r="Z84" s="180"/>
      <c r="AA84" s="327"/>
      <c r="AB84" s="327"/>
      <c r="AC84" s="327"/>
      <c r="AD84" s="180"/>
      <c r="AE84" s="180"/>
    </row>
    <row r="85">
      <c r="A85" s="198"/>
      <c r="B85" s="418"/>
      <c r="C85" s="198"/>
      <c r="D85" s="198"/>
      <c r="E85" s="198"/>
      <c r="F85" s="198"/>
      <c r="G85" s="39"/>
      <c r="H85" s="180"/>
      <c r="I85" s="198"/>
      <c r="J85" s="198"/>
      <c r="K85" s="198"/>
      <c r="L85" s="180"/>
      <c r="M85" s="331" t="str">
        <f>IFERROR(__xludf.DUMMYFUNCTION("""COMPUTED_VALUE"""),"Model X 100DUK")</f>
        <v>Model X 100DUK</v>
      </c>
      <c r="N85" s="331">
        <f>IFERROR(__xludf.DUMMYFUNCTION("""COMPUTED_VALUE"""),278.0)</f>
        <v>278</v>
      </c>
      <c r="O85" s="180"/>
      <c r="P85" s="180"/>
      <c r="Q85" s="180"/>
      <c r="R85" s="180"/>
      <c r="S85" s="180"/>
      <c r="T85" s="180"/>
      <c r="U85" s="180"/>
      <c r="V85" s="326"/>
      <c r="W85" s="180"/>
      <c r="X85" s="180"/>
      <c r="Y85" s="180"/>
      <c r="Z85" s="180"/>
      <c r="AA85" s="327"/>
      <c r="AB85" s="327"/>
      <c r="AC85" s="327"/>
      <c r="AD85" s="180"/>
      <c r="AE85" s="180"/>
    </row>
    <row r="86">
      <c r="A86" s="198"/>
      <c r="B86" s="418"/>
      <c r="C86" s="198"/>
      <c r="D86" s="198"/>
      <c r="E86" s="198"/>
      <c r="F86" s="198"/>
      <c r="G86" s="39"/>
      <c r="H86" s="180"/>
      <c r="I86" s="198"/>
      <c r="J86" s="198"/>
      <c r="K86" s="198"/>
      <c r="L86" s="180"/>
      <c r="M86" s="331" t="str">
        <f>IFERROR(__xludf.DUMMYFUNCTION("""COMPUTED_VALUE"""),"Model 3 LRUK")</f>
        <v>Model 3 LRUK</v>
      </c>
      <c r="N86" s="331">
        <f>IFERROR(__xludf.DUMMYFUNCTION("""COMPUTED_VALUE"""),338.0)</f>
        <v>338</v>
      </c>
      <c r="O86" s="180"/>
      <c r="P86" s="180"/>
      <c r="Q86" s="180"/>
      <c r="R86" s="180"/>
      <c r="S86" s="180"/>
      <c r="T86" s="180"/>
      <c r="U86" s="180"/>
      <c r="V86" s="326"/>
      <c r="W86" s="180"/>
      <c r="X86" s="180"/>
      <c r="Y86" s="180"/>
      <c r="Z86" s="180"/>
      <c r="AA86" s="327"/>
      <c r="AB86" s="327"/>
      <c r="AC86" s="327"/>
      <c r="AD86" s="180"/>
      <c r="AE86" s="180"/>
    </row>
    <row r="87">
      <c r="A87" s="198"/>
      <c r="B87" s="418"/>
      <c r="C87" s="198"/>
      <c r="D87" s="198"/>
      <c r="E87" s="198"/>
      <c r="F87" s="198"/>
      <c r="G87" s="39"/>
      <c r="H87" s="180"/>
      <c r="I87" s="198"/>
      <c r="J87" s="198"/>
      <c r="K87" s="198"/>
      <c r="L87" s="180"/>
      <c r="M87" s="331" t="str">
        <f>IFERROR(__xludf.DUMMYFUNCTION("""COMPUTED_VALUE"""),"Model 3 LR AWDUK")</f>
        <v>Model 3 LR AWDUK</v>
      </c>
      <c r="N87" s="331">
        <f>IFERROR(__xludf.DUMMYFUNCTION("""COMPUTED_VALUE"""),338.0)</f>
        <v>338</v>
      </c>
      <c r="O87" s="180"/>
      <c r="P87" s="180"/>
      <c r="Q87" s="180"/>
      <c r="R87" s="180"/>
      <c r="S87" s="180"/>
      <c r="T87" s="180"/>
      <c r="U87" s="180"/>
      <c r="V87" s="326"/>
      <c r="W87" s="180"/>
      <c r="X87" s="180"/>
      <c r="Y87" s="180"/>
      <c r="Z87" s="180"/>
      <c r="AA87" s="327"/>
      <c r="AB87" s="327"/>
      <c r="AC87" s="327"/>
      <c r="AD87" s="180"/>
      <c r="AE87" s="180"/>
    </row>
    <row r="88">
      <c r="A88" s="198"/>
      <c r="B88" s="418"/>
      <c r="C88" s="198"/>
      <c r="D88" s="198"/>
      <c r="E88" s="198"/>
      <c r="F88" s="198"/>
      <c r="G88" s="39"/>
      <c r="H88" s="180"/>
      <c r="I88" s="198"/>
      <c r="J88" s="198"/>
      <c r="K88" s="198"/>
      <c r="L88" s="180"/>
      <c r="M88" s="331" t="str">
        <f>IFERROR(__xludf.DUMMYFUNCTION("""COMPUTED_VALUE"""),"Model 3 PUK")</f>
        <v>Model 3 PUK</v>
      </c>
      <c r="N88" s="331">
        <f>IFERROR(__xludf.DUMMYFUNCTION("""COMPUTED_VALUE"""),329.0)</f>
        <v>329</v>
      </c>
      <c r="O88" s="180"/>
      <c r="P88" s="180"/>
      <c r="Q88" s="180"/>
      <c r="R88" s="180"/>
      <c r="S88" s="180"/>
      <c r="T88" s="180"/>
      <c r="U88" s="180"/>
      <c r="V88" s="326"/>
      <c r="W88" s="180"/>
      <c r="X88" s="180"/>
      <c r="Y88" s="180"/>
      <c r="Z88" s="180"/>
      <c r="AA88" s="327"/>
      <c r="AB88" s="327"/>
      <c r="AC88" s="327"/>
      <c r="AD88" s="180"/>
      <c r="AE88" s="180"/>
    </row>
    <row r="89">
      <c r="A89" s="198"/>
      <c r="B89" s="418"/>
      <c r="C89" s="198"/>
      <c r="D89" s="198"/>
      <c r="E89" s="198"/>
      <c r="F89" s="198"/>
      <c r="G89" s="39"/>
      <c r="H89" s="180"/>
      <c r="I89" s="198"/>
      <c r="J89" s="198"/>
      <c r="K89" s="198"/>
      <c r="L89" s="180"/>
      <c r="M89" s="331" t="str">
        <f>IFERROR(__xludf.DUMMYFUNCTION("""COMPUTED_VALUE"""),"Model 3 MRUK")</f>
        <v>Model 3 MRUK</v>
      </c>
      <c r="N89" s="331">
        <f>IFERROR(__xludf.DUMMYFUNCTION("""COMPUTED_VALUE"""),283.0)</f>
        <v>283</v>
      </c>
      <c r="O89" s="180"/>
      <c r="P89" s="180"/>
      <c r="Q89" s="180"/>
      <c r="R89" s="180"/>
      <c r="S89" s="180"/>
      <c r="T89" s="180"/>
      <c r="U89" s="180"/>
      <c r="V89" s="326"/>
      <c r="W89" s="180"/>
      <c r="X89" s="180"/>
      <c r="Y89" s="180"/>
      <c r="Z89" s="180"/>
      <c r="AA89" s="327"/>
      <c r="AB89" s="327"/>
      <c r="AC89" s="327"/>
      <c r="AD89" s="180"/>
      <c r="AE89" s="180"/>
    </row>
    <row r="90">
      <c r="A90" s="198"/>
      <c r="B90" s="418"/>
      <c r="C90" s="198"/>
      <c r="D90" s="198"/>
      <c r="E90" s="198"/>
      <c r="F90" s="198"/>
      <c r="G90" s="39"/>
      <c r="H90" s="180"/>
      <c r="I90" s="198"/>
      <c r="J90" s="198"/>
      <c r="K90" s="198"/>
      <c r="L90" s="180"/>
      <c r="M90" s="331" t="str">
        <f>IFERROR(__xludf.DUMMYFUNCTION("""COMPUTED_VALUE"""),"Model 3 SRUK")</f>
        <v>Model 3 SRUK</v>
      </c>
      <c r="N90" s="331">
        <f>IFERROR(__xludf.DUMMYFUNCTION("""COMPUTED_VALUE"""),232.0)</f>
        <v>232</v>
      </c>
      <c r="O90" s="180"/>
      <c r="P90" s="180"/>
      <c r="Q90" s="180"/>
      <c r="R90" s="180"/>
      <c r="S90" s="180"/>
      <c r="T90" s="180"/>
      <c r="U90" s="180"/>
      <c r="V90" s="326"/>
      <c r="W90" s="180"/>
      <c r="X90" s="180"/>
      <c r="Y90" s="180"/>
      <c r="Z90" s="180"/>
      <c r="AA90" s="327"/>
      <c r="AB90" s="327"/>
      <c r="AC90" s="327"/>
      <c r="AD90" s="180"/>
      <c r="AE90" s="180"/>
    </row>
    <row r="91">
      <c r="A91" s="198"/>
      <c r="B91" s="418"/>
      <c r="C91" s="198"/>
      <c r="D91" s="198"/>
      <c r="E91" s="198"/>
      <c r="F91" s="198"/>
      <c r="G91" s="39"/>
      <c r="H91" s="180"/>
      <c r="I91" s="198"/>
      <c r="J91" s="198"/>
      <c r="K91" s="198"/>
      <c r="L91" s="180"/>
      <c r="M91" s="331" t="str">
        <f>IFERROR(__xludf.DUMMYFUNCTION("""COMPUTED_VALUE"""),"Model 3 SR+UK")</f>
        <v>Model 3 SR+UK</v>
      </c>
      <c r="N91" s="331">
        <f>IFERROR(__xludf.DUMMYFUNCTION("""COMPUTED_VALUE"""),258.0)</f>
        <v>258</v>
      </c>
      <c r="O91" s="180"/>
      <c r="P91" s="180"/>
      <c r="Q91" s="180"/>
      <c r="R91" s="180"/>
      <c r="S91" s="180"/>
      <c r="T91" s="180"/>
      <c r="U91" s="180"/>
      <c r="V91" s="326"/>
      <c r="W91" s="180"/>
      <c r="X91" s="180"/>
      <c r="Y91" s="180"/>
      <c r="Z91" s="180"/>
      <c r="AA91" s="327"/>
      <c r="AB91" s="327"/>
      <c r="AC91" s="327"/>
      <c r="AD91" s="180"/>
      <c r="AE91" s="180"/>
    </row>
    <row r="92">
      <c r="A92" s="198"/>
      <c r="B92" s="418"/>
      <c r="C92" s="198"/>
      <c r="D92" s="198"/>
      <c r="E92" s="198"/>
      <c r="F92" s="198"/>
      <c r="G92" s="39"/>
      <c r="H92" s="180"/>
      <c r="I92" s="198"/>
      <c r="J92" s="198"/>
      <c r="K92" s="198"/>
      <c r="L92" s="180"/>
      <c r="M92" s="331" t="str">
        <f>IFERROR(__xludf.DUMMYFUNCTION("""COMPUTED_VALUE"""),"Unspecified 85 kWhEurope (excluding UK) &amp; Asia Pacific")</f>
        <v>Unspecified 85 kWhEurope (excluding UK) &amp; Asia Pacific</v>
      </c>
      <c r="N92" s="331">
        <f>IFERROR(__xludf.DUMMYFUNCTION("""COMPUTED_VALUE"""),395.0)</f>
        <v>395</v>
      </c>
      <c r="O92" s="180"/>
      <c r="P92" s="180"/>
      <c r="Q92" s="180"/>
      <c r="R92" s="180"/>
      <c r="S92" s="180"/>
      <c r="T92" s="180"/>
      <c r="U92" s="180"/>
      <c r="V92" s="326"/>
      <c r="W92" s="180"/>
      <c r="X92" s="180"/>
      <c r="Y92" s="180"/>
      <c r="Z92" s="180"/>
      <c r="AA92" s="327"/>
      <c r="AB92" s="327"/>
      <c r="AC92" s="327"/>
      <c r="AD92" s="180"/>
      <c r="AE92" s="180"/>
    </row>
    <row r="93">
      <c r="A93" s="198"/>
      <c r="B93" s="418"/>
      <c r="C93" s="198"/>
      <c r="D93" s="198"/>
      <c r="E93" s="198"/>
      <c r="F93" s="198"/>
      <c r="G93" s="39"/>
      <c r="H93" s="180"/>
      <c r="I93" s="198"/>
      <c r="J93" s="198"/>
      <c r="K93" s="198"/>
      <c r="L93" s="180"/>
      <c r="M93" s="331" t="str">
        <f>IFERROR(__xludf.DUMMYFUNCTION("""COMPUTED_VALUE"""),"Model S 60Europe (excluding UK) &amp; Asia Pacific")</f>
        <v>Model S 60Europe (excluding UK) &amp; Asia Pacific</v>
      </c>
      <c r="N93" s="331">
        <f>IFERROR(__xludf.DUMMYFUNCTION("""COMPUTED_VALUE"""),284.0)</f>
        <v>284</v>
      </c>
      <c r="O93" s="180"/>
      <c r="P93" s="180"/>
      <c r="Q93" s="180"/>
      <c r="R93" s="180"/>
      <c r="S93" s="180"/>
      <c r="T93" s="180"/>
      <c r="U93" s="180"/>
      <c r="V93" s="326"/>
      <c r="W93" s="180"/>
      <c r="X93" s="180"/>
      <c r="Y93" s="180"/>
      <c r="Z93" s="180"/>
      <c r="AA93" s="327"/>
      <c r="AB93" s="327"/>
      <c r="AC93" s="327"/>
      <c r="AD93" s="180"/>
      <c r="AE93" s="180"/>
    </row>
    <row r="94">
      <c r="A94" s="198"/>
      <c r="B94" s="198"/>
      <c r="C94" s="198"/>
      <c r="D94" s="198"/>
      <c r="E94" s="198"/>
      <c r="F94" s="198"/>
      <c r="G94" s="39"/>
      <c r="H94" s="180"/>
      <c r="I94" s="198"/>
      <c r="J94" s="198"/>
      <c r="K94" s="198"/>
      <c r="L94" s="180"/>
      <c r="M94" s="331" t="str">
        <f>IFERROR(__xludf.DUMMYFUNCTION("""COMPUTED_VALUE"""),"Model S 60DEurope (excluding UK) &amp; Asia Pacific")</f>
        <v>Model S 60DEurope (excluding UK) &amp; Asia Pacific</v>
      </c>
      <c r="N94" s="331">
        <f>IFERROR(__xludf.DUMMYFUNCTION("""COMPUTED_VALUE"""),328.0)</f>
        <v>328</v>
      </c>
      <c r="O94" s="180"/>
      <c r="P94" s="180"/>
      <c r="Q94" s="180"/>
      <c r="R94" s="180"/>
      <c r="S94" s="180"/>
      <c r="T94" s="180"/>
      <c r="U94" s="180"/>
      <c r="V94" s="326"/>
      <c r="W94" s="180"/>
      <c r="X94" s="180"/>
      <c r="Y94" s="180"/>
      <c r="Z94" s="180"/>
      <c r="AA94" s="327"/>
      <c r="AB94" s="327"/>
      <c r="AC94" s="327"/>
      <c r="AD94" s="180"/>
      <c r="AE94" s="180"/>
    </row>
    <row r="95">
      <c r="A95" s="198"/>
      <c r="B95" s="198"/>
      <c r="C95" s="198"/>
      <c r="D95" s="198"/>
      <c r="E95" s="198"/>
      <c r="F95" s="198"/>
      <c r="G95" s="39"/>
      <c r="H95" s="180"/>
      <c r="I95" s="198"/>
      <c r="J95" s="198"/>
      <c r="K95" s="198"/>
      <c r="L95" s="180"/>
      <c r="M95" s="331" t="str">
        <f>IFERROR(__xludf.DUMMYFUNCTION("""COMPUTED_VALUE"""),"Model S 70Europe (excluding UK) &amp; Asia Pacific")</f>
        <v>Model S 70Europe (excluding UK) &amp; Asia Pacific</v>
      </c>
      <c r="N95" s="331">
        <f>IFERROR(__xludf.DUMMYFUNCTION("""COMPUTED_VALUE"""),355.0)</f>
        <v>355</v>
      </c>
      <c r="O95" s="180"/>
      <c r="P95" s="180"/>
      <c r="Q95" s="180"/>
      <c r="R95" s="180"/>
      <c r="S95" s="180"/>
      <c r="T95" s="180"/>
      <c r="U95" s="180"/>
      <c r="V95" s="326"/>
      <c r="W95" s="180"/>
      <c r="X95" s="180"/>
      <c r="Y95" s="180"/>
      <c r="Z95" s="180"/>
      <c r="AA95" s="327"/>
      <c r="AB95" s="327"/>
      <c r="AC95" s="327"/>
      <c r="AD95" s="180"/>
      <c r="AE95" s="180"/>
    </row>
    <row r="96">
      <c r="A96" s="198"/>
      <c r="B96" s="198"/>
      <c r="C96" s="198"/>
      <c r="D96" s="198"/>
      <c r="E96" s="198"/>
      <c r="F96" s="198"/>
      <c r="G96" s="39"/>
      <c r="H96" s="180"/>
      <c r="I96" s="198"/>
      <c r="J96" s="198"/>
      <c r="K96" s="198"/>
      <c r="L96" s="180"/>
      <c r="M96" s="331" t="str">
        <f>IFERROR(__xludf.DUMMYFUNCTION("""COMPUTED_VALUE"""),"Model S 70DEurope (excluding UK) &amp; Asia Pacific")</f>
        <v>Model S 70DEurope (excluding UK) &amp; Asia Pacific</v>
      </c>
      <c r="N96" s="331">
        <f>IFERROR(__xludf.DUMMYFUNCTION("""COMPUTED_VALUE"""),360.0)</f>
        <v>360</v>
      </c>
      <c r="O96" s="180"/>
      <c r="P96" s="180"/>
      <c r="Q96" s="180"/>
      <c r="R96" s="180"/>
      <c r="S96" s="180"/>
      <c r="T96" s="180"/>
      <c r="U96" s="180"/>
      <c r="V96" s="326"/>
      <c r="W96" s="180"/>
      <c r="X96" s="180"/>
      <c r="Y96" s="180"/>
      <c r="Z96" s="180"/>
      <c r="AA96" s="327"/>
      <c r="AB96" s="327"/>
      <c r="AC96" s="327"/>
      <c r="AD96" s="180"/>
      <c r="AE96" s="180"/>
    </row>
    <row r="97">
      <c r="A97" s="198"/>
      <c r="B97" s="198"/>
      <c r="C97" s="198"/>
      <c r="D97" s="198"/>
      <c r="E97" s="198"/>
      <c r="F97" s="198"/>
      <c r="G97" s="39"/>
      <c r="H97" s="180"/>
      <c r="I97" s="198"/>
      <c r="J97" s="198"/>
      <c r="K97" s="198"/>
      <c r="L97" s="180"/>
      <c r="M97" s="331" t="str">
        <f>IFERROR(__xludf.DUMMYFUNCTION("""COMPUTED_VALUE"""),"Model S 75Europe (excluding UK) &amp; Asia Pacific")</f>
        <v>Model S 75Europe (excluding UK) &amp; Asia Pacific</v>
      </c>
      <c r="N97" s="331">
        <f>IFERROR(__xludf.DUMMYFUNCTION("""COMPUTED_VALUE"""),375.0)</f>
        <v>375</v>
      </c>
      <c r="O97" s="180"/>
      <c r="P97" s="180"/>
      <c r="Q97" s="180"/>
      <c r="R97" s="180"/>
      <c r="S97" s="180"/>
      <c r="T97" s="180"/>
      <c r="U97" s="180"/>
      <c r="V97" s="326"/>
      <c r="W97" s="180"/>
      <c r="X97" s="180"/>
      <c r="Y97" s="180"/>
      <c r="Z97" s="180"/>
      <c r="AA97" s="327"/>
      <c r="AB97" s="327"/>
      <c r="AC97" s="327"/>
      <c r="AD97" s="180"/>
      <c r="AE97" s="180"/>
    </row>
    <row r="98">
      <c r="A98" s="198"/>
      <c r="B98" s="198"/>
      <c r="C98" s="198"/>
      <c r="D98" s="198"/>
      <c r="E98" s="198"/>
      <c r="F98" s="198"/>
      <c r="G98" s="39"/>
      <c r="H98" s="180"/>
      <c r="I98" s="198"/>
      <c r="J98" s="198"/>
      <c r="K98" s="198"/>
      <c r="L98" s="180"/>
      <c r="M98" s="331" t="str">
        <f>IFERROR(__xludf.DUMMYFUNCTION("""COMPUTED_VALUE"""),"Model S 75DEurope (excluding UK) &amp; Asia Pacific")</f>
        <v>Model S 75DEurope (excluding UK) &amp; Asia Pacific</v>
      </c>
      <c r="N98" s="331">
        <f>IFERROR(__xludf.DUMMYFUNCTION("""COMPUTED_VALUE"""),384.0)</f>
        <v>384</v>
      </c>
      <c r="O98" s="180"/>
      <c r="P98" s="180"/>
      <c r="Q98" s="180"/>
      <c r="R98" s="180"/>
      <c r="S98" s="180"/>
      <c r="T98" s="180"/>
      <c r="U98" s="180"/>
      <c r="V98" s="326"/>
      <c r="W98" s="180"/>
      <c r="X98" s="180"/>
      <c r="Y98" s="180"/>
      <c r="Z98" s="180"/>
      <c r="AA98" s="327"/>
      <c r="AB98" s="327"/>
      <c r="AC98" s="327"/>
      <c r="AD98" s="180"/>
      <c r="AE98" s="180"/>
    </row>
    <row r="99">
      <c r="A99" s="198"/>
      <c r="B99" s="198"/>
      <c r="C99" s="198"/>
      <c r="D99" s="198"/>
      <c r="E99" s="198"/>
      <c r="F99" s="198"/>
      <c r="G99" s="39"/>
      <c r="H99" s="180"/>
      <c r="I99" s="198"/>
      <c r="J99" s="198"/>
      <c r="K99" s="198"/>
      <c r="L99" s="180"/>
      <c r="M99" s="331" t="str">
        <f>IFERROR(__xludf.DUMMYFUNCTION("""COMPUTED_VALUE"""),"Model S 85Europe (excluding UK) &amp; Asia Pacific")</f>
        <v>Model S 85Europe (excluding UK) &amp; Asia Pacific</v>
      </c>
      <c r="N99" s="331">
        <f>IFERROR(__xludf.DUMMYFUNCTION("""COMPUTED_VALUE"""),395.0)</f>
        <v>395</v>
      </c>
      <c r="O99" s="180"/>
      <c r="P99" s="180"/>
      <c r="Q99" s="180"/>
      <c r="R99" s="180"/>
      <c r="S99" s="180"/>
      <c r="T99" s="180"/>
      <c r="U99" s="180"/>
      <c r="V99" s="326"/>
      <c r="W99" s="180"/>
      <c r="X99" s="180"/>
      <c r="Y99" s="180"/>
      <c r="Z99" s="180"/>
      <c r="AA99" s="327"/>
      <c r="AB99" s="327"/>
      <c r="AC99" s="327"/>
      <c r="AD99" s="180"/>
      <c r="AE99" s="180"/>
    </row>
    <row r="100">
      <c r="A100" s="198"/>
      <c r="B100" s="198"/>
      <c r="C100" s="198"/>
      <c r="D100" s="198"/>
      <c r="E100" s="198"/>
      <c r="F100" s="198"/>
      <c r="G100" s="39"/>
      <c r="H100" s="180"/>
      <c r="I100" s="198"/>
      <c r="J100" s="198"/>
      <c r="K100" s="198"/>
      <c r="L100" s="180"/>
      <c r="M100" s="331" t="str">
        <f>IFERROR(__xludf.DUMMYFUNCTION("""COMPUTED_VALUE"""),"Model S P85Europe (excluding UK) &amp; Asia Pacific")</f>
        <v>Model S P85Europe (excluding UK) &amp; Asia Pacific</v>
      </c>
      <c r="N100" s="331">
        <f>IFERROR(__xludf.DUMMYFUNCTION("""COMPUTED_VALUE"""),395.0)</f>
        <v>395</v>
      </c>
      <c r="O100" s="180"/>
      <c r="P100" s="180"/>
      <c r="Q100" s="180"/>
      <c r="R100" s="180"/>
      <c r="S100" s="180"/>
      <c r="T100" s="180"/>
      <c r="U100" s="180"/>
      <c r="V100" s="326"/>
      <c r="W100" s="180"/>
      <c r="X100" s="180"/>
      <c r="Y100" s="180"/>
      <c r="Z100" s="180"/>
      <c r="AA100" s="327"/>
      <c r="AB100" s="327"/>
      <c r="AC100" s="327"/>
      <c r="AD100" s="180"/>
      <c r="AE100" s="180"/>
    </row>
    <row r="101">
      <c r="A101" s="198"/>
      <c r="B101" s="198"/>
      <c r="C101" s="198"/>
      <c r="D101" s="198"/>
      <c r="E101" s="198"/>
      <c r="F101" s="198"/>
      <c r="G101" s="39"/>
      <c r="H101" s="180"/>
      <c r="I101" s="198"/>
      <c r="J101" s="198"/>
      <c r="K101" s="198"/>
      <c r="L101" s="180"/>
      <c r="M101" s="331" t="str">
        <f>IFERROR(__xludf.DUMMYFUNCTION("""COMPUTED_VALUE"""),"Model S P85+Europe (excluding UK) &amp; Asia Pacific")</f>
        <v>Model S P85+Europe (excluding UK) &amp; Asia Pacific</v>
      </c>
      <c r="N101" s="331">
        <f>IFERROR(__xludf.DUMMYFUNCTION("""COMPUTED_VALUE"""),395.0)</f>
        <v>395</v>
      </c>
      <c r="O101" s="180"/>
      <c r="P101" s="180"/>
      <c r="Q101" s="180"/>
      <c r="R101" s="180"/>
      <c r="S101" s="180"/>
      <c r="T101" s="180"/>
      <c r="U101" s="180"/>
      <c r="V101" s="326"/>
      <c r="W101" s="180"/>
      <c r="X101" s="180"/>
      <c r="Y101" s="180"/>
      <c r="Z101" s="180"/>
      <c r="AA101" s="327"/>
      <c r="AB101" s="327"/>
      <c r="AC101" s="327"/>
      <c r="AD101" s="180"/>
      <c r="AE101" s="180"/>
    </row>
    <row r="102">
      <c r="A102" s="198"/>
      <c r="B102" s="198"/>
      <c r="C102" s="198"/>
      <c r="D102" s="198"/>
      <c r="E102" s="198"/>
      <c r="F102" s="198"/>
      <c r="G102" s="39"/>
      <c r="H102" s="180"/>
      <c r="I102" s="198"/>
      <c r="J102" s="198"/>
      <c r="K102" s="198"/>
      <c r="L102" s="180"/>
      <c r="M102" s="331" t="str">
        <f>IFERROR(__xludf.DUMMYFUNCTION("""COMPUTED_VALUE"""),"Model S 85DEurope (excluding UK) &amp; Asia Pacific")</f>
        <v>Model S 85DEurope (excluding UK) &amp; Asia Pacific</v>
      </c>
      <c r="N102" s="331">
        <f>IFERROR(__xludf.DUMMYFUNCTION("""COMPUTED_VALUE"""),425.0)</f>
        <v>425</v>
      </c>
      <c r="O102" s="180"/>
      <c r="P102" s="180"/>
      <c r="Q102" s="180"/>
      <c r="R102" s="180"/>
      <c r="S102" s="180"/>
      <c r="T102" s="180"/>
      <c r="U102" s="180"/>
      <c r="V102" s="326"/>
      <c r="W102" s="180"/>
      <c r="X102" s="180"/>
      <c r="Y102" s="180"/>
      <c r="Z102" s="180"/>
      <c r="AA102" s="327"/>
      <c r="AB102" s="327"/>
      <c r="AC102" s="327"/>
      <c r="AD102" s="180"/>
      <c r="AE102" s="180"/>
    </row>
    <row r="103">
      <c r="A103" s="198"/>
      <c r="B103" s="198"/>
      <c r="C103" s="198"/>
      <c r="D103" s="198"/>
      <c r="E103" s="198"/>
      <c r="F103" s="198"/>
      <c r="G103" s="39"/>
      <c r="H103" s="180"/>
      <c r="I103" s="198"/>
      <c r="J103" s="198"/>
      <c r="K103" s="198"/>
      <c r="L103" s="180"/>
      <c r="M103" s="331" t="str">
        <f>IFERROR(__xludf.DUMMYFUNCTION("""COMPUTED_VALUE"""),"Model S P85DEurope (excluding UK) &amp; Asia Pacific")</f>
        <v>Model S P85DEurope (excluding UK) &amp; Asia Pacific</v>
      </c>
      <c r="N103" s="331">
        <f>IFERROR(__xludf.DUMMYFUNCTION("""COMPUTED_VALUE"""),403.0)</f>
        <v>403</v>
      </c>
      <c r="O103" s="180"/>
      <c r="P103" s="180"/>
      <c r="Q103" s="180"/>
      <c r="R103" s="180"/>
      <c r="S103" s="180"/>
      <c r="T103" s="180"/>
      <c r="U103" s="180"/>
      <c r="V103" s="326"/>
      <c r="W103" s="180"/>
      <c r="X103" s="180"/>
      <c r="Y103" s="180"/>
      <c r="Z103" s="180"/>
      <c r="AA103" s="327"/>
      <c r="AB103" s="327"/>
      <c r="AC103" s="327"/>
      <c r="AD103" s="180"/>
      <c r="AE103" s="180"/>
    </row>
    <row r="104">
      <c r="A104" s="198"/>
      <c r="B104" s="198"/>
      <c r="C104" s="198"/>
      <c r="D104" s="198"/>
      <c r="E104" s="198"/>
      <c r="F104" s="198"/>
      <c r="G104" s="39"/>
      <c r="H104" s="180"/>
      <c r="I104" s="198"/>
      <c r="J104" s="198"/>
      <c r="K104" s="198"/>
      <c r="L104" s="180"/>
      <c r="M104" s="331" t="str">
        <f>IFERROR(__xludf.DUMMYFUNCTION("""COMPUTED_VALUE"""),"Model S 90Europe (excluding UK) &amp; Asia Pacific")</f>
        <v>Model S 90Europe (excluding UK) &amp; Asia Pacific</v>
      </c>
      <c r="N104" s="331">
        <f>IFERROR(__xludf.DUMMYFUNCTION("""COMPUTED_VALUE"""),420.0)</f>
        <v>420</v>
      </c>
      <c r="O104" s="180"/>
      <c r="P104" s="180"/>
      <c r="Q104" s="180"/>
      <c r="R104" s="180"/>
      <c r="S104" s="180"/>
      <c r="T104" s="180"/>
      <c r="U104" s="180"/>
      <c r="V104" s="326"/>
      <c r="W104" s="180"/>
      <c r="X104" s="180"/>
      <c r="Y104" s="180"/>
      <c r="Z104" s="180"/>
      <c r="AA104" s="327"/>
      <c r="AB104" s="327"/>
      <c r="AC104" s="327"/>
      <c r="AD104" s="180"/>
      <c r="AE104" s="180"/>
    </row>
    <row r="105">
      <c r="A105" s="198"/>
      <c r="B105" s="198"/>
      <c r="C105" s="198"/>
      <c r="D105" s="198"/>
      <c r="E105" s="198"/>
      <c r="F105" s="198"/>
      <c r="G105" s="39"/>
      <c r="H105" s="180"/>
      <c r="I105" s="198"/>
      <c r="J105" s="198"/>
      <c r="K105" s="198"/>
      <c r="L105" s="180"/>
      <c r="M105" s="331" t="str">
        <f>IFERROR(__xludf.DUMMYFUNCTION("""COMPUTED_VALUE"""),"Model S 90D 2015Europe (excluding UK) &amp; Asia Pacific")</f>
        <v>Model S 90D 2015Europe (excluding UK) &amp; Asia Pacific</v>
      </c>
      <c r="N105" s="331">
        <f>IFERROR(__xludf.DUMMYFUNCTION("""COMPUTED_VALUE"""),427.0)</f>
        <v>427</v>
      </c>
      <c r="O105" s="180"/>
      <c r="P105" s="180"/>
      <c r="Q105" s="180"/>
      <c r="R105" s="180"/>
      <c r="S105" s="180"/>
      <c r="T105" s="180"/>
      <c r="U105" s="180"/>
      <c r="V105" s="326"/>
      <c r="W105" s="180"/>
      <c r="X105" s="180"/>
      <c r="Y105" s="180"/>
      <c r="Z105" s="180"/>
      <c r="AA105" s="327"/>
      <c r="AB105" s="327"/>
      <c r="AC105" s="327"/>
      <c r="AD105" s="180"/>
      <c r="AE105" s="180"/>
    </row>
    <row r="106">
      <c r="A106" s="198"/>
      <c r="B106" s="198"/>
      <c r="C106" s="198"/>
      <c r="D106" s="198"/>
      <c r="E106" s="198"/>
      <c r="F106" s="198"/>
      <c r="G106" s="39"/>
      <c r="H106" s="180"/>
      <c r="I106" s="198"/>
      <c r="J106" s="198"/>
      <c r="K106" s="198"/>
      <c r="L106" s="180"/>
      <c r="M106" s="331" t="str">
        <f>IFERROR(__xludf.DUMMYFUNCTION("""COMPUTED_VALUE"""),"Model S 90DEurope (excluding UK) &amp; Asia Pacific")</f>
        <v>Model S 90DEurope (excluding UK) &amp; Asia Pacific</v>
      </c>
      <c r="N106" s="331">
        <f>IFERROR(__xludf.DUMMYFUNCTION("""COMPUTED_VALUE"""),447.0)</f>
        <v>447</v>
      </c>
      <c r="O106" s="180"/>
      <c r="P106" s="180"/>
      <c r="Q106" s="180"/>
      <c r="R106" s="180"/>
      <c r="S106" s="180"/>
      <c r="T106" s="180"/>
      <c r="U106" s="180"/>
      <c r="V106" s="326"/>
      <c r="W106" s="180"/>
      <c r="X106" s="180"/>
      <c r="Y106" s="180"/>
      <c r="Z106" s="180"/>
      <c r="AA106" s="327"/>
      <c r="AB106" s="327"/>
      <c r="AC106" s="327"/>
      <c r="AD106" s="180"/>
      <c r="AE106" s="180"/>
    </row>
    <row r="107">
      <c r="A107" s="198"/>
      <c r="B107" s="198"/>
      <c r="C107" s="198"/>
      <c r="D107" s="198"/>
      <c r="E107" s="198"/>
      <c r="F107" s="198"/>
      <c r="G107" s="39"/>
      <c r="H107" s="180"/>
      <c r="I107" s="198"/>
      <c r="J107" s="198"/>
      <c r="K107" s="198"/>
      <c r="L107" s="180"/>
      <c r="M107" s="331" t="str">
        <f>IFERROR(__xludf.DUMMYFUNCTION("""COMPUTED_VALUE"""),"Model S P90DEurope (excluding UK) &amp; Asia Pacific")</f>
        <v>Model S P90DEurope (excluding UK) &amp; Asia Pacific</v>
      </c>
      <c r="N107" s="331">
        <f>IFERROR(__xludf.DUMMYFUNCTION("""COMPUTED_VALUE"""),412.0)</f>
        <v>412</v>
      </c>
      <c r="O107" s="180"/>
      <c r="P107" s="180"/>
      <c r="Q107" s="180"/>
      <c r="R107" s="180"/>
      <c r="S107" s="180"/>
      <c r="T107" s="180"/>
      <c r="U107" s="180"/>
      <c r="V107" s="326"/>
      <c r="W107" s="180"/>
      <c r="X107" s="180"/>
      <c r="Y107" s="180"/>
      <c r="Z107" s="180"/>
      <c r="AA107" s="327"/>
      <c r="AB107" s="327"/>
      <c r="AC107" s="327"/>
      <c r="AD107" s="180"/>
      <c r="AE107" s="180"/>
    </row>
    <row r="108">
      <c r="A108" s="198"/>
      <c r="B108" s="198"/>
      <c r="C108" s="198"/>
      <c r="D108" s="198"/>
      <c r="E108" s="198"/>
      <c r="F108" s="198"/>
      <c r="G108" s="39"/>
      <c r="H108" s="180"/>
      <c r="I108" s="198"/>
      <c r="J108" s="198"/>
      <c r="K108" s="198"/>
      <c r="L108" s="180"/>
      <c r="M108" s="331" t="str">
        <f>IFERROR(__xludf.DUMMYFUNCTION("""COMPUTED_VALUE"""),"Model S 100DEurope (excluding UK) &amp; Asia Pacific")</f>
        <v>Model S 100DEurope (excluding UK) &amp; Asia Pacific</v>
      </c>
      <c r="N108" s="331">
        <f>IFERROR(__xludf.DUMMYFUNCTION("""COMPUTED_VALUE"""),510.0)</f>
        <v>510</v>
      </c>
      <c r="O108" s="180"/>
      <c r="P108" s="180"/>
      <c r="Q108" s="180"/>
      <c r="R108" s="180"/>
      <c r="S108" s="180"/>
      <c r="T108" s="180"/>
      <c r="U108" s="180"/>
      <c r="V108" s="326"/>
      <c r="W108" s="180"/>
      <c r="X108" s="180"/>
      <c r="Y108" s="180"/>
      <c r="Z108" s="180"/>
      <c r="AA108" s="327"/>
      <c r="AB108" s="327"/>
      <c r="AC108" s="327"/>
      <c r="AD108" s="180"/>
      <c r="AE108" s="180"/>
    </row>
    <row r="109">
      <c r="A109" s="198"/>
      <c r="B109" s="198"/>
      <c r="C109" s="198"/>
      <c r="D109" s="198"/>
      <c r="E109" s="198"/>
      <c r="F109" s="198"/>
      <c r="G109" s="39"/>
      <c r="H109" s="180"/>
      <c r="I109" s="198"/>
      <c r="J109" s="198"/>
      <c r="K109" s="198"/>
      <c r="L109" s="180"/>
      <c r="M109" s="331" t="str">
        <f>IFERROR(__xludf.DUMMYFUNCTION("""COMPUTED_VALUE"""),"Model S P100DEurope (excluding UK) &amp; Asia Pacific")</f>
        <v>Model S P100DEurope (excluding UK) &amp; Asia Pacific</v>
      </c>
      <c r="N109" s="331">
        <f>IFERROR(__xludf.DUMMYFUNCTION("""COMPUTED_VALUE"""),483.0)</f>
        <v>483</v>
      </c>
      <c r="O109" s="180"/>
      <c r="P109" s="180"/>
      <c r="Q109" s="180"/>
      <c r="R109" s="180"/>
      <c r="S109" s="180"/>
      <c r="T109" s="180"/>
      <c r="U109" s="180"/>
      <c r="V109" s="326"/>
      <c r="W109" s="180"/>
      <c r="X109" s="180"/>
      <c r="Y109" s="180"/>
      <c r="Z109" s="180"/>
      <c r="AA109" s="327"/>
      <c r="AB109" s="327"/>
      <c r="AC109" s="327"/>
      <c r="AD109" s="180"/>
      <c r="AE109" s="180"/>
    </row>
    <row r="110">
      <c r="A110" s="198"/>
      <c r="B110" s="198"/>
      <c r="C110" s="198"/>
      <c r="D110" s="198"/>
      <c r="E110" s="198"/>
      <c r="F110" s="198"/>
      <c r="G110" s="39"/>
      <c r="H110" s="180"/>
      <c r="I110" s="198"/>
      <c r="J110" s="198"/>
      <c r="K110" s="198"/>
      <c r="L110" s="180"/>
      <c r="M110" s="331" t="str">
        <f>IFERROR(__xludf.DUMMYFUNCTION("""COMPUTED_VALUE"""),"Model X 75DEurope (excluding UK) &amp; Asia Pacific")</f>
        <v>Model X 75DEurope (excluding UK) &amp; Asia Pacific</v>
      </c>
      <c r="N110" s="331">
        <f>IFERROR(__xludf.DUMMYFUNCTION("""COMPUTED_VALUE"""),329.0)</f>
        <v>329</v>
      </c>
      <c r="O110" s="180"/>
      <c r="P110" s="180"/>
      <c r="Q110" s="180"/>
      <c r="R110" s="180"/>
      <c r="S110" s="180"/>
      <c r="T110" s="180"/>
      <c r="U110" s="180"/>
      <c r="V110" s="326"/>
      <c r="W110" s="180"/>
      <c r="X110" s="180"/>
      <c r="Y110" s="180"/>
      <c r="Z110" s="180"/>
      <c r="AA110" s="327"/>
      <c r="AB110" s="327"/>
      <c r="AC110" s="327"/>
      <c r="AD110" s="180"/>
      <c r="AE110" s="180"/>
    </row>
    <row r="111">
      <c r="A111" s="198"/>
      <c r="B111" s="198"/>
      <c r="C111" s="198"/>
      <c r="D111" s="198"/>
      <c r="E111" s="198"/>
      <c r="F111" s="198"/>
      <c r="G111" s="39"/>
      <c r="H111" s="180"/>
      <c r="I111" s="198"/>
      <c r="J111" s="198"/>
      <c r="K111" s="198"/>
      <c r="L111" s="180"/>
      <c r="M111" s="331" t="str">
        <f>IFERROR(__xludf.DUMMYFUNCTION("""COMPUTED_VALUE"""),"Model X 90DEurope (excluding UK) &amp; Asia Pacific")</f>
        <v>Model X 90DEurope (excluding UK) &amp; Asia Pacific</v>
      </c>
      <c r="N111" s="331">
        <f>IFERROR(__xludf.DUMMYFUNCTION("""COMPUTED_VALUE"""),400.0)</f>
        <v>400</v>
      </c>
      <c r="O111" s="180"/>
      <c r="P111" s="180"/>
      <c r="Q111" s="180"/>
      <c r="R111" s="180"/>
      <c r="S111" s="180"/>
      <c r="T111" s="180"/>
      <c r="U111" s="180"/>
      <c r="V111" s="326"/>
      <c r="W111" s="180"/>
      <c r="X111" s="180"/>
      <c r="Y111" s="180"/>
      <c r="Z111" s="180"/>
      <c r="AA111" s="327"/>
      <c r="AB111" s="327"/>
      <c r="AC111" s="327"/>
      <c r="AD111" s="180"/>
      <c r="AE111" s="180"/>
    </row>
    <row r="112">
      <c r="A112" s="198"/>
      <c r="B112" s="198"/>
      <c r="C112" s="198"/>
      <c r="D112" s="198"/>
      <c r="E112" s="198"/>
      <c r="F112" s="198"/>
      <c r="G112" s="39"/>
      <c r="H112" s="180"/>
      <c r="I112" s="198"/>
      <c r="J112" s="198"/>
      <c r="K112" s="198"/>
      <c r="L112" s="180"/>
      <c r="M112" s="331" t="str">
        <f>IFERROR(__xludf.DUMMYFUNCTION("""COMPUTED_VALUE"""),"Model X P90DEurope (excluding UK) &amp; Asia Pacific")</f>
        <v>Model X P90DEurope (excluding UK) &amp; Asia Pacific</v>
      </c>
      <c r="N112" s="331">
        <f>IFERROR(__xludf.DUMMYFUNCTION("""COMPUTED_VALUE"""),379.0)</f>
        <v>379</v>
      </c>
      <c r="O112" s="180"/>
      <c r="P112" s="180"/>
      <c r="Q112" s="180"/>
      <c r="R112" s="180"/>
      <c r="S112" s="180"/>
      <c r="T112" s="180"/>
      <c r="U112" s="180"/>
      <c r="V112" s="326"/>
      <c r="W112" s="180"/>
      <c r="X112" s="180"/>
      <c r="Y112" s="180"/>
      <c r="Z112" s="180"/>
      <c r="AA112" s="327"/>
      <c r="AB112" s="327"/>
      <c r="AC112" s="327"/>
      <c r="AD112" s="180"/>
      <c r="AE112" s="180"/>
    </row>
    <row r="113">
      <c r="A113" s="198"/>
      <c r="B113" s="198"/>
      <c r="C113" s="198"/>
      <c r="D113" s="198"/>
      <c r="E113" s="198"/>
      <c r="F113" s="198"/>
      <c r="G113" s="39"/>
      <c r="H113" s="180"/>
      <c r="I113" s="198"/>
      <c r="J113" s="198"/>
      <c r="K113" s="198"/>
      <c r="L113" s="180"/>
      <c r="M113" s="331" t="str">
        <f>IFERROR(__xludf.DUMMYFUNCTION("""COMPUTED_VALUE"""),"Model X 100DEurope (excluding UK) &amp; Asia Pacific")</f>
        <v>Model X 100DEurope (excluding UK) &amp; Asia Pacific</v>
      </c>
      <c r="N113" s="331">
        <f>IFERROR(__xludf.DUMMYFUNCTION("""COMPUTED_VALUE"""),448.0)</f>
        <v>448</v>
      </c>
      <c r="O113" s="180"/>
      <c r="P113" s="180"/>
      <c r="Q113" s="180"/>
      <c r="R113" s="180"/>
      <c r="S113" s="180"/>
      <c r="T113" s="180"/>
      <c r="U113" s="180"/>
      <c r="V113" s="326"/>
      <c r="W113" s="180"/>
      <c r="X113" s="180"/>
      <c r="Y113" s="180"/>
      <c r="Z113" s="180"/>
      <c r="AA113" s="327"/>
      <c r="AB113" s="327"/>
      <c r="AC113" s="327"/>
      <c r="AD113" s="180"/>
      <c r="AE113" s="180"/>
    </row>
    <row r="114">
      <c r="A114" s="198"/>
      <c r="B114" s="198"/>
      <c r="C114" s="198"/>
      <c r="D114" s="198"/>
      <c r="E114" s="198"/>
      <c r="F114" s="198"/>
      <c r="G114" s="39"/>
      <c r="H114" s="180"/>
      <c r="I114" s="198"/>
      <c r="J114" s="198"/>
      <c r="K114" s="198"/>
      <c r="L114" s="180"/>
      <c r="M114" s="331" t="str">
        <f>IFERROR(__xludf.DUMMYFUNCTION("""COMPUTED_VALUE"""),"Model 3 LREurope (excluding UK) &amp; Asia Pacific")</f>
        <v>Model 3 LREurope (excluding UK) &amp; Asia Pacific</v>
      </c>
      <c r="N114" s="331">
        <f>IFERROR(__xludf.DUMMYFUNCTION("""COMPUTED_VALUE"""),544.0)</f>
        <v>544</v>
      </c>
      <c r="O114" s="180"/>
      <c r="P114" s="180"/>
      <c r="Q114" s="180"/>
      <c r="R114" s="180"/>
      <c r="S114" s="180"/>
      <c r="T114" s="180"/>
      <c r="U114" s="180"/>
      <c r="V114" s="326"/>
      <c r="W114" s="180"/>
      <c r="X114" s="180"/>
      <c r="Y114" s="180"/>
      <c r="Z114" s="180"/>
      <c r="AA114" s="327"/>
      <c r="AB114" s="327"/>
      <c r="AC114" s="327"/>
      <c r="AD114" s="180"/>
      <c r="AE114" s="180"/>
    </row>
    <row r="115">
      <c r="A115" s="198"/>
      <c r="B115" s="198"/>
      <c r="C115" s="198"/>
      <c r="D115" s="198"/>
      <c r="E115" s="198"/>
      <c r="F115" s="198"/>
      <c r="G115" s="39"/>
      <c r="H115" s="180"/>
      <c r="I115" s="198"/>
      <c r="J115" s="198"/>
      <c r="K115" s="198"/>
      <c r="L115" s="180"/>
      <c r="M115" s="331" t="str">
        <f>IFERROR(__xludf.DUMMYFUNCTION("""COMPUTED_VALUE"""),"Model 3 LR AWDEurope (excluding UK) &amp; Asia Pacific")</f>
        <v>Model 3 LR AWDEurope (excluding UK) &amp; Asia Pacific</v>
      </c>
      <c r="N115" s="331">
        <f>IFERROR(__xludf.DUMMYFUNCTION("""COMPUTED_VALUE"""),544.0)</f>
        <v>544</v>
      </c>
      <c r="O115" s="180"/>
      <c r="P115" s="180"/>
      <c r="Q115" s="180"/>
      <c r="R115" s="180"/>
      <c r="S115" s="180"/>
      <c r="T115" s="180"/>
      <c r="U115" s="180"/>
      <c r="V115" s="326"/>
      <c r="W115" s="180"/>
      <c r="X115" s="180"/>
      <c r="Y115" s="180"/>
      <c r="Z115" s="180"/>
      <c r="AA115" s="327"/>
      <c r="AB115" s="327"/>
      <c r="AC115" s="327"/>
      <c r="AD115" s="180"/>
      <c r="AE115" s="180"/>
    </row>
    <row r="116">
      <c r="A116" s="198"/>
      <c r="B116" s="198"/>
      <c r="C116" s="198"/>
      <c r="D116" s="198"/>
      <c r="E116" s="198"/>
      <c r="F116" s="198"/>
      <c r="G116" s="39"/>
      <c r="H116" s="180"/>
      <c r="I116" s="198"/>
      <c r="J116" s="198"/>
      <c r="K116" s="198"/>
      <c r="L116" s="180"/>
      <c r="M116" s="331" t="str">
        <f>IFERROR(__xludf.DUMMYFUNCTION("""COMPUTED_VALUE"""),"Model 3 PEurope (excluding UK) &amp; Asia Pacific")</f>
        <v>Model 3 PEurope (excluding UK) &amp; Asia Pacific</v>
      </c>
      <c r="N116" s="331">
        <f>IFERROR(__xludf.DUMMYFUNCTION("""COMPUTED_VALUE"""),530.0)</f>
        <v>530</v>
      </c>
      <c r="O116" s="180"/>
      <c r="P116" s="180"/>
      <c r="Q116" s="180"/>
      <c r="R116" s="180"/>
      <c r="S116" s="180"/>
      <c r="T116" s="180"/>
      <c r="U116" s="180"/>
      <c r="V116" s="326"/>
      <c r="W116" s="180"/>
      <c r="X116" s="180"/>
      <c r="Y116" s="180"/>
      <c r="Z116" s="180"/>
      <c r="AA116" s="327"/>
      <c r="AB116" s="327"/>
      <c r="AC116" s="327"/>
      <c r="AD116" s="180"/>
      <c r="AE116" s="180"/>
    </row>
    <row r="117">
      <c r="A117" s="198"/>
      <c r="B117" s="198"/>
      <c r="C117" s="198"/>
      <c r="D117" s="198"/>
      <c r="E117" s="198"/>
      <c r="F117" s="198"/>
      <c r="G117" s="39"/>
      <c r="H117" s="180"/>
      <c r="I117" s="198"/>
      <c r="J117" s="198"/>
      <c r="K117" s="198"/>
      <c r="L117" s="180"/>
      <c r="M117" s="331" t="str">
        <f>IFERROR(__xludf.DUMMYFUNCTION("""COMPUTED_VALUE"""),"Model 3 MREurope (excluding UK) &amp; Asia Pacific")</f>
        <v>Model 3 MREurope (excluding UK) &amp; Asia Pacific</v>
      </c>
      <c r="N117" s="331">
        <f>IFERROR(__xludf.DUMMYFUNCTION("""COMPUTED_VALUE"""),455.0)</f>
        <v>455</v>
      </c>
      <c r="O117" s="180"/>
      <c r="P117" s="180"/>
      <c r="Q117" s="180"/>
      <c r="R117" s="180"/>
      <c r="S117" s="180"/>
      <c r="T117" s="180"/>
      <c r="U117" s="180"/>
      <c r="V117" s="326"/>
      <c r="W117" s="180"/>
      <c r="X117" s="180"/>
      <c r="Y117" s="180"/>
      <c r="Z117" s="180"/>
      <c r="AA117" s="327"/>
      <c r="AB117" s="327"/>
      <c r="AC117" s="327"/>
      <c r="AD117" s="180"/>
      <c r="AE117" s="180"/>
    </row>
    <row r="118">
      <c r="A118" s="198"/>
      <c r="B118" s="198"/>
      <c r="C118" s="198"/>
      <c r="D118" s="198"/>
      <c r="E118" s="198"/>
      <c r="F118" s="198"/>
      <c r="G118" s="39"/>
      <c r="H118" s="180"/>
      <c r="I118" s="198"/>
      <c r="J118" s="198"/>
      <c r="K118" s="198"/>
      <c r="L118" s="180"/>
      <c r="M118" s="331" t="str">
        <f>IFERROR(__xludf.DUMMYFUNCTION("""COMPUTED_VALUE"""),"Model 3 SREurope (excluding UK) &amp; Asia Pacific")</f>
        <v>Model 3 SREurope (excluding UK) &amp; Asia Pacific</v>
      </c>
      <c r="N118" s="331">
        <f>IFERROR(__xludf.DUMMYFUNCTION("""COMPUTED_VALUE"""),374.0)</f>
        <v>374</v>
      </c>
      <c r="O118" s="180"/>
      <c r="P118" s="180"/>
      <c r="Q118" s="180"/>
      <c r="R118" s="180"/>
      <c r="S118" s="180"/>
      <c r="T118" s="180"/>
      <c r="U118" s="180"/>
      <c r="V118" s="326"/>
      <c r="W118" s="180"/>
      <c r="X118" s="180"/>
      <c r="Y118" s="180"/>
      <c r="Z118" s="180"/>
      <c r="AA118" s="327"/>
      <c r="AB118" s="327"/>
      <c r="AC118" s="327"/>
      <c r="AD118" s="180"/>
      <c r="AE118" s="180"/>
    </row>
    <row r="119">
      <c r="A119" s="198"/>
      <c r="B119" s="198"/>
      <c r="C119" s="198"/>
      <c r="D119" s="198"/>
      <c r="E119" s="198"/>
      <c r="F119" s="198"/>
      <c r="G119" s="39"/>
      <c r="H119" s="180"/>
      <c r="I119" s="198"/>
      <c r="J119" s="198"/>
      <c r="K119" s="198"/>
      <c r="L119" s="180"/>
      <c r="M119" s="331" t="str">
        <f>IFERROR(__xludf.DUMMYFUNCTION("""COMPUTED_VALUE"""),"Model 3 SR+Europe (excluding UK) &amp; Asia Pacific")</f>
        <v>Model 3 SR+Europe (excluding UK) &amp; Asia Pacific</v>
      </c>
      <c r="N119" s="331">
        <f>IFERROR(__xludf.DUMMYFUNCTION("""COMPUTED_VALUE"""),415.0)</f>
        <v>415</v>
      </c>
      <c r="O119" s="180"/>
      <c r="P119" s="180"/>
      <c r="Q119" s="180"/>
      <c r="R119" s="180"/>
      <c r="S119" s="180"/>
      <c r="T119" s="180"/>
      <c r="U119" s="180"/>
      <c r="V119" s="326"/>
      <c r="W119" s="180"/>
      <c r="X119" s="180"/>
      <c r="Y119" s="180"/>
      <c r="Z119" s="180"/>
      <c r="AA119" s="327"/>
      <c r="AB119" s="327"/>
      <c r="AC119" s="327"/>
      <c r="AD119" s="180"/>
      <c r="AE119" s="180"/>
    </row>
    <row r="120">
      <c r="A120" s="198"/>
      <c r="B120" s="198"/>
      <c r="C120" s="198"/>
      <c r="D120" s="198"/>
      <c r="E120" s="198"/>
      <c r="F120" s="198"/>
      <c r="G120" s="39"/>
      <c r="H120" s="180"/>
      <c r="I120" s="198"/>
      <c r="J120" s="198"/>
      <c r="K120" s="198"/>
      <c r="L120" s="180"/>
      <c r="M120" s="331"/>
      <c r="N120" s="331"/>
      <c r="O120" s="180"/>
      <c r="P120" s="180"/>
      <c r="Q120" s="180"/>
      <c r="R120" s="180"/>
      <c r="S120" s="180"/>
      <c r="T120" s="180"/>
      <c r="U120" s="180"/>
      <c r="V120" s="326"/>
      <c r="W120" s="180"/>
      <c r="X120" s="180"/>
      <c r="Y120" s="180"/>
      <c r="Z120" s="180"/>
      <c r="AA120" s="327"/>
      <c r="AB120" s="327"/>
      <c r="AC120" s="327"/>
      <c r="AD120" s="180"/>
      <c r="AE120" s="180"/>
    </row>
    <row r="121">
      <c r="A121" s="198"/>
      <c r="B121" s="198"/>
      <c r="C121" s="198"/>
      <c r="D121" s="198"/>
      <c r="E121" s="198"/>
      <c r="F121" s="198"/>
      <c r="G121" s="39"/>
      <c r="H121" s="180"/>
      <c r="I121" s="198"/>
      <c r="J121" s="198"/>
      <c r="K121" s="198"/>
      <c r="L121" s="180"/>
      <c r="M121" s="331"/>
      <c r="N121" s="331"/>
      <c r="O121" s="180"/>
      <c r="P121" s="180"/>
      <c r="Q121" s="180"/>
      <c r="R121" s="180"/>
      <c r="S121" s="180"/>
      <c r="T121" s="180"/>
      <c r="U121" s="180"/>
      <c r="V121" s="326"/>
      <c r="W121" s="180"/>
      <c r="X121" s="180"/>
      <c r="Y121" s="180"/>
      <c r="Z121" s="180"/>
      <c r="AA121" s="327"/>
      <c r="AB121" s="327"/>
      <c r="AC121" s="327"/>
      <c r="AD121" s="180"/>
      <c r="AE121" s="180"/>
    </row>
    <row r="122">
      <c r="A122" s="198"/>
      <c r="B122" s="198"/>
      <c r="C122" s="198"/>
      <c r="D122" s="198"/>
      <c r="E122" s="198"/>
      <c r="F122" s="198"/>
      <c r="G122" s="39"/>
      <c r="H122" s="180"/>
      <c r="I122" s="198"/>
      <c r="J122" s="198"/>
      <c r="K122" s="198"/>
      <c r="L122" s="180"/>
      <c r="M122" s="331"/>
      <c r="N122" s="331"/>
      <c r="O122" s="180"/>
      <c r="P122" s="180"/>
      <c r="Q122" s="180"/>
      <c r="R122" s="180"/>
      <c r="S122" s="180"/>
      <c r="T122" s="180"/>
      <c r="U122" s="180"/>
      <c r="V122" s="326"/>
      <c r="W122" s="180"/>
      <c r="X122" s="180"/>
      <c r="Y122" s="180"/>
      <c r="Z122" s="180"/>
      <c r="AA122" s="327"/>
      <c r="AB122" s="327"/>
      <c r="AC122" s="327"/>
      <c r="AD122" s="180"/>
      <c r="AE122" s="180"/>
    </row>
    <row r="123">
      <c r="A123" s="198"/>
      <c r="B123" s="198"/>
      <c r="C123" s="198"/>
      <c r="D123" s="198"/>
      <c r="E123" s="198"/>
      <c r="F123" s="198"/>
      <c r="G123" s="39"/>
      <c r="H123" s="180"/>
      <c r="I123" s="198"/>
      <c r="J123" s="198"/>
      <c r="K123" s="198"/>
      <c r="L123" s="180"/>
      <c r="M123" s="331"/>
      <c r="N123" s="331"/>
      <c r="O123" s="180"/>
      <c r="P123" s="180"/>
      <c r="Q123" s="180"/>
      <c r="R123" s="180"/>
      <c r="S123" s="180"/>
      <c r="T123" s="180"/>
      <c r="U123" s="180"/>
      <c r="V123" s="326"/>
      <c r="W123" s="180"/>
      <c r="X123" s="180"/>
      <c r="Y123" s="180"/>
      <c r="Z123" s="180"/>
      <c r="AA123" s="327"/>
      <c r="AB123" s="327"/>
      <c r="AC123" s="327"/>
      <c r="AD123" s="180"/>
      <c r="AE123" s="180"/>
    </row>
    <row r="124">
      <c r="A124" s="198"/>
      <c r="B124" s="198"/>
      <c r="C124" s="198"/>
      <c r="D124" s="198"/>
      <c r="E124" s="198"/>
      <c r="F124" s="198"/>
      <c r="G124" s="39"/>
      <c r="H124" s="180"/>
      <c r="I124" s="198"/>
      <c r="J124" s="198"/>
      <c r="K124" s="198"/>
      <c r="L124" s="180"/>
      <c r="M124" s="331"/>
      <c r="N124" s="331"/>
      <c r="O124" s="180"/>
      <c r="P124" s="180"/>
      <c r="Q124" s="180"/>
      <c r="R124" s="180"/>
      <c r="S124" s="180"/>
      <c r="T124" s="180"/>
      <c r="U124" s="180"/>
      <c r="V124" s="326"/>
      <c r="W124" s="180"/>
      <c r="X124" s="180"/>
      <c r="Y124" s="180"/>
      <c r="Z124" s="180"/>
      <c r="AA124" s="327"/>
      <c r="AB124" s="327"/>
      <c r="AC124" s="327"/>
      <c r="AD124" s="180"/>
      <c r="AE124" s="180"/>
    </row>
    <row r="125">
      <c r="A125" s="198"/>
      <c r="B125" s="198"/>
      <c r="C125" s="198"/>
      <c r="D125" s="198"/>
      <c r="E125" s="198"/>
      <c r="F125" s="198"/>
      <c r="G125" s="39"/>
      <c r="H125" s="180"/>
      <c r="I125" s="198"/>
      <c r="J125" s="198"/>
      <c r="K125" s="198"/>
      <c r="L125" s="180"/>
      <c r="M125" s="331"/>
      <c r="N125" s="331"/>
      <c r="O125" s="180"/>
      <c r="P125" s="180"/>
      <c r="Q125" s="180"/>
      <c r="R125" s="180"/>
      <c r="S125" s="180"/>
      <c r="T125" s="180"/>
      <c r="U125" s="180"/>
      <c r="V125" s="326"/>
      <c r="W125" s="180"/>
      <c r="X125" s="180"/>
      <c r="Y125" s="180"/>
      <c r="Z125" s="180"/>
      <c r="AA125" s="327"/>
      <c r="AB125" s="327"/>
      <c r="AC125" s="327"/>
      <c r="AD125" s="180"/>
      <c r="AE125" s="180"/>
    </row>
    <row r="126">
      <c r="A126" s="198"/>
      <c r="B126" s="198"/>
      <c r="C126" s="198"/>
      <c r="D126" s="198"/>
      <c r="E126" s="198"/>
      <c r="F126" s="198"/>
      <c r="G126" s="39"/>
      <c r="H126" s="180"/>
      <c r="I126" s="198"/>
      <c r="J126" s="198"/>
      <c r="K126" s="198"/>
      <c r="L126" s="180"/>
      <c r="M126" s="331"/>
      <c r="N126" s="331"/>
      <c r="O126" s="180"/>
      <c r="P126" s="180"/>
      <c r="Q126" s="180"/>
      <c r="R126" s="180"/>
      <c r="S126" s="180"/>
      <c r="T126" s="180"/>
      <c r="U126" s="180"/>
      <c r="V126" s="326"/>
      <c r="W126" s="180"/>
      <c r="X126" s="180"/>
      <c r="Y126" s="180"/>
      <c r="Z126" s="180"/>
      <c r="AA126" s="327"/>
      <c r="AB126" s="327"/>
      <c r="AC126" s="327"/>
      <c r="AD126" s="180"/>
      <c r="AE126" s="180"/>
    </row>
    <row r="127">
      <c r="A127" s="198"/>
      <c r="B127" s="198"/>
      <c r="C127" s="198"/>
      <c r="D127" s="198"/>
      <c r="E127" s="198"/>
      <c r="F127" s="198"/>
      <c r="G127" s="39"/>
      <c r="H127" s="180"/>
      <c r="I127" s="198"/>
      <c r="J127" s="198"/>
      <c r="K127" s="198"/>
      <c r="L127" s="180"/>
      <c r="M127" s="331"/>
      <c r="N127" s="331"/>
      <c r="O127" s="180"/>
      <c r="P127" s="180"/>
      <c r="Q127" s="180"/>
      <c r="R127" s="180"/>
      <c r="S127" s="180"/>
      <c r="T127" s="180"/>
      <c r="U127" s="180"/>
      <c r="V127" s="326"/>
      <c r="W127" s="180"/>
      <c r="X127" s="180"/>
      <c r="Y127" s="180"/>
      <c r="Z127" s="180"/>
      <c r="AA127" s="327"/>
      <c r="AB127" s="327"/>
      <c r="AC127" s="327"/>
      <c r="AD127" s="180"/>
      <c r="AE127" s="180"/>
    </row>
    <row r="128">
      <c r="A128" s="198"/>
      <c r="B128" s="198"/>
      <c r="C128" s="198"/>
      <c r="D128" s="198"/>
      <c r="E128" s="198"/>
      <c r="F128" s="198"/>
      <c r="G128" s="39"/>
      <c r="H128" s="180"/>
      <c r="I128" s="198"/>
      <c r="J128" s="198"/>
      <c r="K128" s="198"/>
      <c r="L128" s="180"/>
      <c r="M128" s="331"/>
      <c r="N128" s="331"/>
      <c r="O128" s="180"/>
      <c r="P128" s="180"/>
      <c r="Q128" s="180"/>
      <c r="R128" s="180"/>
      <c r="S128" s="180"/>
      <c r="T128" s="180"/>
      <c r="U128" s="180"/>
      <c r="V128" s="326"/>
      <c r="W128" s="180"/>
      <c r="X128" s="180"/>
      <c r="Y128" s="180"/>
      <c r="Z128" s="180"/>
      <c r="AA128" s="327"/>
      <c r="AB128" s="327"/>
      <c r="AC128" s="327"/>
      <c r="AD128" s="180"/>
      <c r="AE128" s="180"/>
    </row>
    <row r="129">
      <c r="A129" s="198"/>
      <c r="B129" s="198"/>
      <c r="C129" s="198"/>
      <c r="D129" s="198"/>
      <c r="E129" s="198"/>
      <c r="F129" s="198"/>
      <c r="G129" s="39"/>
      <c r="H129" s="180"/>
      <c r="I129" s="198"/>
      <c r="J129" s="198"/>
      <c r="K129" s="198"/>
      <c r="L129" s="180"/>
      <c r="M129" s="331"/>
      <c r="N129" s="331"/>
      <c r="O129" s="180"/>
      <c r="P129" s="180"/>
      <c r="Q129" s="180"/>
      <c r="R129" s="180"/>
      <c r="S129" s="180"/>
      <c r="T129" s="180"/>
      <c r="U129" s="180"/>
      <c r="V129" s="326"/>
      <c r="W129" s="180"/>
      <c r="X129" s="180"/>
      <c r="Y129" s="180"/>
      <c r="Z129" s="180"/>
      <c r="AA129" s="327"/>
      <c r="AB129" s="327"/>
      <c r="AC129" s="327"/>
      <c r="AD129" s="180"/>
      <c r="AE129" s="180"/>
    </row>
    <row r="130">
      <c r="A130" s="198"/>
      <c r="B130" s="198"/>
      <c r="C130" s="198"/>
      <c r="D130" s="198"/>
      <c r="E130" s="198"/>
      <c r="F130" s="198"/>
      <c r="G130" s="39"/>
      <c r="H130" s="180"/>
      <c r="I130" s="198"/>
      <c r="J130" s="198"/>
      <c r="K130" s="198"/>
      <c r="L130" s="180"/>
      <c r="M130" s="331"/>
      <c r="N130" s="331"/>
      <c r="O130" s="180"/>
      <c r="P130" s="180"/>
      <c r="Q130" s="180"/>
      <c r="R130" s="180"/>
      <c r="S130" s="180"/>
      <c r="T130" s="180"/>
      <c r="U130" s="180"/>
      <c r="V130" s="326"/>
      <c r="W130" s="180"/>
      <c r="X130" s="180"/>
      <c r="Y130" s="180"/>
      <c r="Z130" s="180"/>
      <c r="AA130" s="327"/>
      <c r="AB130" s="327"/>
      <c r="AC130" s="327"/>
      <c r="AD130" s="180"/>
      <c r="AE130" s="180"/>
    </row>
    <row r="131">
      <c r="A131" s="198"/>
      <c r="B131" s="198"/>
      <c r="C131" s="198"/>
      <c r="D131" s="198"/>
      <c r="E131" s="198"/>
      <c r="F131" s="198"/>
      <c r="G131" s="39"/>
      <c r="H131" s="180"/>
      <c r="I131" s="198"/>
      <c r="J131" s="198"/>
      <c r="K131" s="198"/>
      <c r="L131" s="180"/>
      <c r="M131" s="331"/>
      <c r="N131" s="331"/>
      <c r="O131" s="180"/>
      <c r="P131" s="180"/>
      <c r="Q131" s="180"/>
      <c r="R131" s="180"/>
      <c r="S131" s="180"/>
      <c r="T131" s="180"/>
      <c r="U131" s="180"/>
      <c r="V131" s="326"/>
      <c r="W131" s="180"/>
      <c r="X131" s="180"/>
      <c r="Y131" s="180"/>
      <c r="Z131" s="180"/>
      <c r="AA131" s="327"/>
      <c r="AB131" s="327"/>
      <c r="AC131" s="327"/>
      <c r="AD131" s="180"/>
      <c r="AE131" s="180"/>
    </row>
    <row r="132">
      <c r="A132" s="198"/>
      <c r="B132" s="198"/>
      <c r="C132" s="198"/>
      <c r="D132" s="198"/>
      <c r="E132" s="198"/>
      <c r="F132" s="198"/>
      <c r="G132" s="39"/>
      <c r="H132" s="180"/>
      <c r="I132" s="198"/>
      <c r="J132" s="198"/>
      <c r="K132" s="198"/>
      <c r="L132" s="180"/>
      <c r="M132" s="331"/>
      <c r="N132" s="331"/>
      <c r="O132" s="180"/>
      <c r="P132" s="180"/>
      <c r="Q132" s="180"/>
      <c r="R132" s="180"/>
      <c r="S132" s="180"/>
      <c r="T132" s="180"/>
      <c r="U132" s="180"/>
      <c r="V132" s="326"/>
      <c r="W132" s="180"/>
      <c r="X132" s="180"/>
      <c r="Y132" s="180"/>
      <c r="Z132" s="180"/>
      <c r="AA132" s="327"/>
      <c r="AB132" s="327"/>
      <c r="AC132" s="327"/>
      <c r="AD132" s="180"/>
      <c r="AE132" s="180"/>
    </row>
    <row r="133">
      <c r="A133" s="198"/>
      <c r="B133" s="198"/>
      <c r="C133" s="198"/>
      <c r="D133" s="198"/>
      <c r="E133" s="198"/>
      <c r="F133" s="198"/>
      <c r="G133" s="39"/>
      <c r="H133" s="180"/>
      <c r="I133" s="198"/>
      <c r="J133" s="198"/>
      <c r="K133" s="198"/>
      <c r="L133" s="180"/>
      <c r="M133" s="331"/>
      <c r="N133" s="331"/>
      <c r="O133" s="180"/>
      <c r="P133" s="180"/>
      <c r="Q133" s="180"/>
      <c r="R133" s="180"/>
      <c r="S133" s="180"/>
      <c r="T133" s="180"/>
      <c r="U133" s="180"/>
      <c r="V133" s="326"/>
      <c r="W133" s="180"/>
      <c r="X133" s="180"/>
      <c r="Y133" s="180"/>
      <c r="Z133" s="180"/>
      <c r="AA133" s="327"/>
      <c r="AB133" s="327"/>
      <c r="AC133" s="327"/>
      <c r="AD133" s="180"/>
      <c r="AE133" s="180"/>
    </row>
    <row r="134">
      <c r="A134" s="198"/>
      <c r="B134" s="198"/>
      <c r="C134" s="198"/>
      <c r="D134" s="198"/>
      <c r="E134" s="198"/>
      <c r="F134" s="198"/>
      <c r="G134" s="39"/>
      <c r="H134" s="180"/>
      <c r="I134" s="198"/>
      <c r="J134" s="198"/>
      <c r="K134" s="198"/>
      <c r="L134" s="180"/>
      <c r="M134" s="331"/>
      <c r="N134" s="331"/>
      <c r="O134" s="180"/>
      <c r="P134" s="180"/>
      <c r="Q134" s="180"/>
      <c r="R134" s="180"/>
      <c r="S134" s="180"/>
      <c r="T134" s="180"/>
      <c r="U134" s="180"/>
      <c r="V134" s="326"/>
      <c r="W134" s="180"/>
      <c r="X134" s="180"/>
      <c r="Y134" s="180"/>
      <c r="Z134" s="180"/>
      <c r="AA134" s="327"/>
      <c r="AB134" s="327"/>
      <c r="AC134" s="327"/>
      <c r="AD134" s="180"/>
      <c r="AE134" s="180"/>
    </row>
    <row r="135">
      <c r="A135" s="198"/>
      <c r="B135" s="198"/>
      <c r="C135" s="198"/>
      <c r="D135" s="198"/>
      <c r="E135" s="198"/>
      <c r="F135" s="198"/>
      <c r="G135" s="39"/>
      <c r="H135" s="180"/>
      <c r="I135" s="198"/>
      <c r="J135" s="198"/>
      <c r="K135" s="198"/>
      <c r="L135" s="180"/>
      <c r="M135" s="331"/>
      <c r="N135" s="331"/>
      <c r="O135" s="180"/>
      <c r="P135" s="180"/>
      <c r="Q135" s="180"/>
      <c r="R135" s="180"/>
      <c r="S135" s="180"/>
      <c r="T135" s="180"/>
      <c r="U135" s="180"/>
      <c r="V135" s="326"/>
      <c r="W135" s="180"/>
      <c r="X135" s="180"/>
      <c r="Y135" s="180"/>
      <c r="Z135" s="180"/>
      <c r="AA135" s="327"/>
      <c r="AB135" s="327"/>
      <c r="AC135" s="327"/>
      <c r="AD135" s="180"/>
      <c r="AE135" s="180"/>
    </row>
    <row r="136">
      <c r="A136" s="198"/>
      <c r="B136" s="198"/>
      <c r="C136" s="198"/>
      <c r="D136" s="198"/>
      <c r="E136" s="198"/>
      <c r="F136" s="198"/>
      <c r="G136" s="39"/>
      <c r="H136" s="180"/>
      <c r="I136" s="198"/>
      <c r="J136" s="198"/>
      <c r="K136" s="198"/>
      <c r="L136" s="180"/>
      <c r="M136" s="331"/>
      <c r="N136" s="331"/>
      <c r="O136" s="180"/>
      <c r="P136" s="180"/>
      <c r="Q136" s="180"/>
      <c r="R136" s="180"/>
      <c r="S136" s="180"/>
      <c r="T136" s="180"/>
      <c r="U136" s="180"/>
      <c r="V136" s="326"/>
      <c r="W136" s="180"/>
      <c r="X136" s="180"/>
      <c r="Y136" s="180"/>
      <c r="Z136" s="180"/>
      <c r="AA136" s="327"/>
      <c r="AB136" s="327"/>
      <c r="AC136" s="327"/>
      <c r="AD136" s="180"/>
      <c r="AE136" s="180"/>
    </row>
    <row r="137">
      <c r="A137" s="198"/>
      <c r="B137" s="198"/>
      <c r="C137" s="198"/>
      <c r="D137" s="198"/>
      <c r="E137" s="198"/>
      <c r="F137" s="198"/>
      <c r="G137" s="39"/>
      <c r="H137" s="180"/>
      <c r="I137" s="198"/>
      <c r="J137" s="198"/>
      <c r="K137" s="198"/>
      <c r="L137" s="180"/>
      <c r="M137" s="331"/>
      <c r="N137" s="331"/>
      <c r="O137" s="180"/>
      <c r="P137" s="180"/>
      <c r="Q137" s="180"/>
      <c r="R137" s="180"/>
      <c r="S137" s="180"/>
      <c r="T137" s="180"/>
      <c r="U137" s="180"/>
      <c r="V137" s="326"/>
      <c r="W137" s="180"/>
      <c r="X137" s="180"/>
      <c r="Y137" s="180"/>
      <c r="Z137" s="180"/>
      <c r="AA137" s="327"/>
      <c r="AB137" s="327"/>
      <c r="AC137" s="327"/>
      <c r="AD137" s="180"/>
      <c r="AE137" s="180"/>
    </row>
    <row r="138">
      <c r="A138" s="198"/>
      <c r="B138" s="198"/>
      <c r="C138" s="198"/>
      <c r="D138" s="198"/>
      <c r="E138" s="198"/>
      <c r="F138" s="198"/>
      <c r="G138" s="39"/>
      <c r="H138" s="180"/>
      <c r="I138" s="198"/>
      <c r="J138" s="198"/>
      <c r="K138" s="198"/>
      <c r="L138" s="180"/>
      <c r="M138" s="331"/>
      <c r="N138" s="331"/>
      <c r="O138" s="180"/>
      <c r="P138" s="180"/>
      <c r="Q138" s="180"/>
      <c r="R138" s="180"/>
      <c r="S138" s="180"/>
      <c r="T138" s="180"/>
      <c r="U138" s="180"/>
      <c r="V138" s="326"/>
      <c r="W138" s="180"/>
      <c r="X138" s="180"/>
      <c r="Y138" s="180"/>
      <c r="Z138" s="180"/>
      <c r="AA138" s="327"/>
      <c r="AB138" s="327"/>
      <c r="AC138" s="327"/>
      <c r="AD138" s="180"/>
      <c r="AE138" s="180"/>
    </row>
    <row r="139">
      <c r="A139" s="198"/>
      <c r="B139" s="198"/>
      <c r="C139" s="198"/>
      <c r="D139" s="198"/>
      <c r="E139" s="198"/>
      <c r="F139" s="198"/>
      <c r="G139" s="39"/>
      <c r="H139" s="180"/>
      <c r="I139" s="198"/>
      <c r="J139" s="198"/>
      <c r="K139" s="198"/>
      <c r="L139" s="180"/>
      <c r="M139" s="331"/>
      <c r="N139" s="331"/>
      <c r="O139" s="180"/>
      <c r="P139" s="180"/>
      <c r="Q139" s="180"/>
      <c r="R139" s="180"/>
      <c r="S139" s="180"/>
      <c r="T139" s="180"/>
      <c r="U139" s="180"/>
      <c r="V139" s="326"/>
      <c r="W139" s="180"/>
      <c r="X139" s="180"/>
      <c r="Y139" s="180"/>
      <c r="Z139" s="180"/>
      <c r="AA139" s="327"/>
      <c r="AB139" s="327"/>
      <c r="AC139" s="327"/>
      <c r="AD139" s="180"/>
      <c r="AE139" s="180"/>
    </row>
    <row r="140">
      <c r="A140" s="198"/>
      <c r="B140" s="198"/>
      <c r="C140" s="198"/>
      <c r="D140" s="198"/>
      <c r="E140" s="198"/>
      <c r="F140" s="198"/>
      <c r="G140" s="39"/>
      <c r="H140" s="180"/>
      <c r="I140" s="198"/>
      <c r="J140" s="198"/>
      <c r="K140" s="198"/>
      <c r="L140" s="180"/>
      <c r="M140" s="331"/>
      <c r="N140" s="331"/>
      <c r="O140" s="180"/>
      <c r="P140" s="180"/>
      <c r="Q140" s="180"/>
      <c r="R140" s="180"/>
      <c r="S140" s="180"/>
      <c r="T140" s="180"/>
      <c r="U140" s="180"/>
      <c r="V140" s="326"/>
      <c r="W140" s="180"/>
      <c r="X140" s="180"/>
      <c r="Y140" s="180"/>
      <c r="Z140" s="180"/>
      <c r="AA140" s="327"/>
      <c r="AB140" s="327"/>
      <c r="AC140" s="327"/>
      <c r="AD140" s="180"/>
      <c r="AE140" s="180"/>
    </row>
    <row r="141">
      <c r="A141" s="198"/>
      <c r="B141" s="198"/>
      <c r="C141" s="198"/>
      <c r="D141" s="198"/>
      <c r="E141" s="198"/>
      <c r="F141" s="198"/>
      <c r="G141" s="39"/>
      <c r="H141" s="180"/>
      <c r="I141" s="198"/>
      <c r="J141" s="198"/>
      <c r="K141" s="198"/>
      <c r="L141" s="180"/>
      <c r="M141" s="331"/>
      <c r="N141" s="331"/>
      <c r="O141" s="180"/>
      <c r="P141" s="180"/>
      <c r="Q141" s="180"/>
      <c r="R141" s="180"/>
      <c r="S141" s="180"/>
      <c r="T141" s="180"/>
      <c r="U141" s="180"/>
      <c r="V141" s="326"/>
      <c r="W141" s="180"/>
      <c r="X141" s="180"/>
      <c r="Y141" s="180"/>
      <c r="Z141" s="180"/>
      <c r="AA141" s="327"/>
      <c r="AB141" s="327"/>
      <c r="AC141" s="327"/>
      <c r="AD141" s="180"/>
      <c r="AE141" s="180"/>
    </row>
    <row r="142">
      <c r="A142" s="198"/>
      <c r="B142" s="198"/>
      <c r="C142" s="198"/>
      <c r="D142" s="198"/>
      <c r="E142" s="198"/>
      <c r="F142" s="198"/>
      <c r="G142" s="39"/>
      <c r="H142" s="180"/>
      <c r="I142" s="198"/>
      <c r="J142" s="198"/>
      <c r="K142" s="198"/>
      <c r="L142" s="180"/>
      <c r="M142" s="331"/>
      <c r="N142" s="331"/>
      <c r="O142" s="180"/>
      <c r="P142" s="180"/>
      <c r="Q142" s="180"/>
      <c r="R142" s="180"/>
      <c r="S142" s="180"/>
      <c r="T142" s="180"/>
      <c r="U142" s="180"/>
      <c r="V142" s="326"/>
      <c r="W142" s="180"/>
      <c r="X142" s="180"/>
      <c r="Y142" s="180"/>
      <c r="Z142" s="180"/>
      <c r="AA142" s="327"/>
      <c r="AB142" s="327"/>
      <c r="AC142" s="327"/>
      <c r="AD142" s="180"/>
      <c r="AE142" s="180"/>
    </row>
    <row r="143">
      <c r="A143" s="198"/>
      <c r="B143" s="198"/>
      <c r="C143" s="198"/>
      <c r="D143" s="198"/>
      <c r="E143" s="198"/>
      <c r="F143" s="198"/>
      <c r="G143" s="39"/>
      <c r="H143" s="180"/>
      <c r="I143" s="198"/>
      <c r="J143" s="198"/>
      <c r="K143" s="198"/>
      <c r="L143" s="180"/>
      <c r="M143" s="331"/>
      <c r="N143" s="331"/>
      <c r="O143" s="180"/>
      <c r="P143" s="180"/>
      <c r="Q143" s="180"/>
      <c r="R143" s="180"/>
      <c r="S143" s="180"/>
      <c r="T143" s="180"/>
      <c r="U143" s="180"/>
      <c r="V143" s="326"/>
      <c r="W143" s="180"/>
      <c r="X143" s="180"/>
      <c r="Y143" s="180"/>
      <c r="Z143" s="180"/>
      <c r="AA143" s="327"/>
      <c r="AB143" s="327"/>
      <c r="AC143" s="327"/>
      <c r="AD143" s="180"/>
      <c r="AE143" s="180"/>
    </row>
    <row r="144">
      <c r="A144" s="198"/>
      <c r="B144" s="198"/>
      <c r="C144" s="198"/>
      <c r="D144" s="198"/>
      <c r="E144" s="198"/>
      <c r="F144" s="198"/>
      <c r="G144" s="39"/>
      <c r="H144" s="180"/>
      <c r="I144" s="198"/>
      <c r="J144" s="198"/>
      <c r="K144" s="198"/>
      <c r="L144" s="180"/>
      <c r="M144" s="331"/>
      <c r="N144" s="331"/>
      <c r="O144" s="180"/>
      <c r="P144" s="180"/>
      <c r="Q144" s="180"/>
      <c r="R144" s="180"/>
      <c r="S144" s="180"/>
      <c r="T144" s="180"/>
      <c r="U144" s="180"/>
      <c r="V144" s="326"/>
      <c r="W144" s="180"/>
      <c r="X144" s="180"/>
      <c r="Y144" s="180"/>
      <c r="Z144" s="180"/>
      <c r="AA144" s="327"/>
      <c r="AB144" s="327"/>
      <c r="AC144" s="327"/>
      <c r="AD144" s="180"/>
      <c r="AE144" s="180"/>
    </row>
    <row r="145">
      <c r="A145" s="198"/>
      <c r="B145" s="198"/>
      <c r="C145" s="198"/>
      <c r="D145" s="198"/>
      <c r="E145" s="198"/>
      <c r="F145" s="198"/>
      <c r="G145" s="39"/>
      <c r="H145" s="180"/>
      <c r="I145" s="198"/>
      <c r="J145" s="198"/>
      <c r="K145" s="198"/>
      <c r="L145" s="180"/>
      <c r="M145" s="331"/>
      <c r="N145" s="331"/>
      <c r="O145" s="180"/>
      <c r="P145" s="180"/>
      <c r="Q145" s="180"/>
      <c r="R145" s="180"/>
      <c r="S145" s="180"/>
      <c r="T145" s="180"/>
      <c r="U145" s="180"/>
      <c r="V145" s="326"/>
      <c r="W145" s="180"/>
      <c r="X145" s="180"/>
      <c r="Y145" s="180"/>
      <c r="Z145" s="180"/>
      <c r="AA145" s="327"/>
      <c r="AB145" s="327"/>
      <c r="AC145" s="327"/>
      <c r="AD145" s="180"/>
      <c r="AE145" s="180"/>
    </row>
    <row r="146">
      <c r="A146" s="198"/>
      <c r="B146" s="198"/>
      <c r="C146" s="198"/>
      <c r="D146" s="198"/>
      <c r="E146" s="198"/>
      <c r="F146" s="198"/>
      <c r="G146" s="39"/>
      <c r="H146" s="180"/>
      <c r="I146" s="198"/>
      <c r="J146" s="198"/>
      <c r="K146" s="198"/>
      <c r="L146" s="180"/>
      <c r="M146" s="331"/>
      <c r="N146" s="331"/>
      <c r="O146" s="180"/>
      <c r="P146" s="180"/>
      <c r="Q146" s="180"/>
      <c r="R146" s="180"/>
      <c r="S146" s="180"/>
      <c r="T146" s="180"/>
      <c r="U146" s="180"/>
      <c r="V146" s="326"/>
      <c r="W146" s="180"/>
      <c r="X146" s="180"/>
      <c r="Y146" s="180"/>
      <c r="Z146" s="180"/>
      <c r="AA146" s="327"/>
      <c r="AB146" s="327"/>
      <c r="AC146" s="327"/>
      <c r="AD146" s="180"/>
      <c r="AE146" s="180"/>
    </row>
    <row r="147">
      <c r="A147" s="198"/>
      <c r="B147" s="198"/>
      <c r="C147" s="198"/>
      <c r="D147" s="198"/>
      <c r="E147" s="198"/>
      <c r="F147" s="198"/>
      <c r="G147" s="39"/>
      <c r="H147" s="180"/>
      <c r="I147" s="198"/>
      <c r="J147" s="198"/>
      <c r="K147" s="198"/>
      <c r="L147" s="180"/>
      <c r="M147" s="331"/>
      <c r="N147" s="331"/>
      <c r="O147" s="180"/>
      <c r="P147" s="180"/>
      <c r="Q147" s="180"/>
      <c r="R147" s="180"/>
      <c r="S147" s="180"/>
      <c r="T147" s="180"/>
      <c r="U147" s="180"/>
      <c r="V147" s="326"/>
      <c r="W147" s="180"/>
      <c r="X147" s="180"/>
      <c r="Y147" s="180"/>
      <c r="Z147" s="180"/>
      <c r="AA147" s="327"/>
      <c r="AB147" s="327"/>
      <c r="AC147" s="327"/>
      <c r="AD147" s="180"/>
      <c r="AE147" s="180"/>
    </row>
    <row r="148">
      <c r="A148" s="198"/>
      <c r="B148" s="198"/>
      <c r="C148" s="198"/>
      <c r="D148" s="198"/>
      <c r="E148" s="198"/>
      <c r="F148" s="198"/>
      <c r="G148" s="39"/>
      <c r="H148" s="180"/>
      <c r="I148" s="198"/>
      <c r="J148" s="198"/>
      <c r="K148" s="198"/>
      <c r="L148" s="180"/>
      <c r="M148" s="331"/>
      <c r="N148" s="331"/>
      <c r="O148" s="180"/>
      <c r="P148" s="180"/>
      <c r="Q148" s="180"/>
      <c r="R148" s="180"/>
      <c r="S148" s="180"/>
      <c r="T148" s="180"/>
      <c r="U148" s="180"/>
      <c r="V148" s="326"/>
      <c r="W148" s="180"/>
      <c r="X148" s="180"/>
      <c r="Y148" s="180"/>
      <c r="Z148" s="180"/>
      <c r="AA148" s="327"/>
      <c r="AB148" s="327"/>
      <c r="AC148" s="327"/>
      <c r="AD148" s="180"/>
      <c r="AE148" s="180"/>
    </row>
    <row r="149">
      <c r="A149" s="198"/>
      <c r="B149" s="198"/>
      <c r="C149" s="198"/>
      <c r="D149" s="198"/>
      <c r="E149" s="198"/>
      <c r="F149" s="198"/>
      <c r="G149" s="39"/>
      <c r="H149" s="180"/>
      <c r="I149" s="198"/>
      <c r="J149" s="198"/>
      <c r="K149" s="198"/>
      <c r="L149" s="180"/>
      <c r="M149" s="331"/>
      <c r="N149" s="331"/>
      <c r="O149" s="180"/>
      <c r="P149" s="180"/>
      <c r="Q149" s="180"/>
      <c r="R149" s="180"/>
      <c r="S149" s="180"/>
      <c r="T149" s="180"/>
      <c r="U149" s="180"/>
      <c r="V149" s="326"/>
      <c r="W149" s="180"/>
      <c r="X149" s="180"/>
      <c r="Y149" s="180"/>
      <c r="Z149" s="180"/>
      <c r="AA149" s="327"/>
      <c r="AB149" s="327"/>
      <c r="AC149" s="327"/>
      <c r="AD149" s="180"/>
      <c r="AE149" s="180"/>
    </row>
    <row r="150">
      <c r="A150" s="198"/>
      <c r="B150" s="198"/>
      <c r="C150" s="198"/>
      <c r="D150" s="198"/>
      <c r="E150" s="198"/>
      <c r="F150" s="198"/>
      <c r="G150" s="39"/>
      <c r="H150" s="180"/>
      <c r="I150" s="198"/>
      <c r="J150" s="198"/>
      <c r="K150" s="198"/>
      <c r="L150" s="180"/>
      <c r="M150" s="331"/>
      <c r="N150" s="331"/>
      <c r="O150" s="180"/>
      <c r="P150" s="180"/>
      <c r="Q150" s="180"/>
      <c r="R150" s="180"/>
      <c r="S150" s="180"/>
      <c r="T150" s="180"/>
      <c r="U150" s="180"/>
      <c r="V150" s="326"/>
      <c r="W150" s="180"/>
      <c r="X150" s="180"/>
      <c r="Y150" s="180"/>
      <c r="Z150" s="180"/>
      <c r="AA150" s="327"/>
      <c r="AB150" s="327"/>
      <c r="AC150" s="327"/>
      <c r="AD150" s="180"/>
      <c r="AE150" s="180"/>
    </row>
  </sheetData>
  <mergeCells count="14">
    <mergeCell ref="A1:D1"/>
    <mergeCell ref="A12:D12"/>
    <mergeCell ref="A13:D15"/>
    <mergeCell ref="A27:D27"/>
    <mergeCell ref="A28:D30"/>
    <mergeCell ref="A40:D40"/>
    <mergeCell ref="A41:D43"/>
    <mergeCell ref="P1:S1"/>
    <mergeCell ref="P4:Q4"/>
    <mergeCell ref="R4:S4"/>
    <mergeCell ref="P5:Q5"/>
    <mergeCell ref="R5:S5"/>
    <mergeCell ref="P6:Q6"/>
    <mergeCell ref="R6:S6"/>
  </mergeCells>
  <dataValidations>
    <dataValidation type="list" allowBlank="1" sqref="P6">
      <formula1>Administrative!$F$4:$F$73</formula1>
    </dataValidation>
  </dataValidations>
  <drawing r:id="rId2"/>
  <legacyDrawing r:id="rId3"/>
</worksheet>
</file>