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defaultThemeVersion="124226"/>
  <xr:revisionPtr revIDLastSave="0" documentId="13_ncr:1_{0DDF36C7-BE31-4769-B738-2C8A51B68A0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主角属性" sheetId="1" r:id="rId1"/>
    <sheet name="战斗轮" sheetId="11" r:id="rId2"/>
    <sheet name="怪物属性" sheetId="7" r:id="rId3"/>
    <sheet name="武器" sheetId="6" r:id="rId4"/>
    <sheet name="等级" sheetId="2" r:id="rId5"/>
    <sheet name="任务" sheetId="12" r:id="rId6"/>
    <sheet name="阵营" sheetId="14" r:id="rId7"/>
    <sheet name="防甲" sheetId="19" r:id="rId8"/>
    <sheet name="炸药研发" sheetId="18" r:id="rId9"/>
    <sheet name="野外遭遇" sheetId="5" r:id="rId10"/>
    <sheet name="食物" sheetId="15" r:id="rId11"/>
    <sheet name="主要材料表" sheetId="16" r:id="rId12"/>
    <sheet name="枪械研发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4" i="1" l="1"/>
  <c r="H53" i="1" l="1"/>
  <c r="C10" i="11" l="1"/>
  <c r="C9" i="11"/>
  <c r="F17" i="11"/>
  <c r="H17" i="1"/>
  <c r="V33" i="1" l="1"/>
  <c r="H57" i="1"/>
  <c r="H58" i="1"/>
  <c r="H52" i="1"/>
  <c r="H51" i="1"/>
  <c r="H50" i="1"/>
  <c r="H49" i="1"/>
  <c r="H48" i="1"/>
  <c r="H47" i="1"/>
  <c r="H46" i="1"/>
  <c r="H56" i="1"/>
  <c r="H55" i="1"/>
  <c r="H54" i="1"/>
  <c r="H45" i="1"/>
  <c r="H44" i="1"/>
  <c r="H43" i="1"/>
  <c r="H42" i="1"/>
  <c r="H41" i="1"/>
  <c r="H40" i="1"/>
  <c r="H39" i="1"/>
  <c r="M6" i="1"/>
  <c r="L3" i="12"/>
  <c r="M3" i="12"/>
  <c r="I39" i="1" l="1"/>
  <c r="V31" i="1" l="1"/>
  <c r="V29" i="1"/>
  <c r="V28" i="1"/>
  <c r="V26" i="1"/>
  <c r="P5" i="2"/>
  <c r="P6" i="2" s="1"/>
  <c r="P7" i="2" l="1"/>
  <c r="P8" i="2" s="1"/>
  <c r="V32" i="1"/>
  <c r="V27" i="1"/>
  <c r="V30" i="1"/>
  <c r="AJ31" i="1"/>
  <c r="AF31" i="1"/>
  <c r="AB31" i="1"/>
  <c r="AI31" i="1"/>
  <c r="AE31" i="1"/>
  <c r="AA31" i="1"/>
  <c r="AK31" i="1"/>
  <c r="AG31" i="1"/>
  <c r="AC31" i="1"/>
  <c r="AH31" i="1"/>
  <c r="AD31" i="1"/>
  <c r="AK28" i="1"/>
  <c r="AG28" i="1"/>
  <c r="AC28" i="1"/>
  <c r="AJ28" i="1"/>
  <c r="AF28" i="1"/>
  <c r="AB28" i="1"/>
  <c r="AI28" i="1"/>
  <c r="AA28" i="1"/>
  <c r="AH28" i="1"/>
  <c r="AE28" i="1"/>
  <c r="AD28" i="1"/>
  <c r="AH29" i="1"/>
  <c r="AD29" i="1"/>
  <c r="AK29" i="1"/>
  <c r="AG29" i="1"/>
  <c r="AC29" i="1"/>
  <c r="AE29" i="1"/>
  <c r="AJ29" i="1"/>
  <c r="AF29" i="1"/>
  <c r="AB29" i="1"/>
  <c r="AI29" i="1"/>
  <c r="AA29" i="1"/>
  <c r="AJ26" i="1"/>
  <c r="AF26" i="1"/>
  <c r="AI26" i="1"/>
  <c r="AE26" i="1"/>
  <c r="AD26" i="1"/>
  <c r="AK26" i="1"/>
  <c r="AC26" i="1"/>
  <c r="AH26" i="1"/>
  <c r="AG26" i="1"/>
  <c r="C2" i="18"/>
  <c r="O2" i="18" s="1"/>
  <c r="AI30" i="1"/>
  <c r="AE30" i="1"/>
  <c r="AA30" i="1"/>
  <c r="AH30" i="1"/>
  <c r="AD30" i="1"/>
  <c r="AF30" i="1"/>
  <c r="AB30" i="1"/>
  <c r="AK30" i="1"/>
  <c r="AG30" i="1"/>
  <c r="AC30" i="1"/>
  <c r="AJ30" i="1"/>
  <c r="AH27" i="1"/>
  <c r="AD27" i="1"/>
  <c r="AK27" i="1"/>
  <c r="AG27" i="1"/>
  <c r="AC27" i="1"/>
  <c r="AJ27" i="1"/>
  <c r="AF27" i="1"/>
  <c r="AB27" i="1"/>
  <c r="AI27" i="1"/>
  <c r="AE27" i="1"/>
  <c r="AA27" i="1"/>
  <c r="L2" i="18" l="1"/>
  <c r="H2" i="18"/>
  <c r="K2" i="18"/>
  <c r="G2" i="18"/>
  <c r="M2" i="18"/>
  <c r="F2" i="18"/>
  <c r="I2" i="18"/>
  <c r="N2" i="18"/>
  <c r="J2" i="18"/>
  <c r="E2" i="18"/>
  <c r="P9" i="2"/>
  <c r="P10" i="2" s="1"/>
  <c r="P11" i="2" s="1"/>
  <c r="P12" i="2" s="1"/>
  <c r="P13" i="2" s="1"/>
  <c r="AA2" i="1"/>
  <c r="F16" i="11"/>
  <c r="C25" i="11"/>
  <c r="AD9" i="1" l="1"/>
  <c r="AD10" i="1"/>
  <c r="AD7" i="1"/>
  <c r="AD8" i="1"/>
  <c r="AD5" i="1"/>
  <c r="AD6" i="1"/>
  <c r="AD1" i="1"/>
  <c r="AD4" i="1" l="1"/>
  <c r="AD3" i="1"/>
  <c r="AD2" i="1"/>
  <c r="Q16" i="7"/>
  <c r="Q15" i="7"/>
  <c r="Q14" i="7"/>
  <c r="Q13" i="7"/>
  <c r="Q12" i="7"/>
  <c r="Q11" i="7"/>
  <c r="Q9" i="7"/>
  <c r="Q8" i="7"/>
  <c r="Q7" i="7"/>
  <c r="Q6" i="7"/>
  <c r="Q5" i="7"/>
  <c r="Q4" i="7"/>
  <c r="Q3" i="7"/>
  <c r="Q2" i="7"/>
  <c r="Q10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l="1"/>
  <c r="A53" i="7" s="1"/>
  <c r="A54" i="7" s="1"/>
  <c r="A55" i="7" s="1"/>
  <c r="G2" i="11"/>
  <c r="D2" i="11"/>
  <c r="G3" i="11"/>
  <c r="M10" i="11"/>
  <c r="C23" i="11"/>
  <c r="M12" i="11"/>
  <c r="K2" i="11"/>
  <c r="M9" i="11"/>
  <c r="D6" i="11"/>
  <c r="M13" i="1"/>
  <c r="B16" i="11" l="1"/>
  <c r="M1" i="1" l="1"/>
  <c r="E12" i="1" s="1"/>
  <c r="E9" i="1" l="1"/>
  <c r="I12" i="11"/>
  <c r="E10" i="1"/>
  <c r="E11" i="1"/>
  <c r="B4" i="2"/>
  <c r="B5" i="2" s="1"/>
  <c r="B6" i="2" s="1"/>
  <c r="B7" i="2" s="1"/>
  <c r="B8" i="2" s="1"/>
  <c r="B9" i="2" s="1"/>
  <c r="B10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G17" i="1"/>
  <c r="C17" i="1" l="1"/>
  <c r="J17" i="1" s="1"/>
  <c r="I4" i="1" s="1"/>
  <c r="C5" i="11" s="1"/>
  <c r="L10" i="11"/>
  <c r="O10" i="11" s="1"/>
  <c r="I9" i="1"/>
  <c r="D16" i="11"/>
  <c r="I11" i="1"/>
  <c r="H3" i="11" l="1"/>
  <c r="H2" i="11"/>
  <c r="H4" i="11" l="1"/>
  <c r="I15" i="1"/>
  <c r="I16" i="1"/>
  <c r="H1" i="1"/>
  <c r="G12" i="1" s="1"/>
  <c r="C6" i="2"/>
  <c r="C7" i="2"/>
  <c r="C8" i="2" s="1"/>
  <c r="G13" i="1" l="1"/>
  <c r="G15" i="1"/>
  <c r="G10" i="1"/>
  <c r="G16" i="1"/>
  <c r="G11" i="1"/>
  <c r="G9" i="1"/>
  <c r="C9" i="2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4" i="2"/>
  <c r="D3" i="2"/>
  <c r="D5" i="2" l="1"/>
  <c r="D6" i="2" s="1"/>
  <c r="D7" i="2" s="1"/>
  <c r="I10" i="1"/>
  <c r="D9" i="11"/>
  <c r="AB26" i="1" l="1"/>
  <c r="AA26" i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L9" i="11"/>
  <c r="O9" i="11" s="1"/>
  <c r="G5" i="1" l="1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J16" i="1"/>
  <c r="J14" i="1"/>
  <c r="J15" i="1"/>
  <c r="J12" i="1" l="1"/>
  <c r="J11" i="1"/>
  <c r="O1" i="1" s="1"/>
  <c r="T10" i="11" s="1"/>
  <c r="J10" i="1"/>
  <c r="G1" i="1" s="1"/>
  <c r="T9" i="11" s="1"/>
  <c r="S9" i="11" s="1"/>
  <c r="J9" i="1"/>
  <c r="O2" i="1" l="1"/>
  <c r="J39" i="1" s="1"/>
  <c r="J40" i="1" s="1"/>
  <c r="D12" i="11"/>
  <c r="N29" i="1"/>
  <c r="N28" i="1"/>
  <c r="Q1" i="1"/>
  <c r="Q2" i="1" s="1"/>
  <c r="C6" i="11" s="1"/>
  <c r="D7" i="11" s="1"/>
  <c r="C2" i="1"/>
  <c r="I2" i="1"/>
  <c r="I3" i="1" s="1"/>
  <c r="C2" i="11"/>
  <c r="B3" i="11" s="1"/>
  <c r="C7" i="11"/>
  <c r="J13" i="1"/>
  <c r="K39" i="1" l="1"/>
  <c r="P42" i="1"/>
  <c r="P43" i="1"/>
  <c r="K41" i="1"/>
  <c r="R8" i="11" s="1"/>
  <c r="D2" i="1" s="1"/>
  <c r="E2" i="1" s="1"/>
  <c r="K40" i="1"/>
  <c r="L12" i="11"/>
  <c r="O12" i="11" s="1"/>
  <c r="T8" i="11" l="1"/>
  <c r="D1" i="1"/>
  <c r="D3" i="1" s="1"/>
  <c r="S8" i="11" l="1"/>
</calcChain>
</file>

<file path=xl/sharedStrings.xml><?xml version="1.0" encoding="utf-8"?>
<sst xmlns="http://schemas.openxmlformats.org/spreadsheetml/2006/main" count="1005" uniqueCount="823">
  <si>
    <t>力量</t>
    <phoneticPr fontId="1" type="noConversion"/>
  </si>
  <si>
    <t>敏捷</t>
    <phoneticPr fontId="1" type="noConversion"/>
  </si>
  <si>
    <t>魅力</t>
    <phoneticPr fontId="1" type="noConversion"/>
  </si>
  <si>
    <t>app</t>
    <phoneticPr fontId="1" type="noConversion"/>
  </si>
  <si>
    <t>幸运</t>
    <phoneticPr fontId="1" type="noConversion"/>
  </si>
  <si>
    <t>智力</t>
    <phoneticPr fontId="1" type="noConversion"/>
  </si>
  <si>
    <t>纯属性</t>
    <phoneticPr fontId="1" type="noConversion"/>
  </si>
  <si>
    <t>装备</t>
    <phoneticPr fontId="1" type="noConversion"/>
  </si>
  <si>
    <t>血脉</t>
    <phoneticPr fontId="1" type="noConversion"/>
  </si>
  <si>
    <t>体格</t>
    <phoneticPr fontId="1" type="noConversion"/>
  </si>
  <si>
    <t>B</t>
    <phoneticPr fontId="1" type="noConversion"/>
  </si>
  <si>
    <t>闪避</t>
    <phoneticPr fontId="1" type="noConversion"/>
  </si>
  <si>
    <t>总共</t>
    <phoneticPr fontId="1" type="noConversion"/>
  </si>
  <si>
    <t>B(体格）</t>
    <phoneticPr fontId="1" type="noConversion"/>
  </si>
  <si>
    <t>属性增加</t>
    <phoneticPr fontId="1" type="noConversion"/>
  </si>
  <si>
    <t>体质</t>
    <phoneticPr fontId="1" type="noConversion"/>
  </si>
  <si>
    <t>意志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</si>
  <si>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</si>
  <si>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</si>
  <si>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</si>
  <si>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体质</t>
    <phoneticPr fontId="1" type="noConversion"/>
  </si>
  <si>
    <t>物理伤害加值</t>
    <phoneticPr fontId="1" type="noConversion"/>
  </si>
  <si>
    <t>专长</t>
    <phoneticPr fontId="1" type="noConversion"/>
  </si>
  <si>
    <t>闪避</t>
    <phoneticPr fontId="1" type="noConversion"/>
  </si>
  <si>
    <t>凌逸（ID：零·林）</t>
    <phoneticPr fontId="1" type="noConversion"/>
  </si>
  <si>
    <t>感知</t>
    <phoneticPr fontId="1" type="noConversion"/>
  </si>
  <si>
    <t>年龄：</t>
    <phoneticPr fontId="1" type="noConversion"/>
  </si>
  <si>
    <t>职业：</t>
    <phoneticPr fontId="1" type="noConversion"/>
  </si>
  <si>
    <t>职业</t>
    <phoneticPr fontId="1" type="noConversion"/>
  </si>
  <si>
    <t>天赋</t>
    <phoneticPr fontId="1" type="noConversion"/>
  </si>
  <si>
    <t>种族：</t>
    <phoneticPr fontId="1" type="noConversion"/>
  </si>
  <si>
    <t>人类（未知）</t>
    <phoneticPr fontId="1" type="noConversion"/>
  </si>
  <si>
    <t>等级</t>
    <phoneticPr fontId="1" type="noConversion"/>
  </si>
  <si>
    <t>经验</t>
    <phoneticPr fontId="1" type="noConversion"/>
  </si>
  <si>
    <t>一阶</t>
    <phoneticPr fontId="1" type="noConversion"/>
  </si>
  <si>
    <t>二阶</t>
    <phoneticPr fontId="1" type="noConversion"/>
  </si>
  <si>
    <t>瞄准</t>
    <phoneticPr fontId="1" type="noConversion"/>
  </si>
  <si>
    <t>命中</t>
    <phoneticPr fontId="1" type="noConversion"/>
  </si>
  <si>
    <t>命中</t>
    <phoneticPr fontId="1" type="noConversion"/>
  </si>
  <si>
    <t>膝撞</t>
  </si>
  <si>
    <t>拔击</t>
  </si>
  <si>
    <t>快速将敌人踢上半空 伤害=力量（我）-体质（敌人）</t>
    <phoneticPr fontId="1" type="noConversion"/>
  </si>
  <si>
    <t>枪械天才</t>
    <phoneticPr fontId="1" type="noConversion"/>
  </si>
  <si>
    <t>意志*0.2</t>
    <phoneticPr fontId="1" type="noConversion"/>
  </si>
  <si>
    <t>感知*0.2</t>
    <phoneticPr fontId="1" type="noConversion"/>
  </si>
  <si>
    <t>天赋</t>
    <phoneticPr fontId="1" type="noConversion"/>
  </si>
  <si>
    <t>D100结果</t>
  </si>
  <si>
    <t>生物</t>
  </si>
  <si>
    <t>常见</t>
  </si>
  <si>
    <t>01-11</t>
    <phoneticPr fontId="1" type="noConversion"/>
  </si>
  <si>
    <t>骆驼</t>
  </si>
  <si>
    <t>12-22</t>
    <phoneticPr fontId="1" type="noConversion"/>
  </si>
  <si>
    <t>巨蜈蚣</t>
  </si>
  <si>
    <t>23-33</t>
    <phoneticPr fontId="1" type="noConversion"/>
  </si>
  <si>
    <t>兽群</t>
  </si>
  <si>
    <t>34-44</t>
  </si>
  <si>
    <t>45-55</t>
  </si>
  <si>
    <t>食人魔</t>
  </si>
  <si>
    <t>兽人</t>
  </si>
  <si>
    <t>56-66</t>
  </si>
  <si>
    <t>巨蜘蛛</t>
  </si>
  <si>
    <t>空中
极地
灌木林
沿海
炎热或寒冷的沙漠
农田
冰川
草原
亚热带丛林
热带丛林
湖泊
高耸的山脉
低矮的山脉
深海
浅海
稀树高原
平原
史前时期
雨林
盐沼湿地
干草原
热带沼泽
温带沼泽
温带森林
苔原地带</t>
    <phoneticPr fontId="1" type="noConversion"/>
  </si>
  <si>
    <t>地点</t>
    <phoneticPr fontId="1" type="noConversion"/>
  </si>
  <si>
    <t>武器</t>
    <phoneticPr fontId="1" type="noConversion"/>
  </si>
  <si>
    <t>等级</t>
    <phoneticPr fontId="1" type="noConversion"/>
  </si>
  <si>
    <t>天赋选择+1</t>
    <phoneticPr fontId="1" type="noConversion"/>
  </si>
  <si>
    <t>职业天赋</t>
    <phoneticPr fontId="1" type="noConversion"/>
  </si>
  <si>
    <t>生活技能</t>
    <phoneticPr fontId="1" type="noConversion"/>
  </si>
  <si>
    <t>职业技能：</t>
    <phoneticPr fontId="1" type="noConversion"/>
  </si>
  <si>
    <t>短火统</t>
    <phoneticPr fontId="1" type="noConversion"/>
  </si>
  <si>
    <t>类型：</t>
    <phoneticPr fontId="1" type="noConversion"/>
  </si>
  <si>
    <t>枪械（火统）</t>
    <phoneticPr fontId="1" type="noConversion"/>
  </si>
  <si>
    <t>等级：</t>
    <phoneticPr fontId="1" type="noConversion"/>
  </si>
  <si>
    <t>普通</t>
    <phoneticPr fontId="1" type="noConversion"/>
  </si>
  <si>
    <t>装备要求：</t>
    <phoneticPr fontId="1" type="noConversion"/>
  </si>
  <si>
    <t>/</t>
    <phoneticPr fontId="1" type="noConversion"/>
  </si>
  <si>
    <t>背包物品</t>
  </si>
  <si>
    <t>装备</t>
    <phoneticPr fontId="1" type="noConversion"/>
  </si>
  <si>
    <t>左手</t>
    <phoneticPr fontId="1" type="noConversion"/>
  </si>
  <si>
    <t>右手</t>
    <phoneticPr fontId="1" type="noConversion"/>
  </si>
  <si>
    <t>银色徽章</t>
    <phoneticPr fontId="1" type="noConversion"/>
  </si>
  <si>
    <t>短火统</t>
    <phoneticPr fontId="1" type="noConversion"/>
  </si>
  <si>
    <t>HP:</t>
    <phoneticPr fontId="1" type="noConversion"/>
  </si>
  <si>
    <t>MP</t>
    <phoneticPr fontId="1" type="noConversion"/>
  </si>
  <si>
    <t>状态：</t>
    <phoneticPr fontId="1" type="noConversion"/>
  </si>
  <si>
    <t>HP</t>
    <phoneticPr fontId="1" type="noConversion"/>
  </si>
  <si>
    <t>健康</t>
    <phoneticPr fontId="1" type="noConversion"/>
  </si>
  <si>
    <t>受伤</t>
    <phoneticPr fontId="1" type="noConversion"/>
  </si>
  <si>
    <t>%</t>
    <phoneticPr fontId="1" type="noConversion"/>
  </si>
  <si>
    <t>濒死</t>
    <phoneticPr fontId="1" type="noConversion"/>
  </si>
  <si>
    <t>重伤</t>
    <phoneticPr fontId="1" type="noConversion"/>
  </si>
  <si>
    <t>轻伤</t>
    <phoneticPr fontId="1" type="noConversion"/>
  </si>
  <si>
    <t>状态</t>
    <phoneticPr fontId="1" type="noConversion"/>
  </si>
  <si>
    <t>伤害：</t>
    <phoneticPr fontId="1" type="noConversion"/>
  </si>
  <si>
    <t xml:space="preserve">所有枪械武器伤害增加 </t>
    <phoneticPr fontId="1" type="noConversion"/>
  </si>
  <si>
    <t>子弹</t>
    <phoneticPr fontId="1" type="noConversion"/>
  </si>
  <si>
    <t>黄铜子弹</t>
    <phoneticPr fontId="1" type="noConversion"/>
  </si>
  <si>
    <t>装备要求：</t>
    <phoneticPr fontId="1" type="noConversion"/>
  </si>
  <si>
    <t>钢铁</t>
    <phoneticPr fontId="1" type="noConversion"/>
  </si>
  <si>
    <t>黃金</t>
  </si>
  <si>
    <t>1-10</t>
    <phoneticPr fontId="1" type="noConversion"/>
  </si>
  <si>
    <t>11-20</t>
    <phoneticPr fontId="1" type="noConversion"/>
  </si>
  <si>
    <t>21-30</t>
    <phoneticPr fontId="1" type="noConversion"/>
  </si>
  <si>
    <t>31-40</t>
    <phoneticPr fontId="1" type="noConversion"/>
  </si>
  <si>
    <t>41-50</t>
    <phoneticPr fontId="1" type="noConversion"/>
  </si>
  <si>
    <t>51-60</t>
    <phoneticPr fontId="1" type="noConversion"/>
  </si>
  <si>
    <t>71-80</t>
    <phoneticPr fontId="1" type="noConversion"/>
  </si>
  <si>
    <t>81-90</t>
    <phoneticPr fontId="1" type="noConversion"/>
  </si>
  <si>
    <t>91-100</t>
    <phoneticPr fontId="1" type="noConversion"/>
  </si>
  <si>
    <t>61-70</t>
    <phoneticPr fontId="1" type="noConversion"/>
  </si>
  <si>
    <t>传奇</t>
    <phoneticPr fontId="1" type="noConversion"/>
  </si>
  <si>
    <t>传说</t>
    <phoneticPr fontId="1" type="noConversion"/>
  </si>
  <si>
    <t>神话</t>
    <phoneticPr fontId="1" type="noConversion"/>
  </si>
  <si>
    <t>暗金</t>
    <phoneticPr fontId="1" type="noConversion"/>
  </si>
  <si>
    <t>仙灵</t>
    <phoneticPr fontId="1" type="noConversion"/>
  </si>
  <si>
    <t xml:space="preserve">AC </t>
    <phoneticPr fontId="1" type="noConversion"/>
  </si>
  <si>
    <t>HP</t>
    <phoneticPr fontId="1" type="noConversion"/>
  </si>
  <si>
    <t xml:space="preserve">22(5d8) </t>
    <phoneticPr fontId="1" type="noConversion"/>
  </si>
  <si>
    <t>速度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</si>
  <si>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</si>
  <si>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</si>
  <si>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</si>
  <si>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智力</t>
    <phoneticPr fontId="1" type="noConversion"/>
  </si>
  <si>
    <t>感知</t>
    <phoneticPr fontId="1" type="noConversion"/>
  </si>
  <si>
    <t>魅力</t>
    <phoneticPr fontId="1" type="noConversion"/>
  </si>
  <si>
    <t>7（-2 ）</t>
    <phoneticPr fontId="1" type="noConversion"/>
  </si>
  <si>
    <t>感官</t>
    <phoneticPr fontId="1" type="noConversion"/>
  </si>
  <si>
    <t>挑战等级</t>
    <phoneticPr fontId="1" type="noConversion"/>
  </si>
  <si>
    <t>伤害</t>
    <phoneticPr fontId="1" type="noConversion"/>
  </si>
  <si>
    <t>4(1D4+1)</t>
    <phoneticPr fontId="1" type="noConversion"/>
  </si>
  <si>
    <t>范围</t>
    <phoneticPr fontId="1" type="noConversion"/>
  </si>
  <si>
    <t xml:space="preserve">5尺 </t>
    <phoneticPr fontId="1" type="noConversion"/>
  </si>
  <si>
    <t>伤害</t>
    <phoneticPr fontId="1" type="noConversion"/>
  </si>
  <si>
    <t>描述</t>
    <phoneticPr fontId="1" type="noConversion"/>
  </si>
  <si>
    <t>射程：</t>
    <phoneticPr fontId="1" type="noConversion"/>
  </si>
  <si>
    <t>怪物名称</t>
    <phoneticPr fontId="1" type="noConversion"/>
  </si>
  <si>
    <t>怪物编号</t>
    <phoneticPr fontId="1" type="noConversion"/>
  </si>
  <si>
    <t>Lv</t>
    <phoneticPr fontId="1" type="noConversion"/>
  </si>
  <si>
    <t>伤害公式=[（武器伤害*弹药伤害）*数量]*1.75*天赋+技能+附加伤害（毒）</t>
    <phoneticPr fontId="1" type="noConversion"/>
  </si>
  <si>
    <t>战斗轮</t>
    <phoneticPr fontId="1" type="noConversion"/>
  </si>
  <si>
    <t>先攻</t>
    <phoneticPr fontId="1" type="noConversion"/>
  </si>
  <si>
    <t>我</t>
    <phoneticPr fontId="1" type="noConversion"/>
  </si>
  <si>
    <t>敌人</t>
    <phoneticPr fontId="1" type="noConversion"/>
  </si>
  <si>
    <t>命中</t>
    <phoneticPr fontId="1" type="noConversion"/>
  </si>
  <si>
    <t>闪避</t>
    <phoneticPr fontId="1" type="noConversion"/>
  </si>
  <si>
    <t>命中计算</t>
    <phoneticPr fontId="1" type="noConversion"/>
  </si>
  <si>
    <t>图鉴编号</t>
    <phoneticPr fontId="1" type="noConversion"/>
  </si>
  <si>
    <t>地点</t>
    <phoneticPr fontId="1" type="noConversion"/>
  </si>
  <si>
    <t>森林</t>
    <phoneticPr fontId="1" type="noConversion"/>
  </si>
  <si>
    <t>豺狼人· 耶诺古毒牙</t>
    <phoneticPr fontId="1" type="noConversion"/>
  </si>
  <si>
    <t>森林</t>
    <phoneticPr fontId="1" type="noConversion"/>
  </si>
  <si>
    <t>65(10D8+20)</t>
    <phoneticPr fontId="1" type="noConversion"/>
  </si>
  <si>
    <t>13+1</t>
    <phoneticPr fontId="1" type="noConversion"/>
  </si>
  <si>
    <t>黑暗视觉60/被动察觉10</t>
  </si>
  <si>
    <t>黑暗视觉60/被动察觉10</t>
    <phoneticPr fontId="1" type="noConversion"/>
  </si>
  <si>
    <t>黑暗视觉60/被动察觉10</t>
    <phoneticPr fontId="1" type="noConversion"/>
  </si>
  <si>
    <t>啃咬(近战攻击)命中4</t>
    <phoneticPr fontId="1" type="noConversion"/>
  </si>
  <si>
    <t>啃咬(近战攻击)命中5</t>
    <phoneticPr fontId="1" type="noConversion"/>
  </si>
  <si>
    <t>6（1d6+3 ）</t>
    <phoneticPr fontId="1" type="noConversion"/>
  </si>
  <si>
    <t>5 尺</t>
    <phoneticPr fontId="1" type="noConversion"/>
  </si>
  <si>
    <t>矛远程攻击命中4</t>
    <phoneticPr fontId="1" type="noConversion"/>
  </si>
  <si>
    <t>多重攻击</t>
    <phoneticPr fontId="1" type="noConversion"/>
  </si>
  <si>
    <t>范围5射程20/60</t>
    <phoneticPr fontId="1" type="noConversion"/>
  </si>
  <si>
    <t>弓箭 远程攻击命中3</t>
    <phoneticPr fontId="1" type="noConversion"/>
  </si>
  <si>
    <t>射程150/600</t>
    <phoneticPr fontId="1" type="noConversion"/>
  </si>
  <si>
    <t>7（1D8+3）</t>
    <phoneticPr fontId="1" type="noConversion"/>
  </si>
  <si>
    <t>爪击(近战攻击)命中5</t>
    <phoneticPr fontId="1" type="noConversion"/>
  </si>
  <si>
    <t>豺狼人头领</t>
    <phoneticPr fontId="1" type="noConversion"/>
  </si>
  <si>
    <t>49(9D8+9)</t>
    <phoneticPr fontId="1" type="noConversion"/>
  </si>
  <si>
    <t>9(-1)</t>
    <phoneticPr fontId="1" type="noConversion"/>
  </si>
  <si>
    <t>4(1D4+3)</t>
    <phoneticPr fontId="1" type="noConversion"/>
  </si>
  <si>
    <t>5 尺</t>
    <phoneticPr fontId="1" type="noConversion"/>
  </si>
  <si>
    <t>大砍刀*2弓箭*2</t>
    <phoneticPr fontId="1" type="noConversion"/>
  </si>
  <si>
    <t>啃咬*1爪击*2</t>
    <phoneticPr fontId="1" type="noConversion"/>
  </si>
  <si>
    <t>16，12</t>
    <phoneticPr fontId="1" type="noConversion"/>
  </si>
  <si>
    <t>大砍刀命中5</t>
    <phoneticPr fontId="1" type="noConversion"/>
  </si>
  <si>
    <t>8（1D10+3）</t>
    <phoneticPr fontId="1" type="noConversion"/>
  </si>
  <si>
    <t>范围:10</t>
    <phoneticPr fontId="1" type="noConversion"/>
  </si>
  <si>
    <t xml:space="preserve">煽动（战技）充能5~6 </t>
    <phoneticPr fontId="1" type="noConversion"/>
  </si>
  <si>
    <t>其他的豺狼人伤害+2</t>
    <phoneticPr fontId="1" type="noConversion"/>
  </si>
  <si>
    <t>伤害</t>
    <phoneticPr fontId="1" type="noConversion"/>
  </si>
  <si>
    <t>武器</t>
    <phoneticPr fontId="1" type="noConversion"/>
  </si>
  <si>
    <t>数量</t>
    <phoneticPr fontId="1" type="noConversion"/>
  </si>
  <si>
    <t>远程</t>
    <phoneticPr fontId="1" type="noConversion"/>
  </si>
  <si>
    <t>伤害加成</t>
    <phoneticPr fontId="1" type="noConversion"/>
  </si>
  <si>
    <t>天赋</t>
    <phoneticPr fontId="1" type="noConversion"/>
  </si>
  <si>
    <t>技能</t>
    <phoneticPr fontId="1" type="noConversion"/>
  </si>
  <si>
    <t>附加伤害</t>
    <phoneticPr fontId="1" type="noConversion"/>
  </si>
  <si>
    <t>总伤害</t>
    <phoneticPr fontId="1" type="noConversion"/>
  </si>
  <si>
    <t>火器专精</t>
  </si>
  <si>
    <t>可以使用枪械武器</t>
  </si>
  <si>
    <t>感知</t>
    <phoneticPr fontId="1" type="noConversion"/>
  </si>
  <si>
    <t>敏捷</t>
    <phoneticPr fontId="1" type="noConversion"/>
  </si>
  <si>
    <t>器械操作</t>
  </si>
  <si>
    <t>可以使用特殊武器</t>
  </si>
  <si>
    <t>学徒</t>
  </si>
  <si>
    <t>弹药数量</t>
    <phoneticPr fontId="1" type="noConversion"/>
  </si>
  <si>
    <t>力量</t>
    <phoneticPr fontId="1" type="noConversion"/>
  </si>
  <si>
    <t>敌人AC</t>
    <phoneticPr fontId="1" type="noConversion"/>
  </si>
  <si>
    <t>HP</t>
    <phoneticPr fontId="1" type="noConversion"/>
  </si>
  <si>
    <t>学习其他领域的知识时没有经验惩罚</t>
    <phoneticPr fontId="1" type="noConversion"/>
  </si>
  <si>
    <t>智力，感知</t>
    <phoneticPr fontId="1" type="noConversion"/>
  </si>
  <si>
    <t>闪避</t>
    <phoneticPr fontId="1" type="noConversion"/>
  </si>
  <si>
    <t>体格</t>
    <phoneticPr fontId="1" type="noConversion"/>
  </si>
  <si>
    <t>数量</t>
    <phoneticPr fontId="1" type="noConversion"/>
  </si>
  <si>
    <t>XP</t>
    <phoneticPr fontId="1" type="noConversion"/>
  </si>
  <si>
    <t>等级：</t>
    <phoneticPr fontId="1" type="noConversion"/>
  </si>
  <si>
    <t>已有XP</t>
    <phoneticPr fontId="1" type="noConversion"/>
  </si>
  <si>
    <t>获得XP</t>
    <phoneticPr fontId="1" type="noConversion"/>
  </si>
  <si>
    <t>经验等级：</t>
    <phoneticPr fontId="1" type="noConversion"/>
  </si>
  <si>
    <t>编号</t>
    <phoneticPr fontId="1" type="noConversion"/>
  </si>
  <si>
    <t>敏捷</t>
    <phoneticPr fontId="1" type="noConversion"/>
  </si>
  <si>
    <t>已经计算</t>
    <phoneticPr fontId="1" type="noConversion"/>
  </si>
  <si>
    <t>距离：</t>
    <phoneticPr fontId="1" type="noConversion"/>
  </si>
  <si>
    <t>我</t>
    <phoneticPr fontId="1" type="noConversion"/>
  </si>
  <si>
    <t>敌人A</t>
    <phoneticPr fontId="1" type="noConversion"/>
  </si>
  <si>
    <t>数值/伤害</t>
    <phoneticPr fontId="1" type="noConversion"/>
  </si>
  <si>
    <t>回避</t>
    <phoneticPr fontId="1" type="noConversion"/>
  </si>
  <si>
    <t>5，3</t>
    <phoneticPr fontId="1" type="noConversion"/>
  </si>
  <si>
    <t>5(1D8+3)</t>
    <phoneticPr fontId="1" type="noConversion"/>
  </si>
  <si>
    <t>AC</t>
    <phoneticPr fontId="1" type="noConversion"/>
  </si>
  <si>
    <t>体质</t>
    <phoneticPr fontId="1" type="noConversion"/>
  </si>
  <si>
    <t>1D8</t>
    <phoneticPr fontId="1" type="noConversion"/>
  </si>
  <si>
    <t>1D100</t>
    <phoneticPr fontId="1" type="noConversion"/>
  </si>
  <si>
    <t>阿尔法人(种族天赋)</t>
    <phoneticPr fontId="1" type="noConversion"/>
  </si>
  <si>
    <t>锁定</t>
  </si>
  <si>
    <t>专长</t>
  </si>
  <si>
    <t>拥有</t>
    <phoneticPr fontId="1" type="noConversion"/>
  </si>
  <si>
    <t>近战</t>
    <phoneticPr fontId="1" type="noConversion"/>
  </si>
  <si>
    <t>伤害</t>
    <phoneticPr fontId="1" type="noConversion"/>
  </si>
  <si>
    <t>武器</t>
    <phoneticPr fontId="1" type="noConversion"/>
  </si>
  <si>
    <t>力量</t>
    <phoneticPr fontId="1" type="noConversion"/>
  </si>
  <si>
    <t>技能</t>
    <phoneticPr fontId="1" type="noConversion"/>
  </si>
  <si>
    <t>攻击次数</t>
    <phoneticPr fontId="1" type="noConversion"/>
  </si>
  <si>
    <t>天赋</t>
    <phoneticPr fontId="1" type="noConversion"/>
  </si>
  <si>
    <t>伤害加成</t>
    <phoneticPr fontId="1" type="noConversion"/>
  </si>
  <si>
    <t>贯穿</t>
    <phoneticPr fontId="1" type="noConversion"/>
  </si>
  <si>
    <t>手弩</t>
    <phoneticPr fontId="1" type="noConversion"/>
  </si>
  <si>
    <t>普通</t>
    <phoneticPr fontId="1" type="noConversion"/>
  </si>
  <si>
    <t>/</t>
    <phoneticPr fontId="1" type="noConversion"/>
  </si>
  <si>
    <t>伤害加成：</t>
    <phoneticPr fontId="1" type="noConversion"/>
  </si>
  <si>
    <t>攻击速度：</t>
    <phoneticPr fontId="1" type="noConversion"/>
  </si>
  <si>
    <t>攻击速度：</t>
    <phoneticPr fontId="1" type="noConversion"/>
  </si>
  <si>
    <t>弓弩(弩)</t>
    <phoneticPr fontId="1" type="noConversion"/>
  </si>
  <si>
    <t>弩箭</t>
    <phoneticPr fontId="1" type="noConversion"/>
  </si>
  <si>
    <t>等级：</t>
    <phoneticPr fontId="1" type="noConversion"/>
  </si>
  <si>
    <t>铁弩箭</t>
    <phoneticPr fontId="1" type="noConversion"/>
  </si>
  <si>
    <t>刺刀</t>
    <phoneticPr fontId="1" type="noConversion"/>
  </si>
  <si>
    <t>类型：</t>
    <phoneticPr fontId="1" type="noConversion"/>
  </si>
  <si>
    <t>等级：</t>
    <phoneticPr fontId="1" type="noConversion"/>
  </si>
  <si>
    <t>装备要求：</t>
    <phoneticPr fontId="1" type="noConversion"/>
  </si>
  <si>
    <t>伤害加成：</t>
    <phoneticPr fontId="1" type="noConversion"/>
  </si>
  <si>
    <t>攻击速度：</t>
    <phoneticPr fontId="1" type="noConversion"/>
  </si>
  <si>
    <t>范围：</t>
    <phoneticPr fontId="1" type="noConversion"/>
  </si>
  <si>
    <t>钢铁</t>
  </si>
  <si>
    <t>刀</t>
    <phoneticPr fontId="1" type="noConversion"/>
  </si>
  <si>
    <t>力量加成：</t>
    <phoneticPr fontId="1" type="noConversion"/>
  </si>
  <si>
    <t>/2</t>
    <phoneticPr fontId="1" type="noConversion"/>
  </si>
  <si>
    <t>(我)敏捷〉(敌方)敏捷</t>
    <phoneticPr fontId="1" type="noConversion"/>
  </si>
  <si>
    <t>技能</t>
    <phoneticPr fontId="1" type="noConversion"/>
  </si>
  <si>
    <t>盗贼</t>
    <phoneticPr fontId="1" type="noConversion"/>
  </si>
  <si>
    <t>命中：</t>
    <phoneticPr fontId="1" type="noConversion"/>
  </si>
  <si>
    <t>技能：</t>
    <phoneticPr fontId="1" type="noConversion"/>
  </si>
  <si>
    <t>贯穿</t>
    <phoneticPr fontId="1" type="noConversion"/>
  </si>
  <si>
    <t>成功率：30%</t>
    <phoneticPr fontId="1" type="noConversion"/>
  </si>
  <si>
    <t>身体</t>
    <phoneticPr fontId="1" type="noConversion"/>
  </si>
  <si>
    <t>腰</t>
  </si>
  <si>
    <t>腰</t>
    <phoneticPr fontId="1" type="noConversion"/>
  </si>
  <si>
    <t>足</t>
    <phoneticPr fontId="1" type="noConversion"/>
  </si>
  <si>
    <t>指</t>
  </si>
  <si>
    <t>颈</t>
  </si>
  <si>
    <t>背部</t>
  </si>
  <si>
    <t>头</t>
  </si>
  <si>
    <t>命中+10%</t>
    <phoneticPr fontId="1" type="noConversion"/>
  </si>
  <si>
    <t>数量</t>
    <phoneticPr fontId="1" type="noConversion"/>
  </si>
  <si>
    <t>生命药水（2） HP+2D10+5</t>
    <phoneticPr fontId="1" type="noConversion"/>
  </si>
  <si>
    <r>
      <t>生命药水（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）</t>
    </r>
    <r>
      <rPr>
        <sz val="10.5"/>
        <color theme="1"/>
        <rFont val="宋体"/>
        <family val="2"/>
        <scheme val="minor"/>
      </rPr>
      <t xml:space="preserve"> HP+1D10+1</t>
    </r>
    <phoneticPr fontId="1" type="noConversion"/>
  </si>
  <si>
    <t>任务</t>
    <phoneticPr fontId="1" type="noConversion"/>
  </si>
  <si>
    <t>编号</t>
    <phoneticPr fontId="1" type="noConversion"/>
  </si>
  <si>
    <t>类型</t>
    <phoneticPr fontId="1" type="noConversion"/>
  </si>
  <si>
    <t>地点</t>
    <phoneticPr fontId="1" type="noConversion"/>
  </si>
  <si>
    <t>难度</t>
    <phoneticPr fontId="1" type="noConversion"/>
  </si>
  <si>
    <t>奖励</t>
    <phoneticPr fontId="1" type="noConversion"/>
  </si>
  <si>
    <t>相关任务目标</t>
    <phoneticPr fontId="1" type="noConversion"/>
  </si>
  <si>
    <t>发布者</t>
    <phoneticPr fontId="1" type="noConversion"/>
  </si>
  <si>
    <t>双枪流</t>
    <phoneticPr fontId="1" type="noConversion"/>
  </si>
  <si>
    <t>同时使用两把枪械命中惩罚只有50%</t>
    <phoneticPr fontId="1" type="noConversion"/>
  </si>
  <si>
    <t>围剿</t>
    <phoneticPr fontId="1" type="noConversion"/>
  </si>
  <si>
    <t>枯枝怪</t>
  </si>
  <si>
    <t>枯藤怪</t>
  </si>
  <si>
    <t>枯针怪</t>
  </si>
  <si>
    <t>冒险家协会</t>
    <phoneticPr fontId="1" type="noConversion"/>
  </si>
  <si>
    <t>评价：</t>
    <phoneticPr fontId="1" type="noConversion"/>
  </si>
  <si>
    <t>最终奖励</t>
    <phoneticPr fontId="1" type="noConversion"/>
  </si>
  <si>
    <t>掉落物</t>
    <phoneticPr fontId="1" type="noConversion"/>
  </si>
  <si>
    <t>豺狼人</t>
    <phoneticPr fontId="1" type="noConversion"/>
  </si>
  <si>
    <t>亚利沼泽</t>
    <phoneticPr fontId="1" type="noConversion"/>
  </si>
  <si>
    <t>森林，沼泽</t>
    <phoneticPr fontId="1" type="noConversion"/>
  </si>
  <si>
    <t>4(1d6+1)</t>
    <phoneticPr fontId="1" type="noConversion"/>
  </si>
  <si>
    <t>盲视60尺/被动察觉9</t>
    <phoneticPr fontId="1" type="noConversion"/>
  </si>
  <si>
    <t>备注</t>
    <phoneticPr fontId="1" type="noConversion"/>
  </si>
  <si>
    <t>/</t>
    <phoneticPr fontId="1" type="noConversion"/>
  </si>
  <si>
    <t>/</t>
    <phoneticPr fontId="1" type="noConversion"/>
  </si>
  <si>
    <t>易伤:火焰免疫:目盲/耳聋</t>
    <phoneticPr fontId="1" type="noConversion"/>
  </si>
  <si>
    <t>不常见</t>
  </si>
  <si>
    <t>67-70</t>
  </si>
  <si>
    <t>71-74</t>
  </si>
  <si>
    <t>75-78</t>
  </si>
  <si>
    <t>79-82</t>
  </si>
  <si>
    <t>83-86</t>
  </si>
  <si>
    <t>石化蜥蜴</t>
  </si>
  <si>
    <t>商队</t>
  </si>
  <si>
    <t>大地精</t>
  </si>
  <si>
    <t>奇美拉</t>
  </si>
  <si>
    <t>朝圣者</t>
  </si>
  <si>
    <t>游牧民</t>
  </si>
  <si>
    <t>巨蝎</t>
  </si>
  <si>
    <t>罕见</t>
  </si>
  <si>
    <t>87-88</t>
  </si>
  <si>
    <t>89-90</t>
  </si>
  <si>
    <t>91-92</t>
  </si>
  <si>
    <t>93-95</t>
  </si>
  <si>
    <t>96-97</t>
  </si>
  <si>
    <t>鹰身女妖</t>
  </si>
  <si>
    <t>苦行僧</t>
  </si>
  <si>
    <t>火蜥蜴</t>
  </si>
  <si>
    <t>非常罕见</t>
  </si>
  <si>
    <t>98-99</t>
    <phoneticPr fontId="1" type="noConversion"/>
  </si>
  <si>
    <t>蛇身女妖</t>
    <phoneticPr fontId="1" type="noConversion"/>
  </si>
  <si>
    <t>风神怪</t>
    <phoneticPr fontId="1" type="noConversion"/>
  </si>
  <si>
    <t>农田</t>
  </si>
  <si>
    <t>班恩森林</t>
  </si>
  <si>
    <t>森林边缘</t>
  </si>
  <si>
    <t>山脉边缘</t>
  </si>
  <si>
    <t>有人居住的沿海</t>
  </si>
  <si>
    <t>浅海</t>
  </si>
  <si>
    <t>苏黎丹的码头区</t>
  </si>
  <si>
    <t>苏黎丹的贵族区</t>
  </si>
  <si>
    <t>苏黎丹的艺术区</t>
  </si>
  <si>
    <t>苏黎丹的棚屋区</t>
  </si>
  <si>
    <t>马腾斯的神庙（苏黎丹的一个强大的邪教）</t>
  </si>
  <si>
    <t>苏黎丹的下水道</t>
  </si>
  <si>
    <t>皇宫</t>
  </si>
  <si>
    <t>墓穴之城（苏黎丹外的公墓）</t>
  </si>
  <si>
    <t>西奥的地下城（苏黎丹的某位邪恶巫师的宅邸下）</t>
  </si>
  <si>
    <t>珊瑚港</t>
  </si>
  <si>
    <t>珊瑚港的丛林</t>
  </si>
  <si>
    <t>被叉中的鲸鱼，珊瑚港的酒馆</t>
  </si>
  <si>
    <t>哈加斯特矿井（幽暗地域的一个入口）</t>
  </si>
  <si>
    <t>对方的队伍： 队伍的调整值</t>
  </si>
  <si>
    <t>玩家的队伍：</t>
  </si>
  <si>
    <t>环境：</t>
  </si>
  <si>
    <t xml:space="preserve">无声 </t>
    <phoneticPr fontId="1" type="noConversion"/>
  </si>
  <si>
    <t xml:space="preserve">隐形 </t>
    <phoneticPr fontId="1" type="noConversion"/>
  </si>
  <si>
    <t xml:space="preserve">独特的气味（烟气、强烈的臭味等） </t>
    <phoneticPr fontId="1" type="noConversion"/>
  </si>
  <si>
    <t xml:space="preserve">每有10名成员 </t>
    <phoneticPr fontId="1" type="noConversion"/>
  </si>
  <si>
    <t xml:space="preserve">伪装 </t>
    <phoneticPr fontId="1" type="noConversion"/>
  </si>
  <si>
    <t>-1至-3</t>
  </si>
  <si>
    <t xml:space="preserve">逃跑 </t>
    <phoneticPr fontId="1" type="noConversion"/>
  </si>
  <si>
    <t xml:space="preserve">处于昏暗的光照中 </t>
    <phoneticPr fontId="1" type="noConversion"/>
  </si>
  <si>
    <t xml:space="preserve">处于黑暗中 </t>
    <phoneticPr fontId="1" type="noConversion"/>
  </si>
  <si>
    <t xml:space="preserve">恐慌 </t>
    <phoneticPr fontId="1" type="noConversion"/>
  </si>
  <si>
    <t xml:space="preserve">极其安静 </t>
    <phoneticPr fontId="1" type="noConversion"/>
  </si>
  <si>
    <t xml:space="preserve">浓雾 </t>
    <phoneticPr fontId="1" type="noConversion"/>
  </si>
  <si>
    <t xml:space="preserve">下雨 </t>
    <phoneticPr fontId="1" type="noConversion"/>
  </si>
  <si>
    <t xml:space="preserve">预料到攻击* </t>
    <phoneticPr fontId="1" type="noConversion"/>
  </si>
  <si>
    <t xml:space="preserve">多疑* </t>
    <phoneticPr fontId="1" type="noConversion"/>
  </si>
  <si>
    <t>均未被突袭：</t>
  </si>
  <si>
    <t>情况或地形</t>
  </si>
  <si>
    <t>双方均被突袭</t>
  </si>
  <si>
    <t>一方被突袭</t>
  </si>
  <si>
    <t>烟或浓雾</t>
  </si>
  <si>
    <t>丛林或密林</t>
  </si>
  <si>
    <t>明亮的树林</t>
  </si>
  <si>
    <t>矮树丛，灌木丛或灌木林</t>
  </si>
  <si>
    <t>几乎无掩蔽的草地</t>
  </si>
  <si>
    <t>夜晚或地下城</t>
  </si>
  <si>
    <t>距离（英尺）</t>
  </si>
  <si>
    <t>3d6</t>
  </si>
  <si>
    <t>4d6</t>
  </si>
  <si>
    <t>6d6</t>
  </si>
  <si>
    <t>1d10×10</t>
  </si>
  <si>
    <t>2d6×10</t>
  </si>
  <si>
    <t>2d12×10</t>
  </si>
  <si>
    <t>5d10×10</t>
  </si>
  <si>
    <t>受视野限制</t>
  </si>
  <si>
    <t>守序善良</t>
  </si>
  <si>
    <t>守序中立</t>
  </si>
  <si>
    <t>守序邪恶</t>
  </si>
  <si>
    <t>中立邪恶</t>
  </si>
  <si>
    <t>绝对中立</t>
  </si>
  <si>
    <t>中立善良</t>
  </si>
  <si>
    <t>混乱善良</t>
  </si>
  <si>
    <t>混乱中立</t>
  </si>
  <si>
    <t>混乱邪恶</t>
  </si>
  <si>
    <t>守序善良：Lawful good，十字军</t>
  </si>
  <si>
    <t>中立善良：Neutral good，施恩者</t>
  </si>
  <si>
    <t>混乱善良：Chaotic good，反抗者</t>
  </si>
  <si>
    <t>守序中立：Lawful neutral，审判者</t>
  </si>
  <si>
    <t>绝对中立：(True) neutral，中立者</t>
  </si>
  <si>
    <t>混乱中立：Chaotic neutral，自由人</t>
  </si>
  <si>
    <t>守序邪恶：Lawful evil，支配者</t>
  </si>
  <si>
    <t>中立邪恶：Neutral evil，犯罪者</t>
  </si>
  <si>
    <t>混乱邪恶：Chaotic evil，毁灭者</t>
  </si>
  <si>
    <t>爪击(近战攻击）命中3</t>
    <phoneticPr fontId="1" type="noConversion"/>
  </si>
  <si>
    <t>3（1D4+1）</t>
    <phoneticPr fontId="1" type="noConversion"/>
  </si>
  <si>
    <t>11(2D8+2)</t>
    <phoneticPr fontId="1" type="noConversion"/>
  </si>
  <si>
    <t xml:space="preserve">6(2d4+1) </t>
    <phoneticPr fontId="1" type="noConversion"/>
  </si>
  <si>
    <t>针刺</t>
    <phoneticPr fontId="1" type="noConversion"/>
  </si>
  <si>
    <t>（远程攻击）命中3</t>
    <phoneticPr fontId="1" type="noConversion"/>
  </si>
  <si>
    <t>射程30/60</t>
    <phoneticPr fontId="1" type="noConversion"/>
  </si>
  <si>
    <t>8(2D6+1)</t>
    <phoneticPr fontId="1" type="noConversion"/>
  </si>
  <si>
    <t>绞缠(近战攻击)命中4</t>
    <phoneticPr fontId="1" type="noConversion"/>
  </si>
  <si>
    <t>26(4D8+2)</t>
    <phoneticPr fontId="1" type="noConversion"/>
  </si>
  <si>
    <t>10尺</t>
    <phoneticPr fontId="1" type="noConversion"/>
  </si>
  <si>
    <t>9(2D6+2)</t>
    <phoneticPr fontId="1" type="noConversion"/>
  </si>
  <si>
    <t>（充能5~6)</t>
    <phoneticPr fontId="1" type="noConversion"/>
  </si>
  <si>
    <t>缠身植被(AOE)</t>
    <phoneticPr fontId="1" type="noConversion"/>
  </si>
  <si>
    <t>范围15</t>
    <phoneticPr fontId="1" type="noConversion"/>
  </si>
  <si>
    <t>4（1D10）</t>
    <phoneticPr fontId="1" type="noConversion"/>
  </si>
  <si>
    <t>羊</t>
    <phoneticPr fontId="1" type="noConversion"/>
  </si>
  <si>
    <t>/</t>
    <phoneticPr fontId="1" type="noConversion"/>
  </si>
  <si>
    <t>野外</t>
    <phoneticPr fontId="1" type="noConversion"/>
  </si>
  <si>
    <t>羊毛+羊肉+羊角（普通）</t>
    <phoneticPr fontId="1" type="noConversion"/>
  </si>
  <si>
    <t>眼睛</t>
    <phoneticPr fontId="1" type="noConversion"/>
  </si>
  <si>
    <t>/</t>
    <phoneticPr fontId="1" type="noConversion"/>
  </si>
  <si>
    <t>2（1D4）</t>
    <phoneticPr fontId="1" type="noConversion"/>
  </si>
  <si>
    <t>撞击(近战攻击）命中3</t>
    <phoneticPr fontId="1" type="noConversion"/>
  </si>
  <si>
    <t>附加伤害</t>
  </si>
  <si>
    <t>物理伤害加成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</si>
  <si>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</si>
  <si>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</si>
  <si>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</si>
  <si>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速度：</t>
    <phoneticPr fontId="1" type="noConversion"/>
  </si>
  <si>
    <t>1D3</t>
    <phoneticPr fontId="1" type="noConversion"/>
  </si>
  <si>
    <t>烹饪</t>
    <phoneticPr fontId="1" type="noConversion"/>
  </si>
  <si>
    <t>制造</t>
  </si>
  <si>
    <t>制作食物(1)</t>
    <phoneticPr fontId="1" type="noConversion"/>
  </si>
  <si>
    <t>制作工具，武器(1)</t>
    <phoneticPr fontId="1" type="noConversion"/>
  </si>
  <si>
    <t>概率</t>
    <phoneticPr fontId="1" type="noConversion"/>
  </si>
  <si>
    <t>等级</t>
    <phoneticPr fontId="1" type="noConversion"/>
  </si>
  <si>
    <t>技能</t>
    <phoneticPr fontId="1" type="noConversion"/>
  </si>
  <si>
    <t>GP</t>
    <phoneticPr fontId="1" type="noConversion"/>
  </si>
  <si>
    <t>使用</t>
    <phoneticPr fontId="1" type="noConversion"/>
  </si>
  <si>
    <t>剩下</t>
    <phoneticPr fontId="1" type="noConversion"/>
  </si>
  <si>
    <t>80%普通武器/30%钢铁，极低白银10%</t>
    <phoneticPr fontId="1" type="noConversion"/>
  </si>
  <si>
    <t>90%普通/50%白銀/10%黄金武器+豺狼人之心</t>
    <phoneticPr fontId="1" type="noConversion"/>
  </si>
  <si>
    <t>90%普通/30%白銀/5%黄金武器</t>
    <phoneticPr fontId="1" type="noConversion"/>
  </si>
  <si>
    <t>腐化树枝（普通）/树心（普通）/树皮（普通）</t>
    <phoneticPr fontId="1" type="noConversion"/>
  </si>
  <si>
    <t>腐化树枝（钢铁）/树心（钢铁）/树皮（钢铁）</t>
    <phoneticPr fontId="1" type="noConversion"/>
  </si>
  <si>
    <t>等级</t>
    <phoneticPr fontId="1" type="noConversion"/>
  </si>
  <si>
    <t>眼镜蛇</t>
  </si>
  <si>
    <t>眼镜王蛇</t>
  </si>
  <si>
    <t>基卡斯蟒蛇</t>
  </si>
  <si>
    <t>梅达</t>
  </si>
  <si>
    <t>米沙古兹</t>
  </si>
  <si>
    <t>衔尾蛇</t>
  </si>
  <si>
    <t>蛇神威</t>
  </si>
  <si>
    <t>苏卡鲁</t>
  </si>
  <si>
    <t>森林</t>
    <phoneticPr fontId="1" type="noConversion"/>
  </si>
  <si>
    <t>蛇胆，蛇毒，蛇毒，蛇肉（普通）</t>
    <phoneticPr fontId="1" type="noConversion"/>
  </si>
  <si>
    <t>未知</t>
    <phoneticPr fontId="1" type="noConversion"/>
  </si>
  <si>
    <t>史诗</t>
    <phoneticPr fontId="1" type="noConversion"/>
  </si>
  <si>
    <t>蛇胆，蛇毒，蛇毒，蛇肉（史诗）</t>
    <phoneticPr fontId="1" type="noConversion"/>
  </si>
  <si>
    <t>白銀</t>
    <phoneticPr fontId="1" type="noConversion"/>
  </si>
  <si>
    <t>蛇胆，蛇毒，蛇毒，蛇肉（白銀）</t>
    <phoneticPr fontId="1" type="noConversion"/>
  </si>
  <si>
    <t>温度，热量</t>
    <phoneticPr fontId="1" type="noConversion"/>
  </si>
  <si>
    <t>毒手（近战攻击）命中3</t>
    <phoneticPr fontId="1" type="noConversion"/>
  </si>
  <si>
    <t>1尺</t>
    <phoneticPr fontId="1" type="noConversion"/>
  </si>
  <si>
    <t>毒手（近战攻击）命中4</t>
    <phoneticPr fontId="1" type="noConversion"/>
  </si>
  <si>
    <t>吸血之牙</t>
    <phoneticPr fontId="1" type="noConversion"/>
  </si>
  <si>
    <t>回复（伤害*10%）</t>
    <phoneticPr fontId="1" type="noConversion"/>
  </si>
  <si>
    <t>轰音吐息AOE</t>
    <phoneticPr fontId="1" type="noConversion"/>
  </si>
  <si>
    <t>15/50</t>
    <phoneticPr fontId="1" type="noConversion"/>
  </si>
  <si>
    <t>毒液吐息</t>
    <phoneticPr fontId="1" type="noConversion"/>
  </si>
  <si>
    <t>向1D3名敌人攻击</t>
    <phoneticPr fontId="1" type="noConversion"/>
  </si>
  <si>
    <t>42（每回合-5毒伤害） 毒抗性高于3*无视</t>
    <phoneticPr fontId="1" type="noConversion"/>
  </si>
  <si>
    <t>8（每回合-3 毒伤害）毒抗性高于2*无视</t>
    <phoneticPr fontId="1" type="noConversion"/>
  </si>
  <si>
    <t>6（每回合-2 毒伤害）毒抗性高于2*无视</t>
    <phoneticPr fontId="1" type="noConversion"/>
  </si>
  <si>
    <t>进行判定，0成功，1失败束缚，力量高于15无视</t>
    <phoneticPr fontId="1" type="noConversion"/>
  </si>
  <si>
    <t>生物等级</t>
    <phoneticPr fontId="1" type="noConversion"/>
  </si>
  <si>
    <t>凡物</t>
    <phoneticPr fontId="1" type="noConversion"/>
  </si>
  <si>
    <t>1-60</t>
    <phoneticPr fontId="1" type="noConversion"/>
  </si>
  <si>
    <t>61-80</t>
    <phoneticPr fontId="1" type="noConversion"/>
  </si>
  <si>
    <t>传奇</t>
    <phoneticPr fontId="1" type="noConversion"/>
  </si>
  <si>
    <t>81-99</t>
    <phoneticPr fontId="1" type="noConversion"/>
  </si>
  <si>
    <t>半神</t>
    <phoneticPr fontId="1" type="noConversion"/>
  </si>
  <si>
    <t>〉100</t>
    <phoneticPr fontId="1" type="noConversion"/>
  </si>
  <si>
    <t>神性生物</t>
    <phoneticPr fontId="1" type="noConversion"/>
  </si>
  <si>
    <t>三阶</t>
    <phoneticPr fontId="1" type="noConversion"/>
  </si>
  <si>
    <t>四阶</t>
    <phoneticPr fontId="1" type="noConversion"/>
  </si>
  <si>
    <t>五阶</t>
    <phoneticPr fontId="1" type="noConversion"/>
  </si>
  <si>
    <t>主动/被动</t>
    <phoneticPr fontId="1" type="noConversion"/>
  </si>
  <si>
    <t>主动</t>
    <phoneticPr fontId="1" type="noConversion"/>
  </si>
  <si>
    <t>被动</t>
    <phoneticPr fontId="1" type="noConversion"/>
  </si>
  <si>
    <t>效果</t>
    <phoneticPr fontId="1" type="noConversion"/>
  </si>
  <si>
    <t>Lv</t>
    <phoneticPr fontId="1" type="noConversion"/>
  </si>
  <si>
    <t>MAX</t>
    <phoneticPr fontId="1" type="noConversion"/>
  </si>
  <si>
    <t>解剖学</t>
    <phoneticPr fontId="1" type="noConversion"/>
  </si>
  <si>
    <t>解剖尸体，获得（1）</t>
    <phoneticPr fontId="1" type="noConversion"/>
  </si>
  <si>
    <t>武器/物品等级</t>
    <phoneticPr fontId="1" type="noConversion"/>
  </si>
  <si>
    <t>经验</t>
    <phoneticPr fontId="1" type="noConversion"/>
  </si>
  <si>
    <t>超凡</t>
    <phoneticPr fontId="1" type="noConversion"/>
  </si>
  <si>
    <t>六阶</t>
    <phoneticPr fontId="1" type="noConversion"/>
  </si>
  <si>
    <t>等级</t>
    <phoneticPr fontId="1" type="noConversion"/>
  </si>
  <si>
    <t>概率</t>
    <phoneticPr fontId="1" type="noConversion"/>
  </si>
  <si>
    <t>掉落物</t>
    <phoneticPr fontId="1" type="noConversion"/>
  </si>
  <si>
    <t>肉干(0)</t>
    <phoneticPr fontId="1" type="noConversion"/>
  </si>
  <si>
    <t>淡水(0)</t>
    <phoneticPr fontId="1" type="noConversion"/>
  </si>
  <si>
    <t>子弹(0)</t>
    <phoneticPr fontId="1" type="noConversion"/>
  </si>
  <si>
    <t>弩箭（0）</t>
    <phoneticPr fontId="1" type="noConversion"/>
  </si>
  <si>
    <t>（敏捷/10+体格）/10</t>
    <phoneticPr fontId="1" type="noConversion"/>
  </si>
  <si>
    <t>解剖</t>
    <phoneticPr fontId="1" type="noConversion"/>
  </si>
  <si>
    <t>树心（钢铁）</t>
  </si>
  <si>
    <t>AC</t>
    <phoneticPr fontId="1" type="noConversion"/>
  </si>
  <si>
    <t>装备</t>
    <phoneticPr fontId="1" type="noConversion"/>
  </si>
  <si>
    <t>身体</t>
    <phoneticPr fontId="1" type="noConversion"/>
  </si>
  <si>
    <t>腐化树枝（钢铁）/树心（钢铁）/树皮（钢铁）</t>
    <phoneticPr fontId="1" type="noConversion"/>
  </si>
  <si>
    <t>等级</t>
    <phoneticPr fontId="1" type="noConversion"/>
  </si>
  <si>
    <t>枪炮师（二阶）（主）</t>
    <phoneticPr fontId="1" type="noConversion"/>
  </si>
  <si>
    <t>生活职业：</t>
    <phoneticPr fontId="1" type="noConversion"/>
  </si>
  <si>
    <t>炸药学</t>
    <phoneticPr fontId="1" type="noConversion"/>
  </si>
  <si>
    <t>枪械学</t>
    <phoneticPr fontId="1" type="noConversion"/>
  </si>
  <si>
    <t>炸药研发</t>
    <phoneticPr fontId="1" type="noConversion"/>
  </si>
  <si>
    <t>材料学</t>
    <phoneticPr fontId="1" type="noConversion"/>
  </si>
  <si>
    <t>材料研发</t>
    <phoneticPr fontId="1" type="noConversion"/>
  </si>
  <si>
    <t>枪械研发</t>
    <phoneticPr fontId="1" type="noConversion"/>
  </si>
  <si>
    <t>炸药大师</t>
    <phoneticPr fontId="1" type="noConversion"/>
  </si>
  <si>
    <t>所有炸药伤害，炸药研发成功几率每次增加5%</t>
    <phoneticPr fontId="1" type="noConversion"/>
  </si>
  <si>
    <t>完成度</t>
    <phoneticPr fontId="1" type="noConversion"/>
  </si>
  <si>
    <t>任务评价</t>
    <phoneticPr fontId="1" type="noConversion"/>
  </si>
  <si>
    <t>极佳</t>
  </si>
  <si>
    <t>不可思议</t>
    <phoneticPr fontId="1" type="noConversion"/>
  </si>
  <si>
    <t>超额</t>
  </si>
  <si>
    <t>逆转</t>
  </si>
  <si>
    <t>奇迹</t>
    <phoneticPr fontId="1" type="noConversion"/>
  </si>
  <si>
    <t>神话</t>
    <phoneticPr fontId="1" type="noConversion"/>
  </si>
  <si>
    <t>**</t>
    <phoneticPr fontId="1" type="noConversion"/>
  </si>
  <si>
    <t>没有完成任务目标的一半</t>
    <phoneticPr fontId="1" type="noConversion"/>
  </si>
  <si>
    <t>全部目标完成</t>
    <phoneticPr fontId="1" type="noConversion"/>
  </si>
  <si>
    <t>至少完成一个任务目标</t>
    <phoneticPr fontId="1" type="noConversion"/>
  </si>
  <si>
    <t>基本完成任务</t>
    <phoneticPr fontId="1" type="noConversion"/>
  </si>
  <si>
    <t>生活技能等级</t>
    <phoneticPr fontId="1" type="noConversion"/>
  </si>
  <si>
    <t>等级</t>
    <phoneticPr fontId="1" type="noConversion"/>
  </si>
  <si>
    <t>炸药研发</t>
    <phoneticPr fontId="1" type="noConversion"/>
  </si>
  <si>
    <t>炸药学</t>
    <phoneticPr fontId="1" type="noConversion"/>
  </si>
  <si>
    <t>炸药</t>
    <phoneticPr fontId="1" type="noConversion"/>
  </si>
  <si>
    <t>材料：</t>
    <phoneticPr fontId="1" type="noConversion"/>
  </si>
  <si>
    <t>伤害：</t>
    <phoneticPr fontId="1" type="noConversion"/>
  </si>
  <si>
    <t>编号：</t>
    <phoneticPr fontId="1" type="noConversion"/>
  </si>
  <si>
    <t>名称：</t>
    <phoneticPr fontId="1" type="noConversion"/>
  </si>
  <si>
    <t>等级：</t>
    <phoneticPr fontId="1" type="noConversion"/>
  </si>
  <si>
    <t>效果：</t>
    <phoneticPr fontId="1" type="noConversion"/>
  </si>
  <si>
    <t>类型：</t>
    <phoneticPr fontId="1" type="noConversion"/>
  </si>
  <si>
    <t>杀伤</t>
    <phoneticPr fontId="1" type="noConversion"/>
  </si>
  <si>
    <t>爆破</t>
    <phoneticPr fontId="1" type="noConversion"/>
  </si>
  <si>
    <t>燃烧</t>
    <phoneticPr fontId="1" type="noConversion"/>
  </si>
  <si>
    <t>穿甲</t>
    <phoneticPr fontId="1" type="noConversion"/>
  </si>
  <si>
    <t>冷却</t>
    <phoneticPr fontId="1" type="noConversion"/>
  </si>
  <si>
    <t>禁魔</t>
    <phoneticPr fontId="1" type="noConversion"/>
  </si>
  <si>
    <t>功能</t>
    <phoneticPr fontId="1" type="noConversion"/>
  </si>
  <si>
    <t>辅助</t>
  </si>
  <si>
    <t>干扰</t>
    <phoneticPr fontId="1" type="noConversion"/>
  </si>
  <si>
    <t>纸</t>
  </si>
  <si>
    <t>布</t>
  </si>
  <si>
    <t>丝绸</t>
  </si>
  <si>
    <t>云母</t>
  </si>
  <si>
    <t>灵布</t>
  </si>
  <si>
    <t>宵晒（晚霞）</t>
  </si>
  <si>
    <t>化学纤维</t>
  </si>
  <si>
    <t>狮鹫鳞</t>
  </si>
  <si>
    <t>以太</t>
  </si>
  <si>
    <t>厨余</t>
  </si>
  <si>
    <t>皮革</t>
  </si>
  <si>
    <t>骨</t>
  </si>
  <si>
    <t>黑曜石</t>
  </si>
  <si>
    <t>玻璃</t>
  </si>
  <si>
    <t>鳞片</t>
  </si>
  <si>
    <t>珊瑚</t>
  </si>
  <si>
    <t>青铜</t>
  </si>
  <si>
    <t>水晶</t>
  </si>
  <si>
    <t>钛</t>
  </si>
  <si>
    <t>铁锁</t>
  </si>
  <si>
    <t>龙鳞</t>
  </si>
  <si>
    <t>银</t>
  </si>
  <si>
    <t>秘银</t>
  </si>
  <si>
    <t>珍珠</t>
  </si>
  <si>
    <t>绿宝石</t>
  </si>
  <si>
    <t>红宝石</t>
  </si>
  <si>
    <t>白银（铂）</t>
  </si>
  <si>
    <t>铁</t>
  </si>
  <si>
    <t>金</t>
  </si>
  <si>
    <t>铅</t>
  </si>
  <si>
    <t>铬</t>
  </si>
  <si>
    <t>钻石</t>
  </si>
  <si>
    <t>精金</t>
  </si>
  <si>
    <t>乱来的</t>
  </si>
  <si>
    <t>艳丽的</t>
  </si>
  <si>
    <t>美丽的</t>
  </si>
  <si>
    <t>梦幻</t>
  </si>
  <si>
    <t>不应该存在于世的</t>
  </si>
  <si>
    <t>缠绕暗影之</t>
  </si>
  <si>
    <t>来自异国的</t>
  </si>
  <si>
    <t>折翼之</t>
  </si>
  <si>
    <t>永恒的</t>
  </si>
  <si>
    <t>食用</t>
  </si>
  <si>
    <t>包裹一切之</t>
  </si>
  <si>
    <t>不朽的</t>
  </si>
  <si>
    <t>弑神的</t>
  </si>
  <si>
    <t>通透的</t>
  </si>
  <si>
    <t>触怒逆鳞的</t>
  </si>
  <si>
    <t>来自海洋的</t>
  </si>
  <si>
    <t>高贵之</t>
  </si>
  <si>
    <t>绽放异彩的</t>
  </si>
  <si>
    <t>不褪色的</t>
  </si>
  <si>
    <t>连锁的</t>
  </si>
  <si>
    <t>统领龙族的</t>
  </si>
  <si>
    <t>破晓的</t>
  </si>
  <si>
    <t>上古的</t>
  </si>
  <si>
    <t>照亮黑暗之</t>
  </si>
  <si>
    <t>呼唤奇迹之</t>
  </si>
  <si>
    <t>绯红的</t>
  </si>
  <si>
    <t>缠绕光辉的</t>
  </si>
  <si>
    <t>有来历的</t>
  </si>
  <si>
    <t>被唤做铁块之</t>
  </si>
  <si>
    <t>金闪闪的</t>
  </si>
  <si>
    <t>沉重</t>
  </si>
  <si>
    <t>揭示真实之</t>
  </si>
  <si>
    <t>不变的</t>
  </si>
  <si>
    <t>撼动大地的</t>
  </si>
  <si>
    <t>素材</t>
    <phoneticPr fontId="1" type="noConversion"/>
  </si>
  <si>
    <t>形容</t>
    <phoneticPr fontId="1" type="noConversion"/>
  </si>
  <si>
    <t>固定效果</t>
  </si>
  <si>
    <t>回避*</t>
  </si>
  <si>
    <t>——</t>
  </si>
  <si>
    <t>幻惑*</t>
  </si>
  <si>
    <t>幸运3</t>
  </si>
  <si>
    <t>速度5</t>
  </si>
  <si>
    <t>法力5</t>
  </si>
  <si>
    <t>地狱*</t>
  </si>
  <si>
    <t>速度5，加快以太病发作</t>
  </si>
  <si>
    <t>可以食用（不会腐烂）</t>
  </si>
  <si>
    <t>地狱**</t>
  </si>
  <si>
    <t>混沌**</t>
  </si>
  <si>
    <t>速度4</t>
  </si>
  <si>
    <t>火炎*</t>
  </si>
  <si>
    <t>电击**</t>
  </si>
  <si>
    <t>电击*</t>
  </si>
  <si>
    <t>魔力3</t>
  </si>
  <si>
    <t>力量3</t>
  </si>
  <si>
    <t>黑暗*</t>
  </si>
  <si>
    <t>火焰*，冷气*</t>
  </si>
  <si>
    <t>咏唱*</t>
  </si>
  <si>
    <t>感觉3</t>
  </si>
  <si>
    <t>神经**</t>
  </si>
  <si>
    <t>生命力3</t>
  </si>
  <si>
    <t>黑暗**</t>
  </si>
  <si>
    <t>火炎*（比鳞、龙鳞弱）</t>
  </si>
  <si>
    <t>体质3</t>
  </si>
  <si>
    <t>伤害修正</t>
    <phoneticPr fontId="1" type="noConversion"/>
  </si>
  <si>
    <t>命中修正</t>
    <phoneticPr fontId="1" type="noConversion"/>
  </si>
  <si>
    <t>耐燃</t>
  </si>
  <si>
    <t>耐酸</t>
  </si>
  <si>
    <t>X</t>
  </si>
  <si>
    <t>○</t>
  </si>
  <si>
    <t>特征（蓝色为独有特性）</t>
  </si>
  <si>
    <t>最轻的材质</t>
  </si>
  <si>
    <t>幻惑抗性</t>
  </si>
  <si>
    <t>幸运提升</t>
  </si>
  <si>
    <r>
      <t>速度提升</t>
    </r>
    <r>
      <rPr>
        <sz val="12"/>
        <rFont val="宋体"/>
        <family val="3"/>
        <charset val="134"/>
      </rPr>
      <t>，</t>
    </r>
    <r>
      <rPr>
        <sz val="12"/>
        <color indexed="12"/>
        <rFont val="宋体"/>
        <family val="3"/>
        <charset val="134"/>
      </rPr>
      <t>最高的DV</t>
    </r>
    <r>
      <rPr>
        <sz val="12"/>
        <rFont val="宋体"/>
        <family val="3"/>
        <charset val="134"/>
      </rPr>
      <t>，</t>
    </r>
    <r>
      <rPr>
        <sz val="12"/>
        <color indexed="12"/>
        <rFont val="宋体"/>
        <family val="3"/>
        <charset val="134"/>
      </rPr>
      <t>家具可获得的最轻材质</t>
    </r>
  </si>
  <si>
    <t>速度提升，武器的骰面和伤害修正非常高</t>
  </si>
  <si>
    <t>恶劣卷系非常容易出现的材质，可以吃</t>
  </si>
  <si>
    <t>地狱抗性</t>
  </si>
  <si>
    <t>混沌抗性</t>
  </si>
  <si>
    <t>较高的PV</t>
  </si>
  <si>
    <r>
      <t>神经抗性</t>
    </r>
    <r>
      <rPr>
        <sz val="12"/>
        <rFont val="宋体"/>
        <family val="3"/>
        <charset val="134"/>
      </rPr>
      <t>，高PV</t>
    </r>
  </si>
  <si>
    <r>
      <t>生命力提高</t>
    </r>
    <r>
      <rPr>
        <sz val="12"/>
        <rFont val="宋体"/>
        <family val="3"/>
        <charset val="134"/>
      </rPr>
      <t>，较高的PV，</t>
    </r>
    <r>
      <rPr>
        <sz val="12"/>
        <color indexed="12"/>
        <rFont val="宋体"/>
        <family val="3"/>
        <charset val="134"/>
      </rPr>
      <t>作为武器和手套时高命中修正</t>
    </r>
  </si>
  <si>
    <t>黑暗抗性</t>
  </si>
  <si>
    <t>恶劣卷就能出现的耐酸材质</t>
  </si>
  <si>
    <t>重量倍率</t>
  </si>
  <si>
    <t>AC</t>
    <phoneticPr fontId="1" type="noConversion"/>
  </si>
  <si>
    <t>地狱抗性</t>
    <phoneticPr fontId="1" type="noConversion"/>
  </si>
  <si>
    <t>法力提高，轻</t>
    <phoneticPr fontId="1" type="noConversion"/>
  </si>
  <si>
    <r>
      <t>火炎抗性</t>
    </r>
    <r>
      <rPr>
        <sz val="12"/>
        <rFont val="宋体"/>
        <family val="3"/>
        <charset val="134"/>
      </rPr>
      <t>、</t>
    </r>
    <r>
      <rPr>
        <sz val="12"/>
        <color indexed="12"/>
        <rFont val="宋体"/>
        <family val="3"/>
        <charset val="134"/>
      </rPr>
      <t>冷气抗性</t>
    </r>
    <phoneticPr fontId="1" type="noConversion"/>
  </si>
  <si>
    <r>
      <t>电击抗性</t>
    </r>
    <r>
      <rPr>
        <sz val="12"/>
        <rFont val="宋体"/>
        <family val="3"/>
        <charset val="134"/>
      </rPr>
      <t>，高AC</t>
    </r>
    <phoneticPr fontId="1" type="noConversion"/>
  </si>
  <si>
    <r>
      <rPr>
        <sz val="12"/>
        <rFont val="宋体"/>
        <family val="3"/>
        <charset val="134"/>
      </rPr>
      <t>武器骰面极高，</t>
    </r>
    <r>
      <rPr>
        <sz val="12"/>
        <color indexed="12"/>
        <rFont val="宋体"/>
        <family val="3"/>
        <charset val="134"/>
      </rPr>
      <t>会心修正最大</t>
    </r>
    <r>
      <rPr>
        <sz val="12"/>
        <rFont val="宋体"/>
        <family val="3"/>
        <charset val="134"/>
      </rPr>
      <t>，命中低</t>
    </r>
    <phoneticPr fontId="1" type="noConversion"/>
  </si>
  <si>
    <t>负重</t>
    <phoneticPr fontId="1" type="noConversion"/>
  </si>
  <si>
    <t>重量</t>
    <phoneticPr fontId="1" type="noConversion"/>
  </si>
  <si>
    <t>失败</t>
    <phoneticPr fontId="1" type="noConversion"/>
  </si>
  <si>
    <t>难度</t>
    <phoneticPr fontId="1" type="noConversion"/>
  </si>
  <si>
    <t>奖励加成</t>
    <phoneticPr fontId="1" type="noConversion"/>
  </si>
  <si>
    <t>枯针怪*1/30%</t>
    <phoneticPr fontId="1" type="noConversion"/>
  </si>
  <si>
    <t>枯枝怪*10/20%</t>
    <phoneticPr fontId="1" type="noConversion"/>
  </si>
  <si>
    <t>枯藤怪*10/40%</t>
    <phoneticPr fontId="1" type="noConversion"/>
  </si>
  <si>
    <t>差</t>
    <phoneticPr fontId="1" type="noConversion"/>
  </si>
  <si>
    <t>普通</t>
    <phoneticPr fontId="1" type="noConversion"/>
  </si>
  <si>
    <t>完成</t>
    <phoneticPr fontId="1" type="noConversion"/>
  </si>
  <si>
    <t>下等</t>
    <phoneticPr fontId="1" type="noConversion"/>
  </si>
  <si>
    <t>*</t>
    <phoneticPr fontId="1" type="noConversion"/>
  </si>
  <si>
    <t>**</t>
    <phoneticPr fontId="1" type="noConversion"/>
  </si>
  <si>
    <t>***</t>
    <phoneticPr fontId="1" type="noConversion"/>
  </si>
  <si>
    <t>****</t>
    <phoneticPr fontId="1" type="noConversion"/>
  </si>
  <si>
    <t>/</t>
    <phoneticPr fontId="1" type="noConversion"/>
  </si>
  <si>
    <t>*****</t>
    <phoneticPr fontId="1" type="noConversion"/>
  </si>
  <si>
    <t>******</t>
    <phoneticPr fontId="1" type="noConversion"/>
  </si>
  <si>
    <t>*******</t>
    <phoneticPr fontId="1" type="noConversion"/>
  </si>
  <si>
    <t>********</t>
    <phoneticPr fontId="1" type="noConversion"/>
  </si>
  <si>
    <t>*********</t>
    <phoneticPr fontId="1" type="noConversion"/>
  </si>
  <si>
    <t>等级</t>
    <phoneticPr fontId="1" type="noConversion"/>
  </si>
  <si>
    <t>冒险点</t>
    <phoneticPr fontId="1" type="noConversion"/>
  </si>
  <si>
    <t>XP</t>
    <phoneticPr fontId="1" type="noConversion"/>
  </si>
  <si>
    <t>寻找爆破点</t>
    <phoneticPr fontId="1" type="noConversion"/>
  </si>
  <si>
    <t>被动</t>
    <phoneticPr fontId="1" type="noConversion"/>
  </si>
  <si>
    <t>10%找到爆破点，伤害*5</t>
    <phoneticPr fontId="1" type="noConversion"/>
  </si>
  <si>
    <t>冒险点*200+200GP+技能点*2+冒险家XP+100</t>
    <phoneticPr fontId="1" type="noConversion"/>
  </si>
  <si>
    <t>冒险家等级</t>
    <phoneticPr fontId="1" type="noConversion"/>
  </si>
  <si>
    <t>冒险家等级</t>
    <phoneticPr fontId="1" type="noConversion"/>
  </si>
  <si>
    <t>经验</t>
    <phoneticPr fontId="1" type="noConversion"/>
  </si>
  <si>
    <t>总共</t>
    <phoneticPr fontId="1" type="noConversion"/>
  </si>
  <si>
    <t>轻松</t>
  </si>
  <si>
    <t>较重</t>
    <phoneticPr fontId="1" type="noConversion"/>
  </si>
  <si>
    <t>沉重</t>
    <phoneticPr fontId="1" type="noConversion"/>
  </si>
  <si>
    <t>压迫</t>
    <phoneticPr fontId="1" type="noConversion"/>
  </si>
  <si>
    <t>无法承受</t>
    <phoneticPr fontId="1" type="noConversion"/>
  </si>
  <si>
    <t>速度</t>
    <phoneticPr fontId="1" type="noConversion"/>
  </si>
  <si>
    <t>我的数据</t>
    <phoneticPr fontId="1" type="noConversion"/>
  </si>
  <si>
    <t>HP</t>
    <phoneticPr fontId="1" type="noConversion"/>
  </si>
  <si>
    <t>MP</t>
    <phoneticPr fontId="1" type="noConversion"/>
  </si>
  <si>
    <t>伤害/消耗</t>
    <phoneticPr fontId="1" type="noConversion"/>
  </si>
  <si>
    <t>百分比</t>
    <phoneticPr fontId="1" type="noConversion"/>
  </si>
  <si>
    <t>数值</t>
    <phoneticPr fontId="1" type="noConversion"/>
  </si>
  <si>
    <t>影响</t>
    <phoneticPr fontId="1" type="noConversion"/>
  </si>
  <si>
    <t>没有影响</t>
    <phoneticPr fontId="1" type="noConversion"/>
  </si>
  <si>
    <t>负重程度</t>
    <phoneticPr fontId="1" type="noConversion"/>
  </si>
  <si>
    <t>爆破师（二阶）（副）</t>
    <phoneticPr fontId="1" type="noConversion"/>
  </si>
  <si>
    <t>用枪械上刺刀捅向敌人 伤害=刺刀+力量+10 30%贯穿</t>
    <phoneticPr fontId="1" type="noConversion"/>
  </si>
  <si>
    <t>命中+0.02</t>
    <phoneticPr fontId="1" type="noConversion"/>
  </si>
  <si>
    <t>闪避+20% 1回合   3个回合不能使用</t>
    <phoneticPr fontId="1" type="noConversion"/>
  </si>
  <si>
    <t>杀伤</t>
    <phoneticPr fontId="1" type="noConversion"/>
  </si>
  <si>
    <t>火元素结晶*1</t>
    <phoneticPr fontId="1" type="noConversion"/>
  </si>
  <si>
    <t>需要：</t>
    <phoneticPr fontId="1" type="noConversion"/>
  </si>
  <si>
    <t>炸药学LV1</t>
    <phoneticPr fontId="1" type="noConversion"/>
  </si>
  <si>
    <t>制作LV1</t>
    <phoneticPr fontId="1" type="noConversion"/>
  </si>
  <si>
    <t>火焰弹1.0</t>
    <phoneticPr fontId="1" type="noConversion"/>
  </si>
  <si>
    <t>火焰弹（0）</t>
    <phoneticPr fontId="1" type="noConversion"/>
  </si>
  <si>
    <t>火焰弹（1）</t>
    <phoneticPr fontId="1" type="noConversion"/>
  </si>
  <si>
    <t>炼金术</t>
    <phoneticPr fontId="1" type="noConversion"/>
  </si>
  <si>
    <t>材料合成，药剂研发</t>
    <phoneticPr fontId="1" type="noConversion"/>
  </si>
  <si>
    <t>主动</t>
    <phoneticPr fontId="1" type="noConversion"/>
  </si>
  <si>
    <t>引爆药剂，药水效果：（原本-20%）/人数</t>
    <phoneticPr fontId="1" type="noConversion"/>
  </si>
  <si>
    <t>暗木液(4)</t>
    <phoneticPr fontId="1" type="noConversion"/>
  </si>
  <si>
    <t>暗木液(3)</t>
    <phoneticPr fontId="1" type="noConversion"/>
  </si>
  <si>
    <t>暗木液(2)</t>
    <phoneticPr fontId="1" type="noConversion"/>
  </si>
  <si>
    <t>价格</t>
    <phoneticPr fontId="1" type="noConversion"/>
  </si>
  <si>
    <t>1-50</t>
    <phoneticPr fontId="1" type="noConversion"/>
  </si>
  <si>
    <t>51-100</t>
    <phoneticPr fontId="1" type="noConversion"/>
  </si>
  <si>
    <t>100-200</t>
    <phoneticPr fontId="1" type="noConversion"/>
  </si>
  <si>
    <t>200-500</t>
    <phoneticPr fontId="1" type="noConversion"/>
  </si>
  <si>
    <t>&gt;10000</t>
    <phoneticPr fontId="1" type="noConversion"/>
  </si>
  <si>
    <t>&gt;5000</t>
    <phoneticPr fontId="1" type="noConversion"/>
  </si>
  <si>
    <t>700-2000</t>
    <phoneticPr fontId="1" type="noConversion"/>
  </si>
  <si>
    <t>&gt;100000</t>
    <phoneticPr fontId="1" type="noConversion"/>
  </si>
  <si>
    <t>&gt;1000000</t>
    <phoneticPr fontId="1" type="noConversion"/>
  </si>
  <si>
    <t>&gt;10000000</t>
    <phoneticPr fontId="1" type="noConversion"/>
  </si>
  <si>
    <t>&gt;100000000</t>
    <phoneticPr fontId="1" type="noConversion"/>
  </si>
  <si>
    <t>采集</t>
    <phoneticPr fontId="1" type="noConversion"/>
  </si>
  <si>
    <t>每一回合1D10，1D5回合，毒：4*</t>
    <phoneticPr fontId="1" type="noConversion"/>
  </si>
  <si>
    <t>进行1D5次的(中心1D30)(50里面1D10) 音3*</t>
    <phoneticPr fontId="1" type="noConversion"/>
  </si>
  <si>
    <t>腐化树枝（钢铁）</t>
    <phoneticPr fontId="1" type="noConversion"/>
  </si>
  <si>
    <t>树皮（钢铁）</t>
    <phoneticPr fontId="1" type="noConversion"/>
  </si>
  <si>
    <t>腐化手弩</t>
    <phoneticPr fontId="1" type="noConversion"/>
  </si>
  <si>
    <t>普通炸药</t>
    <phoneticPr fontId="1" type="noConversion"/>
  </si>
  <si>
    <t>炸药学LV1制作LV1</t>
    <phoneticPr fontId="1" type="noConversion"/>
  </si>
  <si>
    <t>木材*5+石材*5</t>
    <phoneticPr fontId="1" type="noConversion"/>
  </si>
  <si>
    <t>爆破，杀伤</t>
    <phoneticPr fontId="1" type="noConversion"/>
  </si>
  <si>
    <t>火焰伤害</t>
    <phoneticPr fontId="1" type="noConversion"/>
  </si>
  <si>
    <t>L</t>
    <phoneticPr fontId="1" type="noConversion"/>
  </si>
  <si>
    <t>类型：</t>
    <phoneticPr fontId="1" type="noConversion"/>
  </si>
  <si>
    <t>枪械(冲锋枪)</t>
    <phoneticPr fontId="1" type="noConversion"/>
  </si>
  <si>
    <t>白银</t>
    <phoneticPr fontId="1" type="noConversion"/>
  </si>
  <si>
    <t>1000GP+技能点*1+冒险点*100</t>
    <phoneticPr fontId="1" type="noConversion"/>
  </si>
  <si>
    <t>炼成雨</t>
    <phoneticPr fontId="1" type="noConversion"/>
  </si>
  <si>
    <t>空中射击</t>
    <phoneticPr fontId="1" type="noConversion"/>
  </si>
  <si>
    <t>把枪械扔上天空，跳跃，然后在空中拿起枪械射击</t>
    <phoneticPr fontId="1" type="noConversion"/>
  </si>
  <si>
    <t>快速射击</t>
    <phoneticPr fontId="1" type="noConversion"/>
  </si>
  <si>
    <t>主动</t>
    <phoneticPr fontId="1" type="noConversion"/>
  </si>
  <si>
    <t>一直开枪，直到将一把枪的子弹打光</t>
    <phoneticPr fontId="1" type="noConversion"/>
  </si>
  <si>
    <t>武器制造天才</t>
    <phoneticPr fontId="1" type="noConversion"/>
  </si>
  <si>
    <t>制造的武器70%/50%/30%提升1个等级</t>
    <phoneticPr fontId="1" type="noConversion"/>
  </si>
  <si>
    <t>消耗</t>
    <phoneticPr fontId="1" type="noConversion"/>
  </si>
  <si>
    <t>1D10</t>
    <phoneticPr fontId="1" type="noConversion"/>
  </si>
  <si>
    <t>冲锋枪-L</t>
    <phoneticPr fontId="1" type="noConversion"/>
  </si>
  <si>
    <t>外挂</t>
    <phoneticPr fontId="1" type="noConversion"/>
  </si>
  <si>
    <t>暗翼</t>
    <phoneticPr fontId="1" type="noConversion"/>
  </si>
  <si>
    <t>类型：</t>
    <phoneticPr fontId="1" type="noConversion"/>
  </si>
  <si>
    <t>部位：</t>
    <phoneticPr fontId="1" type="noConversion"/>
  </si>
  <si>
    <t>AC：</t>
    <phoneticPr fontId="1" type="noConversion"/>
  </si>
  <si>
    <t>等级：</t>
    <phoneticPr fontId="1" type="noConversion"/>
  </si>
  <si>
    <t>技能：</t>
    <phoneticPr fontId="1" type="noConversion"/>
  </si>
  <si>
    <t>闪避：</t>
    <phoneticPr fontId="1" type="noConversion"/>
  </si>
  <si>
    <t>重量：</t>
    <phoneticPr fontId="1" type="noConversion"/>
  </si>
  <si>
    <t>皮甲</t>
    <phoneticPr fontId="1" type="noConversion"/>
  </si>
  <si>
    <t>身体</t>
    <phoneticPr fontId="1" type="noConversion"/>
  </si>
  <si>
    <t>抗性：</t>
    <phoneticPr fontId="1" type="noConversion"/>
  </si>
  <si>
    <t>属性：</t>
    <phoneticPr fontId="1" type="noConversion"/>
  </si>
  <si>
    <t>暗，木</t>
    <phoneticPr fontId="1" type="noConversion"/>
  </si>
  <si>
    <t>土水电暗木**</t>
    <phoneticPr fontId="1" type="noConversion"/>
  </si>
  <si>
    <t>弱点：</t>
    <phoneticPr fontId="1" type="noConversion"/>
  </si>
  <si>
    <t>光，火</t>
    <phoneticPr fontId="1" type="noConversion"/>
  </si>
  <si>
    <t>极速射击</t>
    <phoneticPr fontId="1" type="noConversion"/>
  </si>
  <si>
    <t>技能：</t>
    <phoneticPr fontId="1" type="noConversion"/>
  </si>
  <si>
    <t>过载</t>
    <phoneticPr fontId="1" type="noConversion"/>
  </si>
  <si>
    <t>连续射空全部子弹时，进入过载模式。变成10发/1</t>
    <phoneticPr fontId="1" type="noConversion"/>
  </si>
  <si>
    <t>1(5发）</t>
    <phoneticPr fontId="1" type="noConversion"/>
  </si>
  <si>
    <t>破甲</t>
    <phoneticPr fontId="1" type="noConversion"/>
  </si>
  <si>
    <t>暗翼(皮甲)</t>
    <phoneticPr fontId="1" type="noConversion"/>
  </si>
  <si>
    <t>普通炸药（1）</t>
    <phoneticPr fontId="1" type="noConversion"/>
  </si>
  <si>
    <t>普通炸药（2）</t>
    <phoneticPr fontId="1" type="noConversion"/>
  </si>
  <si>
    <t>普通炸药（0）</t>
    <phoneticPr fontId="1" type="noConversion"/>
  </si>
  <si>
    <t>材料：</t>
    <phoneticPr fontId="1" type="noConversion"/>
  </si>
  <si>
    <t>树皮</t>
    <phoneticPr fontId="1" type="noConversion"/>
  </si>
  <si>
    <t>1(三连射）</t>
    <phoneticPr fontId="1" type="noConversion"/>
  </si>
  <si>
    <t>读书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</si>
</sst>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);[Red]\(0\)"/>
  </numFmts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1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2"/>
      <scheme val="minor"/>
    </font>
    <font>
      <b/>
      <sz val="3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8" fillId="0" borderId="0">
      <alignment vertical="center"/>
    </xf>
  </cellStyleXfs>
  <cellXfs count="90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right"/>
    </xf>
    <xf numFmtId="4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5" fillId="0" borderId="0" xfId="0" applyFont="1"/>
    <xf numFmtId="0" fontId="7" fillId="0" borderId="0" xfId="2" applyFont="1"/>
    <xf numFmtId="0" fontId="7" fillId="0" borderId="0" xfId="0" applyFont="1"/>
    <xf numFmtId="0" fontId="0" fillId="5" borderId="0" xfId="0" applyFill="1"/>
    <xf numFmtId="0" fontId="8" fillId="5" borderId="0" xfId="0" applyFont="1" applyFill="1"/>
    <xf numFmtId="0" fontId="9" fillId="0" borderId="0" xfId="0" applyFont="1"/>
    <xf numFmtId="0" fontId="9" fillId="5" borderId="0" xfId="0" applyFont="1" applyFill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176" fontId="0" fillId="0" borderId="0" xfId="0" applyNumberFormat="1"/>
    <xf numFmtId="0" fontId="0" fillId="6" borderId="0" xfId="0" applyFill="1" applyAlignment="1">
      <alignment horizontal="right"/>
    </xf>
    <xf numFmtId="0" fontId="0" fillId="6" borderId="0" xfId="0" applyFill="1"/>
    <xf numFmtId="0" fontId="9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58" fontId="9" fillId="0" borderId="0" xfId="0" applyNumberFormat="1" applyFont="1"/>
    <xf numFmtId="1" fontId="9" fillId="0" borderId="0" xfId="0" applyNumberFormat="1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9" fontId="0" fillId="0" borderId="0" xfId="1" applyFont="1" applyAlignment="1"/>
    <xf numFmtId="9" fontId="0" fillId="0" borderId="0" xfId="0" applyNumberFormat="1"/>
    <xf numFmtId="0" fontId="11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vertical="top" wrapText="1"/>
    </xf>
    <xf numFmtId="0" fontId="0" fillId="9" borderId="0" xfId="0" applyFill="1"/>
    <xf numFmtId="0" fontId="14" fillId="7" borderId="0" xfId="0" applyFont="1" applyFill="1"/>
    <xf numFmtId="0" fontId="14" fillId="8" borderId="0" xfId="0" applyFont="1" applyFill="1"/>
    <xf numFmtId="9" fontId="0" fillId="0" borderId="0" xfId="1" applyFont="1" applyAlignment="1">
      <alignment vertical="center"/>
    </xf>
    <xf numFmtId="0" fontId="14" fillId="10" borderId="0" xfId="0" applyFont="1" applyFill="1"/>
    <xf numFmtId="0" fontId="14" fillId="11" borderId="0" xfId="0" applyFont="1" applyFill="1"/>
    <xf numFmtId="0" fontId="14" fillId="12" borderId="0" xfId="0" applyFont="1" applyFill="1" applyAlignment="1">
      <alignment horizontal="left"/>
    </xf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14" fillId="16" borderId="0" xfId="0" applyFont="1" applyFill="1"/>
    <xf numFmtId="0" fontId="0" fillId="7" borderId="1" xfId="0" applyFill="1" applyBorder="1"/>
    <xf numFmtId="9" fontId="0" fillId="7" borderId="1" xfId="0" applyNumberFormat="1" applyFill="1" applyBorder="1"/>
    <xf numFmtId="9" fontId="0" fillId="7" borderId="1" xfId="1" applyFont="1" applyFill="1" applyBorder="1" applyAlignment="1"/>
    <xf numFmtId="177" fontId="9" fillId="0" borderId="0" xfId="0" applyNumberFormat="1" applyFont="1" applyAlignment="1">
      <alignment horizontal="right"/>
    </xf>
    <xf numFmtId="0" fontId="0" fillId="8" borderId="0" xfId="0" applyFill="1"/>
    <xf numFmtId="0" fontId="0" fillId="7" borderId="0" xfId="0" applyFill="1"/>
    <xf numFmtId="0" fontId="0" fillId="8" borderId="1" xfId="0" applyFill="1" applyBorder="1"/>
    <xf numFmtId="0" fontId="0" fillId="18" borderId="1" xfId="0" applyFill="1" applyBorder="1"/>
    <xf numFmtId="9" fontId="0" fillId="18" borderId="1" xfId="0" applyNumberFormat="1" applyFill="1" applyBorder="1"/>
    <xf numFmtId="0" fontId="0" fillId="7" borderId="1" xfId="0" applyFill="1" applyBorder="1" applyAlignment="1">
      <alignment vertical="center"/>
    </xf>
    <xf numFmtId="0" fontId="0" fillId="7" borderId="1" xfId="1" applyNumberFormat="1" applyFont="1" applyFill="1" applyBorder="1" applyAlignment="1">
      <alignment vertical="center"/>
    </xf>
    <xf numFmtId="12" fontId="0" fillId="7" borderId="1" xfId="0" applyNumberFormat="1" applyFill="1" applyBorder="1" applyAlignment="1">
      <alignment vertical="center"/>
    </xf>
    <xf numFmtId="0" fontId="0" fillId="17" borderId="0" xfId="0" applyFill="1" applyAlignment="1">
      <alignment vertical="center"/>
    </xf>
    <xf numFmtId="0" fontId="0" fillId="17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right" vertical="center"/>
    </xf>
    <xf numFmtId="0" fontId="12" fillId="0" borderId="0" xfId="0" applyFont="1" applyAlignment="1">
      <alignment horizontal="justify" vertical="center" wrapText="1"/>
    </xf>
    <xf numFmtId="0" fontId="17" fillId="0" borderId="0" xfId="0" applyFont="1" applyAlignment="1">
      <alignment vertical="center"/>
    </xf>
    <xf numFmtId="0" fontId="0" fillId="19" borderId="0" xfId="0" applyFill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18" fillId="0" borderId="0" xfId="3" applyAlignment="1">
      <alignment horizontal="center" vertical="center"/>
    </xf>
    <xf numFmtId="0" fontId="18" fillId="0" borderId="0" xfId="3">
      <alignment vertical="center"/>
    </xf>
    <xf numFmtId="0" fontId="19" fillId="0" borderId="0" xfId="3" applyFont="1" applyAlignment="1">
      <alignment horizontal="left" vertical="center"/>
    </xf>
    <xf numFmtId="0" fontId="18" fillId="0" borderId="0" xfId="3" applyAlignment="1">
      <alignment horizontal="left" vertical="center"/>
    </xf>
    <xf numFmtId="0" fontId="19" fillId="0" borderId="0" xfId="3" applyFont="1" applyAlignment="1">
      <alignment horizontal="left" vertical="center" wrapText="1"/>
    </xf>
    <xf numFmtId="2" fontId="0" fillId="0" borderId="0" xfId="0" applyNumberFormat="1"/>
    <xf numFmtId="1" fontId="0" fillId="0" borderId="0" xfId="0" applyNumberFormat="1" applyAlignment="1">
      <alignment vertical="center"/>
    </xf>
    <xf numFmtId="1" fontId="0" fillId="0" borderId="0" xfId="0" applyNumberFormat="1"/>
    <xf numFmtId="0" fontId="2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right"/>
    </xf>
  </cellXfs>
  <cellStyles count="4">
    <cellStyle name="百分比" xfId="1" builtinId="5"/>
    <cellStyle name="常规" xfId="0" builtinId="0"/>
    <cellStyle name="常规 2" xfId="3" xr:uid="{00000000-0005-0000-0000-000002000000}"/>
    <cellStyle name="超链接" xfId="2" builtinId="8"/>
  </cellStyles>
  <dxfs count="1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Y300" headerRowCount="0" headerRowDxfId="150" dataDxfId="149">
  <tableColumns count="51">
    <tableColumn id="1" xr3:uid="{00000000-0010-0000-0000-000001000000}" name="列1" totalsRowLabel="汇总" headerRowDxfId="148" dataDxfId="147" totalsRowDxfId="146"/>
    <tableColumn id="2" xr3:uid="{00000000-0010-0000-0000-000002000000}" name="列2" headerRowDxfId="145" dataDxfId="144" totalsRowDxfId="143"/>
    <tableColumn id="51" xr3:uid="{00000000-0010-0000-0000-000033000000}" name="列51" headerRowDxfId="142" dataDxfId="141" totalsRowDxfId="140"/>
    <tableColumn id="26" xr3:uid="{00000000-0010-0000-0000-00001A000000}" name="列26" headerRowDxfId="139" dataDxfId="138" totalsRowDxfId="137"/>
    <tableColumn id="27" xr3:uid="{00000000-0010-0000-0000-00001B000000}" name="列27" headerRowDxfId="136" dataDxfId="135" totalsRowDxfId="134"/>
    <tableColumn id="49" xr3:uid="{00000000-0010-0000-0000-000031000000}" name="列49" headerRowDxfId="133" dataDxfId="132" totalsRowDxfId="131"/>
    <tableColumn id="3" xr3:uid="{00000000-0010-0000-0000-000003000000}" name="列3" headerRowDxfId="130" dataDxfId="129" totalsRowDxfId="128"/>
    <tableColumn id="4" xr3:uid="{00000000-0010-0000-0000-000004000000}" name="列4" headerRowDxfId="127" dataDxfId="126" totalsRowDxfId="125"/>
    <tableColumn id="5" xr3:uid="{00000000-0010-0000-0000-000005000000}" name="列5" headerRowDxfId="124" dataDxfId="123" totalsRowDxfId="122"/>
    <tableColumn id="6" xr3:uid="{00000000-0010-0000-0000-000006000000}" name="列6" headerRowDxfId="121" dataDxfId="120" totalsRowDxfId="119"/>
    <tableColumn id="7" xr3:uid="{00000000-0010-0000-0000-000007000000}" name="列7" headerRowDxfId="118" dataDxfId="117" totalsRowDxfId="116"/>
    <tableColumn id="8" xr3:uid="{00000000-0010-0000-0000-000008000000}" name="列8" headerRowDxfId="115" dataDxfId="114" totalsRowDxfId="113"/>
    <tableColumn id="9" xr3:uid="{00000000-0010-0000-0000-000009000000}" name="列9" headerRowDxfId="112" dataDxfId="111" totalsRowDxfId="110"/>
    <tableColumn id="10" xr3:uid="{00000000-0010-0000-0000-00000A000000}" name="列10" headerRowDxfId="109" dataDxfId="108" totalsRowDxfId="107"/>
    <tableColumn id="11" xr3:uid="{00000000-0010-0000-0000-00000B000000}" name="列11" headerRowDxfId="106" dataDxfId="105" totalsRowDxfId="104"/>
    <tableColumn id="48" xr3:uid="{00000000-0010-0000-0000-000030000000}" name="列48" headerRowDxfId="103" dataDxfId="102" totalsRowDxfId="101"/>
    <tableColumn id="47" xr3:uid="{00000000-0010-0000-0000-00002F000000}" name="列47" headerRowDxfId="100" dataDxfId="99" totalsRowDxfId="98"/>
    <tableColumn id="12" xr3:uid="{00000000-0010-0000-0000-00000C000000}" name="列12" headerRowDxfId="97" dataDxfId="96" totalsRowDxfId="95"/>
    <tableColumn id="13" xr3:uid="{00000000-0010-0000-0000-00000D000000}" name="列13" headerRowDxfId="94" dataDxfId="93" totalsRowDxfId="92"/>
    <tableColumn id="14" xr3:uid="{00000000-0010-0000-0000-00000E000000}" name="列14" headerRowDxfId="91" dataDxfId="90" totalsRowDxfId="89"/>
    <tableColumn id="15" xr3:uid="{00000000-0010-0000-0000-00000F000000}" name="列15" headerRowDxfId="88" dataDxfId="87" totalsRowDxfId="86"/>
    <tableColumn id="50" xr3:uid="{00000000-0010-0000-0000-000032000000}" name="列50" headerRowDxfId="85" dataDxfId="84" totalsRowDxfId="83"/>
    <tableColumn id="16" xr3:uid="{00000000-0010-0000-0000-000010000000}" name="列16" headerRowDxfId="82" dataDxfId="81" totalsRowDxfId="80"/>
    <tableColumn id="17" xr3:uid="{00000000-0010-0000-0000-000011000000}" name="列17" headerRowDxfId="79" dataDxfId="78" totalsRowDxfId="77"/>
    <tableColumn id="18" xr3:uid="{00000000-0010-0000-0000-000012000000}" name="列18" headerRowDxfId="76" dataDxfId="75" totalsRowDxfId="74"/>
    <tableColumn id="19" xr3:uid="{00000000-0010-0000-0000-000013000000}" name="列19" headerRowDxfId="73" dataDxfId="72" totalsRowDxfId="71"/>
    <tableColumn id="20" xr3:uid="{00000000-0010-0000-0000-000014000000}" name="列20" headerRowDxfId="70" dataDxfId="69" totalsRowDxfId="68"/>
    <tableColumn id="21" xr3:uid="{00000000-0010-0000-0000-000015000000}" name="列21" headerRowDxfId="67" dataDxfId="66" totalsRowDxfId="65"/>
    <tableColumn id="22" xr3:uid="{00000000-0010-0000-0000-000016000000}" name="列22" headerRowDxfId="64" dataDxfId="63" totalsRowDxfId="62"/>
    <tableColumn id="23" xr3:uid="{00000000-0010-0000-0000-000017000000}" name="列23" headerRowDxfId="61"/>
    <tableColumn id="24" xr3:uid="{00000000-0010-0000-0000-000018000000}" name="列24" totalsRowFunction="count" headerRowDxfId="60"/>
    <tableColumn id="25" xr3:uid="{00000000-0010-0000-0000-000019000000}" name="列25" headerRowDxfId="59" dataDxfId="58" totalsRowDxfId="57"/>
    <tableColumn id="28" xr3:uid="{00000000-0010-0000-0000-00001C000000}" name="列28" headerRowDxfId="56" dataDxfId="55" totalsRowDxfId="54"/>
    <tableColumn id="29" xr3:uid="{00000000-0010-0000-0000-00001D000000}" name="列29" headerRowDxfId="53" dataDxfId="52" totalsRowDxfId="51"/>
    <tableColumn id="30" xr3:uid="{00000000-0010-0000-0000-00001E000000}" name="列30" headerRowDxfId="50" dataDxfId="49" totalsRowDxfId="48"/>
    <tableColumn id="31" xr3:uid="{00000000-0010-0000-0000-00001F000000}" name="列31" headerRowDxfId="47" dataDxfId="46" totalsRowDxfId="45"/>
    <tableColumn id="32" xr3:uid="{00000000-0010-0000-0000-000020000000}" name="列32" headerRowDxfId="44" dataDxfId="43" totalsRowDxfId="42"/>
    <tableColumn id="33" xr3:uid="{00000000-0010-0000-0000-000021000000}" name="列33" headerRowDxfId="41" dataDxfId="40" totalsRowDxfId="39"/>
    <tableColumn id="34" xr3:uid="{00000000-0010-0000-0000-000022000000}" name="列34" headerRowDxfId="38" dataDxfId="37" totalsRowDxfId="36"/>
    <tableColumn id="35" xr3:uid="{00000000-0010-0000-0000-000023000000}" name="列35" headerRowDxfId="35" dataDxfId="34" totalsRowDxfId="33"/>
    <tableColumn id="36" xr3:uid="{00000000-0010-0000-0000-000024000000}" name="列36" headerRowDxfId="32" dataDxfId="31" totalsRowDxfId="30"/>
    <tableColumn id="37" xr3:uid="{00000000-0010-0000-0000-000025000000}" name="列37" headerRowDxfId="29" dataDxfId="28" totalsRowDxfId="27"/>
    <tableColumn id="38" xr3:uid="{00000000-0010-0000-0000-000026000000}" name="列38" headerRowDxfId="26" dataDxfId="25" totalsRowDxfId="24"/>
    <tableColumn id="39" xr3:uid="{00000000-0010-0000-0000-000027000000}" name="列39" headerRowDxfId="23" dataDxfId="22" totalsRowDxfId="21"/>
    <tableColumn id="40" xr3:uid="{00000000-0010-0000-0000-000028000000}" name="列40" headerRowDxfId="20" dataDxfId="19" totalsRowDxfId="18"/>
    <tableColumn id="41" xr3:uid="{00000000-0010-0000-0000-000029000000}" name="列41" headerRowDxfId="17" dataDxfId="16" totalsRowDxfId="15"/>
    <tableColumn id="42" xr3:uid="{00000000-0010-0000-0000-00002A000000}" name="列42" headerRowDxfId="14" dataDxfId="13" totalsRowDxfId="12"/>
    <tableColumn id="43" xr3:uid="{00000000-0010-0000-0000-00002B000000}" name="列43" headerRowDxfId="11" dataDxfId="10" totalsRowDxfId="9"/>
    <tableColumn id="44" xr3:uid="{00000000-0010-0000-0000-00002C000000}" name="列44" headerRowDxfId="8" dataDxfId="7" totalsRowDxfId="6"/>
    <tableColumn id="45" xr3:uid="{00000000-0010-0000-0000-00002D000000}" name="列45" headerRowDxfId="5" dataDxfId="4" totalsRowDxfId="3"/>
    <tableColumn id="46" xr3:uid="{00000000-0010-0000-0000-00002E000000}" name="列46" headerRowDxfId="2" dataDxfId="1" totalsRow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4%B8%AD%E7%AB%8B%E9%82%AA%E6%81%B6/5565178" TargetMode="External"/><Relationship Id="rId3" Type="http://schemas.openxmlformats.org/officeDocument/2006/relationships/hyperlink" Target="https://baike.baidu.com/item/%E6%B7%B7%E4%B9%B1%E5%96%84%E8%89%AF/5565190" TargetMode="External"/><Relationship Id="rId7" Type="http://schemas.openxmlformats.org/officeDocument/2006/relationships/hyperlink" Target="https://baike.baidu.com/item/%E5%AE%88%E5%BA%8F%E9%82%AA%E6%81%B6/389782" TargetMode="External"/><Relationship Id="rId2" Type="http://schemas.openxmlformats.org/officeDocument/2006/relationships/hyperlink" Target="https://baike.baidu.com/item/%E4%B8%AD%E7%AB%8B%E5%96%84%E8%89%AF/390289" TargetMode="External"/><Relationship Id="rId1" Type="http://schemas.openxmlformats.org/officeDocument/2006/relationships/hyperlink" Target="https://baike.baidu.com/item/%E5%AE%88%E5%BA%8F%E5%96%84%E8%89%AF/5565084" TargetMode="External"/><Relationship Id="rId6" Type="http://schemas.openxmlformats.org/officeDocument/2006/relationships/hyperlink" Target="https://baike.baidu.com/item/%E6%B7%B7%E4%B9%B1%E4%B8%AD%E7%AB%8B/389819" TargetMode="External"/><Relationship Id="rId5" Type="http://schemas.openxmlformats.org/officeDocument/2006/relationships/hyperlink" Target="https://baike.baidu.com/item/%E7%BB%9D%E5%AF%B9%E4%B8%AD%E7%AB%8B/4331820" TargetMode="External"/><Relationship Id="rId4" Type="http://schemas.openxmlformats.org/officeDocument/2006/relationships/hyperlink" Target="https://baike.baidu.com/item/%E5%AE%88%E5%BA%8F%E4%B8%AD%E7%AB%8B/5565098" TargetMode="External"/><Relationship Id="rId9" Type="http://schemas.openxmlformats.org/officeDocument/2006/relationships/hyperlink" Target="https://baike.baidu.com/item/%E6%B7%B7%E4%B9%B1%E9%82%AA%E6%81%B6/55652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8"/>
  <sheetViews>
    <sheetView tabSelected="1" zoomScale="76" workbookViewId="0">
      <selection activeCell="J50" sqref="J50"/>
    </sheetView>
  </sheetViews>
  <sheetFormatPr defaultRowHeight="14" x14ac:dyDescent="0.25"/>
  <sheetData>
    <row r="1" spans="1:38" x14ac:dyDescent="0.25">
      <c r="A1" s="80" t="s">
        <v>24</v>
      </c>
      <c r="B1" s="80"/>
      <c r="C1" s="57" t="s">
        <v>82</v>
      </c>
      <c r="D1" s="58">
        <f>IF((E2/C2)*100&gt;0,(E2/C2)*100,0)</f>
        <v>100</v>
      </c>
      <c r="E1" s="57" t="s">
        <v>88</v>
      </c>
      <c r="F1" s="60" t="s">
        <v>83</v>
      </c>
      <c r="G1" s="61">
        <f>J10/2*(50)</f>
        <v>325</v>
      </c>
      <c r="H1" s="28">
        <f>INT(G2/5)</f>
        <v>2</v>
      </c>
      <c r="I1" s="28"/>
      <c r="J1" s="80" t="s">
        <v>3</v>
      </c>
      <c r="K1" s="80">
        <v>50</v>
      </c>
      <c r="L1" s="80" t="s">
        <v>10</v>
      </c>
      <c r="M1" s="80">
        <f>IF(B4&lt;10,-2,IF(B4&lt;16,-1,0))</f>
        <v>-2</v>
      </c>
      <c r="N1" s="10" t="s">
        <v>724</v>
      </c>
      <c r="O1" s="77">
        <f>J11*2</f>
        <v>36</v>
      </c>
      <c r="P1" s="80" t="s">
        <v>11</v>
      </c>
      <c r="Q1" s="40">
        <f>VLOOKUP($M$1,$R$12:$Y$21,8)+$J$11/10</f>
        <v>4.8</v>
      </c>
      <c r="AA1" t="s">
        <v>505</v>
      </c>
      <c r="AB1" t="s">
        <v>504</v>
      </c>
      <c r="AC1" s="54">
        <v>1</v>
      </c>
      <c r="AD1" s="54">
        <f ca="1">IF(AA2&gt;80%,1,0)</f>
        <v>1</v>
      </c>
    </row>
    <row r="2" spans="1:38" x14ac:dyDescent="0.25">
      <c r="A2" s="80"/>
      <c r="B2" s="80"/>
      <c r="C2" s="57">
        <f>SUM(J12)*2</f>
        <v>12</v>
      </c>
      <c r="D2" s="57">
        <f>战斗轮!$R$8</f>
        <v>0</v>
      </c>
      <c r="E2" s="57">
        <f>C2-D2</f>
        <v>12</v>
      </c>
      <c r="F2" s="62" t="s">
        <v>206</v>
      </c>
      <c r="G2" s="63">
        <v>10</v>
      </c>
      <c r="H2" s="28" t="s">
        <v>221</v>
      </c>
      <c r="I2" s="28">
        <f>J12</f>
        <v>6</v>
      </c>
      <c r="J2" s="80"/>
      <c r="K2" s="80"/>
      <c r="L2" s="80"/>
      <c r="M2" s="80"/>
      <c r="N2" s="10" t="s">
        <v>686</v>
      </c>
      <c r="O2" s="10">
        <f>(J9+J12)/2*10</f>
        <v>100</v>
      </c>
      <c r="P2" s="80"/>
      <c r="Q2" s="40">
        <f>Q1/10</f>
        <v>0.48</v>
      </c>
      <c r="R2" s="3"/>
      <c r="AA2" s="32">
        <f ca="1">RANDBETWEEN(1,100)/100</f>
        <v>0.89</v>
      </c>
      <c r="AC2" s="54">
        <v>2</v>
      </c>
      <c r="AD2" s="54">
        <f ca="1">IF(AA2&lt;=30%,0,IF(AA2&gt;90%,2,1))</f>
        <v>1</v>
      </c>
    </row>
    <row r="3" spans="1:38" x14ac:dyDescent="0.25">
      <c r="A3" s="80"/>
      <c r="B3" s="80"/>
      <c r="C3" s="57" t="s">
        <v>84</v>
      </c>
      <c r="D3" s="57" t="str">
        <f>VLOOKUP((D1),O8:P13,2)</f>
        <v>健康</v>
      </c>
      <c r="E3" s="59"/>
      <c r="F3" s="62" t="s">
        <v>207</v>
      </c>
      <c r="G3" s="63">
        <v>5400</v>
      </c>
      <c r="H3" s="28" t="s">
        <v>220</v>
      </c>
      <c r="I3" s="29">
        <f>I2/10+1</f>
        <v>1.6</v>
      </c>
      <c r="J3" s="80"/>
      <c r="K3" s="80"/>
      <c r="L3" s="80"/>
      <c r="M3" s="80"/>
      <c r="N3" s="10"/>
      <c r="O3" s="10"/>
      <c r="P3" s="80"/>
      <c r="Q3" s="40"/>
      <c r="AC3" s="54">
        <v>3</v>
      </c>
      <c r="AD3" s="54">
        <f ca="1">IF(AA2&lt;=10%,0,IF(AA2&lt;=50,1,IF(AA2&gt;90%,3,2)))</f>
        <v>1</v>
      </c>
    </row>
    <row r="4" spans="1:38" x14ac:dyDescent="0.25">
      <c r="A4" s="3" t="s">
        <v>26</v>
      </c>
      <c r="B4" s="2">
        <v>8</v>
      </c>
      <c r="C4" t="s">
        <v>27</v>
      </c>
      <c r="D4" s="81" t="s">
        <v>519</v>
      </c>
      <c r="E4" s="81"/>
      <c r="F4" s="62" t="s">
        <v>208</v>
      </c>
      <c r="G4" s="63">
        <v>0</v>
      </c>
      <c r="H4" s="80" t="s">
        <v>37</v>
      </c>
      <c r="I4" s="83">
        <f>J17</f>
        <v>0.72</v>
      </c>
      <c r="J4" s="80" t="s">
        <v>514</v>
      </c>
      <c r="K4" s="30" t="s">
        <v>515</v>
      </c>
      <c r="L4">
        <v>0</v>
      </c>
      <c r="M4" s="10"/>
      <c r="N4" s="10"/>
      <c r="Q4" s="32"/>
      <c r="AC4" s="54">
        <v>4</v>
      </c>
      <c r="AD4" s="54">
        <f ca="1">IF(AA2&lt;=10%,1,IF(AA2&lt;=40%,2,IF(AA2&lt;=80%,3,4)))</f>
        <v>4</v>
      </c>
    </row>
    <row r="5" spans="1:38" x14ac:dyDescent="0.25">
      <c r="A5" s="3" t="s">
        <v>30</v>
      </c>
      <c r="B5" s="84" t="s">
        <v>31</v>
      </c>
      <c r="C5" s="84"/>
      <c r="D5" s="81" t="s">
        <v>734</v>
      </c>
      <c r="E5" s="81"/>
      <c r="F5" s="37" t="s">
        <v>209</v>
      </c>
      <c r="G5" s="37">
        <f>VLOOKUP(G3,等级!D3:E62,2)</f>
        <v>10</v>
      </c>
      <c r="H5" s="80"/>
      <c r="I5" s="83"/>
      <c r="J5" s="80"/>
      <c r="K5" t="s">
        <v>516</v>
      </c>
      <c r="L5">
        <v>1</v>
      </c>
      <c r="AC5" s="54">
        <v>5</v>
      </c>
      <c r="AD5" s="54">
        <f ca="1">IF(AA2&lt;20%,2,IF(AA2&lt;50%,3,IF(AA2&lt;70%,4,5)))</f>
        <v>5</v>
      </c>
    </row>
    <row r="6" spans="1:38" x14ac:dyDescent="0.25">
      <c r="C6" s="68" t="s">
        <v>520</v>
      </c>
      <c r="L6" s="10" t="s">
        <v>715</v>
      </c>
      <c r="M6" s="10">
        <f>VLOOKUP(M7,等级!O17:P26,2)</f>
        <v>2</v>
      </c>
      <c r="AC6" s="54">
        <v>6</v>
      </c>
      <c r="AD6" s="54">
        <f ca="1">IF(AA2&lt;30%,4,IF(AA2&lt;70%,5,6))</f>
        <v>6</v>
      </c>
    </row>
    <row r="7" spans="1:38" x14ac:dyDescent="0.25">
      <c r="A7" t="s">
        <v>138</v>
      </c>
      <c r="H7" s="10"/>
      <c r="I7" s="10"/>
      <c r="L7" t="s">
        <v>710</v>
      </c>
      <c r="M7">
        <v>110</v>
      </c>
      <c r="AC7" s="54">
        <v>7</v>
      </c>
      <c r="AD7" s="54">
        <f ca="1">IF(AA2&lt;10%,7,IF(AA2&lt;60%,6,7))</f>
        <v>7</v>
      </c>
    </row>
    <row r="8" spans="1:38" x14ac:dyDescent="0.25">
      <c r="A8" s="55"/>
      <c r="B8" s="55" t="s">
        <v>6</v>
      </c>
      <c r="C8" s="55" t="s">
        <v>7</v>
      </c>
      <c r="D8" s="55" t="s">
        <v>8</v>
      </c>
      <c r="E8" s="55" t="s">
        <v>9</v>
      </c>
      <c r="F8" s="55" t="s">
        <v>22</v>
      </c>
      <c r="G8" s="55" t="s">
        <v>64</v>
      </c>
      <c r="H8" s="55" t="s">
        <v>28</v>
      </c>
      <c r="I8" s="55" t="s">
        <v>45</v>
      </c>
      <c r="J8" s="55" t="s">
        <v>12</v>
      </c>
      <c r="L8" t="s">
        <v>709</v>
      </c>
      <c r="M8">
        <v>20</v>
      </c>
      <c r="O8" s="22" t="s">
        <v>85</v>
      </c>
      <c r="P8" s="23" t="s">
        <v>92</v>
      </c>
      <c r="AC8" s="54">
        <v>8</v>
      </c>
      <c r="AD8" s="54">
        <f ca="1">IF(AA2&lt;20%,6,IF(AA2&lt;70%,7,8))</f>
        <v>8</v>
      </c>
    </row>
    <row r="9" spans="1:38" x14ac:dyDescent="0.25">
      <c r="A9" s="55" t="s">
        <v>0</v>
      </c>
      <c r="B9" s="55">
        <v>5</v>
      </c>
      <c r="C9" s="55">
        <v>0</v>
      </c>
      <c r="D9" s="55">
        <v>1</v>
      </c>
      <c r="E9" s="55">
        <f>VLOOKUP(M1,R12:Y21,2)</f>
        <v>0</v>
      </c>
      <c r="F9" s="55"/>
      <c r="G9" s="55">
        <f>H1*1</f>
        <v>2</v>
      </c>
      <c r="H9" s="55"/>
      <c r="I9" s="55">
        <f>+CEILING((B9)*(F27),1)</f>
        <v>6</v>
      </c>
      <c r="J9" s="55">
        <f t="shared" ref="J9:J16" si="0">SUM(B9:I9)</f>
        <v>14</v>
      </c>
      <c r="O9" s="23">
        <v>10</v>
      </c>
      <c r="P9" s="23" t="s">
        <v>89</v>
      </c>
      <c r="AC9" s="54">
        <v>9</v>
      </c>
      <c r="AD9" s="54">
        <f ca="1">IF(AA2&lt;10%,7,IF(AA2&lt;60%,8,9))</f>
        <v>9</v>
      </c>
    </row>
    <row r="10" spans="1:38" x14ac:dyDescent="0.25">
      <c r="A10" s="55" t="s">
        <v>5</v>
      </c>
      <c r="B10" s="55">
        <v>5</v>
      </c>
      <c r="C10" s="55">
        <v>0</v>
      </c>
      <c r="D10" s="55">
        <v>1</v>
      </c>
      <c r="E10" s="55">
        <f>VLOOKUP(M1,R12:Y21,4)</f>
        <v>0</v>
      </c>
      <c r="F10" s="55"/>
      <c r="G10" s="55">
        <f>H1*1</f>
        <v>2</v>
      </c>
      <c r="H10" s="55"/>
      <c r="I10" s="55">
        <f>+CEILING((B10)*(H28),1)</f>
        <v>5</v>
      </c>
      <c r="J10" s="55">
        <f t="shared" si="0"/>
        <v>13</v>
      </c>
      <c r="O10" s="23">
        <v>30</v>
      </c>
      <c r="P10" s="23" t="s">
        <v>90</v>
      </c>
      <c r="R10" s="1" t="s">
        <v>13</v>
      </c>
      <c r="S10" s="85" t="s">
        <v>14</v>
      </c>
      <c r="T10" s="85"/>
      <c r="U10" s="85"/>
      <c r="V10" s="85"/>
      <c r="W10" s="85"/>
      <c r="X10" s="1"/>
      <c r="Y10" s="1"/>
      <c r="AA10" t="s">
        <v>441</v>
      </c>
      <c r="AB10" t="s">
        <v>439</v>
      </c>
      <c r="AC10" s="54">
        <v>10</v>
      </c>
      <c r="AD10" s="54">
        <f ca="1">IF(AA2&lt;10%,8,IF(AA2&lt;80%,9,10))</f>
        <v>10</v>
      </c>
    </row>
    <row r="11" spans="1:38" x14ac:dyDescent="0.25">
      <c r="A11" s="55" t="s">
        <v>1</v>
      </c>
      <c r="B11" s="55">
        <v>4</v>
      </c>
      <c r="C11" s="55">
        <v>0</v>
      </c>
      <c r="D11" s="55">
        <v>1</v>
      </c>
      <c r="E11" s="55">
        <f>VLOOKUP(M1,R12:Y21,3)</f>
        <v>2</v>
      </c>
      <c r="F11" s="55"/>
      <c r="G11" s="55">
        <f>SUM(H1)*2</f>
        <v>4</v>
      </c>
      <c r="H11" s="55">
        <v>2</v>
      </c>
      <c r="I11" s="55">
        <f>+CEILING((B11)*(H26),1)</f>
        <v>5</v>
      </c>
      <c r="J11" s="55">
        <f t="shared" si="0"/>
        <v>18</v>
      </c>
      <c r="L11" t="s">
        <v>227</v>
      </c>
      <c r="M11">
        <v>125</v>
      </c>
      <c r="N11" t="s">
        <v>442</v>
      </c>
      <c r="O11" s="23">
        <v>50</v>
      </c>
      <c r="P11" s="23" t="s">
        <v>91</v>
      </c>
      <c r="R11" s="1"/>
      <c r="S11" s="1" t="s">
        <v>17</v>
      </c>
      <c r="T11" s="1" t="s">
        <v>18</v>
      </c>
      <c r="U11" s="1" t="s">
        <v>19</v>
      </c>
      <c r="V11" s="1" t="s">
        <v>20</v>
      </c>
      <c r="W11" s="86" t="s">
        <v>21</v>
      </c>
      <c r="X11" s="86"/>
      <c r="Y11" s="1" t="s">
        <v>23</v>
      </c>
      <c r="AA11" s="48" t="s">
        <v>440</v>
      </c>
      <c r="AB11" s="48">
        <v>0</v>
      </c>
      <c r="AC11" s="48">
        <v>1</v>
      </c>
      <c r="AD11" s="48">
        <v>2</v>
      </c>
      <c r="AE11" s="48">
        <v>3</v>
      </c>
      <c r="AF11" s="48">
        <v>4</v>
      </c>
      <c r="AG11" s="48">
        <v>5</v>
      </c>
      <c r="AH11" s="48">
        <v>6</v>
      </c>
      <c r="AI11" s="48">
        <v>7</v>
      </c>
      <c r="AJ11" s="48">
        <v>8</v>
      </c>
      <c r="AK11" s="48">
        <v>9</v>
      </c>
      <c r="AL11" s="48">
        <v>10</v>
      </c>
    </row>
    <row r="12" spans="1:38" x14ac:dyDescent="0.25">
      <c r="A12" s="55" t="s">
        <v>15</v>
      </c>
      <c r="B12" s="55">
        <v>3</v>
      </c>
      <c r="C12" s="55">
        <v>0</v>
      </c>
      <c r="D12" s="55">
        <v>1</v>
      </c>
      <c r="E12" s="55">
        <f>VLOOKUP(M1,R12:Y21,5)</f>
        <v>0</v>
      </c>
      <c r="F12" s="55"/>
      <c r="G12" s="55">
        <f>SUM(H1)*1</f>
        <v>2</v>
      </c>
      <c r="H12" s="55"/>
      <c r="I12" s="55"/>
      <c r="J12" s="55">
        <f t="shared" si="0"/>
        <v>6</v>
      </c>
      <c r="L12" t="s">
        <v>443</v>
      </c>
      <c r="M12">
        <v>0</v>
      </c>
      <c r="N12" t="s">
        <v>442</v>
      </c>
      <c r="O12" s="23">
        <v>70</v>
      </c>
      <c r="P12" s="23" t="s">
        <v>87</v>
      </c>
      <c r="R12" s="1">
        <v>-5</v>
      </c>
      <c r="S12" s="1">
        <v>-2</v>
      </c>
      <c r="T12" s="1">
        <v>6</v>
      </c>
      <c r="U12" s="1">
        <v>2</v>
      </c>
      <c r="V12" s="1">
        <v>-3</v>
      </c>
      <c r="W12" s="85">
        <v>-2</v>
      </c>
      <c r="X12" s="85"/>
      <c r="Y12" s="1">
        <v>6</v>
      </c>
      <c r="AA12" s="48">
        <v>1</v>
      </c>
      <c r="AB12" s="49">
        <v>0.8</v>
      </c>
      <c r="AC12" s="49">
        <v>0.2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</row>
    <row r="13" spans="1:38" x14ac:dyDescent="0.25">
      <c r="A13" s="55" t="s">
        <v>2</v>
      </c>
      <c r="B13" s="55">
        <v>5</v>
      </c>
      <c r="C13" s="55">
        <v>0</v>
      </c>
      <c r="D13" s="55">
        <v>1</v>
      </c>
      <c r="E13" s="55">
        <v>0</v>
      </c>
      <c r="F13" s="55"/>
      <c r="G13" s="55">
        <f>SUM(H1)*1</f>
        <v>2</v>
      </c>
      <c r="H13" s="55"/>
      <c r="I13" s="55"/>
      <c r="J13" s="55">
        <f t="shared" si="0"/>
        <v>8</v>
      </c>
      <c r="L13" t="s">
        <v>444</v>
      </c>
      <c r="M13">
        <f>M11-M12</f>
        <v>125</v>
      </c>
      <c r="N13" t="s">
        <v>442</v>
      </c>
      <c r="O13" s="23">
        <v>90</v>
      </c>
      <c r="P13" s="23" t="s">
        <v>86</v>
      </c>
      <c r="R13" s="1">
        <v>-4</v>
      </c>
      <c r="S13" s="1">
        <v>-1</v>
      </c>
      <c r="T13" s="1">
        <v>4</v>
      </c>
      <c r="U13" s="1">
        <v>1</v>
      </c>
      <c r="V13" s="1">
        <v>-1</v>
      </c>
      <c r="W13" s="85">
        <v>-1</v>
      </c>
      <c r="X13" s="85"/>
      <c r="Y13" s="1">
        <v>5</v>
      </c>
      <c r="AA13" s="48">
        <v>2</v>
      </c>
      <c r="AB13" s="49">
        <v>0.3</v>
      </c>
      <c r="AC13" s="49">
        <v>0.6</v>
      </c>
      <c r="AD13" s="49">
        <v>0.1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</row>
    <row r="14" spans="1:38" x14ac:dyDescent="0.25">
      <c r="A14" s="55" t="s">
        <v>4</v>
      </c>
      <c r="B14" s="55">
        <v>5</v>
      </c>
      <c r="C14" s="55">
        <v>0</v>
      </c>
      <c r="D14" s="55">
        <v>0</v>
      </c>
      <c r="E14" s="55">
        <v>0</v>
      </c>
      <c r="F14" s="55"/>
      <c r="G14" s="55">
        <v>0</v>
      </c>
      <c r="H14" s="55"/>
      <c r="I14" s="55"/>
      <c r="J14" s="55">
        <f t="shared" si="0"/>
        <v>5</v>
      </c>
      <c r="R14" s="1">
        <v>-3</v>
      </c>
      <c r="S14" s="1">
        <v>0</v>
      </c>
      <c r="T14" s="1">
        <v>3</v>
      </c>
      <c r="U14" s="1">
        <v>0</v>
      </c>
      <c r="V14" s="1">
        <v>0</v>
      </c>
      <c r="W14" s="85">
        <v>0</v>
      </c>
      <c r="X14" s="85"/>
      <c r="Y14" s="1">
        <v>4</v>
      </c>
      <c r="AA14" s="48">
        <v>3</v>
      </c>
      <c r="AB14" s="49">
        <v>0.1</v>
      </c>
      <c r="AC14" s="49">
        <v>0.4</v>
      </c>
      <c r="AD14" s="49">
        <v>0.4</v>
      </c>
      <c r="AE14" s="49">
        <v>0.1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</row>
    <row r="15" spans="1:38" x14ac:dyDescent="0.25">
      <c r="A15" s="55" t="s">
        <v>16</v>
      </c>
      <c r="B15" s="55">
        <v>4</v>
      </c>
      <c r="C15" s="55">
        <v>0</v>
      </c>
      <c r="D15" s="55">
        <v>0</v>
      </c>
      <c r="E15" s="55">
        <v>0</v>
      </c>
      <c r="F15" s="55"/>
      <c r="G15" s="55">
        <f>SUM(H1)*1</f>
        <v>2</v>
      </c>
      <c r="H15" s="55"/>
      <c r="I15" s="55">
        <f>ROUND((B15)*0.2,0)</f>
        <v>1</v>
      </c>
      <c r="J15" s="55">
        <f t="shared" si="0"/>
        <v>7</v>
      </c>
      <c r="R15" s="1">
        <v>-2</v>
      </c>
      <c r="S15" s="1">
        <v>0</v>
      </c>
      <c r="T15" s="1">
        <v>2</v>
      </c>
      <c r="U15" s="1">
        <v>0</v>
      </c>
      <c r="V15" s="1">
        <v>0</v>
      </c>
      <c r="W15" s="85">
        <v>0</v>
      </c>
      <c r="X15" s="85"/>
      <c r="Y15" s="1">
        <v>3</v>
      </c>
      <c r="AA15" s="48">
        <v>4</v>
      </c>
      <c r="AB15" s="49">
        <v>0</v>
      </c>
      <c r="AC15" s="49">
        <v>0.1</v>
      </c>
      <c r="AD15" s="49">
        <v>0.3</v>
      </c>
      <c r="AE15" s="49">
        <v>0.4</v>
      </c>
      <c r="AF15" s="49">
        <v>0.2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</row>
    <row r="16" spans="1:38" x14ac:dyDescent="0.25">
      <c r="A16" s="55" t="s">
        <v>25</v>
      </c>
      <c r="B16" s="55">
        <v>5</v>
      </c>
      <c r="C16" s="55">
        <v>0</v>
      </c>
      <c r="D16" s="55">
        <v>1</v>
      </c>
      <c r="E16" s="55">
        <v>0</v>
      </c>
      <c r="F16" s="55"/>
      <c r="G16" s="55">
        <f>SUM(H1)*3</f>
        <v>6</v>
      </c>
      <c r="H16" s="55">
        <v>2</v>
      </c>
      <c r="I16" s="55">
        <f>ROUND((B16)*(0.2+F26+H28),0)</f>
        <v>12</v>
      </c>
      <c r="J16" s="55">
        <f t="shared" si="0"/>
        <v>26</v>
      </c>
      <c r="R16" s="1">
        <v>-1</v>
      </c>
      <c r="S16" s="1">
        <v>0</v>
      </c>
      <c r="T16" s="1">
        <v>2</v>
      </c>
      <c r="U16" s="1">
        <v>0</v>
      </c>
      <c r="V16" s="1">
        <v>1</v>
      </c>
      <c r="W16" s="85">
        <v>0</v>
      </c>
      <c r="X16" s="85"/>
      <c r="Y16" s="1">
        <v>2</v>
      </c>
      <c r="AA16" s="48">
        <v>5</v>
      </c>
      <c r="AB16" s="49">
        <v>0</v>
      </c>
      <c r="AC16" s="49">
        <v>0</v>
      </c>
      <c r="AD16" s="49">
        <v>0.2</v>
      </c>
      <c r="AE16" s="49">
        <v>0.3</v>
      </c>
      <c r="AF16" s="49">
        <v>0.2</v>
      </c>
      <c r="AG16" s="49">
        <v>0.3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</row>
    <row r="17" spans="1:38" x14ac:dyDescent="0.25">
      <c r="A17" s="55" t="s">
        <v>38</v>
      </c>
      <c r="B17" s="55">
        <v>10</v>
      </c>
      <c r="C17" s="55">
        <f>武器!C10*10</f>
        <v>30</v>
      </c>
      <c r="D17" s="55">
        <v>0</v>
      </c>
      <c r="E17" s="55">
        <v>0</v>
      </c>
      <c r="F17" s="55">
        <v>10</v>
      </c>
      <c r="G17" s="55">
        <f>1*G2</f>
        <v>10</v>
      </c>
      <c r="H17" s="55">
        <f>10+N26*100</f>
        <v>12</v>
      </c>
      <c r="I17" s="55">
        <v>0</v>
      </c>
      <c r="J17" s="56">
        <f>SUM(B17:I17)/100</f>
        <v>0.72</v>
      </c>
      <c r="R17" s="1">
        <v>1</v>
      </c>
      <c r="S17" s="1">
        <v>0</v>
      </c>
      <c r="T17" s="1">
        <v>1</v>
      </c>
      <c r="U17" s="1">
        <v>0</v>
      </c>
      <c r="V17" s="1">
        <v>2</v>
      </c>
      <c r="W17" s="85">
        <v>1</v>
      </c>
      <c r="X17" s="85"/>
      <c r="Y17" s="1">
        <v>1</v>
      </c>
      <c r="AA17" s="48">
        <v>6</v>
      </c>
      <c r="AB17" s="49">
        <v>0</v>
      </c>
      <c r="AC17" s="49">
        <v>0</v>
      </c>
      <c r="AD17" s="49">
        <v>0</v>
      </c>
      <c r="AE17" s="49">
        <v>0</v>
      </c>
      <c r="AF17" s="49">
        <v>0.3</v>
      </c>
      <c r="AG17" s="49">
        <v>0.4</v>
      </c>
      <c r="AH17" s="49">
        <v>0.3</v>
      </c>
      <c r="AI17" s="50">
        <v>0</v>
      </c>
      <c r="AJ17" s="50">
        <v>0</v>
      </c>
      <c r="AK17" s="50">
        <v>0</v>
      </c>
      <c r="AL17" s="50">
        <v>0</v>
      </c>
    </row>
    <row r="18" spans="1:38" x14ac:dyDescent="0.25">
      <c r="A18" s="81" t="s">
        <v>29</v>
      </c>
      <c r="B18" s="81"/>
      <c r="C18" s="81"/>
      <c r="D18" s="81"/>
      <c r="I18" t="s">
        <v>226</v>
      </c>
      <c r="J18" t="s">
        <v>496</v>
      </c>
      <c r="K18" t="s">
        <v>495</v>
      </c>
      <c r="R18" s="1">
        <v>2</v>
      </c>
      <c r="S18" s="1">
        <v>1</v>
      </c>
      <c r="T18" s="1">
        <v>1</v>
      </c>
      <c r="U18" s="1">
        <v>0</v>
      </c>
      <c r="V18" s="1">
        <v>3</v>
      </c>
      <c r="W18" s="85">
        <v>1</v>
      </c>
      <c r="X18" s="85"/>
      <c r="Y18" s="1">
        <v>0</v>
      </c>
      <c r="AA18" s="48">
        <v>7</v>
      </c>
      <c r="AB18" s="50">
        <v>0</v>
      </c>
      <c r="AC18" s="50">
        <v>0</v>
      </c>
      <c r="AD18" s="50">
        <v>0</v>
      </c>
      <c r="AE18" s="49">
        <v>0</v>
      </c>
      <c r="AF18" s="49">
        <v>0</v>
      </c>
      <c r="AG18" s="49">
        <v>0.1</v>
      </c>
      <c r="AH18" s="49">
        <v>0.5</v>
      </c>
      <c r="AI18" s="49">
        <v>0.4</v>
      </c>
      <c r="AJ18" s="50">
        <v>0</v>
      </c>
      <c r="AK18" s="50">
        <v>0</v>
      </c>
      <c r="AL18" s="50">
        <v>0</v>
      </c>
    </row>
    <row r="19" spans="1:38" x14ac:dyDescent="0.25">
      <c r="A19">
        <v>1</v>
      </c>
      <c r="B19" s="81" t="s">
        <v>42</v>
      </c>
      <c r="C19" s="81"/>
      <c r="D19" s="84" t="s">
        <v>94</v>
      </c>
      <c r="E19" s="84"/>
      <c r="F19" s="84"/>
      <c r="G19">
        <v>0.5</v>
      </c>
      <c r="I19" t="s">
        <v>225</v>
      </c>
      <c r="J19">
        <v>1</v>
      </c>
      <c r="K19" t="s">
        <v>273</v>
      </c>
      <c r="R19" s="1">
        <v>3</v>
      </c>
      <c r="S19" s="1">
        <v>2</v>
      </c>
      <c r="T19" s="1">
        <v>1</v>
      </c>
      <c r="U19" s="1">
        <v>0</v>
      </c>
      <c r="V19" s="1">
        <v>4</v>
      </c>
      <c r="W19" s="85">
        <v>2</v>
      </c>
      <c r="X19" s="85"/>
      <c r="Y19" s="1">
        <v>0</v>
      </c>
      <c r="AA19" s="48">
        <v>8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49">
        <v>0.2</v>
      </c>
      <c r="AI19" s="49">
        <v>0.5</v>
      </c>
      <c r="AJ19" s="49">
        <v>0.3</v>
      </c>
      <c r="AK19" s="50">
        <v>0</v>
      </c>
      <c r="AL19" s="50">
        <v>0</v>
      </c>
    </row>
    <row r="20" spans="1:38" x14ac:dyDescent="0.25">
      <c r="A20">
        <v>2</v>
      </c>
      <c r="B20" s="81" t="s">
        <v>224</v>
      </c>
      <c r="C20" s="81"/>
      <c r="D20" s="11" t="s">
        <v>65</v>
      </c>
      <c r="E20" t="s">
        <v>43</v>
      </c>
      <c r="F20" t="s">
        <v>44</v>
      </c>
      <c r="R20" s="1">
        <v>4</v>
      </c>
      <c r="S20" s="1">
        <v>3</v>
      </c>
      <c r="T20" s="1">
        <v>-1</v>
      </c>
      <c r="U20" s="1">
        <v>-1</v>
      </c>
      <c r="V20" s="1">
        <v>5</v>
      </c>
      <c r="W20" s="85">
        <v>3</v>
      </c>
      <c r="X20" s="85"/>
      <c r="Y20" s="1">
        <v>-1</v>
      </c>
      <c r="AA20" s="48">
        <v>9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49">
        <v>0.1</v>
      </c>
      <c r="AJ20" s="49">
        <v>0.6</v>
      </c>
      <c r="AK20" s="49">
        <v>0.3</v>
      </c>
      <c r="AL20" s="50">
        <v>0</v>
      </c>
    </row>
    <row r="21" spans="1:38" x14ac:dyDescent="0.25">
      <c r="A21">
        <v>3</v>
      </c>
      <c r="B21" s="81"/>
      <c r="C21" s="81"/>
      <c r="E21" s="81"/>
      <c r="F21" s="81"/>
      <c r="R21" s="1">
        <v>5</v>
      </c>
      <c r="S21" s="1">
        <v>5</v>
      </c>
      <c r="T21" s="1">
        <v>-3</v>
      </c>
      <c r="U21" s="1">
        <v>-2</v>
      </c>
      <c r="V21" s="1">
        <v>7</v>
      </c>
      <c r="W21" s="85">
        <v>4</v>
      </c>
      <c r="X21" s="85"/>
      <c r="Y21" s="1">
        <v>-1</v>
      </c>
      <c r="AA21" s="48">
        <v>10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50">
        <v>0</v>
      </c>
      <c r="AJ21" s="49">
        <v>0.1</v>
      </c>
      <c r="AK21" s="49">
        <v>0.7</v>
      </c>
      <c r="AL21" s="49">
        <v>0.2</v>
      </c>
    </row>
    <row r="22" spans="1:38" x14ac:dyDescent="0.25">
      <c r="A22">
        <v>4</v>
      </c>
      <c r="B22" s="81"/>
      <c r="C22" s="81"/>
    </row>
    <row r="24" spans="1:38" x14ac:dyDescent="0.25">
      <c r="AA24" t="s">
        <v>439</v>
      </c>
    </row>
    <row r="25" spans="1:38" x14ac:dyDescent="0.25">
      <c r="A25" t="s">
        <v>66</v>
      </c>
      <c r="J25" t="s">
        <v>68</v>
      </c>
      <c r="K25" t="s">
        <v>492</v>
      </c>
      <c r="L25" t="s">
        <v>789</v>
      </c>
      <c r="M25" t="s">
        <v>137</v>
      </c>
      <c r="N25" t="s">
        <v>216</v>
      </c>
      <c r="O25" t="s">
        <v>133</v>
      </c>
      <c r="U25" t="s">
        <v>67</v>
      </c>
      <c r="V25" t="s">
        <v>137</v>
      </c>
      <c r="W25" t="s">
        <v>501</v>
      </c>
      <c r="X25" t="s">
        <v>133</v>
      </c>
      <c r="Z25" t="s">
        <v>440</v>
      </c>
      <c r="AA25">
        <v>0</v>
      </c>
      <c r="AB25">
        <v>1</v>
      </c>
      <c r="AC25">
        <v>2</v>
      </c>
      <c r="AD25">
        <v>3</v>
      </c>
      <c r="AE25">
        <v>4</v>
      </c>
      <c r="AF25">
        <v>5</v>
      </c>
      <c r="AG25">
        <v>6</v>
      </c>
      <c r="AH25">
        <v>7</v>
      </c>
      <c r="AI25">
        <v>8</v>
      </c>
      <c r="AJ25">
        <v>9</v>
      </c>
      <c r="AK25">
        <v>10</v>
      </c>
    </row>
    <row r="26" spans="1:38" x14ac:dyDescent="0.25">
      <c r="A26">
        <v>1</v>
      </c>
      <c r="B26" t="s">
        <v>189</v>
      </c>
      <c r="C26" s="84" t="s">
        <v>190</v>
      </c>
      <c r="D26" s="84"/>
      <c r="E26" t="s">
        <v>191</v>
      </c>
      <c r="F26">
        <v>1.2</v>
      </c>
      <c r="G26" t="s">
        <v>192</v>
      </c>
      <c r="H26">
        <v>1.2</v>
      </c>
      <c r="J26" t="s">
        <v>36</v>
      </c>
      <c r="K26" t="s">
        <v>494</v>
      </c>
      <c r="L26">
        <v>0</v>
      </c>
      <c r="M26">
        <v>2</v>
      </c>
      <c r="N26">
        <v>0.02</v>
      </c>
      <c r="O26" s="82" t="s">
        <v>736</v>
      </c>
      <c r="P26" s="82"/>
      <c r="Q26" s="82"/>
      <c r="U26" t="s">
        <v>435</v>
      </c>
      <c r="V26">
        <f>VLOOKUP($W26,等级!$O$3:$P$13,2)</f>
        <v>1</v>
      </c>
      <c r="W26">
        <v>20</v>
      </c>
      <c r="X26" t="s">
        <v>437</v>
      </c>
      <c r="AA26" s="33">
        <f>VLOOKUP($V26,$AA$12:$AL$21,2)</f>
        <v>0.8</v>
      </c>
      <c r="AB26" s="33">
        <f>VLOOKUP($V26,$AA$12:$AL$21,3)</f>
        <v>0.2</v>
      </c>
      <c r="AC26" s="33">
        <f>VLOOKUP($V26,$AA$12:$AL$21,4)</f>
        <v>0</v>
      </c>
      <c r="AD26" s="33">
        <f>VLOOKUP($V26,$AA$12:$AL$21,5)</f>
        <v>0</v>
      </c>
      <c r="AE26" s="33">
        <f>VLOOKUP($V26,$AA$12:$AL$21,6)</f>
        <v>0</v>
      </c>
      <c r="AF26" s="33">
        <f>VLOOKUP($V26,$AA$12:$AL$21,7)</f>
        <v>0</v>
      </c>
      <c r="AG26" s="33">
        <f>VLOOKUP($V26,$AA$12:$AL$21,8)</f>
        <v>0</v>
      </c>
      <c r="AH26" s="33">
        <f>VLOOKUP($V26,$AA$12:$AL$21,9)</f>
        <v>0</v>
      </c>
      <c r="AI26" s="33">
        <f>VLOOKUP($V26,$AA$12:$AL$21,10)</f>
        <v>0</v>
      </c>
      <c r="AJ26" s="33">
        <f>VLOOKUP($V26,$AA$12:$AL$21,11)</f>
        <v>0</v>
      </c>
      <c r="AK26" s="33">
        <f>VLOOKUP($V26,$AA$12:$AL$21,12)</f>
        <v>0</v>
      </c>
    </row>
    <row r="27" spans="1:38" x14ac:dyDescent="0.25">
      <c r="A27">
        <v>2</v>
      </c>
      <c r="B27" t="s">
        <v>193</v>
      </c>
      <c r="C27" s="84" t="s">
        <v>194</v>
      </c>
      <c r="D27" s="84"/>
      <c r="E27" t="s">
        <v>197</v>
      </c>
      <c r="F27">
        <v>1.2</v>
      </c>
      <c r="J27" t="s">
        <v>217</v>
      </c>
      <c r="K27" t="s">
        <v>493</v>
      </c>
      <c r="L27">
        <v>50</v>
      </c>
      <c r="M27">
        <v>2</v>
      </c>
      <c r="N27" s="33">
        <v>0.2</v>
      </c>
      <c r="O27" s="84" t="s">
        <v>737</v>
      </c>
      <c r="P27" s="84"/>
      <c r="Q27" s="84"/>
      <c r="R27" s="84"/>
      <c r="U27" t="s">
        <v>436</v>
      </c>
      <c r="V27">
        <f>VLOOKUP($W27,等级!$O$3:$P$13,2)</f>
        <v>4</v>
      </c>
      <c r="W27">
        <v>1460</v>
      </c>
      <c r="X27" t="s">
        <v>438</v>
      </c>
      <c r="AA27" s="33">
        <f t="shared" ref="AA27:AA31" si="1">VLOOKUP($V27,$AA$12:$AL$21,2)</f>
        <v>0</v>
      </c>
      <c r="AB27" s="33">
        <f t="shared" ref="AB27:AB31" si="2">VLOOKUP($V27,$AA$12:$AL$21,3)</f>
        <v>0.1</v>
      </c>
      <c r="AC27" s="33">
        <f t="shared" ref="AC27:AC31" si="3">VLOOKUP($V27,$AA$12:$AL$21,4)</f>
        <v>0.3</v>
      </c>
      <c r="AD27" s="33">
        <f t="shared" ref="AD27:AD31" si="4">VLOOKUP($V27,$AA$12:$AL$21,5)</f>
        <v>0.4</v>
      </c>
      <c r="AE27" s="33">
        <f t="shared" ref="AE27:AE31" si="5">VLOOKUP($V27,$AA$12:$AL$21,6)</f>
        <v>0.2</v>
      </c>
      <c r="AF27" s="33">
        <f t="shared" ref="AF27:AF31" si="6">VLOOKUP($V27,$AA$12:$AL$21,7)</f>
        <v>0</v>
      </c>
      <c r="AG27" s="33">
        <f t="shared" ref="AG27:AG31" si="7">VLOOKUP($V27,$AA$12:$AL$21,8)</f>
        <v>0</v>
      </c>
      <c r="AH27" s="33">
        <f t="shared" ref="AH27:AH31" si="8">VLOOKUP($V27,$AA$12:$AL$21,9)</f>
        <v>0</v>
      </c>
      <c r="AI27" s="33">
        <f t="shared" ref="AI27:AI31" si="9">VLOOKUP($V27,$AA$12:$AL$21,10)</f>
        <v>0</v>
      </c>
      <c r="AJ27" s="33">
        <f t="shared" ref="AJ27:AJ31" si="10">VLOOKUP($V27,$AA$12:$AL$21,11)</f>
        <v>0</v>
      </c>
      <c r="AK27" s="33">
        <f t="shared" ref="AK27:AK31" si="11">VLOOKUP($V27,$AA$12:$AL$21,12)</f>
        <v>0</v>
      </c>
    </row>
    <row r="28" spans="1:38" x14ac:dyDescent="0.25">
      <c r="A28">
        <v>3</v>
      </c>
      <c r="B28" t="s">
        <v>195</v>
      </c>
      <c r="C28" s="84" t="s">
        <v>200</v>
      </c>
      <c r="D28" s="84"/>
      <c r="E28" s="84"/>
      <c r="F28" s="84"/>
      <c r="G28" t="s">
        <v>201</v>
      </c>
      <c r="H28">
        <v>1</v>
      </c>
      <c r="J28" t="s">
        <v>39</v>
      </c>
      <c r="K28" t="s">
        <v>493</v>
      </c>
      <c r="L28">
        <v>0</v>
      </c>
      <c r="M28">
        <v>1</v>
      </c>
      <c r="N28">
        <f>J9</f>
        <v>14</v>
      </c>
      <c r="O28" s="81" t="s">
        <v>41</v>
      </c>
      <c r="P28" s="81"/>
      <c r="Q28" s="81"/>
      <c r="R28" s="81"/>
      <c r="S28" s="81"/>
      <c r="U28" t="s">
        <v>498</v>
      </c>
      <c r="V28">
        <f>VLOOKUP($W28,等级!$O$3:$P$13,2)</f>
        <v>2</v>
      </c>
      <c r="W28">
        <v>250</v>
      </c>
      <c r="X28" t="s">
        <v>499</v>
      </c>
      <c r="AA28" s="33">
        <f t="shared" si="1"/>
        <v>0.3</v>
      </c>
      <c r="AB28" s="33">
        <f t="shared" si="2"/>
        <v>0.6</v>
      </c>
      <c r="AC28" s="33">
        <f t="shared" si="3"/>
        <v>0.1</v>
      </c>
      <c r="AD28" s="33">
        <f t="shared" si="4"/>
        <v>0</v>
      </c>
      <c r="AE28" s="33">
        <f t="shared" si="5"/>
        <v>0</v>
      </c>
      <c r="AF28" s="33">
        <f t="shared" si="6"/>
        <v>0</v>
      </c>
      <c r="AG28" s="33">
        <f t="shared" si="7"/>
        <v>0</v>
      </c>
      <c r="AH28" s="33">
        <f t="shared" si="8"/>
        <v>0</v>
      </c>
      <c r="AI28" s="33">
        <f t="shared" si="9"/>
        <v>0</v>
      </c>
      <c r="AJ28" s="33">
        <f t="shared" si="10"/>
        <v>0</v>
      </c>
      <c r="AK28" s="33">
        <f t="shared" si="11"/>
        <v>0</v>
      </c>
    </row>
    <row r="29" spans="1:38" x14ac:dyDescent="0.25">
      <c r="A29">
        <v>4</v>
      </c>
      <c r="B29" t="s">
        <v>527</v>
      </c>
      <c r="C29" t="s">
        <v>528</v>
      </c>
      <c r="J29" t="s">
        <v>40</v>
      </c>
      <c r="K29" t="s">
        <v>493</v>
      </c>
      <c r="L29">
        <v>0</v>
      </c>
      <c r="M29">
        <v>2</v>
      </c>
      <c r="N29">
        <f>J9</f>
        <v>14</v>
      </c>
      <c r="O29" s="84" t="s">
        <v>735</v>
      </c>
      <c r="P29" s="84"/>
      <c r="Q29" s="84"/>
      <c r="R29" s="84"/>
      <c r="U29" t="s">
        <v>524</v>
      </c>
      <c r="V29">
        <f>VLOOKUP($W29,等级!$O$3:$P$13,2)</f>
        <v>1</v>
      </c>
      <c r="W29">
        <v>10</v>
      </c>
      <c r="X29" t="s">
        <v>525</v>
      </c>
      <c r="AA29" s="33">
        <f t="shared" si="1"/>
        <v>0.8</v>
      </c>
      <c r="AB29" s="33">
        <f t="shared" si="2"/>
        <v>0.2</v>
      </c>
      <c r="AC29" s="33">
        <f t="shared" si="3"/>
        <v>0</v>
      </c>
      <c r="AD29" s="33">
        <f t="shared" si="4"/>
        <v>0</v>
      </c>
      <c r="AE29" s="33">
        <f t="shared" si="5"/>
        <v>0</v>
      </c>
      <c r="AF29" s="33">
        <f t="shared" si="6"/>
        <v>0</v>
      </c>
      <c r="AG29" s="33">
        <f t="shared" si="7"/>
        <v>0</v>
      </c>
      <c r="AH29" s="33">
        <f t="shared" si="8"/>
        <v>0</v>
      </c>
      <c r="AI29" s="33">
        <f t="shared" si="9"/>
        <v>0</v>
      </c>
      <c r="AJ29" s="33">
        <f t="shared" si="10"/>
        <v>0</v>
      </c>
      <c r="AK29" s="33">
        <f t="shared" si="11"/>
        <v>0</v>
      </c>
    </row>
    <row r="30" spans="1:38" x14ac:dyDescent="0.25">
      <c r="A30">
        <v>5</v>
      </c>
      <c r="B30" t="s">
        <v>787</v>
      </c>
      <c r="C30" t="s">
        <v>788</v>
      </c>
      <c r="J30" t="s">
        <v>285</v>
      </c>
      <c r="K30" t="s">
        <v>494</v>
      </c>
      <c r="L30">
        <v>0</v>
      </c>
      <c r="M30" s="3" t="s">
        <v>497</v>
      </c>
      <c r="O30" t="s">
        <v>286</v>
      </c>
      <c r="U30" t="s">
        <v>521</v>
      </c>
      <c r="V30">
        <f>VLOOKUP($W30,等级!$O$3:$P$13,2)</f>
        <v>4</v>
      </c>
      <c r="W30">
        <v>1470</v>
      </c>
      <c r="X30" t="s">
        <v>523</v>
      </c>
      <c r="AA30" s="33">
        <f t="shared" si="1"/>
        <v>0</v>
      </c>
      <c r="AB30" s="33">
        <f t="shared" si="2"/>
        <v>0.1</v>
      </c>
      <c r="AC30" s="33">
        <f t="shared" si="3"/>
        <v>0.3</v>
      </c>
      <c r="AD30" s="33">
        <f t="shared" si="4"/>
        <v>0.4</v>
      </c>
      <c r="AE30" s="33">
        <f t="shared" si="5"/>
        <v>0.2</v>
      </c>
      <c r="AF30" s="33">
        <f t="shared" si="6"/>
        <v>0</v>
      </c>
      <c r="AG30" s="33">
        <f t="shared" si="7"/>
        <v>0</v>
      </c>
      <c r="AH30" s="33">
        <f t="shared" si="8"/>
        <v>0</v>
      </c>
      <c r="AI30" s="33">
        <f t="shared" si="9"/>
        <v>0</v>
      </c>
      <c r="AJ30" s="33">
        <f t="shared" si="10"/>
        <v>0</v>
      </c>
      <c r="AK30" s="33">
        <f t="shared" si="11"/>
        <v>0</v>
      </c>
    </row>
    <row r="31" spans="1:38" x14ac:dyDescent="0.25">
      <c r="J31" t="s">
        <v>784</v>
      </c>
      <c r="K31" t="s">
        <v>785</v>
      </c>
      <c r="L31">
        <v>100</v>
      </c>
      <c r="M31">
        <v>1</v>
      </c>
      <c r="O31" t="s">
        <v>786</v>
      </c>
      <c r="U31" t="s">
        <v>522</v>
      </c>
      <c r="V31">
        <f>VLOOKUP($W31,等级!$O$3:$P$13,2)</f>
        <v>1</v>
      </c>
      <c r="W31">
        <v>10</v>
      </c>
      <c r="X31" t="s">
        <v>526</v>
      </c>
      <c r="AA31" s="33">
        <f t="shared" si="1"/>
        <v>0.8</v>
      </c>
      <c r="AB31" s="33">
        <f t="shared" si="2"/>
        <v>0.2</v>
      </c>
      <c r="AC31" s="33">
        <f t="shared" si="3"/>
        <v>0</v>
      </c>
      <c r="AD31" s="33">
        <f t="shared" si="4"/>
        <v>0</v>
      </c>
      <c r="AE31" s="33">
        <f t="shared" si="5"/>
        <v>0</v>
      </c>
      <c r="AF31" s="33">
        <f t="shared" si="6"/>
        <v>0</v>
      </c>
      <c r="AG31" s="33">
        <f t="shared" si="7"/>
        <v>0</v>
      </c>
      <c r="AH31" s="33">
        <f t="shared" si="8"/>
        <v>0</v>
      </c>
      <c r="AI31" s="33">
        <f t="shared" si="9"/>
        <v>0</v>
      </c>
      <c r="AJ31" s="33">
        <f t="shared" si="10"/>
        <v>0</v>
      </c>
      <c r="AK31" s="33">
        <f t="shared" si="11"/>
        <v>0</v>
      </c>
    </row>
    <row r="32" spans="1:38" x14ac:dyDescent="0.25">
      <c r="J32" t="s">
        <v>711</v>
      </c>
      <c r="K32" t="s">
        <v>712</v>
      </c>
      <c r="L32">
        <v>0</v>
      </c>
      <c r="M32" s="3">
        <v>1</v>
      </c>
      <c r="N32" s="33">
        <v>0.1</v>
      </c>
      <c r="O32" t="s">
        <v>713</v>
      </c>
      <c r="U32" t="s">
        <v>746</v>
      </c>
      <c r="V32">
        <f>VLOOKUP($W32,等级!$O$3:$P$13,2)</f>
        <v>4</v>
      </c>
      <c r="W32">
        <v>1050</v>
      </c>
      <c r="X32" t="s">
        <v>747</v>
      </c>
    </row>
    <row r="33" spans="1:23" x14ac:dyDescent="0.25">
      <c r="J33" t="s">
        <v>781</v>
      </c>
      <c r="K33" t="s">
        <v>748</v>
      </c>
      <c r="L33">
        <v>150</v>
      </c>
      <c r="M33">
        <v>1</v>
      </c>
      <c r="O33" t="s">
        <v>749</v>
      </c>
      <c r="U33" t="s">
        <v>765</v>
      </c>
      <c r="V33">
        <f>VLOOKUP($W33,等级!$O$3:$P$13,2)</f>
        <v>1</v>
      </c>
      <c r="W33">
        <v>10</v>
      </c>
    </row>
    <row r="34" spans="1:23" x14ac:dyDescent="0.25">
      <c r="J34" t="s">
        <v>782</v>
      </c>
      <c r="K34" t="s">
        <v>748</v>
      </c>
      <c r="L34">
        <v>150</v>
      </c>
      <c r="M34" s="3">
        <v>1</v>
      </c>
      <c r="N34">
        <v>20</v>
      </c>
      <c r="O34" t="s">
        <v>783</v>
      </c>
      <c r="U34" t="s">
        <v>822</v>
      </c>
      <c r="V34">
        <f>VLOOKUP($W34,等级!$O$3:$P$13,2)</f>
        <v>1</v>
      </c>
      <c r="W34">
        <v>10</v>
      </c>
    </row>
    <row r="36" spans="1:23" x14ac:dyDescent="0.25">
      <c r="P36" s="10"/>
      <c r="Q36" s="10"/>
    </row>
    <row r="38" spans="1:23" x14ac:dyDescent="0.25">
      <c r="B38" t="s">
        <v>77</v>
      </c>
      <c r="C38" t="s">
        <v>76</v>
      </c>
      <c r="E38" t="s">
        <v>687</v>
      </c>
      <c r="F38" t="s">
        <v>274</v>
      </c>
      <c r="H38" t="s">
        <v>687</v>
      </c>
      <c r="I38" t="s">
        <v>718</v>
      </c>
      <c r="J38" s="10" t="s">
        <v>686</v>
      </c>
      <c r="L38" t="s">
        <v>733</v>
      </c>
      <c r="N38" t="s">
        <v>731</v>
      </c>
    </row>
    <row r="39" spans="1:23" x14ac:dyDescent="0.25">
      <c r="A39" t="s">
        <v>78</v>
      </c>
      <c r="B39" t="s">
        <v>237</v>
      </c>
      <c r="C39" t="s">
        <v>80</v>
      </c>
      <c r="E39">
        <v>0.1</v>
      </c>
      <c r="F39">
        <v>1</v>
      </c>
      <c r="H39">
        <f>E39*(1+D39)*F39</f>
        <v>0.1</v>
      </c>
      <c r="I39">
        <f>SUM(H39:H56)</f>
        <v>29.179500000000001</v>
      </c>
      <c r="J39" s="10">
        <f>$O$2</f>
        <v>100</v>
      </c>
      <c r="K39" t="str">
        <f>IF(I39&lt;J39/2,"轻松",IF(I39&lt;J39,"较重",IF(I39&lt;J39*1.5,"沉重",IF(I39&lt;J39*3,"压迫",IF(I39&lt;J39*5,"无法承受",0)))))</f>
        <v>轻松</v>
      </c>
      <c r="L39">
        <v>1</v>
      </c>
      <c r="M39" t="s">
        <v>719</v>
      </c>
      <c r="O39" t="s">
        <v>732</v>
      </c>
    </row>
    <row r="40" spans="1:23" x14ac:dyDescent="0.25">
      <c r="A40" t="s">
        <v>79</v>
      </c>
      <c r="B40" t="s">
        <v>81</v>
      </c>
      <c r="C40" t="s">
        <v>509</v>
      </c>
      <c r="D40">
        <v>100</v>
      </c>
      <c r="E40">
        <v>0.01</v>
      </c>
      <c r="F40">
        <v>2.95</v>
      </c>
      <c r="G40">
        <v>295</v>
      </c>
      <c r="H40" s="76">
        <f t="shared" ref="H40:H58" si="12">E40*(1+D40)*F40</f>
        <v>2.9795000000000003</v>
      </c>
      <c r="J40" s="3">
        <f>IF(I39&lt;J39/2,1,IF(I39&lt;J39,2,IF(I39&lt;J39*1.5,3,IF(I39&lt;J39*3,4,IF(I39&lt;J39*5,5,0)))))</f>
        <v>1</v>
      </c>
      <c r="K40" t="str">
        <f>VLOOKUP(J40,L39:O43,4)</f>
        <v>没有影响</v>
      </c>
      <c r="L40">
        <v>2</v>
      </c>
      <c r="M40" t="s">
        <v>720</v>
      </c>
      <c r="N40" t="s">
        <v>724</v>
      </c>
      <c r="O40">
        <v>10</v>
      </c>
      <c r="P40">
        <v>0</v>
      </c>
    </row>
    <row r="41" spans="1:23" x14ac:dyDescent="0.25">
      <c r="A41" t="s">
        <v>265</v>
      </c>
      <c r="B41" t="s">
        <v>815</v>
      </c>
      <c r="C41" t="s">
        <v>507</v>
      </c>
      <c r="E41">
        <v>0.1</v>
      </c>
      <c r="F41">
        <v>25</v>
      </c>
      <c r="H41">
        <f t="shared" si="12"/>
        <v>2.5</v>
      </c>
      <c r="K41">
        <f>VLOOKUP(J40,L39:P43,5)</f>
        <v>0</v>
      </c>
      <c r="L41">
        <v>3</v>
      </c>
      <c r="M41" t="s">
        <v>721</v>
      </c>
      <c r="N41" t="s">
        <v>724</v>
      </c>
      <c r="O41">
        <v>30</v>
      </c>
      <c r="P41">
        <v>0</v>
      </c>
    </row>
    <row r="42" spans="1:23" x14ac:dyDescent="0.25">
      <c r="A42" t="s">
        <v>267</v>
      </c>
      <c r="C42" t="s">
        <v>508</v>
      </c>
      <c r="E42">
        <v>0.1</v>
      </c>
      <c r="F42">
        <v>15</v>
      </c>
      <c r="H42">
        <f t="shared" si="12"/>
        <v>1.5</v>
      </c>
      <c r="L42">
        <v>4</v>
      </c>
      <c r="M42" t="s">
        <v>722</v>
      </c>
      <c r="N42" t="s">
        <v>724</v>
      </c>
      <c r="O42">
        <v>70</v>
      </c>
      <c r="P42" s="78">
        <f>C2*10%</f>
        <v>1.2000000000000002</v>
      </c>
    </row>
    <row r="43" spans="1:23" x14ac:dyDescent="0.25">
      <c r="A43" t="s">
        <v>268</v>
      </c>
      <c r="C43" t="s">
        <v>510</v>
      </c>
      <c r="D43">
        <v>5</v>
      </c>
      <c r="E43">
        <v>0.1</v>
      </c>
      <c r="F43">
        <v>10</v>
      </c>
      <c r="G43">
        <v>45</v>
      </c>
      <c r="H43">
        <f t="shared" si="12"/>
        <v>6.0000000000000009</v>
      </c>
      <c r="L43">
        <v>5</v>
      </c>
      <c r="M43" t="s">
        <v>723</v>
      </c>
      <c r="N43" t="s">
        <v>724</v>
      </c>
      <c r="O43">
        <v>100</v>
      </c>
      <c r="P43" s="78">
        <f>C2*30%</f>
        <v>3.5999999999999996</v>
      </c>
    </row>
    <row r="44" spans="1:23" ht="15" x14ac:dyDescent="0.35">
      <c r="A44" t="s">
        <v>266</v>
      </c>
      <c r="C44" s="34" t="s">
        <v>276</v>
      </c>
      <c r="E44">
        <v>0.2</v>
      </c>
      <c r="F44">
        <v>3</v>
      </c>
      <c r="H44">
        <f t="shared" si="12"/>
        <v>0.60000000000000009</v>
      </c>
    </row>
    <row r="45" spans="1:23" x14ac:dyDescent="0.25">
      <c r="A45" t="s">
        <v>270</v>
      </c>
      <c r="C45" s="34" t="s">
        <v>275</v>
      </c>
      <c r="E45">
        <v>0.2</v>
      </c>
      <c r="F45">
        <v>1</v>
      </c>
      <c r="H45">
        <f t="shared" si="12"/>
        <v>0.2</v>
      </c>
      <c r="J45" s="67"/>
      <c r="K45" s="67"/>
      <c r="L45" s="67"/>
      <c r="M45" s="67"/>
    </row>
    <row r="46" spans="1:23" x14ac:dyDescent="0.25">
      <c r="A46" t="s">
        <v>271</v>
      </c>
      <c r="C46" t="s">
        <v>744</v>
      </c>
      <c r="E46">
        <v>0.1</v>
      </c>
      <c r="F46">
        <v>9</v>
      </c>
      <c r="H46">
        <f t="shared" si="12"/>
        <v>0.9</v>
      </c>
      <c r="J46" s="65"/>
      <c r="K46" s="65"/>
      <c r="L46" s="65"/>
      <c r="M46" s="66"/>
    </row>
    <row r="47" spans="1:23" x14ac:dyDescent="0.25">
      <c r="A47" t="s">
        <v>272</v>
      </c>
      <c r="C47" t="s">
        <v>745</v>
      </c>
      <c r="E47">
        <v>0.2</v>
      </c>
      <c r="F47">
        <v>1</v>
      </c>
      <c r="H47">
        <f t="shared" si="12"/>
        <v>0.2</v>
      </c>
    </row>
    <row r="48" spans="1:23" x14ac:dyDescent="0.25">
      <c r="A48" t="s">
        <v>269</v>
      </c>
      <c r="C48" t="s">
        <v>750</v>
      </c>
      <c r="E48">
        <v>0.2</v>
      </c>
      <c r="F48">
        <v>1</v>
      </c>
      <c r="H48">
        <f t="shared" si="12"/>
        <v>0.2</v>
      </c>
    </row>
    <row r="49" spans="1:8" x14ac:dyDescent="0.25">
      <c r="A49" t="s">
        <v>269</v>
      </c>
      <c r="C49" t="s">
        <v>751</v>
      </c>
      <c r="E49">
        <v>0.2</v>
      </c>
      <c r="F49">
        <v>1</v>
      </c>
      <c r="H49">
        <f t="shared" si="12"/>
        <v>0.2</v>
      </c>
    </row>
    <row r="50" spans="1:8" x14ac:dyDescent="0.25">
      <c r="A50" t="s">
        <v>269</v>
      </c>
      <c r="C50" t="s">
        <v>752</v>
      </c>
      <c r="E50">
        <v>0.1</v>
      </c>
      <c r="F50">
        <v>1</v>
      </c>
      <c r="H50">
        <f t="shared" si="12"/>
        <v>0.1</v>
      </c>
    </row>
    <row r="51" spans="1:8" x14ac:dyDescent="0.25">
      <c r="A51" t="s">
        <v>269</v>
      </c>
      <c r="C51" t="s">
        <v>816</v>
      </c>
      <c r="E51">
        <v>0.1</v>
      </c>
      <c r="F51">
        <v>24</v>
      </c>
      <c r="H51">
        <f t="shared" si="12"/>
        <v>2.4000000000000004</v>
      </c>
    </row>
    <row r="52" spans="1:8" x14ac:dyDescent="0.25">
      <c r="A52" t="s">
        <v>792</v>
      </c>
      <c r="B52" t="s">
        <v>791</v>
      </c>
      <c r="C52" t="s">
        <v>817</v>
      </c>
      <c r="E52">
        <v>0.1</v>
      </c>
      <c r="F52">
        <v>5</v>
      </c>
      <c r="H52">
        <f t="shared" si="12"/>
        <v>0.5</v>
      </c>
    </row>
    <row r="53" spans="1:8" x14ac:dyDescent="0.25">
      <c r="C53" t="s">
        <v>818</v>
      </c>
      <c r="E53">
        <v>0.1</v>
      </c>
      <c r="F53">
        <v>11</v>
      </c>
      <c r="H53">
        <f t="shared" si="12"/>
        <v>1.1000000000000001</v>
      </c>
    </row>
    <row r="54" spans="1:8" x14ac:dyDescent="0.25">
      <c r="C54" s="64" t="s">
        <v>768</v>
      </c>
      <c r="E54">
        <v>0.3</v>
      </c>
      <c r="F54">
        <v>15</v>
      </c>
      <c r="H54">
        <f>E54*(1+D54)*F54</f>
        <v>4.5</v>
      </c>
    </row>
    <row r="55" spans="1:8" x14ac:dyDescent="0.25">
      <c r="C55" t="s">
        <v>513</v>
      </c>
      <c r="E55">
        <v>0.1</v>
      </c>
      <c r="F55">
        <v>22</v>
      </c>
      <c r="H55">
        <f>E55*(1+D55)*F55</f>
        <v>2.2000000000000002</v>
      </c>
    </row>
    <row r="56" spans="1:8" x14ac:dyDescent="0.25">
      <c r="C56" t="s">
        <v>769</v>
      </c>
      <c r="E56">
        <v>0.3</v>
      </c>
      <c r="F56">
        <v>10</v>
      </c>
      <c r="H56">
        <f>E56*(1+D56)*F56</f>
        <v>3</v>
      </c>
    </row>
    <row r="57" spans="1:8" x14ac:dyDescent="0.25">
      <c r="H57">
        <f t="shared" si="12"/>
        <v>0</v>
      </c>
    </row>
    <row r="58" spans="1:8" x14ac:dyDescent="0.25">
      <c r="H58">
        <f t="shared" si="12"/>
        <v>0</v>
      </c>
    </row>
  </sheetData>
  <mergeCells count="38">
    <mergeCell ref="P1:P3"/>
    <mergeCell ref="K1:K3"/>
    <mergeCell ref="L1:L3"/>
    <mergeCell ref="M1:M3"/>
    <mergeCell ref="W21:X21"/>
    <mergeCell ref="W20:X20"/>
    <mergeCell ref="W13:X13"/>
    <mergeCell ref="W14:X14"/>
    <mergeCell ref="W15:X15"/>
    <mergeCell ref="W16:X16"/>
    <mergeCell ref="W17:X17"/>
    <mergeCell ref="W18:X18"/>
    <mergeCell ref="W19:X19"/>
    <mergeCell ref="S10:W10"/>
    <mergeCell ref="W11:X11"/>
    <mergeCell ref="W12:X12"/>
    <mergeCell ref="O29:R29"/>
    <mergeCell ref="C27:D27"/>
    <mergeCell ref="C28:F28"/>
    <mergeCell ref="H4:H5"/>
    <mergeCell ref="A1:B3"/>
    <mergeCell ref="J1:J3"/>
    <mergeCell ref="C26:D26"/>
    <mergeCell ref="B22:C22"/>
    <mergeCell ref="E21:F21"/>
    <mergeCell ref="B5:C5"/>
    <mergeCell ref="D4:E4"/>
    <mergeCell ref="A18:D18"/>
    <mergeCell ref="B19:C19"/>
    <mergeCell ref="B21:C21"/>
    <mergeCell ref="B20:C20"/>
    <mergeCell ref="D19:F19"/>
    <mergeCell ref="J4:J5"/>
    <mergeCell ref="D5:E5"/>
    <mergeCell ref="O26:Q26"/>
    <mergeCell ref="O28:S28"/>
    <mergeCell ref="I4:I5"/>
    <mergeCell ref="O27:R2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1"/>
  <sheetViews>
    <sheetView topLeftCell="A6" workbookViewId="0">
      <selection activeCell="H19" sqref="H19"/>
    </sheetView>
  </sheetViews>
  <sheetFormatPr defaultRowHeight="14" x14ac:dyDescent="0.25"/>
  <cols>
    <col min="2" max="2" width="14.6328125" bestFit="1" customWidth="1"/>
    <col min="13" max="13" width="40.08984375" customWidth="1"/>
  </cols>
  <sheetData>
    <row r="1" spans="1:17" ht="13.5" customHeight="1" x14ac:dyDescent="0.25">
      <c r="B1" t="s">
        <v>46</v>
      </c>
      <c r="C1" t="s">
        <v>47</v>
      </c>
      <c r="E1" t="s">
        <v>349</v>
      </c>
      <c r="J1" t="s">
        <v>62</v>
      </c>
      <c r="K1" s="88" t="s">
        <v>61</v>
      </c>
      <c r="L1" s="88"/>
      <c r="M1" s="8" t="s">
        <v>330</v>
      </c>
      <c r="N1" s="9"/>
      <c r="O1" s="9"/>
      <c r="P1" s="9"/>
      <c r="Q1" s="9"/>
    </row>
    <row r="2" spans="1:17" x14ac:dyDescent="0.25">
      <c r="A2" t="s">
        <v>48</v>
      </c>
      <c r="B2" s="7" t="s">
        <v>49</v>
      </c>
      <c r="C2" t="s">
        <v>50</v>
      </c>
      <c r="E2" t="s">
        <v>352</v>
      </c>
      <c r="I2">
        <v>-2</v>
      </c>
      <c r="K2" s="88"/>
      <c r="L2" s="88"/>
      <c r="M2" s="8" t="s">
        <v>331</v>
      </c>
      <c r="N2" s="9"/>
      <c r="O2" s="9"/>
      <c r="P2" s="9"/>
      <c r="Q2" s="9"/>
    </row>
    <row r="3" spans="1:17" x14ac:dyDescent="0.25">
      <c r="B3" s="7" t="s">
        <v>51</v>
      </c>
      <c r="C3" t="s">
        <v>52</v>
      </c>
      <c r="E3" t="s">
        <v>353</v>
      </c>
      <c r="I3">
        <v>-2</v>
      </c>
      <c r="K3" s="88"/>
      <c r="L3" s="88"/>
      <c r="M3" s="8" t="s">
        <v>332</v>
      </c>
      <c r="N3" s="9"/>
      <c r="O3" s="9"/>
      <c r="P3" s="9"/>
      <c r="Q3" s="9"/>
    </row>
    <row r="4" spans="1:17" x14ac:dyDescent="0.25">
      <c r="B4" s="7" t="s">
        <v>53</v>
      </c>
      <c r="C4" t="s">
        <v>54</v>
      </c>
      <c r="E4" t="s">
        <v>354</v>
      </c>
      <c r="I4">
        <v>2</v>
      </c>
      <c r="K4" s="88"/>
      <c r="L4" s="88"/>
      <c r="M4" s="8" t="s">
        <v>333</v>
      </c>
      <c r="N4" s="9"/>
      <c r="O4" s="9"/>
      <c r="P4" s="9"/>
      <c r="Q4" s="9"/>
    </row>
    <row r="5" spans="1:17" x14ac:dyDescent="0.25">
      <c r="B5" s="7" t="s">
        <v>55</v>
      </c>
      <c r="C5" t="s">
        <v>57</v>
      </c>
      <c r="E5" t="s">
        <v>355</v>
      </c>
      <c r="I5">
        <v>1</v>
      </c>
      <c r="K5" s="88"/>
      <c r="L5" s="88"/>
      <c r="M5" s="8" t="s">
        <v>334</v>
      </c>
      <c r="N5" s="9"/>
      <c r="O5" s="9"/>
      <c r="P5" s="9"/>
      <c r="Q5" s="9"/>
    </row>
    <row r="6" spans="1:17" x14ac:dyDescent="0.25">
      <c r="B6" s="7" t="s">
        <v>56</v>
      </c>
      <c r="C6" t="s">
        <v>58</v>
      </c>
      <c r="E6" t="s">
        <v>356</v>
      </c>
      <c r="I6" s="3" t="s">
        <v>357</v>
      </c>
      <c r="K6" s="88"/>
      <c r="L6" s="88"/>
      <c r="M6" s="8" t="s">
        <v>335</v>
      </c>
      <c r="N6" s="9"/>
      <c r="O6" s="9"/>
      <c r="P6" s="9"/>
      <c r="Q6" s="9"/>
    </row>
    <row r="7" spans="1:17" x14ac:dyDescent="0.25">
      <c r="B7" s="7" t="s">
        <v>59</v>
      </c>
      <c r="C7" t="s">
        <v>60</v>
      </c>
      <c r="E7" t="s">
        <v>350</v>
      </c>
      <c r="K7" s="88"/>
      <c r="L7" s="88"/>
      <c r="M7" s="8" t="s">
        <v>336</v>
      </c>
      <c r="N7" s="9"/>
      <c r="O7" s="9"/>
      <c r="P7" s="9"/>
      <c r="Q7" s="9"/>
    </row>
    <row r="8" spans="1:17" x14ac:dyDescent="0.25">
      <c r="A8" t="s">
        <v>304</v>
      </c>
      <c r="B8" s="7" t="s">
        <v>305</v>
      </c>
      <c r="C8" t="s">
        <v>310</v>
      </c>
      <c r="E8" t="s">
        <v>358</v>
      </c>
      <c r="I8">
        <v>-2</v>
      </c>
      <c r="K8" s="88"/>
      <c r="L8" s="88"/>
      <c r="M8" s="8" t="s">
        <v>337</v>
      </c>
      <c r="N8" s="9"/>
      <c r="O8" s="9"/>
      <c r="P8" s="9"/>
      <c r="Q8" s="9"/>
    </row>
    <row r="9" spans="1:17" x14ac:dyDescent="0.25">
      <c r="B9" s="7" t="s">
        <v>306</v>
      </c>
      <c r="C9" t="s">
        <v>311</v>
      </c>
      <c r="E9" t="s">
        <v>359</v>
      </c>
      <c r="I9">
        <v>-1</v>
      </c>
      <c r="K9" s="88"/>
      <c r="L9" s="88"/>
      <c r="M9" s="8" t="s">
        <v>338</v>
      </c>
      <c r="N9" s="9"/>
      <c r="O9" s="9"/>
      <c r="P9" s="9"/>
      <c r="Q9" s="9"/>
    </row>
    <row r="10" spans="1:17" x14ac:dyDescent="0.25">
      <c r="B10" s="7" t="s">
        <v>307</v>
      </c>
      <c r="C10" t="s">
        <v>312</v>
      </c>
      <c r="E10" t="s">
        <v>360</v>
      </c>
      <c r="I10">
        <v>-4</v>
      </c>
      <c r="K10" s="88"/>
      <c r="L10" s="88"/>
      <c r="M10" s="8" t="s">
        <v>339</v>
      </c>
    </row>
    <row r="11" spans="1:17" x14ac:dyDescent="0.25">
      <c r="B11" s="7" t="s">
        <v>308</v>
      </c>
      <c r="C11" t="s">
        <v>315</v>
      </c>
      <c r="E11" t="s">
        <v>361</v>
      </c>
      <c r="I11">
        <v>-2</v>
      </c>
      <c r="K11" s="88"/>
      <c r="L11" s="88"/>
      <c r="M11" s="8" t="s">
        <v>340</v>
      </c>
    </row>
    <row r="12" spans="1:17" x14ac:dyDescent="0.25">
      <c r="B12" s="7" t="s">
        <v>309</v>
      </c>
      <c r="C12" t="s">
        <v>316</v>
      </c>
      <c r="E12" t="s">
        <v>365</v>
      </c>
      <c r="I12">
        <v>2</v>
      </c>
      <c r="K12" s="88"/>
      <c r="L12" s="88"/>
      <c r="M12" s="8" t="s">
        <v>341</v>
      </c>
    </row>
    <row r="13" spans="1:17" x14ac:dyDescent="0.25">
      <c r="A13" t="s">
        <v>317</v>
      </c>
      <c r="B13" s="7" t="s">
        <v>318</v>
      </c>
      <c r="C13" t="s">
        <v>313</v>
      </c>
      <c r="E13" t="s">
        <v>366</v>
      </c>
      <c r="I13">
        <v>2</v>
      </c>
      <c r="K13" s="88"/>
      <c r="L13" s="88"/>
      <c r="M13" s="8" t="s">
        <v>342</v>
      </c>
    </row>
    <row r="14" spans="1:17" x14ac:dyDescent="0.25">
      <c r="B14" s="7" t="s">
        <v>319</v>
      </c>
      <c r="C14" t="s">
        <v>314</v>
      </c>
      <c r="E14" t="s">
        <v>351</v>
      </c>
      <c r="K14" s="88"/>
      <c r="L14" s="88"/>
      <c r="M14" s="8" t="s">
        <v>343</v>
      </c>
    </row>
    <row r="15" spans="1:17" ht="13.5" customHeight="1" x14ac:dyDescent="0.25">
      <c r="B15" s="7" t="s">
        <v>320</v>
      </c>
      <c r="C15" t="s">
        <v>323</v>
      </c>
      <c r="E15" t="s">
        <v>364</v>
      </c>
      <c r="I15">
        <v>-1</v>
      </c>
      <c r="K15" s="88"/>
      <c r="L15" s="88"/>
      <c r="M15" s="8" t="s">
        <v>344</v>
      </c>
    </row>
    <row r="16" spans="1:17" x14ac:dyDescent="0.25">
      <c r="B16" s="7" t="s">
        <v>321</v>
      </c>
      <c r="C16" t="s">
        <v>324</v>
      </c>
      <c r="E16" t="s">
        <v>363</v>
      </c>
      <c r="I16">
        <v>-2</v>
      </c>
      <c r="K16" s="88"/>
      <c r="L16" s="88"/>
      <c r="M16" s="8" t="s">
        <v>345</v>
      </c>
    </row>
    <row r="17" spans="1:13" x14ac:dyDescent="0.25">
      <c r="B17" s="7" t="s">
        <v>322</v>
      </c>
      <c r="C17" t="s">
        <v>325</v>
      </c>
      <c r="E17" t="s">
        <v>362</v>
      </c>
      <c r="I17">
        <v>2</v>
      </c>
      <c r="K17" s="88"/>
      <c r="L17" s="88"/>
      <c r="M17" s="8" t="s">
        <v>346</v>
      </c>
    </row>
    <row r="18" spans="1:13" x14ac:dyDescent="0.25">
      <c r="A18" t="s">
        <v>326</v>
      </c>
      <c r="B18" s="7" t="s">
        <v>327</v>
      </c>
      <c r="C18" t="s">
        <v>328</v>
      </c>
      <c r="K18" s="88"/>
      <c r="L18" s="88"/>
      <c r="M18" s="8" t="s">
        <v>347</v>
      </c>
    </row>
    <row r="19" spans="1:13" x14ac:dyDescent="0.25">
      <c r="B19" s="2">
        <v>100</v>
      </c>
      <c r="C19" t="s">
        <v>329</v>
      </c>
      <c r="K19" s="88"/>
      <c r="L19" s="88"/>
      <c r="M19" s="8" t="s">
        <v>348</v>
      </c>
    </row>
    <row r="20" spans="1:13" x14ac:dyDescent="0.25">
      <c r="B20" s="7"/>
      <c r="K20" s="88"/>
      <c r="L20" s="88"/>
      <c r="M20" s="8"/>
    </row>
    <row r="21" spans="1:13" x14ac:dyDescent="0.25">
      <c r="B21" s="7"/>
      <c r="K21" s="88"/>
      <c r="L21" s="88"/>
      <c r="M21" s="8"/>
    </row>
    <row r="22" spans="1:13" x14ac:dyDescent="0.25">
      <c r="A22" s="81" t="s">
        <v>368</v>
      </c>
      <c r="B22" s="81"/>
      <c r="C22" t="s">
        <v>377</v>
      </c>
      <c r="K22" s="88"/>
      <c r="L22" s="88"/>
      <c r="M22" s="8"/>
    </row>
    <row r="23" spans="1:13" x14ac:dyDescent="0.25">
      <c r="A23" s="89" t="s">
        <v>369</v>
      </c>
      <c r="B23" s="89"/>
      <c r="C23" t="s">
        <v>378</v>
      </c>
      <c r="K23" s="88"/>
      <c r="L23" s="88"/>
      <c r="M23" s="8"/>
    </row>
    <row r="24" spans="1:13" x14ac:dyDescent="0.25">
      <c r="A24" s="89" t="s">
        <v>370</v>
      </c>
      <c r="B24" s="89"/>
      <c r="C24" t="s">
        <v>379</v>
      </c>
      <c r="K24" s="88"/>
      <c r="L24" s="88"/>
      <c r="M24" s="8"/>
    </row>
    <row r="25" spans="1:13" x14ac:dyDescent="0.25">
      <c r="A25" s="89" t="s">
        <v>367</v>
      </c>
      <c r="B25" s="89"/>
      <c r="K25" s="88"/>
      <c r="L25" s="88"/>
      <c r="M25" s="8"/>
    </row>
    <row r="26" spans="1:13" x14ac:dyDescent="0.25">
      <c r="A26" s="89" t="s">
        <v>371</v>
      </c>
      <c r="B26" s="89"/>
      <c r="C26" t="s">
        <v>380</v>
      </c>
      <c r="K26" s="8"/>
      <c r="L26" s="8"/>
      <c r="M26" s="8"/>
    </row>
    <row r="27" spans="1:13" x14ac:dyDescent="0.25">
      <c r="A27" s="89" t="s">
        <v>372</v>
      </c>
      <c r="B27" s="89"/>
      <c r="C27" t="s">
        <v>381</v>
      </c>
      <c r="K27" s="8"/>
      <c r="L27" s="8"/>
      <c r="M27" s="8"/>
    </row>
    <row r="28" spans="1:13" x14ac:dyDescent="0.25">
      <c r="A28" s="89" t="s">
        <v>373</v>
      </c>
      <c r="B28" s="89"/>
      <c r="C28" t="s">
        <v>382</v>
      </c>
      <c r="K28" s="8"/>
      <c r="L28" s="8"/>
      <c r="M28" s="8"/>
    </row>
    <row r="29" spans="1:13" x14ac:dyDescent="0.25">
      <c r="A29" s="89" t="s">
        <v>374</v>
      </c>
      <c r="B29" s="89"/>
      <c r="C29" t="s">
        <v>383</v>
      </c>
    </row>
    <row r="30" spans="1:13" x14ac:dyDescent="0.25">
      <c r="A30" s="89" t="s">
        <v>375</v>
      </c>
      <c r="B30" s="89"/>
      <c r="C30" t="s">
        <v>384</v>
      </c>
    </row>
    <row r="31" spans="1:13" x14ac:dyDescent="0.25">
      <c r="A31" s="89" t="s">
        <v>376</v>
      </c>
      <c r="B31" s="89"/>
      <c r="C31" t="s">
        <v>385</v>
      </c>
    </row>
  </sheetData>
  <mergeCells count="11">
    <mergeCell ref="A31:B31"/>
    <mergeCell ref="A26:B26"/>
    <mergeCell ref="A27:B27"/>
    <mergeCell ref="A28:B28"/>
    <mergeCell ref="A29:B29"/>
    <mergeCell ref="A30:B30"/>
    <mergeCell ref="K1:L25"/>
    <mergeCell ref="A22:B22"/>
    <mergeCell ref="A23:B23"/>
    <mergeCell ref="A24:B24"/>
    <mergeCell ref="A25:B25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K35"/>
  <sheetViews>
    <sheetView workbookViewId="0">
      <selection activeCell="G23" sqref="G23"/>
    </sheetView>
  </sheetViews>
  <sheetFormatPr defaultRowHeight="14" x14ac:dyDescent="0.25"/>
  <cols>
    <col min="3" max="3" width="18.36328125" bestFit="1" customWidth="1"/>
    <col min="4" max="4" width="23.90625" bestFit="1" customWidth="1"/>
    <col min="5" max="5" width="23.90625" customWidth="1"/>
    <col min="11" max="11" width="53.90625" bestFit="1" customWidth="1"/>
  </cols>
  <sheetData>
    <row r="1" spans="2:11" ht="15" x14ac:dyDescent="0.25">
      <c r="B1" s="69" t="s">
        <v>630</v>
      </c>
      <c r="C1" s="28" t="s">
        <v>631</v>
      </c>
      <c r="D1" s="71" t="s">
        <v>632</v>
      </c>
      <c r="E1" s="71" t="s">
        <v>679</v>
      </c>
      <c r="F1" t="s">
        <v>659</v>
      </c>
      <c r="G1" t="s">
        <v>660</v>
      </c>
      <c r="H1" t="s">
        <v>680</v>
      </c>
      <c r="I1" s="71" t="s">
        <v>661</v>
      </c>
      <c r="J1" s="71" t="s">
        <v>662</v>
      </c>
      <c r="K1" s="71" t="s">
        <v>665</v>
      </c>
    </row>
    <row r="2" spans="2:11" ht="15" x14ac:dyDescent="0.25">
      <c r="B2" s="71" t="s">
        <v>563</v>
      </c>
      <c r="C2" s="71" t="s">
        <v>596</v>
      </c>
      <c r="D2" s="71" t="s">
        <v>633</v>
      </c>
      <c r="E2" s="71">
        <v>0.1</v>
      </c>
      <c r="I2" s="71" t="s">
        <v>663</v>
      </c>
      <c r="J2" s="71" t="s">
        <v>663</v>
      </c>
      <c r="K2" s="73" t="s">
        <v>666</v>
      </c>
    </row>
    <row r="3" spans="2:11" ht="15" x14ac:dyDescent="0.25">
      <c r="B3" s="71" t="s">
        <v>564</v>
      </c>
      <c r="C3" s="71" t="s">
        <v>597</v>
      </c>
      <c r="D3" s="71" t="s">
        <v>634</v>
      </c>
      <c r="E3" s="71">
        <v>0.2</v>
      </c>
      <c r="I3" s="71" t="s">
        <v>663</v>
      </c>
      <c r="J3" s="71" t="s">
        <v>663</v>
      </c>
      <c r="K3" s="72"/>
    </row>
    <row r="4" spans="2:11" ht="15" x14ac:dyDescent="0.25">
      <c r="B4" s="71" t="s">
        <v>565</v>
      </c>
      <c r="C4" s="71" t="s">
        <v>598</v>
      </c>
      <c r="D4" s="71" t="s">
        <v>635</v>
      </c>
      <c r="E4" s="71">
        <v>0.4</v>
      </c>
      <c r="I4" s="71" t="s">
        <v>663</v>
      </c>
      <c r="J4" s="71" t="s">
        <v>663</v>
      </c>
      <c r="K4" s="73" t="s">
        <v>667</v>
      </c>
    </row>
    <row r="5" spans="2:11" ht="15" x14ac:dyDescent="0.25">
      <c r="B5" s="71" t="s">
        <v>566</v>
      </c>
      <c r="C5" s="71" t="s">
        <v>599</v>
      </c>
      <c r="D5" s="71" t="s">
        <v>636</v>
      </c>
      <c r="E5" s="71">
        <v>0.4</v>
      </c>
      <c r="I5" s="71" t="s">
        <v>663</v>
      </c>
      <c r="J5" s="71" t="s">
        <v>663</v>
      </c>
      <c r="K5" s="73" t="s">
        <v>668</v>
      </c>
    </row>
    <row r="6" spans="2:11" ht="15" x14ac:dyDescent="0.25">
      <c r="B6" s="71" t="s">
        <v>567</v>
      </c>
      <c r="C6" s="71" t="s">
        <v>600</v>
      </c>
      <c r="D6" s="71" t="s">
        <v>637</v>
      </c>
      <c r="E6" s="71">
        <v>0.4</v>
      </c>
      <c r="I6" s="71" t="s">
        <v>663</v>
      </c>
      <c r="J6" s="71" t="s">
        <v>664</v>
      </c>
      <c r="K6" s="73" t="s">
        <v>669</v>
      </c>
    </row>
    <row r="7" spans="2:11" ht="15" x14ac:dyDescent="0.25">
      <c r="B7" s="71" t="s">
        <v>568</v>
      </c>
      <c r="C7" s="71" t="s">
        <v>601</v>
      </c>
      <c r="D7" s="71" t="s">
        <v>638</v>
      </c>
      <c r="E7" s="71">
        <v>0.45</v>
      </c>
      <c r="I7" s="71" t="s">
        <v>664</v>
      </c>
      <c r="J7" s="71" t="s">
        <v>663</v>
      </c>
      <c r="K7" s="73" t="s">
        <v>682</v>
      </c>
    </row>
    <row r="8" spans="2:11" ht="15" x14ac:dyDescent="0.25">
      <c r="B8" s="71" t="s">
        <v>569</v>
      </c>
      <c r="C8" s="71" t="s">
        <v>602</v>
      </c>
      <c r="D8" s="71" t="s">
        <v>639</v>
      </c>
      <c r="E8" s="71">
        <v>0.5</v>
      </c>
      <c r="I8" s="71" t="s">
        <v>663</v>
      </c>
      <c r="J8" s="71" t="s">
        <v>663</v>
      </c>
      <c r="K8" s="73" t="s">
        <v>681</v>
      </c>
    </row>
    <row r="9" spans="2:11" ht="15" x14ac:dyDescent="0.25">
      <c r="B9" s="71" t="s">
        <v>570</v>
      </c>
      <c r="C9" s="71" t="s">
        <v>603</v>
      </c>
      <c r="D9" s="71" t="s">
        <v>633</v>
      </c>
      <c r="E9" s="71">
        <v>0.7</v>
      </c>
      <c r="I9" s="71" t="s">
        <v>663</v>
      </c>
      <c r="J9" s="71" t="s">
        <v>663</v>
      </c>
      <c r="K9" s="74"/>
    </row>
    <row r="10" spans="2:11" ht="15" x14ac:dyDescent="0.25">
      <c r="B10" s="71" t="s">
        <v>571</v>
      </c>
      <c r="C10" s="71" t="s">
        <v>604</v>
      </c>
      <c r="D10" s="71" t="s">
        <v>640</v>
      </c>
      <c r="E10" s="71">
        <v>0.8</v>
      </c>
      <c r="I10" s="71" t="s">
        <v>664</v>
      </c>
      <c r="J10" s="71" t="s">
        <v>664</v>
      </c>
      <c r="K10" s="73" t="s">
        <v>670</v>
      </c>
    </row>
    <row r="11" spans="2:11" ht="15" x14ac:dyDescent="0.25">
      <c r="B11" s="71" t="s">
        <v>572</v>
      </c>
      <c r="C11" s="71" t="s">
        <v>605</v>
      </c>
      <c r="D11" s="71" t="s">
        <v>641</v>
      </c>
      <c r="E11" s="71">
        <v>1</v>
      </c>
      <c r="I11" s="71" t="s">
        <v>663</v>
      </c>
      <c r="J11" s="71" t="s">
        <v>663</v>
      </c>
      <c r="K11" s="73" t="s">
        <v>671</v>
      </c>
    </row>
    <row r="12" spans="2:11" ht="15" x14ac:dyDescent="0.25">
      <c r="B12" s="71" t="s">
        <v>573</v>
      </c>
      <c r="C12" s="71" t="s">
        <v>606</v>
      </c>
      <c r="D12" s="71" t="s">
        <v>634</v>
      </c>
      <c r="E12" s="71">
        <v>1</v>
      </c>
      <c r="I12" s="71" t="s">
        <v>663</v>
      </c>
      <c r="J12" s="71" t="s">
        <v>663</v>
      </c>
      <c r="K12" s="72"/>
    </row>
    <row r="13" spans="2:11" ht="15" x14ac:dyDescent="0.25">
      <c r="B13" s="71" t="s">
        <v>574</v>
      </c>
      <c r="C13" s="71" t="s">
        <v>607</v>
      </c>
      <c r="D13" s="71" t="s">
        <v>642</v>
      </c>
      <c r="E13" s="71">
        <v>1.2</v>
      </c>
      <c r="I13" s="71" t="s">
        <v>664</v>
      </c>
      <c r="J13" s="71" t="s">
        <v>663</v>
      </c>
      <c r="K13" s="73" t="s">
        <v>672</v>
      </c>
    </row>
    <row r="14" spans="2:11" ht="15" x14ac:dyDescent="0.25">
      <c r="B14" s="71" t="s">
        <v>575</v>
      </c>
      <c r="C14" s="71" t="s">
        <v>608</v>
      </c>
      <c r="D14" s="71" t="s">
        <v>643</v>
      </c>
      <c r="E14" s="71">
        <v>1.6</v>
      </c>
      <c r="I14" s="71" t="s">
        <v>663</v>
      </c>
      <c r="J14" s="71" t="s">
        <v>663</v>
      </c>
      <c r="K14" s="73" t="s">
        <v>673</v>
      </c>
    </row>
    <row r="15" spans="2:11" ht="15" x14ac:dyDescent="0.25">
      <c r="B15" s="71" t="s">
        <v>576</v>
      </c>
      <c r="C15" s="71" t="s">
        <v>609</v>
      </c>
      <c r="D15" s="71" t="s">
        <v>644</v>
      </c>
      <c r="E15" s="71">
        <v>1.8</v>
      </c>
      <c r="I15" s="71" t="s">
        <v>664</v>
      </c>
      <c r="J15" s="71" t="s">
        <v>663</v>
      </c>
      <c r="K15" s="75"/>
    </row>
    <row r="16" spans="2:11" ht="15" x14ac:dyDescent="0.25">
      <c r="B16" s="71" t="s">
        <v>577</v>
      </c>
      <c r="C16" s="71" t="s">
        <v>610</v>
      </c>
      <c r="D16" s="71" t="s">
        <v>645</v>
      </c>
      <c r="E16" s="71">
        <v>1.8</v>
      </c>
      <c r="I16" s="71" t="s">
        <v>663</v>
      </c>
      <c r="J16" s="71" t="s">
        <v>663</v>
      </c>
      <c r="K16" s="72"/>
    </row>
    <row r="17" spans="2:11" ht="15" x14ac:dyDescent="0.25">
      <c r="B17" s="71" t="s">
        <v>578</v>
      </c>
      <c r="C17" s="71" t="s">
        <v>611</v>
      </c>
      <c r="D17" s="71" t="s">
        <v>646</v>
      </c>
      <c r="E17" s="71">
        <v>1.8</v>
      </c>
      <c r="I17" s="71" t="s">
        <v>663</v>
      </c>
      <c r="J17" s="71" t="s">
        <v>663</v>
      </c>
      <c r="K17" s="72"/>
    </row>
    <row r="18" spans="2:11" ht="15" x14ac:dyDescent="0.25">
      <c r="B18" s="71" t="s">
        <v>579</v>
      </c>
      <c r="C18" s="71" t="s">
        <v>612</v>
      </c>
      <c r="D18" s="71" t="s">
        <v>647</v>
      </c>
      <c r="E18" s="71">
        <v>2</v>
      </c>
      <c r="I18" s="71" t="s">
        <v>663</v>
      </c>
      <c r="J18" s="71" t="s">
        <v>663</v>
      </c>
      <c r="K18" s="72"/>
    </row>
    <row r="19" spans="2:11" ht="15" x14ac:dyDescent="0.25">
      <c r="B19" s="71" t="s">
        <v>580</v>
      </c>
      <c r="C19" s="71" t="s">
        <v>613</v>
      </c>
      <c r="D19" s="71" t="s">
        <v>648</v>
      </c>
      <c r="E19" s="71">
        <v>2</v>
      </c>
      <c r="I19" s="71" t="s">
        <v>663</v>
      </c>
      <c r="J19" s="71" t="s">
        <v>663</v>
      </c>
      <c r="K19" s="72"/>
    </row>
    <row r="20" spans="2:11" ht="15" x14ac:dyDescent="0.25">
      <c r="B20" s="71" t="s">
        <v>581</v>
      </c>
      <c r="C20" s="71" t="s">
        <v>614</v>
      </c>
      <c r="D20" s="71" t="s">
        <v>649</v>
      </c>
      <c r="E20" s="71">
        <v>2</v>
      </c>
      <c r="I20" s="71" t="s">
        <v>664</v>
      </c>
      <c r="J20" s="71" t="s">
        <v>663</v>
      </c>
      <c r="K20" s="74"/>
    </row>
    <row r="21" spans="2:11" ht="15" x14ac:dyDescent="0.25">
      <c r="B21" s="71" t="s">
        <v>582</v>
      </c>
      <c r="C21" s="71" t="s">
        <v>615</v>
      </c>
      <c r="D21" s="71" t="s">
        <v>650</v>
      </c>
      <c r="E21" s="71">
        <v>2</v>
      </c>
      <c r="I21" s="71" t="s">
        <v>664</v>
      </c>
      <c r="J21" s="71" t="s">
        <v>663</v>
      </c>
      <c r="K21" s="72"/>
    </row>
    <row r="22" spans="2:11" ht="15" x14ac:dyDescent="0.25">
      <c r="B22" s="71" t="s">
        <v>583</v>
      </c>
      <c r="C22" s="71" t="s">
        <v>616</v>
      </c>
      <c r="D22" s="71" t="s">
        <v>651</v>
      </c>
      <c r="E22" s="71">
        <v>2.2000000000000002</v>
      </c>
      <c r="I22" s="71" t="s">
        <v>664</v>
      </c>
      <c r="J22" s="71" t="s">
        <v>664</v>
      </c>
      <c r="K22" s="73" t="s">
        <v>683</v>
      </c>
    </row>
    <row r="23" spans="2:11" ht="15" x14ac:dyDescent="0.25">
      <c r="B23" s="71" t="s">
        <v>584</v>
      </c>
      <c r="C23" s="71" t="s">
        <v>617</v>
      </c>
      <c r="D23" s="71" t="s">
        <v>650</v>
      </c>
      <c r="E23" s="71">
        <v>2.2999999999999998</v>
      </c>
      <c r="I23" s="71" t="s">
        <v>664</v>
      </c>
      <c r="J23" s="71" t="s">
        <v>663</v>
      </c>
      <c r="K23" s="72"/>
    </row>
    <row r="24" spans="2:11" ht="15" x14ac:dyDescent="0.25">
      <c r="B24" s="71" t="s">
        <v>585</v>
      </c>
      <c r="C24" s="71" t="s">
        <v>618</v>
      </c>
      <c r="D24" s="71" t="s">
        <v>652</v>
      </c>
      <c r="E24" s="71">
        <v>2.4</v>
      </c>
      <c r="I24" s="71" t="s">
        <v>664</v>
      </c>
      <c r="J24" s="71" t="s">
        <v>664</v>
      </c>
      <c r="K24" s="72"/>
    </row>
    <row r="25" spans="2:11" ht="15" x14ac:dyDescent="0.25">
      <c r="B25" s="71" t="s">
        <v>586</v>
      </c>
      <c r="C25" s="71" t="s">
        <v>619</v>
      </c>
      <c r="D25" s="71" t="s">
        <v>653</v>
      </c>
      <c r="E25" s="71">
        <v>2.4</v>
      </c>
      <c r="I25" s="71" t="s">
        <v>663</v>
      </c>
      <c r="J25" s="71" t="s">
        <v>663</v>
      </c>
      <c r="K25" s="72"/>
    </row>
    <row r="26" spans="2:11" ht="15" x14ac:dyDescent="0.25">
      <c r="B26" s="71" t="s">
        <v>587</v>
      </c>
      <c r="C26" s="71" t="s">
        <v>620</v>
      </c>
      <c r="D26" s="71" t="s">
        <v>654</v>
      </c>
      <c r="E26" s="71">
        <v>2.4</v>
      </c>
      <c r="I26" s="71" t="s">
        <v>663</v>
      </c>
      <c r="J26" s="71" t="s">
        <v>663</v>
      </c>
      <c r="K26" s="73" t="s">
        <v>675</v>
      </c>
    </row>
    <row r="27" spans="2:11" ht="15" x14ac:dyDescent="0.25">
      <c r="B27" s="71" t="s">
        <v>588</v>
      </c>
      <c r="C27" s="71" t="s">
        <v>621</v>
      </c>
      <c r="D27" s="71" t="s">
        <v>655</v>
      </c>
      <c r="E27" s="71">
        <v>2.5</v>
      </c>
      <c r="I27" s="71" t="s">
        <v>664</v>
      </c>
      <c r="J27" s="71" t="s">
        <v>664</v>
      </c>
      <c r="K27" s="73" t="s">
        <v>676</v>
      </c>
    </row>
    <row r="28" spans="2:11" ht="15" x14ac:dyDescent="0.25">
      <c r="B28" s="71" t="s">
        <v>589</v>
      </c>
      <c r="C28" s="71" t="s">
        <v>622</v>
      </c>
      <c r="D28" s="71" t="s">
        <v>656</v>
      </c>
      <c r="E28" s="71">
        <v>2.6</v>
      </c>
      <c r="I28" s="71" t="s">
        <v>664</v>
      </c>
      <c r="J28" s="71" t="s">
        <v>663</v>
      </c>
      <c r="K28" s="73" t="s">
        <v>677</v>
      </c>
    </row>
    <row r="29" spans="2:11" ht="15" x14ac:dyDescent="0.25">
      <c r="B29" s="71" t="s">
        <v>254</v>
      </c>
      <c r="C29" s="71" t="s">
        <v>623</v>
      </c>
      <c r="D29" s="71" t="s">
        <v>634</v>
      </c>
      <c r="E29" s="71">
        <v>2.7</v>
      </c>
      <c r="I29" s="71" t="s">
        <v>664</v>
      </c>
      <c r="J29" s="71" t="s">
        <v>663</v>
      </c>
      <c r="K29" s="74" t="s">
        <v>674</v>
      </c>
    </row>
    <row r="30" spans="2:11" ht="15" x14ac:dyDescent="0.25">
      <c r="B30" s="71" t="s">
        <v>590</v>
      </c>
      <c r="C30" s="71" t="s">
        <v>624</v>
      </c>
      <c r="D30" s="71" t="s">
        <v>657</v>
      </c>
      <c r="E30" s="71">
        <v>2.8</v>
      </c>
      <c r="I30" s="71" t="s">
        <v>664</v>
      </c>
      <c r="J30" s="71" t="s">
        <v>663</v>
      </c>
      <c r="K30" s="72"/>
    </row>
    <row r="31" spans="2:11" ht="15" x14ac:dyDescent="0.25">
      <c r="B31" s="71" t="s">
        <v>591</v>
      </c>
      <c r="C31" s="71" t="s">
        <v>625</v>
      </c>
      <c r="D31" s="71" t="s">
        <v>649</v>
      </c>
      <c r="E31" s="71">
        <v>3</v>
      </c>
      <c r="I31" s="71" t="s">
        <v>664</v>
      </c>
      <c r="J31" s="71" t="s">
        <v>663</v>
      </c>
      <c r="K31" s="74"/>
    </row>
    <row r="32" spans="2:11" ht="15" x14ac:dyDescent="0.25">
      <c r="B32" s="71" t="s">
        <v>592</v>
      </c>
      <c r="C32" s="71" t="s">
        <v>626</v>
      </c>
      <c r="D32" s="71" t="s">
        <v>634</v>
      </c>
      <c r="E32" s="71">
        <v>3</v>
      </c>
      <c r="I32" s="71" t="s">
        <v>663</v>
      </c>
      <c r="J32" s="71" t="s">
        <v>664</v>
      </c>
      <c r="K32" s="73" t="s">
        <v>678</v>
      </c>
    </row>
    <row r="33" spans="2:11" ht="15" x14ac:dyDescent="0.25">
      <c r="B33" s="71" t="s">
        <v>593</v>
      </c>
      <c r="C33" s="71" t="s">
        <v>627</v>
      </c>
      <c r="D33" s="71" t="s">
        <v>634</v>
      </c>
      <c r="E33" s="71">
        <v>3.2</v>
      </c>
      <c r="I33" s="71" t="s">
        <v>663</v>
      </c>
      <c r="J33" s="71" t="s">
        <v>663</v>
      </c>
      <c r="K33" s="74"/>
    </row>
    <row r="34" spans="2:11" ht="15" x14ac:dyDescent="0.25">
      <c r="B34" s="71" t="s">
        <v>594</v>
      </c>
      <c r="C34" s="71" t="s">
        <v>628</v>
      </c>
      <c r="D34" s="71" t="s">
        <v>646</v>
      </c>
      <c r="E34" s="71">
        <v>3.3</v>
      </c>
      <c r="I34" s="71" t="s">
        <v>663</v>
      </c>
      <c r="J34" s="71" t="s">
        <v>663</v>
      </c>
      <c r="K34" s="73" t="s">
        <v>684</v>
      </c>
    </row>
    <row r="35" spans="2:11" ht="15" x14ac:dyDescent="0.25">
      <c r="B35" s="71" t="s">
        <v>595</v>
      </c>
      <c r="C35" s="71" t="s">
        <v>629</v>
      </c>
      <c r="D35" s="71" t="s">
        <v>658</v>
      </c>
      <c r="E35" s="71">
        <v>3.6</v>
      </c>
      <c r="I35" s="71" t="s">
        <v>664</v>
      </c>
      <c r="J35" s="71" t="s">
        <v>664</v>
      </c>
      <c r="K35" s="73" t="s">
        <v>685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6"/>
  <sheetViews>
    <sheetView topLeftCell="A4" workbookViewId="0">
      <selection activeCell="B11" sqref="B11"/>
    </sheetView>
  </sheetViews>
  <sheetFormatPr defaultRowHeight="14" x14ac:dyDescent="0.25"/>
  <cols>
    <col min="4" max="4" width="9.26953125" bestFit="1" customWidth="1"/>
  </cols>
  <sheetData>
    <row r="1" spans="1:20" x14ac:dyDescent="0.25">
      <c r="B1" t="s">
        <v>139</v>
      </c>
      <c r="C1" t="s">
        <v>141</v>
      </c>
      <c r="D1" t="s">
        <v>142</v>
      </c>
      <c r="E1" t="s">
        <v>210</v>
      </c>
      <c r="F1" t="s">
        <v>204</v>
      </c>
      <c r="G1" t="s">
        <v>205</v>
      </c>
    </row>
    <row r="2" spans="1:20" x14ac:dyDescent="0.25">
      <c r="A2" t="s">
        <v>211</v>
      </c>
      <c r="B2" t="s">
        <v>140</v>
      </c>
      <c r="C2">
        <f>主角属性!J11</f>
        <v>18</v>
      </c>
      <c r="D2" s="31">
        <f>VLOOKUP(E2,怪物属性!$A$2:$R$100,11)</f>
        <v>12</v>
      </c>
      <c r="E2">
        <v>1</v>
      </c>
      <c r="F2">
        <v>6</v>
      </c>
      <c r="G2">
        <f>VLOOKUP(E2,怪物属性!$A$2:$R$100,18)</f>
        <v>100</v>
      </c>
      <c r="H2">
        <f>G2*F2</f>
        <v>600</v>
      </c>
      <c r="K2" t="str">
        <f>VLOOKUP(E2,怪物属性!$A$2:$Q$100,2)</f>
        <v>豺狼人</v>
      </c>
    </row>
    <row r="3" spans="1:20" x14ac:dyDescent="0.25">
      <c r="B3" t="str">
        <f>IF(C2&gt;D2,"我先攻","敌方先攻")</f>
        <v>我先攻</v>
      </c>
      <c r="E3">
        <v>1</v>
      </c>
      <c r="F3">
        <v>15</v>
      </c>
      <c r="G3">
        <f>VLOOKUP(E3,怪物属性!$A$2:$R$100,18)</f>
        <v>100</v>
      </c>
      <c r="H3">
        <f>G3*F3</f>
        <v>1500</v>
      </c>
      <c r="J3" t="s">
        <v>214</v>
      </c>
      <c r="K3" t="s">
        <v>215</v>
      </c>
      <c r="L3" t="s">
        <v>430</v>
      </c>
      <c r="M3" t="s">
        <v>431</v>
      </c>
      <c r="N3" t="s">
        <v>432</v>
      </c>
    </row>
    <row r="4" spans="1:20" x14ac:dyDescent="0.25">
      <c r="C4" s="21"/>
      <c r="H4">
        <f>H2+H3</f>
        <v>2100</v>
      </c>
      <c r="I4" t="s">
        <v>213</v>
      </c>
      <c r="J4">
        <v>0</v>
      </c>
      <c r="K4">
        <v>40</v>
      </c>
      <c r="L4">
        <v>10</v>
      </c>
      <c r="M4">
        <v>20</v>
      </c>
      <c r="N4">
        <v>0</v>
      </c>
    </row>
    <row r="5" spans="1:20" x14ac:dyDescent="0.25">
      <c r="B5" t="s">
        <v>143</v>
      </c>
      <c r="C5" s="32">
        <f>主角属性!I4-0.1</f>
        <v>0.62</v>
      </c>
      <c r="D5" s="33">
        <v>0.3</v>
      </c>
      <c r="I5" t="s">
        <v>433</v>
      </c>
      <c r="K5">
        <v>30</v>
      </c>
      <c r="L5">
        <v>30</v>
      </c>
      <c r="M5">
        <v>30</v>
      </c>
      <c r="N5">
        <v>30</v>
      </c>
    </row>
    <row r="6" spans="1:20" x14ac:dyDescent="0.25">
      <c r="B6" t="s">
        <v>144</v>
      </c>
      <c r="C6" s="32">
        <f>主角属性!Q2+0.1</f>
        <v>0.57999999999999996</v>
      </c>
      <c r="D6" s="32">
        <f>VLOOKUP(E2,怪物属性!$A$2:$R$100,17)/10</f>
        <v>0.12</v>
      </c>
      <c r="E6" t="s">
        <v>511</v>
      </c>
    </row>
    <row r="7" spans="1:20" x14ac:dyDescent="0.25">
      <c r="B7" t="s">
        <v>145</v>
      </c>
      <c r="C7" s="32" t="str">
        <f>IF(C5/2&gt;D6,"必定命中",C5/2/D6)</f>
        <v>必定命中</v>
      </c>
      <c r="D7" s="32">
        <f>IF(D5/2&gt;C6,"必定命中",D5/2/C6)</f>
        <v>0.25862068965517243</v>
      </c>
      <c r="E7" t="s">
        <v>212</v>
      </c>
      <c r="M7" t="s">
        <v>198</v>
      </c>
      <c r="N7" t="s">
        <v>199</v>
      </c>
      <c r="Q7" t="s">
        <v>725</v>
      </c>
      <c r="R7" t="s">
        <v>728</v>
      </c>
      <c r="S7" t="s">
        <v>729</v>
      </c>
      <c r="T7" t="s">
        <v>730</v>
      </c>
    </row>
    <row r="8" spans="1:20" x14ac:dyDescent="0.25">
      <c r="A8" t="s">
        <v>183</v>
      </c>
      <c r="B8" t="s">
        <v>180</v>
      </c>
      <c r="C8" t="s">
        <v>181</v>
      </c>
      <c r="D8" t="s">
        <v>95</v>
      </c>
      <c r="E8" t="s">
        <v>182</v>
      </c>
      <c r="F8" t="s">
        <v>184</v>
      </c>
      <c r="G8" t="s">
        <v>185</v>
      </c>
      <c r="H8" t="s">
        <v>186</v>
      </c>
      <c r="I8" t="s">
        <v>187</v>
      </c>
      <c r="K8" s="33"/>
      <c r="L8" t="s">
        <v>188</v>
      </c>
      <c r="Q8" t="s">
        <v>726</v>
      </c>
      <c r="R8">
        <f>主角属性!K41</f>
        <v>0</v>
      </c>
      <c r="S8" s="32">
        <f>主角属性!D1/100</f>
        <v>1</v>
      </c>
      <c r="T8">
        <f>主角属性!E2</f>
        <v>12</v>
      </c>
    </row>
    <row r="9" spans="1:20" x14ac:dyDescent="0.25">
      <c r="C9">
        <f>武器!I18</f>
        <v>14</v>
      </c>
      <c r="D9">
        <f>武器!F8</f>
        <v>3</v>
      </c>
      <c r="E9">
        <v>5</v>
      </c>
      <c r="F9">
        <v>1.75</v>
      </c>
      <c r="G9">
        <v>0.5</v>
      </c>
      <c r="H9">
        <v>0</v>
      </c>
      <c r="I9">
        <v>0</v>
      </c>
      <c r="K9" s="33"/>
      <c r="L9" s="21">
        <f>SUM((C9+D9)*E9)*F9*(1+G9)+H9+I9</f>
        <v>223.125</v>
      </c>
      <c r="M9">
        <f>VLOOKUP(E2,怪物属性!$A$2:$R$100,7)</f>
        <v>15</v>
      </c>
      <c r="N9">
        <v>11</v>
      </c>
      <c r="O9" s="21">
        <f>+CEILING(N9+M9-L9,1)</f>
        <v>-197</v>
      </c>
      <c r="Q9" t="s">
        <v>727</v>
      </c>
      <c r="R9">
        <v>0</v>
      </c>
      <c r="S9" s="32">
        <f>T9/主角属性!G1</f>
        <v>1</v>
      </c>
      <c r="T9">
        <f>主角属性!$G$1-$R$9</f>
        <v>325</v>
      </c>
    </row>
    <row r="10" spans="1:20" x14ac:dyDescent="0.25">
      <c r="C10">
        <f>武器!C18</f>
        <v>10</v>
      </c>
      <c r="D10">
        <v>10</v>
      </c>
      <c r="E10">
        <v>3</v>
      </c>
      <c r="F10">
        <v>1.75</v>
      </c>
      <c r="G10">
        <v>0</v>
      </c>
      <c r="H10">
        <v>0</v>
      </c>
      <c r="I10">
        <v>0</v>
      </c>
      <c r="K10" s="33"/>
      <c r="L10" s="21">
        <f>SUM((C10+D10)*E10)*F10*(1+G10)+H10+I10</f>
        <v>105</v>
      </c>
      <c r="M10">
        <f>VLOOKUP(E2,怪物属性!$A$2:$R$100,7)</f>
        <v>15</v>
      </c>
      <c r="N10">
        <v>11</v>
      </c>
      <c r="O10" s="21">
        <f>+CEILING(N10+M10-L10,1)</f>
        <v>-79</v>
      </c>
      <c r="Q10" t="s">
        <v>724</v>
      </c>
      <c r="T10" s="78">
        <f>主角属性!O1-R10</f>
        <v>36</v>
      </c>
    </row>
    <row r="11" spans="1:20" x14ac:dyDescent="0.25">
      <c r="A11" t="s">
        <v>228</v>
      </c>
      <c r="B11" t="s">
        <v>229</v>
      </c>
      <c r="C11" t="s">
        <v>230</v>
      </c>
      <c r="D11" t="s">
        <v>231</v>
      </c>
      <c r="E11" t="s">
        <v>232</v>
      </c>
      <c r="F11" t="s">
        <v>233</v>
      </c>
      <c r="G11" t="s">
        <v>234</v>
      </c>
      <c r="H11" t="s">
        <v>235</v>
      </c>
      <c r="I11" t="s">
        <v>429</v>
      </c>
      <c r="J11" t="s">
        <v>236</v>
      </c>
      <c r="K11" t="s">
        <v>428</v>
      </c>
    </row>
    <row r="12" spans="1:20" x14ac:dyDescent="0.25">
      <c r="B12">
        <v>10</v>
      </c>
      <c r="C12">
        <v>10</v>
      </c>
      <c r="D12">
        <f>主角属性!J9/2</f>
        <v>7</v>
      </c>
      <c r="E12">
        <v>0</v>
      </c>
      <c r="F12">
        <v>1</v>
      </c>
      <c r="G12">
        <v>0</v>
      </c>
      <c r="H12">
        <v>0.7</v>
      </c>
      <c r="I12">
        <f>VLOOKUP(主角属性!M1,主角属性!R12:Y21,6)</f>
        <v>0</v>
      </c>
      <c r="J12">
        <v>2</v>
      </c>
      <c r="L12">
        <f>((C12+D12+E12)*F12*(1+G12)*H12+I12)*J12+B12</f>
        <v>33.799999999999997</v>
      </c>
      <c r="M12">
        <f>VLOOKUP(E2,怪物属性!$A$2:$R$100,7)</f>
        <v>15</v>
      </c>
      <c r="N12">
        <v>9</v>
      </c>
      <c r="O12">
        <f>M12+N12-L12</f>
        <v>-9.7999999999999972</v>
      </c>
    </row>
    <row r="13" spans="1:20" x14ac:dyDescent="0.25">
      <c r="J13" s="33" t="s">
        <v>264</v>
      </c>
    </row>
    <row r="16" spans="1:20" x14ac:dyDescent="0.25">
      <c r="A16" t="s">
        <v>434</v>
      </c>
      <c r="B16">
        <f ca="1">RANDBETWEEN(1,3)</f>
        <v>2</v>
      </c>
      <c r="C16" t="s">
        <v>222</v>
      </c>
      <c r="D16">
        <f ca="1">RANDBETWEEN(1,8)</f>
        <v>8</v>
      </c>
      <c r="E16" t="s">
        <v>223</v>
      </c>
      <c r="F16">
        <f ca="1">RANDBETWEEN(1,100)</f>
        <v>48</v>
      </c>
    </row>
    <row r="17" spans="2:6" x14ac:dyDescent="0.25">
      <c r="E17" t="s">
        <v>790</v>
      </c>
      <c r="F17">
        <f ca="1">RANDBETWEEN(1,10)</f>
        <v>3</v>
      </c>
    </row>
    <row r="23" spans="2:6" x14ac:dyDescent="0.25">
      <c r="B23" t="s">
        <v>506</v>
      </c>
      <c r="C23" t="str">
        <f>VLOOKUP(E2,怪物属性!$A$2:$R$100,6)</f>
        <v>80%普通武器/30%钢铁，极低白银10%</v>
      </c>
    </row>
    <row r="24" spans="2:6" x14ac:dyDescent="0.25">
      <c r="C24">
        <v>18</v>
      </c>
      <c r="D24">
        <v>19</v>
      </c>
      <c r="E24">
        <v>12</v>
      </c>
    </row>
    <row r="25" spans="2:6" x14ac:dyDescent="0.25">
      <c r="B25" t="s">
        <v>512</v>
      </c>
      <c r="C25" t="str">
        <f>主角属性!X27</f>
        <v>制作工具，武器(1)</v>
      </c>
    </row>
    <row r="26" spans="2:6" x14ac:dyDescent="0.25">
      <c r="B26" t="s">
        <v>518</v>
      </c>
      <c r="C26">
        <v>0</v>
      </c>
      <c r="D26">
        <v>17</v>
      </c>
      <c r="E26">
        <v>1</v>
      </c>
      <c r="F26">
        <v>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308"/>
  <sheetViews>
    <sheetView showRuler="0" zoomScaleNormal="100" workbookViewId="0">
      <pane ySplit="1" topLeftCell="A2" activePane="bottomLeft" state="frozen"/>
      <selection activeCell="X1" sqref="X1"/>
      <selection pane="bottomLeft" activeCell="B19" sqref="B19"/>
    </sheetView>
  </sheetViews>
  <sheetFormatPr defaultRowHeight="14" x14ac:dyDescent="0.25"/>
  <cols>
    <col min="2" max="5" width="12.6328125" customWidth="1"/>
    <col min="9" max="9" width="9.08984375" customWidth="1"/>
    <col min="12" max="12" width="10.453125" bestFit="1" customWidth="1"/>
    <col min="16" max="16" width="10.453125" bestFit="1" customWidth="1"/>
    <col min="21" max="33" width="15.6328125" customWidth="1"/>
  </cols>
  <sheetData>
    <row r="1" spans="1:51" ht="17.5" x14ac:dyDescent="0.3">
      <c r="A1" s="15" t="s">
        <v>136</v>
      </c>
      <c r="B1" s="17" t="s">
        <v>135</v>
      </c>
      <c r="C1" s="17" t="s">
        <v>450</v>
      </c>
      <c r="D1" s="17" t="s">
        <v>146</v>
      </c>
      <c r="E1" s="17" t="s">
        <v>147</v>
      </c>
      <c r="F1" s="17" t="s">
        <v>294</v>
      </c>
      <c r="G1" s="17" t="s">
        <v>115</v>
      </c>
      <c r="H1" s="17" t="s">
        <v>116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203</v>
      </c>
      <c r="Q1" s="17" t="s">
        <v>202</v>
      </c>
      <c r="R1" s="17" t="s">
        <v>127</v>
      </c>
      <c r="S1" s="17" t="s">
        <v>126</v>
      </c>
      <c r="T1" s="17"/>
      <c r="U1" s="17"/>
      <c r="V1" s="17" t="s">
        <v>300</v>
      </c>
      <c r="W1" s="17"/>
      <c r="X1" s="17" t="s">
        <v>128</v>
      </c>
      <c r="Y1" s="17" t="s">
        <v>130</v>
      </c>
      <c r="Z1" s="15"/>
      <c r="AA1" s="15"/>
      <c r="AB1" s="15" t="s">
        <v>128</v>
      </c>
      <c r="AC1" s="15"/>
      <c r="AD1" s="14" t="s">
        <v>132</v>
      </c>
      <c r="AE1" s="14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 spans="1:51" ht="35" x14ac:dyDescent="0.3">
      <c r="A2" s="16">
        <v>1</v>
      </c>
      <c r="B2" s="16" t="s">
        <v>295</v>
      </c>
      <c r="C2" s="16">
        <v>10</v>
      </c>
      <c r="D2" s="16">
        <v>155</v>
      </c>
      <c r="E2" s="16" t="s">
        <v>148</v>
      </c>
      <c r="F2" s="16" t="s">
        <v>445</v>
      </c>
      <c r="G2" s="16">
        <v>15</v>
      </c>
      <c r="H2" s="19" t="s">
        <v>117</v>
      </c>
      <c r="I2" s="16">
        <v>30</v>
      </c>
      <c r="J2" s="16">
        <v>15</v>
      </c>
      <c r="K2" s="16">
        <v>12</v>
      </c>
      <c r="L2" s="16">
        <v>11</v>
      </c>
      <c r="M2" s="16">
        <v>6</v>
      </c>
      <c r="N2" s="16">
        <v>10</v>
      </c>
      <c r="O2" s="16" t="s">
        <v>125</v>
      </c>
      <c r="P2" s="16">
        <v>2</v>
      </c>
      <c r="Q2" s="27">
        <f>VLOOKUP($P2,主角属性!$R$12:$Y$21,8)+$K2/10</f>
        <v>1.2</v>
      </c>
      <c r="R2" s="16">
        <v>100</v>
      </c>
      <c r="S2" s="18" t="s">
        <v>154</v>
      </c>
      <c r="T2" s="18"/>
      <c r="U2" s="18"/>
      <c r="V2" s="18" t="s">
        <v>301</v>
      </c>
      <c r="W2" s="19" t="s">
        <v>156</v>
      </c>
      <c r="X2" s="16" t="s">
        <v>129</v>
      </c>
      <c r="Y2" s="16" t="s">
        <v>131</v>
      </c>
      <c r="Z2" s="19" t="s">
        <v>160</v>
      </c>
      <c r="AA2" s="24" t="s">
        <v>162</v>
      </c>
      <c r="AB2" s="16" t="s">
        <v>218</v>
      </c>
      <c r="AC2" s="19" t="s">
        <v>163</v>
      </c>
      <c r="AD2" s="16" t="s">
        <v>219</v>
      </c>
      <c r="AE2" s="16" t="s">
        <v>164</v>
      </c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</row>
    <row r="3" spans="1:51" ht="35" x14ac:dyDescent="0.3">
      <c r="A3" s="17">
        <f>A2+1</f>
        <v>2</v>
      </c>
      <c r="B3" s="17" t="s">
        <v>149</v>
      </c>
      <c r="C3" s="17">
        <v>40</v>
      </c>
      <c r="D3" s="17">
        <v>156</v>
      </c>
      <c r="E3" s="17" t="s">
        <v>150</v>
      </c>
      <c r="F3" s="17" t="s">
        <v>446</v>
      </c>
      <c r="G3" s="17">
        <v>14</v>
      </c>
      <c r="H3" s="20" t="s">
        <v>151</v>
      </c>
      <c r="I3" s="17">
        <v>30</v>
      </c>
      <c r="J3" s="17">
        <v>30</v>
      </c>
      <c r="K3" s="20">
        <v>60</v>
      </c>
      <c r="L3" s="17">
        <v>55</v>
      </c>
      <c r="M3" s="17">
        <v>30</v>
      </c>
      <c r="N3" s="17">
        <v>45</v>
      </c>
      <c r="O3" s="17" t="s">
        <v>152</v>
      </c>
      <c r="P3" s="17">
        <v>2</v>
      </c>
      <c r="Q3" s="27">
        <f>VLOOKUP($P3,主角属性!$R$12:$Y$21,8)+$K3/10</f>
        <v>6</v>
      </c>
      <c r="R3" s="17">
        <v>2000</v>
      </c>
      <c r="S3" s="17" t="s">
        <v>155</v>
      </c>
      <c r="T3" s="17"/>
      <c r="U3" s="17"/>
      <c r="V3" s="17" t="s">
        <v>302</v>
      </c>
      <c r="W3" s="20" t="s">
        <v>157</v>
      </c>
      <c r="X3" s="17" t="s">
        <v>158</v>
      </c>
      <c r="Y3" s="17" t="s">
        <v>159</v>
      </c>
      <c r="Z3" s="17" t="s">
        <v>161</v>
      </c>
      <c r="AA3" s="20" t="s">
        <v>173</v>
      </c>
      <c r="AB3" s="17">
        <v>21</v>
      </c>
      <c r="AC3" s="17" t="s">
        <v>166</v>
      </c>
      <c r="AD3" s="15" t="s">
        <v>165</v>
      </c>
      <c r="AE3" s="15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</row>
    <row r="4" spans="1:51" ht="35" x14ac:dyDescent="0.3">
      <c r="A4" s="16">
        <f t="shared" ref="A4:A55" si="0">A3+1</f>
        <v>3</v>
      </c>
      <c r="B4" s="16" t="s">
        <v>167</v>
      </c>
      <c r="C4" s="16">
        <v>20</v>
      </c>
      <c r="D4" s="16">
        <v>165</v>
      </c>
      <c r="E4" s="16" t="s">
        <v>150</v>
      </c>
      <c r="F4" s="16" t="s">
        <v>447</v>
      </c>
      <c r="G4" s="16">
        <v>15</v>
      </c>
      <c r="H4" s="19" t="s">
        <v>168</v>
      </c>
      <c r="I4" s="16">
        <v>30</v>
      </c>
      <c r="J4" s="16">
        <v>20</v>
      </c>
      <c r="K4" s="16">
        <v>30</v>
      </c>
      <c r="L4" s="16">
        <v>14</v>
      </c>
      <c r="M4" s="16">
        <v>14</v>
      </c>
      <c r="N4" s="16">
        <v>30</v>
      </c>
      <c r="O4" s="16" t="s">
        <v>169</v>
      </c>
      <c r="P4" s="16">
        <v>2</v>
      </c>
      <c r="Q4" s="27">
        <f>VLOOKUP($P4,主角属性!$R$12:$Y$21,8)+$K4/10</f>
        <v>3</v>
      </c>
      <c r="R4" s="16">
        <v>6000</v>
      </c>
      <c r="S4" s="16" t="s">
        <v>153</v>
      </c>
      <c r="T4" s="16"/>
      <c r="U4" s="16"/>
      <c r="V4" s="16" t="s">
        <v>302</v>
      </c>
      <c r="W4" s="19" t="s">
        <v>157</v>
      </c>
      <c r="X4" s="16" t="s">
        <v>170</v>
      </c>
      <c r="Y4" s="16" t="s">
        <v>171</v>
      </c>
      <c r="Z4" s="16" t="s">
        <v>161</v>
      </c>
      <c r="AA4" s="25" t="s">
        <v>172</v>
      </c>
      <c r="AB4" s="26" t="s">
        <v>174</v>
      </c>
      <c r="AC4" s="16" t="s">
        <v>175</v>
      </c>
      <c r="AD4" t="s">
        <v>176</v>
      </c>
      <c r="AE4" t="s">
        <v>177</v>
      </c>
      <c r="AF4" s="19" t="s">
        <v>178</v>
      </c>
      <c r="AG4" s="16" t="s">
        <v>179</v>
      </c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</row>
    <row r="5" spans="1:51" ht="40" customHeight="1" x14ac:dyDescent="0.3">
      <c r="A5" s="16">
        <f t="shared" si="0"/>
        <v>4</v>
      </c>
      <c r="B5" s="16" t="s">
        <v>288</v>
      </c>
      <c r="C5" s="16">
        <v>5</v>
      </c>
      <c r="D5" s="16">
        <v>29</v>
      </c>
      <c r="E5" s="16" t="s">
        <v>297</v>
      </c>
      <c r="F5" s="19" t="s">
        <v>448</v>
      </c>
      <c r="G5" s="16">
        <v>13</v>
      </c>
      <c r="H5" s="19" t="s">
        <v>298</v>
      </c>
      <c r="I5" s="16">
        <v>20</v>
      </c>
      <c r="J5" s="16">
        <v>5</v>
      </c>
      <c r="K5" s="16">
        <v>13</v>
      </c>
      <c r="L5" s="16">
        <v>12</v>
      </c>
      <c r="M5" s="16">
        <v>4</v>
      </c>
      <c r="N5" s="16">
        <v>8</v>
      </c>
      <c r="O5" s="16">
        <v>3</v>
      </c>
      <c r="P5" s="16">
        <v>3</v>
      </c>
      <c r="Q5" s="27">
        <f>VLOOKUP($P5,主角属性!$R$12:$Y$21,8)+$K5/10</f>
        <v>1.3</v>
      </c>
      <c r="R5" s="16">
        <v>50</v>
      </c>
      <c r="S5" s="16" t="s">
        <v>299</v>
      </c>
      <c r="T5" s="16"/>
      <c r="U5" s="16"/>
      <c r="V5" s="36" t="s">
        <v>303</v>
      </c>
      <c r="W5" s="19" t="s">
        <v>404</v>
      </c>
      <c r="X5" s="16" t="s">
        <v>405</v>
      </c>
      <c r="Y5" s="16" t="s">
        <v>159</v>
      </c>
      <c r="Z5" s="16"/>
      <c r="AA5" s="16"/>
      <c r="AB5" s="16"/>
      <c r="AC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 spans="1:51" ht="52.5" x14ac:dyDescent="0.3">
      <c r="A6" s="16">
        <f t="shared" si="0"/>
        <v>5</v>
      </c>
      <c r="B6" s="16" t="s">
        <v>290</v>
      </c>
      <c r="C6" s="16">
        <v>10</v>
      </c>
      <c r="D6" s="16">
        <v>29</v>
      </c>
      <c r="E6" s="16" t="s">
        <v>297</v>
      </c>
      <c r="F6" s="16" t="s">
        <v>449</v>
      </c>
      <c r="G6" s="16">
        <v>12</v>
      </c>
      <c r="H6" s="19" t="s">
        <v>406</v>
      </c>
      <c r="I6" s="16">
        <v>30</v>
      </c>
      <c r="J6" s="16">
        <v>12</v>
      </c>
      <c r="K6" s="16">
        <v>12</v>
      </c>
      <c r="L6" s="16">
        <v>13</v>
      </c>
      <c r="M6" s="16">
        <v>3</v>
      </c>
      <c r="N6" s="16">
        <v>8</v>
      </c>
      <c r="O6" s="16">
        <v>2</v>
      </c>
      <c r="P6" s="16">
        <v>3</v>
      </c>
      <c r="Q6" s="27">
        <f>VLOOKUP($P6,主角属性!$R$12:$Y$21,8)+$K6/10</f>
        <v>1.2</v>
      </c>
      <c r="R6" s="16">
        <v>100</v>
      </c>
      <c r="S6" s="16" t="s">
        <v>299</v>
      </c>
      <c r="T6" s="16"/>
      <c r="U6" s="16"/>
      <c r="V6" s="36" t="s">
        <v>303</v>
      </c>
      <c r="W6" s="19" t="s">
        <v>404</v>
      </c>
      <c r="X6" s="16" t="s">
        <v>407</v>
      </c>
      <c r="Y6" s="16" t="s">
        <v>159</v>
      </c>
      <c r="Z6" s="16" t="s">
        <v>408</v>
      </c>
      <c r="AA6" s="19" t="s">
        <v>409</v>
      </c>
      <c r="AB6" s="16" t="s">
        <v>411</v>
      </c>
      <c r="AC6" s="16" t="s">
        <v>410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ht="52.5" x14ac:dyDescent="0.3">
      <c r="A7" s="16">
        <f t="shared" si="0"/>
        <v>6</v>
      </c>
      <c r="B7" s="16" t="s">
        <v>289</v>
      </c>
      <c r="C7" s="16">
        <v>15</v>
      </c>
      <c r="D7" s="16">
        <v>29</v>
      </c>
      <c r="E7" s="16" t="s">
        <v>297</v>
      </c>
      <c r="F7" s="16" t="s">
        <v>517</v>
      </c>
      <c r="G7" s="16">
        <v>12</v>
      </c>
      <c r="H7" s="19" t="s">
        <v>413</v>
      </c>
      <c r="I7" s="16">
        <v>10</v>
      </c>
      <c r="J7" s="16">
        <v>17</v>
      </c>
      <c r="K7" s="16">
        <v>7</v>
      </c>
      <c r="L7" s="16">
        <v>15</v>
      </c>
      <c r="M7" s="16">
        <v>4</v>
      </c>
      <c r="N7" s="16">
        <v>10</v>
      </c>
      <c r="O7" s="16">
        <v>1</v>
      </c>
      <c r="P7" s="16">
        <v>4</v>
      </c>
      <c r="Q7" s="27">
        <f>VLOOKUP($P7,主角属性!$R$12:$Y$21,8)+$K7/10</f>
        <v>-0.30000000000000004</v>
      </c>
      <c r="R7" s="16">
        <v>150</v>
      </c>
      <c r="S7" s="16" t="s">
        <v>299</v>
      </c>
      <c r="T7" s="16"/>
      <c r="U7" s="16"/>
      <c r="V7" s="36" t="s">
        <v>303</v>
      </c>
      <c r="W7" s="19" t="s">
        <v>412</v>
      </c>
      <c r="X7" s="16" t="s">
        <v>415</v>
      </c>
      <c r="Y7" s="16" t="s">
        <v>414</v>
      </c>
      <c r="Z7" s="16" t="s">
        <v>417</v>
      </c>
      <c r="AA7" s="16" t="s">
        <v>416</v>
      </c>
      <c r="AB7" s="16" t="s">
        <v>419</v>
      </c>
      <c r="AC7" s="16" t="s">
        <v>418</v>
      </c>
      <c r="AD7" t="s">
        <v>479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ht="35" x14ac:dyDescent="0.3">
      <c r="A8" s="16">
        <f t="shared" si="0"/>
        <v>7</v>
      </c>
      <c r="B8" s="16" t="s">
        <v>420</v>
      </c>
      <c r="C8" s="16">
        <v>1</v>
      </c>
      <c r="D8" s="16" t="s">
        <v>421</v>
      </c>
      <c r="E8" s="16" t="s">
        <v>422</v>
      </c>
      <c r="F8" s="16" t="s">
        <v>423</v>
      </c>
      <c r="G8" s="16">
        <v>0</v>
      </c>
      <c r="H8" s="16">
        <v>3</v>
      </c>
      <c r="I8" s="16">
        <v>5</v>
      </c>
      <c r="J8" s="16">
        <v>6</v>
      </c>
      <c r="K8" s="16">
        <v>6</v>
      </c>
      <c r="L8" s="16">
        <v>6</v>
      </c>
      <c r="M8" s="16">
        <v>4</v>
      </c>
      <c r="N8" s="16">
        <v>6</v>
      </c>
      <c r="O8" s="16">
        <v>8</v>
      </c>
      <c r="P8" s="16">
        <v>2</v>
      </c>
      <c r="Q8" s="27">
        <f>VLOOKUP($P8,主角属性!$R$12:$Y$21,8)+$K8/10</f>
        <v>0.6</v>
      </c>
      <c r="R8" s="16">
        <v>10</v>
      </c>
      <c r="S8" s="16" t="s">
        <v>424</v>
      </c>
      <c r="T8" s="16"/>
      <c r="U8" s="16"/>
      <c r="V8" s="16" t="s">
        <v>425</v>
      </c>
      <c r="W8" s="19" t="s">
        <v>427</v>
      </c>
      <c r="X8" s="16" t="s">
        <v>426</v>
      </c>
      <c r="Y8" s="16"/>
      <c r="Z8" s="16"/>
      <c r="AA8" s="16"/>
      <c r="AB8" s="16"/>
      <c r="AC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ht="35" x14ac:dyDescent="0.3">
      <c r="A9" s="16">
        <f t="shared" si="0"/>
        <v>8</v>
      </c>
      <c r="B9" s="16" t="s">
        <v>451</v>
      </c>
      <c r="C9" s="16">
        <v>10</v>
      </c>
      <c r="D9" s="16" t="s">
        <v>75</v>
      </c>
      <c r="E9" s="16" t="s">
        <v>459</v>
      </c>
      <c r="F9" s="16" t="s">
        <v>460</v>
      </c>
      <c r="G9" s="16">
        <v>4</v>
      </c>
      <c r="H9" s="16">
        <v>10</v>
      </c>
      <c r="I9" s="16">
        <v>40</v>
      </c>
      <c r="J9" s="16">
        <v>12</v>
      </c>
      <c r="K9" s="16">
        <v>16</v>
      </c>
      <c r="L9" s="16">
        <v>9</v>
      </c>
      <c r="M9" s="16">
        <v>8</v>
      </c>
      <c r="N9" s="16">
        <v>11</v>
      </c>
      <c r="O9" s="16">
        <v>8</v>
      </c>
      <c r="P9" s="16">
        <v>-4</v>
      </c>
      <c r="Q9" s="27">
        <f>VLOOKUP($P9,主角属性!$R$12:$Y$21,8)+$K9/10</f>
        <v>6.6</v>
      </c>
      <c r="R9" s="16">
        <v>1000</v>
      </c>
      <c r="S9" s="16" t="s">
        <v>466</v>
      </c>
      <c r="T9" s="16"/>
      <c r="U9" s="16"/>
      <c r="V9" s="16" t="s">
        <v>75</v>
      </c>
      <c r="W9" s="19" t="s">
        <v>467</v>
      </c>
      <c r="X9" s="16" t="s">
        <v>478</v>
      </c>
      <c r="Y9" s="16" t="s">
        <v>468</v>
      </c>
      <c r="Z9" s="16"/>
      <c r="AA9" s="16"/>
      <c r="AB9" s="16"/>
      <c r="AC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 spans="1:51" ht="35" x14ac:dyDescent="0.3">
      <c r="A10" s="16">
        <f t="shared" si="0"/>
        <v>9</v>
      </c>
      <c r="B10" s="16" t="s">
        <v>452</v>
      </c>
      <c r="C10" s="16">
        <v>18</v>
      </c>
      <c r="D10" s="16" t="s">
        <v>75</v>
      </c>
      <c r="E10" s="16" t="s">
        <v>459</v>
      </c>
      <c r="F10" s="16" t="s">
        <v>465</v>
      </c>
      <c r="G10" s="16">
        <v>6</v>
      </c>
      <c r="H10" s="16">
        <v>30</v>
      </c>
      <c r="I10" s="16">
        <v>75</v>
      </c>
      <c r="J10" s="16">
        <v>17</v>
      </c>
      <c r="K10" s="16">
        <v>24</v>
      </c>
      <c r="L10" s="51">
        <v>27</v>
      </c>
      <c r="M10" s="16">
        <v>12</v>
      </c>
      <c r="N10" s="16">
        <v>32</v>
      </c>
      <c r="O10" s="16">
        <v>12</v>
      </c>
      <c r="P10" s="16">
        <v>-2</v>
      </c>
      <c r="Q10" s="27">
        <f>VLOOKUP($P10,主角属性!$R$12:$Y$21,8)+$K10/10</f>
        <v>5.4</v>
      </c>
      <c r="R10" s="16">
        <v>3000</v>
      </c>
      <c r="S10" s="16" t="s">
        <v>466</v>
      </c>
      <c r="T10" s="16"/>
      <c r="U10" s="16"/>
      <c r="V10" s="16" t="s">
        <v>75</v>
      </c>
      <c r="W10" s="19" t="s">
        <v>467</v>
      </c>
      <c r="X10" s="16" t="s">
        <v>477</v>
      </c>
      <c r="Y10" s="16" t="s">
        <v>468</v>
      </c>
      <c r="Z10" s="16"/>
      <c r="AA10" s="16"/>
      <c r="AB10" s="16"/>
      <c r="AC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 ht="35" x14ac:dyDescent="0.3">
      <c r="A11" s="16">
        <f t="shared" si="0"/>
        <v>10</v>
      </c>
      <c r="B11" s="16" t="s">
        <v>453</v>
      </c>
      <c r="C11" s="16">
        <v>46</v>
      </c>
      <c r="D11" s="16" t="s">
        <v>75</v>
      </c>
      <c r="E11" s="16" t="s">
        <v>459</v>
      </c>
      <c r="F11" s="16" t="s">
        <v>463</v>
      </c>
      <c r="G11" s="16">
        <v>26</v>
      </c>
      <c r="H11" s="16">
        <v>70</v>
      </c>
      <c r="I11" s="16">
        <v>150</v>
      </c>
      <c r="J11" s="16">
        <v>84</v>
      </c>
      <c r="K11" s="16">
        <v>98</v>
      </c>
      <c r="L11" s="51">
        <v>60</v>
      </c>
      <c r="M11" s="16">
        <v>40</v>
      </c>
      <c r="N11" s="16">
        <v>45</v>
      </c>
      <c r="O11" s="16">
        <v>40</v>
      </c>
      <c r="P11" s="16">
        <v>0</v>
      </c>
      <c r="Q11" s="27">
        <f>VLOOKUP($P11,主角属性!$R$12:$Y$21,8)+$K11/10</f>
        <v>11.8</v>
      </c>
      <c r="R11" s="16">
        <v>5000</v>
      </c>
      <c r="S11" s="16" t="s">
        <v>466</v>
      </c>
      <c r="T11" s="16"/>
      <c r="U11" s="16"/>
      <c r="V11" s="16" t="s">
        <v>75</v>
      </c>
      <c r="W11" s="19" t="s">
        <v>469</v>
      </c>
      <c r="X11" s="16" t="s">
        <v>476</v>
      </c>
      <c r="Y11" s="16" t="s">
        <v>468</v>
      </c>
      <c r="Z11" s="16" t="s">
        <v>470</v>
      </c>
      <c r="AA11" s="16" t="s">
        <v>471</v>
      </c>
      <c r="AB11" s="16">
        <v>30</v>
      </c>
      <c r="AC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 spans="1:51" ht="17.5" x14ac:dyDescent="0.3">
      <c r="A12" s="16">
        <f t="shared" si="0"/>
        <v>11</v>
      </c>
      <c r="B12" s="16" t="s">
        <v>454</v>
      </c>
      <c r="C12" s="16">
        <v>77</v>
      </c>
      <c r="D12" s="16" t="s">
        <v>75</v>
      </c>
      <c r="E12" s="16" t="s">
        <v>461</v>
      </c>
      <c r="F12" s="16"/>
      <c r="G12" s="16">
        <v>30</v>
      </c>
      <c r="H12" s="16">
        <v>100</v>
      </c>
      <c r="I12" s="16">
        <v>170</v>
      </c>
      <c r="J12" s="16">
        <v>110</v>
      </c>
      <c r="K12" s="16">
        <v>152</v>
      </c>
      <c r="L12" s="51">
        <v>128</v>
      </c>
      <c r="M12" s="16">
        <v>68</v>
      </c>
      <c r="N12" s="16">
        <v>130</v>
      </c>
      <c r="O12" s="16">
        <v>64</v>
      </c>
      <c r="P12" s="16">
        <v>1</v>
      </c>
      <c r="Q12" s="27">
        <f>VLOOKUP($P12,主角属性!$R$12:$Y$21,8)+$K12/10</f>
        <v>16.2</v>
      </c>
      <c r="R12" s="16">
        <v>7000</v>
      </c>
      <c r="S12" s="16" t="s">
        <v>461</v>
      </c>
      <c r="T12" s="16"/>
      <c r="U12" s="16"/>
      <c r="V12" s="16" t="s">
        <v>75</v>
      </c>
      <c r="W12" s="19" t="s">
        <v>472</v>
      </c>
      <c r="X12" s="16" t="s">
        <v>767</v>
      </c>
      <c r="Y12" s="16" t="s">
        <v>473</v>
      </c>
      <c r="Z12" s="16" t="s">
        <v>474</v>
      </c>
      <c r="AA12" s="16" t="s">
        <v>475</v>
      </c>
      <c r="AB12" s="16" t="s">
        <v>766</v>
      </c>
      <c r="AC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</row>
    <row r="13" spans="1:51" ht="17.5" x14ac:dyDescent="0.3">
      <c r="A13" s="16">
        <f t="shared" si="0"/>
        <v>12</v>
      </c>
      <c r="B13" s="16" t="s">
        <v>455</v>
      </c>
      <c r="C13" s="16">
        <v>101</v>
      </c>
      <c r="D13" s="16" t="s">
        <v>75</v>
      </c>
      <c r="E13" s="16" t="s">
        <v>461</v>
      </c>
      <c r="F13" s="16"/>
      <c r="G13" s="16">
        <v>35</v>
      </c>
      <c r="H13" s="16">
        <v>370</v>
      </c>
      <c r="I13" s="16">
        <v>210</v>
      </c>
      <c r="J13" s="16">
        <v>142</v>
      </c>
      <c r="K13" s="16">
        <v>196</v>
      </c>
      <c r="L13" s="51">
        <v>165</v>
      </c>
      <c r="M13" s="16">
        <v>89</v>
      </c>
      <c r="N13" s="16">
        <v>170</v>
      </c>
      <c r="O13" s="16">
        <v>84</v>
      </c>
      <c r="P13" s="16">
        <v>2</v>
      </c>
      <c r="Q13" s="27">
        <f>VLOOKUP($P13,主角属性!$R$12:$Y$21,8)+$K13/10</f>
        <v>19.600000000000001</v>
      </c>
      <c r="R13" s="16">
        <v>10000</v>
      </c>
      <c r="S13" s="16" t="s">
        <v>461</v>
      </c>
      <c r="T13" s="16"/>
      <c r="U13" s="16"/>
      <c r="V13" s="16" t="s">
        <v>75</v>
      </c>
      <c r="W13" s="19"/>
      <c r="X13" s="16"/>
      <c r="Y13" s="16"/>
      <c r="Z13" s="16"/>
      <c r="AA13" s="16"/>
      <c r="AB13" s="16"/>
      <c r="AC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 ht="17.5" x14ac:dyDescent="0.3">
      <c r="A14" s="16">
        <f t="shared" si="0"/>
        <v>13</v>
      </c>
      <c r="B14" s="16" t="s">
        <v>456</v>
      </c>
      <c r="C14" s="16">
        <v>120</v>
      </c>
      <c r="D14" s="16" t="s">
        <v>75</v>
      </c>
      <c r="E14" s="16" t="s">
        <v>461</v>
      </c>
      <c r="F14" s="16"/>
      <c r="G14" s="16">
        <v>38</v>
      </c>
      <c r="H14" s="16">
        <v>560</v>
      </c>
      <c r="I14" s="16">
        <v>240</v>
      </c>
      <c r="J14" s="16">
        <v>124</v>
      </c>
      <c r="K14" s="16">
        <v>156</v>
      </c>
      <c r="L14" s="51">
        <v>175</v>
      </c>
      <c r="M14" s="16">
        <v>113</v>
      </c>
      <c r="N14" s="16">
        <v>217</v>
      </c>
      <c r="O14" s="16">
        <v>101</v>
      </c>
      <c r="P14" s="16">
        <v>1</v>
      </c>
      <c r="Q14" s="27">
        <f>VLOOKUP($P14,主角属性!$R$12:$Y$21,8)+$K14/10</f>
        <v>16.600000000000001</v>
      </c>
      <c r="R14" s="16">
        <v>15000</v>
      </c>
      <c r="S14" s="16" t="s">
        <v>461</v>
      </c>
      <c r="T14" s="16"/>
      <c r="U14" s="16"/>
      <c r="V14" s="16" t="s">
        <v>75</v>
      </c>
      <c r="W14" s="19"/>
      <c r="X14" s="16"/>
      <c r="Y14" s="16"/>
      <c r="Z14" s="16"/>
      <c r="AA14" s="16"/>
      <c r="AB14" s="16"/>
      <c r="AC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ht="17.5" x14ac:dyDescent="0.3">
      <c r="A15" s="16">
        <f t="shared" si="0"/>
        <v>14</v>
      </c>
      <c r="B15" s="16" t="s">
        <v>457</v>
      </c>
      <c r="C15" s="16">
        <v>143</v>
      </c>
      <c r="D15" s="16" t="s">
        <v>75</v>
      </c>
      <c r="E15" s="16" t="s">
        <v>461</v>
      </c>
      <c r="F15" s="16"/>
      <c r="G15" s="16">
        <v>40</v>
      </c>
      <c r="H15" s="16">
        <v>890</v>
      </c>
      <c r="I15" s="16">
        <v>270</v>
      </c>
      <c r="J15" s="16">
        <v>145</v>
      </c>
      <c r="K15" s="16">
        <v>183</v>
      </c>
      <c r="L15" s="51">
        <v>205</v>
      </c>
      <c r="M15" s="16">
        <v>132</v>
      </c>
      <c r="N15" s="16">
        <v>255</v>
      </c>
      <c r="O15" s="16">
        <v>118</v>
      </c>
      <c r="P15" s="16">
        <v>5</v>
      </c>
      <c r="Q15" s="27">
        <f>VLOOKUP($P15,主角属性!$R$12:$Y$21,8)+$K15/10</f>
        <v>17.3</v>
      </c>
      <c r="R15" s="16">
        <v>23000</v>
      </c>
      <c r="S15" s="16" t="s">
        <v>461</v>
      </c>
      <c r="T15" s="16"/>
      <c r="U15" s="16"/>
      <c r="V15" s="16" t="s">
        <v>75</v>
      </c>
      <c r="W15" s="19"/>
      <c r="X15" s="16"/>
      <c r="Y15" s="16"/>
      <c r="Z15" s="16"/>
      <c r="AA15" s="16"/>
      <c r="AB15" s="16"/>
      <c r="AC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ht="17.5" x14ac:dyDescent="0.3">
      <c r="A16" s="16">
        <f t="shared" si="0"/>
        <v>15</v>
      </c>
      <c r="B16" s="16" t="s">
        <v>458</v>
      </c>
      <c r="C16" s="16">
        <v>168</v>
      </c>
      <c r="D16" s="16" t="s">
        <v>75</v>
      </c>
      <c r="E16" s="16" t="s">
        <v>461</v>
      </c>
      <c r="F16" s="16"/>
      <c r="G16" s="16">
        <v>61</v>
      </c>
      <c r="H16" s="16">
        <v>1300</v>
      </c>
      <c r="I16" s="16">
        <v>305</v>
      </c>
      <c r="J16" s="16">
        <v>230</v>
      </c>
      <c r="K16" s="16">
        <v>222</v>
      </c>
      <c r="L16" s="51">
        <v>300</v>
      </c>
      <c r="M16" s="16">
        <v>139</v>
      </c>
      <c r="N16" s="16">
        <v>271</v>
      </c>
      <c r="O16" s="16">
        <v>139</v>
      </c>
      <c r="P16" s="16">
        <v>5</v>
      </c>
      <c r="Q16" s="27">
        <f>VLOOKUP($P16,主角属性!$R$12:$Y$21,8)+$K16/10</f>
        <v>21.2</v>
      </c>
      <c r="R16" s="16">
        <v>40000</v>
      </c>
      <c r="S16" s="16" t="s">
        <v>461</v>
      </c>
      <c r="T16" s="16"/>
      <c r="U16" s="16"/>
      <c r="V16" s="16" t="s">
        <v>75</v>
      </c>
      <c r="W16" s="19"/>
      <c r="X16" s="16"/>
      <c r="Y16" s="16"/>
      <c r="Z16" s="16"/>
      <c r="AA16" s="16"/>
      <c r="AB16" s="16"/>
      <c r="AC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ht="17.5" x14ac:dyDescent="0.3">
      <c r="A17" s="16">
        <f t="shared" si="0"/>
        <v>16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9"/>
      <c r="X17" s="16"/>
      <c r="Y17" s="16"/>
      <c r="Z17" s="16"/>
      <c r="AA17" s="16"/>
      <c r="AB17" s="16"/>
      <c r="AC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ht="17.5" x14ac:dyDescent="0.3">
      <c r="A18" s="16">
        <f t="shared" si="0"/>
        <v>17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9"/>
      <c r="X18" s="16"/>
      <c r="Y18" s="16"/>
      <c r="Z18" s="16"/>
      <c r="AA18" s="16"/>
      <c r="AB18" s="16"/>
      <c r="AC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ht="17.5" x14ac:dyDescent="0.3">
      <c r="A19" s="16">
        <f t="shared" si="0"/>
        <v>18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9"/>
      <c r="X19" s="16"/>
      <c r="Y19" s="16"/>
      <c r="Z19" s="16"/>
      <c r="AA19" s="16"/>
      <c r="AB19" s="16"/>
      <c r="AC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ht="17.5" x14ac:dyDescent="0.3">
      <c r="A20" s="16">
        <f t="shared" si="0"/>
        <v>19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9"/>
      <c r="X20" s="16"/>
      <c r="Y20" s="16"/>
      <c r="Z20" s="16"/>
      <c r="AA20" s="16"/>
      <c r="AB20" s="16"/>
      <c r="AC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ht="17.5" x14ac:dyDescent="0.3">
      <c r="A21" s="16">
        <f t="shared" si="0"/>
        <v>20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9"/>
      <c r="X21" s="16"/>
      <c r="Y21" s="16"/>
      <c r="Z21" s="16"/>
      <c r="AA21" s="16"/>
      <c r="AB21" s="16"/>
      <c r="AC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ht="17.5" x14ac:dyDescent="0.3">
      <c r="A22" s="16">
        <f t="shared" si="0"/>
        <v>21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9"/>
      <c r="X22" s="16"/>
      <c r="Y22" s="16"/>
      <c r="Z22" s="16"/>
      <c r="AA22" s="16"/>
      <c r="AB22" s="16"/>
      <c r="AC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ht="17.5" x14ac:dyDescent="0.3">
      <c r="A23" s="16">
        <f t="shared" si="0"/>
        <v>22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9"/>
      <c r="X23" s="16"/>
      <c r="Y23" s="16"/>
      <c r="Z23" s="16"/>
      <c r="AA23" s="16"/>
      <c r="AB23" s="16"/>
      <c r="AC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ht="17.5" x14ac:dyDescent="0.3">
      <c r="A24" s="16">
        <f t="shared" si="0"/>
        <v>23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9"/>
      <c r="X24" s="16"/>
      <c r="Y24" s="16"/>
      <c r="Z24" s="16"/>
      <c r="AA24" s="16"/>
      <c r="AB24" s="16"/>
      <c r="AC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</row>
    <row r="25" spans="1:51" ht="17.5" x14ac:dyDescent="0.3">
      <c r="A25" s="16">
        <f t="shared" si="0"/>
        <v>24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9"/>
      <c r="X25" s="16"/>
      <c r="Y25" s="16"/>
      <c r="Z25" s="16"/>
      <c r="AA25" s="16"/>
      <c r="AB25" s="16"/>
      <c r="AC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ht="17.5" x14ac:dyDescent="0.3">
      <c r="A26" s="16">
        <f t="shared" si="0"/>
        <v>25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9"/>
      <c r="X26" s="16"/>
      <c r="Y26" s="16"/>
      <c r="Z26" s="16"/>
      <c r="AA26" s="16"/>
      <c r="AB26" s="16"/>
      <c r="AC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</row>
    <row r="27" spans="1:51" ht="17.5" x14ac:dyDescent="0.3">
      <c r="A27" s="16">
        <f t="shared" si="0"/>
        <v>26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9"/>
      <c r="X27" s="16"/>
      <c r="Y27" s="16"/>
      <c r="Z27" s="16"/>
      <c r="AA27" s="16"/>
      <c r="AB27" s="16"/>
      <c r="AC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</row>
    <row r="28" spans="1:51" ht="17.5" x14ac:dyDescent="0.3">
      <c r="A28" s="16">
        <f t="shared" si="0"/>
        <v>27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9"/>
      <c r="X28" s="16"/>
      <c r="Y28" s="16"/>
      <c r="Z28" s="16"/>
      <c r="AA28" s="16"/>
      <c r="AB28" s="16"/>
      <c r="AC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</row>
    <row r="29" spans="1:51" ht="17.5" x14ac:dyDescent="0.3">
      <c r="A29" s="16">
        <f t="shared" si="0"/>
        <v>28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9"/>
      <c r="X29" s="16"/>
      <c r="Y29" s="16"/>
      <c r="Z29" s="16"/>
      <c r="AA29" s="16"/>
      <c r="AB29" s="16"/>
      <c r="AC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</row>
    <row r="30" spans="1:51" ht="17.5" x14ac:dyDescent="0.3">
      <c r="A30" s="16">
        <f t="shared" si="0"/>
        <v>29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9"/>
      <c r="X30" s="16"/>
      <c r="Y30" s="16"/>
      <c r="Z30" s="16"/>
      <c r="AA30" s="16"/>
      <c r="AB30" s="16"/>
      <c r="AC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</row>
    <row r="31" spans="1:51" ht="17.5" x14ac:dyDescent="0.3">
      <c r="A31" s="16">
        <f t="shared" si="0"/>
        <v>30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9"/>
      <c r="X31" s="16"/>
      <c r="Y31" s="16"/>
      <c r="Z31" s="16"/>
      <c r="AA31" s="16"/>
      <c r="AB31" s="16"/>
      <c r="AC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</row>
    <row r="32" spans="1:51" ht="17.5" x14ac:dyDescent="0.3">
      <c r="A32" s="16">
        <f t="shared" si="0"/>
        <v>31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9"/>
      <c r="X32" s="16"/>
      <c r="Y32" s="16"/>
      <c r="Z32" s="16"/>
      <c r="AA32" s="16"/>
      <c r="AB32" s="16"/>
      <c r="AC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</row>
    <row r="33" spans="1:51" ht="17.5" x14ac:dyDescent="0.3">
      <c r="A33" s="16">
        <f t="shared" si="0"/>
        <v>32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9"/>
      <c r="X33" s="16"/>
      <c r="Y33" s="16"/>
      <c r="Z33" s="16"/>
      <c r="AA33" s="16"/>
      <c r="AB33" s="16"/>
      <c r="AC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</row>
    <row r="34" spans="1:51" ht="17.5" x14ac:dyDescent="0.3">
      <c r="A34" s="16">
        <f t="shared" si="0"/>
        <v>33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9"/>
      <c r="X34" s="16"/>
      <c r="Y34" s="16"/>
      <c r="Z34" s="16"/>
      <c r="AA34" s="16"/>
      <c r="AB34" s="16"/>
      <c r="AC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</row>
    <row r="35" spans="1:51" ht="17.5" x14ac:dyDescent="0.3">
      <c r="A35" s="16">
        <f t="shared" si="0"/>
        <v>34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9"/>
      <c r="X35" s="16"/>
      <c r="Y35" s="16"/>
      <c r="Z35" s="16"/>
      <c r="AA35" s="16"/>
      <c r="AB35" s="16"/>
      <c r="AC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</row>
    <row r="36" spans="1:51" ht="17.5" x14ac:dyDescent="0.3">
      <c r="A36" s="16">
        <f t="shared" si="0"/>
        <v>35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9"/>
      <c r="X36" s="16"/>
      <c r="Y36" s="16"/>
      <c r="Z36" s="16"/>
      <c r="AA36" s="16"/>
      <c r="AB36" s="16"/>
      <c r="AC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</row>
    <row r="37" spans="1:51" ht="17.5" x14ac:dyDescent="0.3">
      <c r="A37" s="16">
        <f t="shared" si="0"/>
        <v>36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9"/>
      <c r="X37" s="16"/>
      <c r="Y37" s="16"/>
      <c r="Z37" s="16"/>
      <c r="AA37" s="16"/>
      <c r="AB37" s="16"/>
      <c r="AC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</row>
    <row r="38" spans="1:51" ht="17.5" x14ac:dyDescent="0.3">
      <c r="A38" s="16">
        <f t="shared" si="0"/>
        <v>37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9"/>
      <c r="X38" s="16"/>
      <c r="Y38" s="16"/>
      <c r="Z38" s="16"/>
      <c r="AA38" s="16"/>
      <c r="AB38" s="16"/>
      <c r="AC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</row>
    <row r="39" spans="1:51" ht="17.5" x14ac:dyDescent="0.3">
      <c r="A39" s="16">
        <f t="shared" si="0"/>
        <v>38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9"/>
      <c r="X39" s="16"/>
      <c r="Y39" s="16"/>
      <c r="Z39" s="16"/>
      <c r="AA39" s="16"/>
      <c r="AB39" s="16"/>
      <c r="AC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</row>
    <row r="40" spans="1:51" ht="17.5" x14ac:dyDescent="0.3">
      <c r="A40" s="16">
        <f t="shared" si="0"/>
        <v>39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9"/>
      <c r="X40" s="16"/>
      <c r="Y40" s="16"/>
      <c r="Z40" s="16"/>
      <c r="AA40" s="16"/>
      <c r="AB40" s="16"/>
      <c r="AC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1:51" ht="17.5" x14ac:dyDescent="0.3">
      <c r="A41" s="16">
        <f t="shared" si="0"/>
        <v>40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9"/>
      <c r="X41" s="16"/>
      <c r="Y41" s="16"/>
      <c r="Z41" s="16"/>
      <c r="AA41" s="16"/>
      <c r="AB41" s="16"/>
      <c r="AC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</row>
    <row r="42" spans="1:51" ht="17.5" x14ac:dyDescent="0.3">
      <c r="A42" s="16">
        <f t="shared" si="0"/>
        <v>41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9"/>
      <c r="X42" s="16"/>
      <c r="Y42" s="16"/>
      <c r="Z42" s="16"/>
      <c r="AA42" s="16"/>
      <c r="AB42" s="16"/>
      <c r="AC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</row>
    <row r="43" spans="1:51" ht="17.5" x14ac:dyDescent="0.3">
      <c r="A43" s="16">
        <f t="shared" si="0"/>
        <v>42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9"/>
      <c r="X43" s="16"/>
      <c r="Y43" s="16"/>
      <c r="Z43" s="16"/>
      <c r="AA43" s="16"/>
      <c r="AB43" s="16"/>
      <c r="AC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</row>
    <row r="44" spans="1:51" ht="17.5" x14ac:dyDescent="0.3">
      <c r="A44" s="16">
        <f t="shared" si="0"/>
        <v>43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9"/>
      <c r="X44" s="16"/>
      <c r="Y44" s="16"/>
      <c r="Z44" s="16"/>
      <c r="AA44" s="16"/>
      <c r="AB44" s="16"/>
      <c r="AC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</row>
    <row r="45" spans="1:51" ht="17.5" x14ac:dyDescent="0.3">
      <c r="A45" s="16">
        <f t="shared" si="0"/>
        <v>44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9"/>
      <c r="X45" s="16"/>
      <c r="Y45" s="16"/>
      <c r="Z45" s="16"/>
      <c r="AA45" s="16"/>
      <c r="AB45" s="16"/>
      <c r="AC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</row>
    <row r="46" spans="1:51" ht="17.5" x14ac:dyDescent="0.3">
      <c r="A46" s="16">
        <f t="shared" si="0"/>
        <v>45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9"/>
      <c r="X46" s="16"/>
      <c r="Y46" s="16"/>
      <c r="Z46" s="16"/>
      <c r="AA46" s="16"/>
      <c r="AB46" s="16"/>
      <c r="AC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</row>
    <row r="47" spans="1:51" ht="17.5" x14ac:dyDescent="0.3">
      <c r="A47" s="16">
        <f t="shared" si="0"/>
        <v>46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9"/>
      <c r="X47" s="16"/>
      <c r="Y47" s="16"/>
      <c r="Z47" s="16"/>
      <c r="AA47" s="16"/>
      <c r="AB47" s="16"/>
      <c r="AC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</row>
    <row r="48" spans="1:51" ht="17.5" x14ac:dyDescent="0.3">
      <c r="A48" s="16">
        <f t="shared" si="0"/>
        <v>47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9"/>
      <c r="X48" s="16"/>
      <c r="Y48" s="16"/>
      <c r="Z48" s="16"/>
      <c r="AA48" s="16"/>
      <c r="AB48" s="16"/>
      <c r="AC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</row>
    <row r="49" spans="1:51" ht="17.5" x14ac:dyDescent="0.3">
      <c r="A49" s="16">
        <f t="shared" si="0"/>
        <v>48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9"/>
      <c r="X49" s="16"/>
      <c r="Y49" s="16"/>
      <c r="Z49" s="16"/>
      <c r="AA49" s="16"/>
      <c r="AB49" s="16"/>
      <c r="AC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</row>
    <row r="50" spans="1:51" ht="17.5" x14ac:dyDescent="0.3">
      <c r="A50" s="16">
        <f t="shared" si="0"/>
        <v>49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9"/>
      <c r="X50" s="16"/>
      <c r="Y50" s="16"/>
      <c r="Z50" s="16"/>
      <c r="AA50" s="16"/>
      <c r="AB50" s="16"/>
      <c r="AC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</row>
    <row r="51" spans="1:51" ht="17.5" x14ac:dyDescent="0.3">
      <c r="A51" s="16">
        <f t="shared" si="0"/>
        <v>50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9"/>
      <c r="X51" s="16"/>
      <c r="Y51" s="16"/>
      <c r="Z51" s="16"/>
      <c r="AA51" s="16"/>
      <c r="AB51" s="16"/>
      <c r="AC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</row>
    <row r="52" spans="1:51" ht="17.5" x14ac:dyDescent="0.3">
      <c r="A52" s="16">
        <f t="shared" si="0"/>
        <v>51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9"/>
      <c r="X52" s="16"/>
      <c r="Y52" s="16"/>
      <c r="Z52" s="16"/>
      <c r="AA52" s="16"/>
      <c r="AB52" s="16"/>
      <c r="AC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</row>
    <row r="53" spans="1:51" ht="17.5" x14ac:dyDescent="0.3">
      <c r="A53" s="16">
        <f t="shared" si="0"/>
        <v>52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9"/>
      <c r="X53" s="16"/>
      <c r="Y53" s="16"/>
      <c r="Z53" s="16"/>
      <c r="AA53" s="16"/>
      <c r="AB53" s="16"/>
      <c r="AC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</row>
    <row r="54" spans="1:51" ht="17.5" x14ac:dyDescent="0.3">
      <c r="A54" s="16">
        <f t="shared" si="0"/>
        <v>53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9"/>
      <c r="X54" s="16"/>
      <c r="Y54" s="16"/>
      <c r="Z54" s="16"/>
      <c r="AA54" s="16"/>
      <c r="AB54" s="16"/>
      <c r="AC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</row>
    <row r="55" spans="1:51" ht="17.5" x14ac:dyDescent="0.3">
      <c r="A55" s="16">
        <f t="shared" si="0"/>
        <v>54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9"/>
      <c r="X55" s="16"/>
      <c r="Y55" s="16"/>
      <c r="Z55" s="16"/>
      <c r="AA55" s="16"/>
      <c r="AB55" s="16"/>
      <c r="AC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 ht="17.5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9"/>
      <c r="X56" s="16"/>
      <c r="Y56" s="16"/>
      <c r="Z56" s="16"/>
      <c r="AA56" s="16"/>
      <c r="AB56" s="16"/>
      <c r="AC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ht="17.5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9"/>
      <c r="X57" s="16"/>
      <c r="Y57" s="16"/>
      <c r="Z57" s="16"/>
      <c r="AA57" s="16"/>
      <c r="AB57" s="16"/>
      <c r="AC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</row>
    <row r="58" spans="1:51" ht="17.5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9"/>
      <c r="X58" s="16"/>
      <c r="Y58" s="16"/>
      <c r="Z58" s="16"/>
      <c r="AA58" s="16"/>
      <c r="AB58" s="16"/>
      <c r="AC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</row>
    <row r="59" spans="1:51" ht="17.5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9"/>
      <c r="X59" s="16"/>
      <c r="Y59" s="16"/>
      <c r="Z59" s="16"/>
      <c r="AA59" s="16"/>
      <c r="AB59" s="16"/>
      <c r="AC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</row>
    <row r="60" spans="1:51" ht="17.5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9"/>
      <c r="X60" s="16"/>
      <c r="Y60" s="16"/>
      <c r="Z60" s="16"/>
      <c r="AA60" s="16"/>
      <c r="AB60" s="16"/>
      <c r="AC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</row>
    <row r="61" spans="1:51" ht="17.5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9"/>
      <c r="X61" s="16"/>
      <c r="Y61" s="16"/>
      <c r="Z61" s="16"/>
      <c r="AA61" s="16"/>
      <c r="AB61" s="16"/>
      <c r="AC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</row>
    <row r="62" spans="1:51" ht="17.5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9"/>
      <c r="X62" s="16"/>
      <c r="Y62" s="16"/>
      <c r="Z62" s="16"/>
      <c r="AA62" s="16"/>
      <c r="AB62" s="16"/>
      <c r="AC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</row>
    <row r="63" spans="1:51" ht="17.5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9"/>
      <c r="X63" s="16"/>
      <c r="Y63" s="16"/>
      <c r="Z63" s="16"/>
      <c r="AA63" s="16"/>
      <c r="AB63" s="16"/>
      <c r="AC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</row>
    <row r="64" spans="1:51" ht="17.5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9"/>
      <c r="X64" s="16"/>
      <c r="Y64" s="16"/>
      <c r="Z64" s="16"/>
      <c r="AA64" s="16"/>
      <c r="AB64" s="16"/>
      <c r="AC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</row>
    <row r="65" spans="1:51" ht="17.5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9"/>
      <c r="X65" s="16"/>
      <c r="Y65" s="16"/>
      <c r="Z65" s="16"/>
      <c r="AA65" s="16"/>
      <c r="AB65" s="16"/>
      <c r="AC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</row>
    <row r="66" spans="1:51" ht="17.5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9"/>
      <c r="X66" s="16"/>
      <c r="Y66" s="16"/>
      <c r="Z66" s="16"/>
      <c r="AA66" s="16"/>
      <c r="AB66" s="16"/>
      <c r="AC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</row>
    <row r="67" spans="1:51" ht="17.5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9"/>
      <c r="X67" s="16"/>
      <c r="Y67" s="16"/>
      <c r="Z67" s="16"/>
      <c r="AA67" s="16"/>
      <c r="AB67" s="16"/>
      <c r="AC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</row>
    <row r="68" spans="1:51" ht="17.5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9"/>
      <c r="X68" s="16"/>
      <c r="Y68" s="16"/>
      <c r="Z68" s="16"/>
      <c r="AA68" s="16"/>
      <c r="AB68" s="16"/>
      <c r="AC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</row>
    <row r="69" spans="1:51" ht="17.5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9"/>
      <c r="X69" s="16"/>
      <c r="Y69" s="16"/>
      <c r="Z69" s="16"/>
      <c r="AA69" s="16"/>
      <c r="AB69" s="16"/>
      <c r="AC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</row>
    <row r="70" spans="1:51" ht="17.5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9"/>
      <c r="X70" s="16"/>
      <c r="Y70" s="16"/>
      <c r="Z70" s="16"/>
      <c r="AA70" s="16"/>
      <c r="AB70" s="16"/>
      <c r="AC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</row>
    <row r="71" spans="1:51" ht="17.5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9"/>
      <c r="X71" s="16"/>
      <c r="Y71" s="16"/>
      <c r="Z71" s="16"/>
      <c r="AA71" s="16"/>
      <c r="AB71" s="16"/>
      <c r="AC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</row>
    <row r="72" spans="1:51" ht="17.5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9"/>
      <c r="X72" s="16"/>
      <c r="Y72" s="16"/>
      <c r="Z72" s="16"/>
      <c r="AA72" s="16"/>
      <c r="AB72" s="16"/>
      <c r="AC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</row>
    <row r="73" spans="1:51" ht="17.5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9"/>
      <c r="X73" s="16"/>
      <c r="Y73" s="16"/>
      <c r="Z73" s="16"/>
      <c r="AA73" s="16"/>
      <c r="AB73" s="16"/>
      <c r="AC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</row>
    <row r="74" spans="1:51" ht="17.5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9"/>
      <c r="X74" s="16"/>
      <c r="Y74" s="16"/>
      <c r="Z74" s="16"/>
      <c r="AA74" s="16"/>
      <c r="AB74" s="16"/>
      <c r="AC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</row>
    <row r="75" spans="1:51" ht="17.5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9"/>
      <c r="X75" s="16"/>
      <c r="Y75" s="16"/>
      <c r="Z75" s="16"/>
      <c r="AA75" s="16"/>
      <c r="AB75" s="16"/>
      <c r="AC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</row>
    <row r="76" spans="1:51" ht="17.5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9"/>
      <c r="X76" s="16"/>
      <c r="Y76" s="16"/>
      <c r="Z76" s="16"/>
      <c r="AA76" s="16"/>
      <c r="AB76" s="16"/>
      <c r="AC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</row>
    <row r="77" spans="1:51" ht="17.5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9"/>
      <c r="X77" s="16"/>
      <c r="Y77" s="16"/>
      <c r="Z77" s="16"/>
      <c r="AA77" s="16"/>
      <c r="AB77" s="16"/>
      <c r="AC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</row>
    <row r="78" spans="1:51" ht="17.5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9"/>
      <c r="X78" s="16"/>
      <c r="Y78" s="16"/>
      <c r="Z78" s="16"/>
      <c r="AA78" s="16"/>
      <c r="AB78" s="16"/>
      <c r="AC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</row>
    <row r="79" spans="1:51" ht="17.5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9"/>
      <c r="X79" s="16"/>
      <c r="Y79" s="16"/>
      <c r="Z79" s="16"/>
      <c r="AA79" s="16"/>
      <c r="AB79" s="16"/>
      <c r="AC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</row>
    <row r="80" spans="1:51" ht="17.5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9"/>
      <c r="X80" s="16"/>
      <c r="Y80" s="16"/>
      <c r="Z80" s="16"/>
      <c r="AA80" s="16"/>
      <c r="AB80" s="16"/>
      <c r="AC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</row>
    <row r="81" spans="1:51" ht="17.5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9"/>
      <c r="X81" s="16"/>
      <c r="Y81" s="16"/>
      <c r="Z81" s="16"/>
      <c r="AA81" s="16"/>
      <c r="AB81" s="16"/>
      <c r="AC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</row>
    <row r="82" spans="1:51" ht="17.5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9"/>
      <c r="X82" s="16"/>
      <c r="Y82" s="16"/>
      <c r="Z82" s="16"/>
      <c r="AA82" s="16"/>
      <c r="AB82" s="16"/>
      <c r="AC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</row>
    <row r="83" spans="1:51" ht="17.5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9"/>
      <c r="X83" s="16"/>
      <c r="Y83" s="16"/>
      <c r="Z83" s="16"/>
      <c r="AA83" s="16"/>
      <c r="AB83" s="16"/>
      <c r="AC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</row>
    <row r="84" spans="1:51" ht="17.5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9"/>
      <c r="X84" s="16"/>
      <c r="Y84" s="16"/>
      <c r="Z84" s="16"/>
      <c r="AA84" s="16"/>
      <c r="AB84" s="16"/>
      <c r="AC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</row>
    <row r="85" spans="1:51" ht="17.5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9"/>
      <c r="X85" s="16"/>
      <c r="Y85" s="16"/>
      <c r="Z85" s="16"/>
      <c r="AA85" s="16"/>
      <c r="AB85" s="16"/>
      <c r="AC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</row>
    <row r="86" spans="1:51" ht="17.5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9"/>
      <c r="X86" s="16"/>
      <c r="Y86" s="16"/>
      <c r="Z86" s="16"/>
      <c r="AA86" s="16"/>
      <c r="AB86" s="16"/>
      <c r="AC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</row>
    <row r="87" spans="1:51" ht="17.5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9"/>
      <c r="X87" s="16"/>
      <c r="Y87" s="16"/>
      <c r="Z87" s="16"/>
      <c r="AA87" s="16"/>
      <c r="AB87" s="16"/>
      <c r="AC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</row>
    <row r="88" spans="1:51" ht="17.5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9"/>
      <c r="X88" s="16"/>
      <c r="Y88" s="16"/>
      <c r="Z88" s="16"/>
      <c r="AA88" s="16"/>
      <c r="AB88" s="16"/>
      <c r="AC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</row>
    <row r="89" spans="1:51" ht="17.5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9"/>
      <c r="X89" s="16"/>
      <c r="Y89" s="16"/>
      <c r="Z89" s="16"/>
      <c r="AA89" s="16"/>
      <c r="AB89" s="16"/>
      <c r="AC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</row>
    <row r="90" spans="1:51" ht="17.5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9"/>
      <c r="X90" s="16"/>
      <c r="Y90" s="16"/>
      <c r="Z90" s="16"/>
      <c r="AA90" s="16"/>
      <c r="AB90" s="16"/>
      <c r="AC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</row>
    <row r="91" spans="1:51" ht="17.5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9"/>
      <c r="X91" s="16"/>
      <c r="Y91" s="16"/>
      <c r="Z91" s="16"/>
      <c r="AA91" s="16"/>
      <c r="AB91" s="16"/>
      <c r="AC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</row>
    <row r="92" spans="1:51" ht="17.5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9"/>
      <c r="X92" s="16"/>
      <c r="Y92" s="16"/>
      <c r="Z92" s="16"/>
      <c r="AA92" s="16"/>
      <c r="AB92" s="16"/>
      <c r="AC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</row>
    <row r="93" spans="1:51" ht="17.5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9"/>
      <c r="X93" s="16"/>
      <c r="Y93" s="16"/>
      <c r="Z93" s="16"/>
      <c r="AA93" s="16"/>
      <c r="AB93" s="16"/>
      <c r="AC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</row>
    <row r="94" spans="1:51" ht="17.5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9"/>
      <c r="X94" s="16"/>
      <c r="Y94" s="16"/>
      <c r="Z94" s="16"/>
      <c r="AA94" s="16"/>
      <c r="AB94" s="16"/>
      <c r="AC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</row>
    <row r="95" spans="1:51" ht="17.5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9"/>
      <c r="X95" s="16"/>
      <c r="Y95" s="16"/>
      <c r="Z95" s="16"/>
      <c r="AA95" s="16"/>
      <c r="AB95" s="16"/>
      <c r="AC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</row>
    <row r="96" spans="1:51" ht="17.5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9"/>
      <c r="X96" s="16"/>
      <c r="Y96" s="16"/>
      <c r="Z96" s="16"/>
      <c r="AA96" s="16"/>
      <c r="AB96" s="16"/>
      <c r="AC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</row>
    <row r="97" spans="1:51" ht="17.5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9"/>
      <c r="X97" s="16"/>
      <c r="Y97" s="16"/>
      <c r="Z97" s="16"/>
      <c r="AA97" s="16"/>
      <c r="AB97" s="16"/>
      <c r="AC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</row>
    <row r="98" spans="1:51" ht="17.5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9"/>
      <c r="X98" s="16"/>
      <c r="Y98" s="16"/>
      <c r="Z98" s="16"/>
      <c r="AA98" s="16"/>
      <c r="AB98" s="16"/>
      <c r="AC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</row>
    <row r="99" spans="1:51" ht="17.5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9"/>
      <c r="X99" s="16"/>
      <c r="Y99" s="16"/>
      <c r="Z99" s="16"/>
      <c r="AA99" s="16"/>
      <c r="AB99" s="16"/>
      <c r="AC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</row>
    <row r="100" spans="1:51" ht="17.5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9"/>
      <c r="X100" s="16"/>
      <c r="Y100" s="16"/>
      <c r="Z100" s="16"/>
      <c r="AA100" s="16"/>
      <c r="AB100" s="16"/>
      <c r="AC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</row>
    <row r="101" spans="1:51" ht="17.5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9"/>
      <c r="X101" s="16"/>
      <c r="Y101" s="16"/>
      <c r="Z101" s="16"/>
      <c r="AA101" s="16"/>
      <c r="AB101" s="16"/>
      <c r="AC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</row>
    <row r="102" spans="1:51" ht="17.5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9"/>
      <c r="X102" s="16"/>
      <c r="Y102" s="16"/>
      <c r="Z102" s="16"/>
      <c r="AA102" s="16"/>
      <c r="AB102" s="16"/>
      <c r="AC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</row>
    <row r="103" spans="1:51" ht="17.5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9"/>
      <c r="X103" s="16"/>
      <c r="Y103" s="16"/>
      <c r="Z103" s="16"/>
      <c r="AA103" s="16"/>
      <c r="AB103" s="16"/>
      <c r="AC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</row>
    <row r="104" spans="1:51" ht="17.5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9"/>
      <c r="X104" s="16"/>
      <c r="Y104" s="16"/>
      <c r="Z104" s="16"/>
      <c r="AA104" s="16"/>
      <c r="AB104" s="16"/>
      <c r="AC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</row>
    <row r="105" spans="1:51" ht="17.5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9"/>
      <c r="X105" s="16"/>
      <c r="Y105" s="16"/>
      <c r="Z105" s="16"/>
      <c r="AA105" s="16"/>
      <c r="AB105" s="16"/>
      <c r="AC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</row>
    <row r="106" spans="1:51" ht="17.5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9"/>
      <c r="X106" s="16"/>
      <c r="Y106" s="16"/>
      <c r="Z106" s="16"/>
      <c r="AA106" s="16"/>
      <c r="AB106" s="16"/>
      <c r="AC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</row>
    <row r="107" spans="1:51" ht="17.5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9"/>
      <c r="X107" s="16"/>
      <c r="Y107" s="16"/>
      <c r="Z107" s="16"/>
      <c r="AA107" s="16"/>
      <c r="AB107" s="16"/>
      <c r="AC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</row>
    <row r="108" spans="1:51" ht="17.5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9"/>
      <c r="X108" s="16"/>
      <c r="Y108" s="16"/>
      <c r="Z108" s="16"/>
      <c r="AA108" s="16"/>
      <c r="AB108" s="16"/>
      <c r="AC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</row>
    <row r="109" spans="1:51" ht="17.5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9"/>
      <c r="X109" s="16"/>
      <c r="Y109" s="16"/>
      <c r="Z109" s="16"/>
      <c r="AA109" s="16"/>
      <c r="AB109" s="16"/>
      <c r="AC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</row>
    <row r="110" spans="1:51" ht="17.5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9"/>
      <c r="X110" s="16"/>
      <c r="Y110" s="16"/>
      <c r="Z110" s="16"/>
      <c r="AA110" s="16"/>
      <c r="AB110" s="16"/>
      <c r="AC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</row>
    <row r="111" spans="1:51" ht="17.5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9"/>
      <c r="X111" s="16"/>
      <c r="Y111" s="16"/>
      <c r="Z111" s="16"/>
      <c r="AA111" s="16"/>
      <c r="AB111" s="16"/>
      <c r="AC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</row>
    <row r="112" spans="1:51" ht="17.5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9"/>
      <c r="X112" s="16"/>
      <c r="Y112" s="16"/>
      <c r="Z112" s="16"/>
      <c r="AA112" s="16"/>
      <c r="AB112" s="16"/>
      <c r="AC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</row>
    <row r="113" spans="1:51" ht="17.5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9"/>
      <c r="X113" s="16"/>
      <c r="Y113" s="16"/>
      <c r="Z113" s="16"/>
      <c r="AA113" s="16"/>
      <c r="AB113" s="16"/>
      <c r="AC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</row>
    <row r="114" spans="1:51" ht="17.5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9"/>
      <c r="X114" s="16"/>
      <c r="Y114" s="16"/>
      <c r="Z114" s="16"/>
      <c r="AA114" s="16"/>
      <c r="AB114" s="16"/>
      <c r="AC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</row>
    <row r="115" spans="1:51" ht="17.5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9"/>
      <c r="X115" s="16"/>
      <c r="Y115" s="16"/>
      <c r="Z115" s="16"/>
      <c r="AA115" s="16"/>
      <c r="AB115" s="16"/>
      <c r="AC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</row>
    <row r="116" spans="1:51" ht="17.5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9"/>
      <c r="X116" s="16"/>
      <c r="Y116" s="16"/>
      <c r="Z116" s="16"/>
      <c r="AA116" s="16"/>
      <c r="AB116" s="16"/>
      <c r="AC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</row>
    <row r="117" spans="1:51" ht="17.5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9"/>
      <c r="X117" s="16"/>
      <c r="Y117" s="16"/>
      <c r="Z117" s="16"/>
      <c r="AA117" s="16"/>
      <c r="AB117" s="16"/>
      <c r="AC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</row>
    <row r="118" spans="1:51" ht="17.5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9"/>
      <c r="X118" s="16"/>
      <c r="Y118" s="16"/>
      <c r="Z118" s="16"/>
      <c r="AA118" s="16"/>
      <c r="AB118" s="16"/>
      <c r="AC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</row>
    <row r="119" spans="1:51" ht="17.5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9"/>
      <c r="X119" s="16"/>
      <c r="Y119" s="16"/>
      <c r="Z119" s="16"/>
      <c r="AA119" s="16"/>
      <c r="AB119" s="16"/>
      <c r="AC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</row>
    <row r="120" spans="1:51" ht="17.5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9"/>
      <c r="X120" s="16"/>
      <c r="Y120" s="16"/>
      <c r="Z120" s="16"/>
      <c r="AA120" s="16"/>
      <c r="AB120" s="16"/>
      <c r="AC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</row>
    <row r="121" spans="1:51" ht="17.5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9"/>
      <c r="X121" s="16"/>
      <c r="Y121" s="16"/>
      <c r="Z121" s="16"/>
      <c r="AA121" s="16"/>
      <c r="AB121" s="16"/>
      <c r="AC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</row>
    <row r="122" spans="1:51" ht="17.5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9"/>
      <c r="X122" s="16"/>
      <c r="Y122" s="16"/>
      <c r="Z122" s="16"/>
      <c r="AA122" s="16"/>
      <c r="AB122" s="16"/>
      <c r="AC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</row>
    <row r="123" spans="1:51" ht="17.5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9"/>
      <c r="X123" s="16"/>
      <c r="Y123" s="16"/>
      <c r="Z123" s="16"/>
      <c r="AA123" s="16"/>
      <c r="AB123" s="16"/>
      <c r="AC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</row>
    <row r="124" spans="1:51" ht="17.5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9"/>
      <c r="X124" s="16"/>
      <c r="Y124" s="16"/>
      <c r="Z124" s="16"/>
      <c r="AA124" s="16"/>
      <c r="AB124" s="16"/>
      <c r="AC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</row>
    <row r="125" spans="1:51" ht="17.5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9"/>
      <c r="X125" s="16"/>
      <c r="Y125" s="16"/>
      <c r="Z125" s="16"/>
      <c r="AA125" s="16"/>
      <c r="AB125" s="16"/>
      <c r="AC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</row>
    <row r="126" spans="1:51" ht="17.5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9"/>
      <c r="X126" s="16"/>
      <c r="Y126" s="16"/>
      <c r="Z126" s="16"/>
      <c r="AA126" s="16"/>
      <c r="AB126" s="16"/>
      <c r="AC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</row>
    <row r="127" spans="1:51" ht="17.5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9"/>
      <c r="X127" s="16"/>
      <c r="Y127" s="16"/>
      <c r="Z127" s="16"/>
      <c r="AA127" s="16"/>
      <c r="AB127" s="16"/>
      <c r="AC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</row>
    <row r="128" spans="1:51" ht="17.5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9"/>
      <c r="X128" s="16"/>
      <c r="Y128" s="16"/>
      <c r="Z128" s="16"/>
      <c r="AA128" s="16"/>
      <c r="AB128" s="16"/>
      <c r="AC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</row>
    <row r="129" spans="1:51" ht="17.5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9"/>
      <c r="X129" s="16"/>
      <c r="Y129" s="16"/>
      <c r="Z129" s="16"/>
      <c r="AA129" s="16"/>
      <c r="AB129" s="16"/>
      <c r="AC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</row>
    <row r="130" spans="1:51" ht="17.5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9"/>
      <c r="X130" s="16"/>
      <c r="Y130" s="16"/>
      <c r="Z130" s="16"/>
      <c r="AA130" s="16"/>
      <c r="AB130" s="16"/>
      <c r="AC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</row>
    <row r="131" spans="1:51" ht="17.5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9"/>
      <c r="X131" s="16"/>
      <c r="Y131" s="16"/>
      <c r="Z131" s="16"/>
      <c r="AA131" s="16"/>
      <c r="AB131" s="16"/>
      <c r="AC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</row>
    <row r="132" spans="1:51" ht="17.5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9"/>
      <c r="X132" s="16"/>
      <c r="Y132" s="16"/>
      <c r="Z132" s="16"/>
      <c r="AA132" s="16"/>
      <c r="AB132" s="16"/>
      <c r="AC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</row>
    <row r="133" spans="1:51" ht="17.5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9"/>
      <c r="X133" s="16"/>
      <c r="Y133" s="16"/>
      <c r="Z133" s="16"/>
      <c r="AA133" s="16"/>
      <c r="AB133" s="16"/>
      <c r="AC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</row>
    <row r="134" spans="1:51" ht="17.5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9"/>
      <c r="X134" s="16"/>
      <c r="Y134" s="16"/>
      <c r="Z134" s="16"/>
      <c r="AA134" s="16"/>
      <c r="AB134" s="16"/>
      <c r="AC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</row>
    <row r="135" spans="1:51" ht="17.5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9"/>
      <c r="X135" s="16"/>
      <c r="Y135" s="16"/>
      <c r="Z135" s="16"/>
      <c r="AA135" s="16"/>
      <c r="AB135" s="16"/>
      <c r="AC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</row>
    <row r="136" spans="1:51" ht="17.5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9"/>
      <c r="X136" s="16"/>
      <c r="Y136" s="16"/>
      <c r="Z136" s="16"/>
      <c r="AA136" s="16"/>
      <c r="AB136" s="16"/>
      <c r="AC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</row>
    <row r="137" spans="1:51" ht="17.5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9"/>
      <c r="X137" s="16"/>
      <c r="Y137" s="16"/>
      <c r="Z137" s="16"/>
      <c r="AA137" s="16"/>
      <c r="AB137" s="16"/>
      <c r="AC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</row>
    <row r="138" spans="1:51" ht="17.5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9"/>
      <c r="X138" s="16"/>
      <c r="Y138" s="16"/>
      <c r="Z138" s="16"/>
      <c r="AA138" s="16"/>
      <c r="AB138" s="16"/>
      <c r="AC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</row>
    <row r="139" spans="1:51" ht="17.5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9"/>
      <c r="X139" s="16"/>
      <c r="Y139" s="16"/>
      <c r="Z139" s="16"/>
      <c r="AA139" s="16"/>
      <c r="AB139" s="16"/>
      <c r="AC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</row>
    <row r="140" spans="1:51" ht="17.5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9"/>
      <c r="X140" s="16"/>
      <c r="Y140" s="16"/>
      <c r="Z140" s="16"/>
      <c r="AA140" s="16"/>
      <c r="AB140" s="16"/>
      <c r="AC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</row>
    <row r="141" spans="1:51" ht="17.5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9"/>
      <c r="X141" s="16"/>
      <c r="Y141" s="16"/>
      <c r="Z141" s="16"/>
      <c r="AA141" s="16"/>
      <c r="AB141" s="16"/>
      <c r="AC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</row>
    <row r="142" spans="1:51" ht="17.5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9"/>
      <c r="X142" s="16"/>
      <c r="Y142" s="16"/>
      <c r="Z142" s="16"/>
      <c r="AA142" s="16"/>
      <c r="AB142" s="16"/>
      <c r="AC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</row>
    <row r="143" spans="1:51" ht="17.5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9"/>
      <c r="X143" s="16"/>
      <c r="Y143" s="16"/>
      <c r="Z143" s="16"/>
      <c r="AA143" s="16"/>
      <c r="AB143" s="16"/>
      <c r="AC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</row>
    <row r="144" spans="1:51" ht="17.5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9"/>
      <c r="X144" s="16"/>
      <c r="Y144" s="16"/>
      <c r="Z144" s="16"/>
      <c r="AA144" s="16"/>
      <c r="AB144" s="16"/>
      <c r="AC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</row>
    <row r="145" spans="1:51" ht="17.5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9"/>
      <c r="X145" s="16"/>
      <c r="Y145" s="16"/>
      <c r="Z145" s="16"/>
      <c r="AA145" s="16"/>
      <c r="AB145" s="16"/>
      <c r="AC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</row>
    <row r="146" spans="1:51" ht="17.5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9"/>
      <c r="X146" s="16"/>
      <c r="Y146" s="16"/>
      <c r="Z146" s="16"/>
      <c r="AA146" s="16"/>
      <c r="AB146" s="16"/>
      <c r="AC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</row>
    <row r="147" spans="1:51" ht="17.5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9"/>
      <c r="X147" s="16"/>
      <c r="Y147" s="16"/>
      <c r="Z147" s="16"/>
      <c r="AA147" s="16"/>
      <c r="AB147" s="16"/>
      <c r="AC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</row>
    <row r="148" spans="1:51" ht="17.5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9"/>
      <c r="X148" s="16"/>
      <c r="Y148" s="16"/>
      <c r="Z148" s="16"/>
      <c r="AA148" s="16"/>
      <c r="AB148" s="16"/>
      <c r="AC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</row>
    <row r="149" spans="1:51" ht="17.5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9"/>
      <c r="X149" s="16"/>
      <c r="Y149" s="16"/>
      <c r="Z149" s="16"/>
      <c r="AA149" s="16"/>
      <c r="AB149" s="16"/>
      <c r="AC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</row>
    <row r="150" spans="1:51" ht="17.5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9"/>
      <c r="X150" s="16"/>
      <c r="Y150" s="16"/>
      <c r="Z150" s="16"/>
      <c r="AA150" s="16"/>
      <c r="AB150" s="16"/>
      <c r="AC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</row>
    <row r="151" spans="1:51" ht="17.5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9"/>
      <c r="X151" s="16"/>
      <c r="Y151" s="16"/>
      <c r="Z151" s="16"/>
      <c r="AA151" s="16"/>
      <c r="AB151" s="16"/>
      <c r="AC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</row>
    <row r="152" spans="1:51" ht="17.5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9"/>
      <c r="X152" s="16"/>
      <c r="Y152" s="16"/>
      <c r="Z152" s="16"/>
      <c r="AA152" s="16"/>
      <c r="AB152" s="16"/>
      <c r="AC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</row>
    <row r="153" spans="1:51" ht="17.5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9"/>
      <c r="X153" s="16"/>
      <c r="Y153" s="16"/>
      <c r="Z153" s="16"/>
      <c r="AA153" s="16"/>
      <c r="AB153" s="16"/>
      <c r="AC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</row>
    <row r="154" spans="1:51" ht="17.5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9"/>
      <c r="X154" s="16"/>
      <c r="Y154" s="16"/>
      <c r="Z154" s="16"/>
      <c r="AA154" s="16"/>
      <c r="AB154" s="16"/>
      <c r="AC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</row>
    <row r="155" spans="1:51" ht="17.5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9"/>
      <c r="X155" s="16"/>
      <c r="Y155" s="16"/>
      <c r="Z155" s="16"/>
      <c r="AA155" s="16"/>
      <c r="AB155" s="16"/>
      <c r="AC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</row>
    <row r="156" spans="1:51" ht="17.5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9"/>
      <c r="X156" s="16"/>
      <c r="Y156" s="16"/>
      <c r="Z156" s="16"/>
      <c r="AA156" s="16"/>
      <c r="AB156" s="16"/>
      <c r="AC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</row>
    <row r="157" spans="1:51" ht="17.5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9"/>
      <c r="X157" s="16"/>
      <c r="Y157" s="16"/>
      <c r="Z157" s="16"/>
      <c r="AA157" s="16"/>
      <c r="AB157" s="16"/>
      <c r="AC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</row>
    <row r="158" spans="1:51" ht="17.5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9"/>
      <c r="X158" s="16"/>
      <c r="Y158" s="16"/>
      <c r="Z158" s="16"/>
      <c r="AA158" s="16"/>
      <c r="AB158" s="16"/>
      <c r="AC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</row>
    <row r="159" spans="1:51" ht="17.5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9"/>
      <c r="X159" s="16"/>
      <c r="Y159" s="16"/>
      <c r="Z159" s="16"/>
      <c r="AA159" s="16"/>
      <c r="AB159" s="16"/>
      <c r="AC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</row>
    <row r="160" spans="1:51" ht="17.5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9"/>
      <c r="X160" s="16"/>
      <c r="Y160" s="16"/>
      <c r="Z160" s="16"/>
      <c r="AA160" s="16"/>
      <c r="AB160" s="16"/>
      <c r="AC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</row>
    <row r="161" spans="1:51" ht="17.5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9"/>
      <c r="X161" s="16"/>
      <c r="Y161" s="16"/>
      <c r="Z161" s="16"/>
      <c r="AA161" s="16"/>
      <c r="AB161" s="16"/>
      <c r="AC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</row>
    <row r="162" spans="1:51" ht="17.5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9"/>
      <c r="X162" s="16"/>
      <c r="Y162" s="16"/>
      <c r="Z162" s="16"/>
      <c r="AA162" s="16"/>
      <c r="AB162" s="16"/>
      <c r="AC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</row>
    <row r="163" spans="1:51" ht="17.5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9"/>
      <c r="X163" s="16"/>
      <c r="Y163" s="16"/>
      <c r="Z163" s="16"/>
      <c r="AA163" s="16"/>
      <c r="AB163" s="16"/>
      <c r="AC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</row>
    <row r="164" spans="1:51" ht="17.5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9"/>
      <c r="X164" s="16"/>
      <c r="Y164" s="16"/>
      <c r="Z164" s="16"/>
      <c r="AA164" s="16"/>
      <c r="AB164" s="16"/>
      <c r="AC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</row>
    <row r="165" spans="1:51" ht="17.5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9"/>
      <c r="X165" s="16"/>
      <c r="Y165" s="16"/>
      <c r="Z165" s="16"/>
      <c r="AA165" s="16"/>
      <c r="AB165" s="16"/>
      <c r="AC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</row>
    <row r="166" spans="1:51" ht="17.5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9"/>
      <c r="X166" s="16"/>
      <c r="Y166" s="16"/>
      <c r="Z166" s="16"/>
      <c r="AA166" s="16"/>
      <c r="AB166" s="16"/>
      <c r="AC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</row>
    <row r="167" spans="1:51" ht="17.5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9"/>
      <c r="X167" s="16"/>
      <c r="Y167" s="16"/>
      <c r="Z167" s="16"/>
      <c r="AA167" s="16"/>
      <c r="AB167" s="16"/>
      <c r="AC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</row>
    <row r="168" spans="1:51" ht="17.5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9"/>
      <c r="X168" s="16"/>
      <c r="Y168" s="16"/>
      <c r="Z168" s="16"/>
      <c r="AA168" s="16"/>
      <c r="AB168" s="16"/>
      <c r="AC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</row>
    <row r="169" spans="1:51" ht="17.5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9"/>
      <c r="X169" s="16"/>
      <c r="Y169" s="16"/>
      <c r="Z169" s="16"/>
      <c r="AA169" s="16"/>
      <c r="AB169" s="16"/>
      <c r="AC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</row>
    <row r="170" spans="1:51" ht="17.5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9"/>
      <c r="X170" s="16"/>
      <c r="Y170" s="16"/>
      <c r="Z170" s="16"/>
      <c r="AA170" s="16"/>
      <c r="AB170" s="16"/>
      <c r="AC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</row>
    <row r="171" spans="1:51" ht="17.5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9"/>
      <c r="X171" s="16"/>
      <c r="Y171" s="16"/>
      <c r="Z171" s="16"/>
      <c r="AA171" s="16"/>
      <c r="AB171" s="16"/>
      <c r="AC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</row>
    <row r="172" spans="1:51" ht="17.5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9"/>
      <c r="X172" s="16"/>
      <c r="Y172" s="16"/>
      <c r="Z172" s="16"/>
      <c r="AA172" s="16"/>
      <c r="AB172" s="16"/>
      <c r="AC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</row>
    <row r="173" spans="1:51" ht="17.5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9"/>
      <c r="X173" s="16"/>
      <c r="Y173" s="16"/>
      <c r="Z173" s="16"/>
      <c r="AA173" s="16"/>
      <c r="AB173" s="16"/>
      <c r="AC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</row>
    <row r="174" spans="1:51" ht="17.5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9"/>
      <c r="X174" s="16"/>
      <c r="Y174" s="16"/>
      <c r="Z174" s="16"/>
      <c r="AA174" s="16"/>
      <c r="AB174" s="16"/>
      <c r="AC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</row>
    <row r="175" spans="1:51" ht="17.5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9"/>
      <c r="X175" s="16"/>
      <c r="Y175" s="16"/>
      <c r="Z175" s="16"/>
      <c r="AA175" s="16"/>
      <c r="AB175" s="16"/>
      <c r="AC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</row>
    <row r="176" spans="1:51" ht="17.5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9"/>
      <c r="X176" s="16"/>
      <c r="Y176" s="16"/>
      <c r="Z176" s="16"/>
      <c r="AA176" s="16"/>
      <c r="AB176" s="16"/>
      <c r="AC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</row>
    <row r="177" spans="1:51" ht="17.5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9"/>
      <c r="X177" s="16"/>
      <c r="Y177" s="16"/>
      <c r="Z177" s="16"/>
      <c r="AA177" s="16"/>
      <c r="AB177" s="16"/>
      <c r="AC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</row>
    <row r="178" spans="1:51" ht="17.5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9"/>
      <c r="X178" s="16"/>
      <c r="Y178" s="16"/>
      <c r="Z178" s="16"/>
      <c r="AA178" s="16"/>
      <c r="AB178" s="16"/>
      <c r="AC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</row>
    <row r="179" spans="1:51" ht="17.5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9"/>
      <c r="X179" s="16"/>
      <c r="Y179" s="16"/>
      <c r="Z179" s="16"/>
      <c r="AA179" s="16"/>
      <c r="AB179" s="16"/>
      <c r="AC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</row>
    <row r="180" spans="1:51" ht="17.5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9"/>
      <c r="X180" s="16"/>
      <c r="Y180" s="16"/>
      <c r="Z180" s="16"/>
      <c r="AA180" s="16"/>
      <c r="AB180" s="16"/>
      <c r="AC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</row>
    <row r="181" spans="1:51" ht="17.5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9"/>
      <c r="X181" s="16"/>
      <c r="Y181" s="16"/>
      <c r="Z181" s="16"/>
      <c r="AA181" s="16"/>
      <c r="AB181" s="16"/>
      <c r="AC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</row>
    <row r="182" spans="1:51" ht="17.5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9"/>
      <c r="X182" s="16"/>
      <c r="Y182" s="16"/>
      <c r="Z182" s="16"/>
      <c r="AA182" s="16"/>
      <c r="AB182" s="16"/>
      <c r="AC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</row>
    <row r="183" spans="1:51" ht="17.5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9"/>
      <c r="X183" s="16"/>
      <c r="Y183" s="16"/>
      <c r="Z183" s="16"/>
      <c r="AA183" s="16"/>
      <c r="AB183" s="16"/>
      <c r="AC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</row>
    <row r="184" spans="1:51" ht="17.5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9"/>
      <c r="X184" s="16"/>
      <c r="Y184" s="16"/>
      <c r="Z184" s="16"/>
      <c r="AA184" s="16"/>
      <c r="AB184" s="16"/>
      <c r="AC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</row>
    <row r="185" spans="1:51" ht="17.5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9"/>
      <c r="X185" s="16"/>
      <c r="Y185" s="16"/>
      <c r="Z185" s="16"/>
      <c r="AA185" s="16"/>
      <c r="AB185" s="16"/>
      <c r="AC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</row>
    <row r="186" spans="1:51" ht="17.5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9"/>
      <c r="X186" s="16"/>
      <c r="Y186" s="16"/>
      <c r="Z186" s="16"/>
      <c r="AA186" s="16"/>
      <c r="AB186" s="16"/>
      <c r="AC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</row>
    <row r="187" spans="1:51" ht="17.5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9"/>
      <c r="X187" s="16"/>
      <c r="Y187" s="16"/>
      <c r="Z187" s="16"/>
      <c r="AA187" s="16"/>
      <c r="AB187" s="16"/>
      <c r="AC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</row>
    <row r="188" spans="1:51" ht="17.5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9"/>
      <c r="X188" s="16"/>
      <c r="Y188" s="16"/>
      <c r="Z188" s="16"/>
      <c r="AA188" s="16"/>
      <c r="AB188" s="16"/>
      <c r="AC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</row>
    <row r="189" spans="1:51" ht="17.5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9"/>
      <c r="X189" s="16"/>
      <c r="Y189" s="16"/>
      <c r="Z189" s="16"/>
      <c r="AA189" s="16"/>
      <c r="AB189" s="16"/>
      <c r="AC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</row>
    <row r="190" spans="1:51" ht="17.5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9"/>
      <c r="X190" s="16"/>
      <c r="Y190" s="16"/>
      <c r="Z190" s="16"/>
      <c r="AA190" s="16"/>
      <c r="AB190" s="16"/>
      <c r="AC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</row>
    <row r="191" spans="1:51" ht="17.5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9"/>
      <c r="X191" s="16"/>
      <c r="Y191" s="16"/>
      <c r="Z191" s="16"/>
      <c r="AA191" s="16"/>
      <c r="AB191" s="16"/>
      <c r="AC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</row>
    <row r="192" spans="1:51" ht="17.5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9"/>
      <c r="X192" s="16"/>
      <c r="Y192" s="16"/>
      <c r="Z192" s="16"/>
      <c r="AA192" s="16"/>
      <c r="AB192" s="16"/>
      <c r="AC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</row>
    <row r="193" spans="1:51" ht="17.5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9"/>
      <c r="X193" s="16"/>
      <c r="Y193" s="16"/>
      <c r="Z193" s="16"/>
      <c r="AA193" s="16"/>
      <c r="AB193" s="16"/>
      <c r="AC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</row>
    <row r="194" spans="1:51" ht="17.5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9"/>
      <c r="X194" s="16"/>
      <c r="Y194" s="16"/>
      <c r="Z194" s="16"/>
      <c r="AA194" s="16"/>
      <c r="AB194" s="16"/>
      <c r="AC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</row>
    <row r="195" spans="1:51" ht="17.5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9"/>
      <c r="X195" s="16"/>
      <c r="Y195" s="16"/>
      <c r="Z195" s="16"/>
      <c r="AA195" s="16"/>
      <c r="AB195" s="16"/>
      <c r="AC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</row>
    <row r="196" spans="1:51" ht="17.5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9"/>
      <c r="X196" s="16"/>
      <c r="Y196" s="16"/>
      <c r="Z196" s="16"/>
      <c r="AA196" s="16"/>
      <c r="AB196" s="16"/>
      <c r="AC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</row>
    <row r="197" spans="1:51" ht="17.5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9"/>
      <c r="X197" s="16"/>
      <c r="Y197" s="16"/>
      <c r="Z197" s="16"/>
      <c r="AA197" s="16"/>
      <c r="AB197" s="16"/>
      <c r="AC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</row>
    <row r="198" spans="1:51" ht="17.5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9"/>
      <c r="X198" s="16"/>
      <c r="Y198" s="16"/>
      <c r="Z198" s="16"/>
      <c r="AA198" s="16"/>
      <c r="AB198" s="16"/>
      <c r="AC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</row>
    <row r="199" spans="1:51" ht="17.5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9"/>
      <c r="X199" s="16"/>
      <c r="Y199" s="16"/>
      <c r="Z199" s="16"/>
      <c r="AA199" s="16"/>
      <c r="AB199" s="16"/>
      <c r="AC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</row>
    <row r="200" spans="1:51" ht="17.5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</row>
    <row r="201" spans="1:51" ht="17.5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</row>
    <row r="202" spans="1:51" ht="17.5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</row>
    <row r="203" spans="1:51" ht="17.5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</row>
    <row r="204" spans="1:51" ht="17.5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</row>
    <row r="205" spans="1:51" ht="17.5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</row>
    <row r="206" spans="1:51" ht="17.5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</row>
    <row r="207" spans="1:51" ht="17.5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</row>
    <row r="208" spans="1:51" ht="17.5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</row>
    <row r="209" spans="1:51" ht="17.5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</row>
    <row r="210" spans="1:51" ht="17.5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</row>
    <row r="211" spans="1:51" ht="17.5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</row>
    <row r="212" spans="1:51" ht="17.5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</row>
    <row r="213" spans="1:51" ht="17.5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</row>
    <row r="214" spans="1:51" ht="17.5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</row>
    <row r="215" spans="1:51" ht="17.5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</row>
    <row r="216" spans="1:51" ht="17.5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</row>
    <row r="217" spans="1:51" ht="17.5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</row>
    <row r="218" spans="1:51" ht="17.5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</row>
    <row r="219" spans="1:51" ht="17.5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</row>
    <row r="220" spans="1:51" ht="17.5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</row>
    <row r="221" spans="1:51" ht="17.5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</row>
    <row r="222" spans="1:51" ht="17.5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</row>
    <row r="223" spans="1:51" ht="17.5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</row>
    <row r="224" spans="1:51" ht="17.5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</row>
    <row r="225" spans="1:51" ht="17.5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</row>
    <row r="226" spans="1:51" ht="17.5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</row>
    <row r="227" spans="1:51" ht="17.5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</row>
    <row r="228" spans="1:51" ht="17.5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</row>
    <row r="229" spans="1:51" ht="17.5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</row>
    <row r="230" spans="1:51" ht="17.5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</row>
    <row r="231" spans="1:51" ht="17.5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</row>
    <row r="232" spans="1:51" ht="17.5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</row>
    <row r="233" spans="1:51" ht="17.5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</row>
    <row r="234" spans="1:51" ht="17.5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</row>
    <row r="235" spans="1:51" ht="17.5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</row>
    <row r="236" spans="1:51" ht="17.5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</row>
    <row r="237" spans="1:51" ht="17.5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</row>
    <row r="238" spans="1:51" ht="17.5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</row>
    <row r="239" spans="1:51" ht="17.5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</row>
    <row r="240" spans="1:51" ht="17.5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</row>
    <row r="241" spans="1:51" ht="17.5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</row>
    <row r="242" spans="1:51" ht="17.5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</row>
    <row r="243" spans="1:51" ht="17.5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</row>
    <row r="244" spans="1:51" ht="17.5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</row>
    <row r="245" spans="1:51" ht="17.5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</row>
    <row r="246" spans="1:51" ht="17.5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</row>
    <row r="247" spans="1:51" ht="17.5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</row>
    <row r="248" spans="1:51" ht="17.5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</row>
    <row r="249" spans="1:51" ht="17.5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</row>
    <row r="250" spans="1:51" ht="17.5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</row>
    <row r="251" spans="1:51" ht="17.5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</row>
    <row r="252" spans="1:51" ht="17.5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</row>
    <row r="253" spans="1:51" ht="17.5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</row>
    <row r="254" spans="1:51" ht="17.5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</row>
    <row r="255" spans="1:51" ht="17.5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</row>
    <row r="256" spans="1:51" ht="17.5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</row>
    <row r="257" spans="1:51" ht="17.5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</row>
    <row r="258" spans="1:51" ht="17.5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</row>
    <row r="259" spans="1:51" ht="17.5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</row>
    <row r="260" spans="1:51" ht="17.5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</row>
    <row r="261" spans="1:51" ht="17.5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</row>
    <row r="262" spans="1:51" ht="17.5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</row>
    <row r="263" spans="1:51" ht="17.5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</row>
    <row r="264" spans="1:51" ht="17.5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</row>
    <row r="265" spans="1:51" ht="17.5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</row>
    <row r="266" spans="1:51" ht="17.5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</row>
    <row r="267" spans="1:51" ht="17.5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</row>
    <row r="268" spans="1:51" ht="17.5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</row>
    <row r="269" spans="1:51" ht="17.5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</row>
    <row r="270" spans="1:51" ht="17.5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</row>
    <row r="271" spans="1:51" ht="17.5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</row>
    <row r="272" spans="1:51" ht="17.5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</row>
    <row r="273" spans="1:51" ht="17.5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</row>
    <row r="274" spans="1:51" ht="17.5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</row>
    <row r="275" spans="1:51" ht="17.5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</row>
    <row r="276" spans="1:51" ht="17.5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</row>
    <row r="277" spans="1:51" ht="17.5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</row>
    <row r="278" spans="1:51" ht="17.5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</row>
    <row r="279" spans="1:51" ht="17.5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</row>
    <row r="280" spans="1:51" ht="17.5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</row>
    <row r="281" spans="1:51" ht="17.5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</row>
    <row r="282" spans="1:51" ht="17.5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</row>
    <row r="283" spans="1:51" ht="17.5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</row>
    <row r="284" spans="1:51" ht="17.5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</row>
    <row r="285" spans="1:51" ht="17.5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</row>
    <row r="286" spans="1:51" ht="17.5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</row>
    <row r="287" spans="1:51" ht="17.5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</row>
    <row r="288" spans="1:51" ht="17.5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</row>
    <row r="289" spans="1:51" ht="17.5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</row>
    <row r="290" spans="1:51" ht="17.5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</row>
    <row r="291" spans="1:51" ht="17.5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</row>
    <row r="292" spans="1:51" ht="17.5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</row>
    <row r="293" spans="1:51" ht="17.5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</row>
    <row r="294" spans="1:51" ht="17.5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</row>
    <row r="295" spans="1:51" ht="17.5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</row>
    <row r="296" spans="1:51" ht="17.5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</row>
    <row r="297" spans="1:51" ht="17.5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</row>
    <row r="298" spans="1:51" ht="17.5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</row>
    <row r="299" spans="1:51" ht="17.5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</row>
    <row r="300" spans="1:51" ht="17.5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</row>
    <row r="301" spans="1:51" ht="17.5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51" ht="17.5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51" ht="17.5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51" ht="17.5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7.5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7.5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7.5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7.5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</sheetData>
  <phoneticPr fontId="1" type="noConversion"/>
  <pageMargins left="0.7" right="0.7" top="0.75" bottom="0.75" header="0.3" footer="0.3"/>
  <pageSetup paperSize="9" orientation="portrait" horizontalDpi="4294967293" verticalDpi="0" r:id="rId1"/>
  <colBreaks count="1" manualBreakCount="1">
    <brk id="10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6"/>
  <sheetViews>
    <sheetView topLeftCell="A2" zoomScaleNormal="100" workbookViewId="0">
      <selection activeCell="K18" sqref="K18"/>
    </sheetView>
  </sheetViews>
  <sheetFormatPr defaultRowHeight="14" x14ac:dyDescent="0.25"/>
  <sheetData>
    <row r="2" spans="2:13" x14ac:dyDescent="0.25">
      <c r="B2" t="s">
        <v>63</v>
      </c>
    </row>
    <row r="4" spans="2:13" x14ac:dyDescent="0.25">
      <c r="B4" t="s">
        <v>69</v>
      </c>
      <c r="E4" t="s">
        <v>96</v>
      </c>
      <c r="H4" t="s">
        <v>247</v>
      </c>
    </row>
    <row r="5" spans="2:13" x14ac:dyDescent="0.25">
      <c r="B5" t="s">
        <v>70</v>
      </c>
      <c r="C5" s="84" t="s">
        <v>71</v>
      </c>
      <c r="D5" s="84"/>
      <c r="E5" t="s">
        <v>70</v>
      </c>
      <c r="F5" t="s">
        <v>95</v>
      </c>
      <c r="H5" t="s">
        <v>248</v>
      </c>
      <c r="I5" t="s">
        <v>255</v>
      </c>
    </row>
    <row r="6" spans="2:13" x14ac:dyDescent="0.25">
      <c r="B6" t="s">
        <v>72</v>
      </c>
      <c r="C6" t="s">
        <v>73</v>
      </c>
      <c r="E6" t="s">
        <v>245</v>
      </c>
      <c r="F6" t="s">
        <v>73</v>
      </c>
      <c r="H6" t="s">
        <v>249</v>
      </c>
      <c r="I6" t="s">
        <v>254</v>
      </c>
    </row>
    <row r="7" spans="2:13" x14ac:dyDescent="0.25">
      <c r="B7" t="s">
        <v>74</v>
      </c>
      <c r="C7" t="s">
        <v>75</v>
      </c>
      <c r="E7" t="s">
        <v>97</v>
      </c>
      <c r="F7" t="s">
        <v>75</v>
      </c>
      <c r="H7" t="s">
        <v>250</v>
      </c>
      <c r="I7" t="s">
        <v>239</v>
      </c>
    </row>
    <row r="8" spans="2:13" x14ac:dyDescent="0.25">
      <c r="B8" t="s">
        <v>240</v>
      </c>
      <c r="C8">
        <v>9</v>
      </c>
      <c r="E8" t="s">
        <v>93</v>
      </c>
      <c r="F8">
        <v>3</v>
      </c>
      <c r="H8" t="s">
        <v>251</v>
      </c>
      <c r="I8">
        <v>8</v>
      </c>
    </row>
    <row r="9" spans="2:13" x14ac:dyDescent="0.25">
      <c r="B9" t="s">
        <v>241</v>
      </c>
      <c r="C9">
        <v>1</v>
      </c>
      <c r="H9" t="s">
        <v>252</v>
      </c>
      <c r="I9">
        <v>1</v>
      </c>
      <c r="J9" s="84" t="s">
        <v>258</v>
      </c>
      <c r="K9" s="84"/>
      <c r="L9" s="84"/>
      <c r="M9">
        <v>1</v>
      </c>
    </row>
    <row r="10" spans="2:13" x14ac:dyDescent="0.25">
      <c r="B10" t="s">
        <v>261</v>
      </c>
      <c r="C10">
        <v>3</v>
      </c>
      <c r="H10" t="s">
        <v>253</v>
      </c>
      <c r="J10" t="s">
        <v>259</v>
      </c>
      <c r="K10">
        <v>1</v>
      </c>
    </row>
    <row r="11" spans="2:13" x14ac:dyDescent="0.25">
      <c r="B11" t="s">
        <v>134</v>
      </c>
      <c r="C11">
        <v>70</v>
      </c>
      <c r="H11" t="s">
        <v>256</v>
      </c>
      <c r="I11" t="s">
        <v>257</v>
      </c>
      <c r="J11" t="s">
        <v>260</v>
      </c>
      <c r="K11">
        <v>1</v>
      </c>
    </row>
    <row r="12" spans="2:13" x14ac:dyDescent="0.25">
      <c r="B12" t="s">
        <v>196</v>
      </c>
      <c r="C12">
        <v>1</v>
      </c>
      <c r="H12" t="s">
        <v>262</v>
      </c>
      <c r="I12" t="s">
        <v>263</v>
      </c>
      <c r="J12" s="33">
        <v>0.3</v>
      </c>
      <c r="K12" s="7"/>
    </row>
    <row r="14" spans="2:13" x14ac:dyDescent="0.25">
      <c r="B14" t="s">
        <v>770</v>
      </c>
      <c r="E14" t="s">
        <v>246</v>
      </c>
      <c r="H14" t="s">
        <v>776</v>
      </c>
    </row>
    <row r="15" spans="2:13" x14ac:dyDescent="0.25">
      <c r="B15" t="s">
        <v>70</v>
      </c>
      <c r="C15" t="s">
        <v>243</v>
      </c>
      <c r="E15" t="s">
        <v>70</v>
      </c>
      <c r="F15" t="s">
        <v>244</v>
      </c>
      <c r="H15" t="s">
        <v>777</v>
      </c>
      <c r="I15" t="s">
        <v>778</v>
      </c>
    </row>
    <row r="16" spans="2:13" ht="15" x14ac:dyDescent="0.25">
      <c r="B16" t="s">
        <v>72</v>
      </c>
      <c r="C16" s="79" t="s">
        <v>254</v>
      </c>
      <c r="E16" t="s">
        <v>72</v>
      </c>
      <c r="F16" t="s">
        <v>238</v>
      </c>
      <c r="H16" t="s">
        <v>72</v>
      </c>
      <c r="I16" t="s">
        <v>779</v>
      </c>
    </row>
    <row r="17" spans="2:9" x14ac:dyDescent="0.25">
      <c r="B17" t="s">
        <v>74</v>
      </c>
      <c r="C17" t="s">
        <v>239</v>
      </c>
      <c r="E17" t="s">
        <v>74</v>
      </c>
      <c r="F17" t="s">
        <v>239</v>
      </c>
      <c r="H17" t="s">
        <v>74</v>
      </c>
      <c r="I17" t="s">
        <v>702</v>
      </c>
    </row>
    <row r="18" spans="2:9" x14ac:dyDescent="0.25">
      <c r="B18" t="s">
        <v>240</v>
      </c>
      <c r="C18">
        <v>10</v>
      </c>
      <c r="E18" t="s">
        <v>93</v>
      </c>
      <c r="F18">
        <v>10</v>
      </c>
      <c r="H18" t="s">
        <v>240</v>
      </c>
      <c r="I18">
        <v>14</v>
      </c>
    </row>
    <row r="19" spans="2:9" x14ac:dyDescent="0.25">
      <c r="B19" t="s">
        <v>242</v>
      </c>
      <c r="C19" t="s">
        <v>821</v>
      </c>
      <c r="H19" t="s">
        <v>241</v>
      </c>
      <c r="I19" t="s">
        <v>813</v>
      </c>
    </row>
    <row r="20" spans="2:9" x14ac:dyDescent="0.25">
      <c r="B20" t="s">
        <v>261</v>
      </c>
      <c r="C20">
        <v>3</v>
      </c>
      <c r="H20" t="s">
        <v>261</v>
      </c>
      <c r="I20">
        <v>3</v>
      </c>
    </row>
    <row r="21" spans="2:9" x14ac:dyDescent="0.25">
      <c r="B21" t="s">
        <v>134</v>
      </c>
      <c r="C21">
        <v>120</v>
      </c>
      <c r="H21" t="s">
        <v>134</v>
      </c>
      <c r="I21">
        <v>200</v>
      </c>
    </row>
    <row r="22" spans="2:9" x14ac:dyDescent="0.25">
      <c r="B22" t="s">
        <v>196</v>
      </c>
      <c r="C22">
        <v>30</v>
      </c>
      <c r="H22" t="s">
        <v>196</v>
      </c>
      <c r="I22">
        <v>100</v>
      </c>
    </row>
    <row r="23" spans="2:9" x14ac:dyDescent="0.25">
      <c r="H23" t="s">
        <v>810</v>
      </c>
    </row>
    <row r="24" spans="2:9" x14ac:dyDescent="0.25">
      <c r="H24" t="s">
        <v>809</v>
      </c>
    </row>
    <row r="25" spans="2:9" x14ac:dyDescent="0.25">
      <c r="H25" t="s">
        <v>811</v>
      </c>
      <c r="I25" t="s">
        <v>812</v>
      </c>
    </row>
    <row r="26" spans="2:9" x14ac:dyDescent="0.25">
      <c r="H26" t="s">
        <v>814</v>
      </c>
      <c r="I26" s="33">
        <v>0.3</v>
      </c>
    </row>
  </sheetData>
  <mergeCells count="2">
    <mergeCell ref="C5:D5"/>
    <mergeCell ref="J9:L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2"/>
  <sheetViews>
    <sheetView topLeftCell="B1" workbookViewId="0">
      <selection activeCell="G4" sqref="G4"/>
    </sheetView>
  </sheetViews>
  <sheetFormatPr defaultRowHeight="14" x14ac:dyDescent="0.25"/>
  <cols>
    <col min="15" max="15" width="14.90625" bestFit="1" customWidth="1"/>
  </cols>
  <sheetData>
    <row r="1" spans="1:17" x14ac:dyDescent="0.25">
      <c r="J1" t="s">
        <v>753</v>
      </c>
    </row>
    <row r="2" spans="1:17" ht="23" x14ac:dyDescent="0.4">
      <c r="B2" s="6" t="s">
        <v>32</v>
      </c>
      <c r="C2" s="6" t="s">
        <v>33</v>
      </c>
      <c r="D2">
        <v>0</v>
      </c>
      <c r="E2">
        <v>1</v>
      </c>
      <c r="G2" s="87" t="s">
        <v>500</v>
      </c>
      <c r="H2" s="87"/>
      <c r="I2" s="2">
        <v>0</v>
      </c>
      <c r="J2" t="s">
        <v>754</v>
      </c>
      <c r="K2" t="s">
        <v>480</v>
      </c>
      <c r="O2" s="70" t="s">
        <v>542</v>
      </c>
      <c r="Q2" t="s">
        <v>717</v>
      </c>
    </row>
    <row r="3" spans="1:17" x14ac:dyDescent="0.25">
      <c r="A3" s="5" t="s">
        <v>34</v>
      </c>
      <c r="B3" s="5">
        <v>1</v>
      </c>
      <c r="C3" s="5">
        <v>10</v>
      </c>
      <c r="D3">
        <f>$C3+$D2</f>
        <v>10</v>
      </c>
      <c r="E3">
        <v>1</v>
      </c>
      <c r="G3" t="s">
        <v>73</v>
      </c>
      <c r="H3" s="7" t="s">
        <v>100</v>
      </c>
      <c r="I3" s="2">
        <v>1</v>
      </c>
      <c r="J3" s="2" t="s">
        <v>755</v>
      </c>
      <c r="K3" t="s">
        <v>482</v>
      </c>
      <c r="L3" t="s">
        <v>481</v>
      </c>
      <c r="O3">
        <v>0</v>
      </c>
      <c r="P3">
        <v>1</v>
      </c>
      <c r="Q3">
        <v>10</v>
      </c>
    </row>
    <row r="4" spans="1:17" x14ac:dyDescent="0.25">
      <c r="A4" s="5"/>
      <c r="B4" s="5">
        <f>B3+1</f>
        <v>2</v>
      </c>
      <c r="C4" s="5">
        <v>50</v>
      </c>
      <c r="D4">
        <v>100</v>
      </c>
      <c r="E4">
        <f>$E3+1</f>
        <v>2</v>
      </c>
      <c r="G4" t="s">
        <v>98</v>
      </c>
      <c r="H4" s="7" t="s">
        <v>101</v>
      </c>
      <c r="I4" s="2">
        <v>2</v>
      </c>
      <c r="J4" s="2" t="s">
        <v>756</v>
      </c>
      <c r="K4" t="s">
        <v>483</v>
      </c>
      <c r="L4" t="s">
        <v>484</v>
      </c>
      <c r="O4">
        <v>100</v>
      </c>
      <c r="P4">
        <v>2</v>
      </c>
      <c r="Q4">
        <v>50</v>
      </c>
    </row>
    <row r="5" spans="1:17" x14ac:dyDescent="0.25">
      <c r="A5" s="5"/>
      <c r="B5" s="5">
        <f t="shared" ref="B5:B62" si="0">B4+1</f>
        <v>3</v>
      </c>
      <c r="C5" s="5">
        <v>100</v>
      </c>
      <c r="D5">
        <f t="shared" ref="D5:D20" si="1">$C5+$D4</f>
        <v>200</v>
      </c>
      <c r="E5">
        <f t="shared" ref="E5:E21" si="2">$E4+1</f>
        <v>3</v>
      </c>
      <c r="G5" t="s">
        <v>464</v>
      </c>
      <c r="H5" s="7" t="s">
        <v>102</v>
      </c>
      <c r="I5" s="2">
        <v>3</v>
      </c>
      <c r="J5" s="2" t="s">
        <v>757</v>
      </c>
      <c r="K5" t="s">
        <v>485</v>
      </c>
      <c r="L5" t="s">
        <v>486</v>
      </c>
      <c r="O5">
        <v>300</v>
      </c>
      <c r="P5">
        <f t="shared" ref="P5:P13" si="3">P4+1</f>
        <v>3</v>
      </c>
      <c r="Q5">
        <v>100</v>
      </c>
    </row>
    <row r="6" spans="1:17" x14ac:dyDescent="0.25">
      <c r="A6" s="5"/>
      <c r="B6" s="5">
        <f t="shared" si="0"/>
        <v>4</v>
      </c>
      <c r="C6" s="5">
        <f>$C4+$C5</f>
        <v>150</v>
      </c>
      <c r="D6">
        <f t="shared" si="1"/>
        <v>350</v>
      </c>
      <c r="E6">
        <f t="shared" si="2"/>
        <v>4</v>
      </c>
      <c r="G6" t="s">
        <v>99</v>
      </c>
      <c r="H6" s="7" t="s">
        <v>103</v>
      </c>
      <c r="I6" s="2">
        <v>4</v>
      </c>
      <c r="J6" s="2" t="s">
        <v>760</v>
      </c>
      <c r="K6" t="s">
        <v>487</v>
      </c>
      <c r="L6" t="s">
        <v>488</v>
      </c>
      <c r="O6">
        <v>750</v>
      </c>
      <c r="P6">
        <f t="shared" si="3"/>
        <v>4</v>
      </c>
      <c r="Q6">
        <v>150</v>
      </c>
    </row>
    <row r="7" spans="1:17" x14ac:dyDescent="0.25">
      <c r="A7" s="5"/>
      <c r="B7" s="5">
        <f t="shared" si="0"/>
        <v>5</v>
      </c>
      <c r="C7" s="5">
        <f t="shared" ref="C7:C9" si="4">$C5+$C6</f>
        <v>250</v>
      </c>
      <c r="D7">
        <f t="shared" si="1"/>
        <v>600</v>
      </c>
      <c r="E7">
        <f t="shared" si="2"/>
        <v>5</v>
      </c>
      <c r="G7" s="13" t="s">
        <v>113</v>
      </c>
      <c r="H7" s="7" t="s">
        <v>104</v>
      </c>
      <c r="I7" s="2">
        <v>5</v>
      </c>
      <c r="J7" s="2" t="s">
        <v>759</v>
      </c>
      <c r="O7">
        <v>1500</v>
      </c>
      <c r="P7">
        <f t="shared" si="3"/>
        <v>5</v>
      </c>
      <c r="Q7">
        <v>200</v>
      </c>
    </row>
    <row r="8" spans="1:17" x14ac:dyDescent="0.25">
      <c r="A8" s="5"/>
      <c r="B8" s="5">
        <f t="shared" si="0"/>
        <v>6</v>
      </c>
      <c r="C8" s="5">
        <f t="shared" si="4"/>
        <v>400</v>
      </c>
      <c r="D8">
        <f t="shared" si="1"/>
        <v>1000</v>
      </c>
      <c r="E8">
        <f t="shared" si="2"/>
        <v>6</v>
      </c>
      <c r="G8" s="12" t="s">
        <v>462</v>
      </c>
      <c r="H8" s="7" t="s">
        <v>105</v>
      </c>
      <c r="I8" s="2">
        <v>6</v>
      </c>
      <c r="J8" s="2" t="s">
        <v>758</v>
      </c>
      <c r="O8">
        <v>5000</v>
      </c>
      <c r="P8">
        <f t="shared" si="3"/>
        <v>6</v>
      </c>
      <c r="Q8">
        <v>500</v>
      </c>
    </row>
    <row r="9" spans="1:17" x14ac:dyDescent="0.25">
      <c r="A9" s="5"/>
      <c r="B9" s="5">
        <f t="shared" si="0"/>
        <v>7</v>
      </c>
      <c r="C9" s="5">
        <f t="shared" si="4"/>
        <v>650</v>
      </c>
      <c r="D9">
        <f t="shared" si="1"/>
        <v>1650</v>
      </c>
      <c r="E9">
        <f t="shared" si="2"/>
        <v>7</v>
      </c>
      <c r="G9" s="12" t="s">
        <v>110</v>
      </c>
      <c r="H9" s="7" t="s">
        <v>109</v>
      </c>
      <c r="I9" s="2">
        <v>7</v>
      </c>
      <c r="J9" s="2" t="s">
        <v>761</v>
      </c>
      <c r="O9">
        <v>10000</v>
      </c>
      <c r="P9">
        <f t="shared" si="3"/>
        <v>7</v>
      </c>
      <c r="Q9">
        <v>1000</v>
      </c>
    </row>
    <row r="10" spans="1:17" x14ac:dyDescent="0.25">
      <c r="A10" s="5"/>
      <c r="B10" s="5">
        <f t="shared" si="0"/>
        <v>8</v>
      </c>
      <c r="C10" s="5">
        <v>850</v>
      </c>
      <c r="D10">
        <f t="shared" si="1"/>
        <v>2500</v>
      </c>
      <c r="E10">
        <f t="shared" si="2"/>
        <v>8</v>
      </c>
      <c r="G10" s="12" t="s">
        <v>114</v>
      </c>
      <c r="H10" s="7" t="s">
        <v>106</v>
      </c>
      <c r="I10" s="2">
        <v>8</v>
      </c>
      <c r="J10" s="2" t="s">
        <v>762</v>
      </c>
      <c r="O10">
        <v>30000</v>
      </c>
      <c r="P10">
        <f t="shared" si="3"/>
        <v>8</v>
      </c>
      <c r="Q10">
        <v>1500</v>
      </c>
    </row>
    <row r="11" spans="1:17" x14ac:dyDescent="0.25">
      <c r="A11" s="5"/>
      <c r="B11" s="5">
        <f>B10+1</f>
        <v>9</v>
      </c>
      <c r="C11" s="5">
        <v>1000</v>
      </c>
      <c r="D11">
        <f t="shared" si="1"/>
        <v>3500</v>
      </c>
      <c r="E11">
        <f t="shared" si="2"/>
        <v>9</v>
      </c>
      <c r="G11" s="12" t="s">
        <v>111</v>
      </c>
      <c r="H11" s="7" t="s">
        <v>107</v>
      </c>
      <c r="I11" s="2">
        <v>9</v>
      </c>
      <c r="J11" s="2" t="s">
        <v>763</v>
      </c>
      <c r="O11">
        <v>70000</v>
      </c>
      <c r="P11">
        <f t="shared" si="3"/>
        <v>9</v>
      </c>
      <c r="Q11">
        <v>2500</v>
      </c>
    </row>
    <row r="12" spans="1:17" x14ac:dyDescent="0.25">
      <c r="A12" s="4" t="s">
        <v>35</v>
      </c>
      <c r="B12" s="4">
        <f t="shared" si="0"/>
        <v>10</v>
      </c>
      <c r="C12" s="4">
        <v>1250</v>
      </c>
      <c r="D12">
        <f t="shared" si="1"/>
        <v>4750</v>
      </c>
      <c r="E12">
        <f t="shared" si="2"/>
        <v>10</v>
      </c>
      <c r="G12" s="12" t="s">
        <v>112</v>
      </c>
      <c r="H12" s="7" t="s">
        <v>108</v>
      </c>
      <c r="I12" s="2">
        <v>10</v>
      </c>
      <c r="J12" s="2" t="s">
        <v>764</v>
      </c>
      <c r="O12">
        <v>100000</v>
      </c>
      <c r="P12">
        <f t="shared" si="3"/>
        <v>10</v>
      </c>
      <c r="Q12">
        <v>5000</v>
      </c>
    </row>
    <row r="13" spans="1:17" x14ac:dyDescent="0.25">
      <c r="A13" s="4"/>
      <c r="B13" s="4">
        <f t="shared" si="0"/>
        <v>11</v>
      </c>
      <c r="C13" s="4">
        <v>1500</v>
      </c>
      <c r="D13">
        <f t="shared" si="1"/>
        <v>6250</v>
      </c>
      <c r="E13">
        <f t="shared" si="2"/>
        <v>11</v>
      </c>
      <c r="H13" s="7"/>
      <c r="O13">
        <v>1000000</v>
      </c>
      <c r="P13">
        <f t="shared" si="3"/>
        <v>11</v>
      </c>
      <c r="Q13">
        <v>10000</v>
      </c>
    </row>
    <row r="14" spans="1:17" x14ac:dyDescent="0.25">
      <c r="A14" s="4"/>
      <c r="B14" s="4">
        <f t="shared" si="0"/>
        <v>12</v>
      </c>
      <c r="C14" s="4">
        <v>1700</v>
      </c>
      <c r="D14">
        <f t="shared" si="1"/>
        <v>7950</v>
      </c>
      <c r="E14">
        <f t="shared" si="2"/>
        <v>12</v>
      </c>
    </row>
    <row r="15" spans="1:17" x14ac:dyDescent="0.25">
      <c r="A15" s="4"/>
      <c r="B15" s="4">
        <f t="shared" si="0"/>
        <v>13</v>
      </c>
      <c r="C15" s="4">
        <v>1850</v>
      </c>
      <c r="D15">
        <f t="shared" si="1"/>
        <v>9800</v>
      </c>
      <c r="E15">
        <f t="shared" si="2"/>
        <v>13</v>
      </c>
    </row>
    <row r="16" spans="1:17" x14ac:dyDescent="0.25">
      <c r="A16" s="4"/>
      <c r="B16" s="4">
        <f t="shared" si="0"/>
        <v>14</v>
      </c>
      <c r="C16" s="4">
        <v>1900</v>
      </c>
      <c r="D16">
        <f t="shared" si="1"/>
        <v>11700</v>
      </c>
      <c r="E16">
        <f t="shared" si="2"/>
        <v>14</v>
      </c>
      <c r="O16" t="s">
        <v>717</v>
      </c>
      <c r="P16" t="s">
        <v>716</v>
      </c>
    </row>
    <row r="17" spans="1:16" x14ac:dyDescent="0.25">
      <c r="A17" s="4"/>
      <c r="B17" s="4">
        <f t="shared" si="0"/>
        <v>15</v>
      </c>
      <c r="C17" s="4">
        <v>2000</v>
      </c>
      <c r="D17">
        <f t="shared" si="1"/>
        <v>13700</v>
      </c>
      <c r="E17">
        <f t="shared" si="2"/>
        <v>15</v>
      </c>
      <c r="O17">
        <v>0</v>
      </c>
      <c r="P17">
        <v>1</v>
      </c>
    </row>
    <row r="18" spans="1:16" x14ac:dyDescent="0.25">
      <c r="A18" s="4"/>
      <c r="B18" s="4">
        <f t="shared" si="0"/>
        <v>16</v>
      </c>
      <c r="C18" s="4">
        <v>2150</v>
      </c>
      <c r="D18">
        <f t="shared" si="1"/>
        <v>15850</v>
      </c>
      <c r="E18">
        <f t="shared" si="2"/>
        <v>16</v>
      </c>
      <c r="O18">
        <v>10</v>
      </c>
      <c r="P18">
        <v>2</v>
      </c>
    </row>
    <row r="19" spans="1:16" x14ac:dyDescent="0.25">
      <c r="A19" s="4"/>
      <c r="B19" s="4">
        <f t="shared" si="0"/>
        <v>17</v>
      </c>
      <c r="C19" s="4">
        <v>2300</v>
      </c>
      <c r="D19">
        <f t="shared" si="1"/>
        <v>18150</v>
      </c>
      <c r="E19">
        <f t="shared" si="2"/>
        <v>17</v>
      </c>
      <c r="O19">
        <v>500</v>
      </c>
      <c r="P19">
        <v>3</v>
      </c>
    </row>
    <row r="20" spans="1:16" x14ac:dyDescent="0.25">
      <c r="A20" s="4"/>
      <c r="B20" s="4">
        <f t="shared" si="0"/>
        <v>18</v>
      </c>
      <c r="C20" s="4">
        <v>2400</v>
      </c>
      <c r="D20">
        <f t="shared" si="1"/>
        <v>20550</v>
      </c>
      <c r="E20">
        <f t="shared" si="2"/>
        <v>18</v>
      </c>
      <c r="O20">
        <v>1000</v>
      </c>
      <c r="P20">
        <v>4</v>
      </c>
    </row>
    <row r="21" spans="1:16" x14ac:dyDescent="0.25">
      <c r="A21" s="4"/>
      <c r="B21" s="4">
        <f t="shared" si="0"/>
        <v>19</v>
      </c>
      <c r="C21" s="4">
        <v>2500</v>
      </c>
      <c r="D21">
        <f>$C21+$D20+100</f>
        <v>23150</v>
      </c>
      <c r="E21">
        <f t="shared" si="2"/>
        <v>19</v>
      </c>
      <c r="O21">
        <v>1500</v>
      </c>
      <c r="P21">
        <v>5</v>
      </c>
    </row>
    <row r="22" spans="1:16" x14ac:dyDescent="0.25">
      <c r="A22" s="37" t="s">
        <v>489</v>
      </c>
      <c r="B22" s="37">
        <f t="shared" si="0"/>
        <v>20</v>
      </c>
      <c r="C22" s="37">
        <v>2600</v>
      </c>
      <c r="D22">
        <f>$C22+$D21+1000</f>
        <v>26750</v>
      </c>
      <c r="O22">
        <v>3000</v>
      </c>
      <c r="P22">
        <v>6</v>
      </c>
    </row>
    <row r="23" spans="1:16" x14ac:dyDescent="0.25">
      <c r="A23" s="37"/>
      <c r="B23" s="37">
        <f t="shared" si="0"/>
        <v>21</v>
      </c>
      <c r="C23" s="37">
        <v>2900</v>
      </c>
      <c r="D23">
        <f t="shared" ref="D23:D31" si="5">$C23+$D22+1000</f>
        <v>30650</v>
      </c>
      <c r="O23">
        <v>5000</v>
      </c>
      <c r="P23">
        <v>7</v>
      </c>
    </row>
    <row r="24" spans="1:16" x14ac:dyDescent="0.25">
      <c r="A24" s="37"/>
      <c r="B24" s="37">
        <f t="shared" si="0"/>
        <v>22</v>
      </c>
      <c r="C24" s="37">
        <v>3000</v>
      </c>
      <c r="D24">
        <f t="shared" si="5"/>
        <v>34650</v>
      </c>
      <c r="O24">
        <v>10000</v>
      </c>
      <c r="P24">
        <v>8</v>
      </c>
    </row>
    <row r="25" spans="1:16" x14ac:dyDescent="0.25">
      <c r="A25" s="37"/>
      <c r="B25" s="37">
        <f t="shared" si="0"/>
        <v>23</v>
      </c>
      <c r="C25" s="37">
        <v>3500</v>
      </c>
      <c r="D25">
        <f t="shared" si="5"/>
        <v>39150</v>
      </c>
      <c r="O25">
        <v>15000</v>
      </c>
      <c r="P25">
        <v>9</v>
      </c>
    </row>
    <row r="26" spans="1:16" x14ac:dyDescent="0.25">
      <c r="A26" s="37"/>
      <c r="B26" s="37">
        <f t="shared" si="0"/>
        <v>24</v>
      </c>
      <c r="C26" s="37">
        <v>3600</v>
      </c>
      <c r="D26">
        <f t="shared" si="5"/>
        <v>43750</v>
      </c>
      <c r="O26">
        <v>100000</v>
      </c>
      <c r="P26">
        <v>10</v>
      </c>
    </row>
    <row r="27" spans="1:16" x14ac:dyDescent="0.25">
      <c r="A27" s="37"/>
      <c r="B27" s="37">
        <f t="shared" si="0"/>
        <v>25</v>
      </c>
      <c r="C27" s="37">
        <v>3700</v>
      </c>
      <c r="D27">
        <f t="shared" si="5"/>
        <v>48450</v>
      </c>
    </row>
    <row r="28" spans="1:16" x14ac:dyDescent="0.25">
      <c r="A28" s="37"/>
      <c r="B28" s="37">
        <f t="shared" si="0"/>
        <v>26</v>
      </c>
      <c r="C28" s="37">
        <v>3800</v>
      </c>
      <c r="D28">
        <f t="shared" si="5"/>
        <v>53250</v>
      </c>
    </row>
    <row r="29" spans="1:16" x14ac:dyDescent="0.25">
      <c r="A29" s="37"/>
      <c r="B29" s="37">
        <f t="shared" si="0"/>
        <v>27</v>
      </c>
      <c r="C29" s="37">
        <v>3900</v>
      </c>
      <c r="D29">
        <f t="shared" si="5"/>
        <v>58150</v>
      </c>
    </row>
    <row r="30" spans="1:16" x14ac:dyDescent="0.25">
      <c r="A30" s="37"/>
      <c r="B30" s="37">
        <f t="shared" si="0"/>
        <v>28</v>
      </c>
      <c r="C30" s="37">
        <v>3900</v>
      </c>
      <c r="D30">
        <f t="shared" si="5"/>
        <v>63050</v>
      </c>
    </row>
    <row r="31" spans="1:16" x14ac:dyDescent="0.25">
      <c r="A31" s="37"/>
      <c r="B31" s="37">
        <f t="shared" si="0"/>
        <v>29</v>
      </c>
      <c r="C31" s="37">
        <v>4000</v>
      </c>
      <c r="D31">
        <f t="shared" si="5"/>
        <v>68050</v>
      </c>
    </row>
    <row r="32" spans="1:16" x14ac:dyDescent="0.25">
      <c r="A32" s="52" t="s">
        <v>490</v>
      </c>
      <c r="B32" s="52">
        <f t="shared" si="0"/>
        <v>30</v>
      </c>
      <c r="C32" s="52">
        <v>4500</v>
      </c>
      <c r="D32">
        <f>$C32+$D31+10000</f>
        <v>82550</v>
      </c>
    </row>
    <row r="33" spans="1:4" x14ac:dyDescent="0.25">
      <c r="A33" s="52" t="s">
        <v>502</v>
      </c>
      <c r="B33" s="52">
        <f t="shared" si="0"/>
        <v>31</v>
      </c>
      <c r="C33" s="52">
        <v>5000</v>
      </c>
      <c r="D33">
        <f t="shared" ref="D33:D51" si="6">$C33+$D32+10000</f>
        <v>97550</v>
      </c>
    </row>
    <row r="34" spans="1:4" x14ac:dyDescent="0.25">
      <c r="A34" s="52"/>
      <c r="B34" s="52">
        <f t="shared" si="0"/>
        <v>32</v>
      </c>
      <c r="C34" s="52">
        <v>6000</v>
      </c>
      <c r="D34">
        <f t="shared" si="6"/>
        <v>113550</v>
      </c>
    </row>
    <row r="35" spans="1:4" x14ac:dyDescent="0.25">
      <c r="A35" s="52"/>
      <c r="B35" s="52">
        <f t="shared" si="0"/>
        <v>33</v>
      </c>
      <c r="C35" s="52">
        <v>6500</v>
      </c>
      <c r="D35">
        <f t="shared" si="6"/>
        <v>130050</v>
      </c>
    </row>
    <row r="36" spans="1:4" x14ac:dyDescent="0.25">
      <c r="A36" s="52"/>
      <c r="B36" s="52">
        <f t="shared" si="0"/>
        <v>34</v>
      </c>
      <c r="C36" s="52">
        <v>7000</v>
      </c>
      <c r="D36">
        <f t="shared" si="6"/>
        <v>147050</v>
      </c>
    </row>
    <row r="37" spans="1:4" x14ac:dyDescent="0.25">
      <c r="A37" s="52"/>
      <c r="B37" s="52">
        <f t="shared" si="0"/>
        <v>35</v>
      </c>
      <c r="C37" s="52">
        <v>7500</v>
      </c>
      <c r="D37">
        <f t="shared" si="6"/>
        <v>164550</v>
      </c>
    </row>
    <row r="38" spans="1:4" x14ac:dyDescent="0.25">
      <c r="A38" s="52"/>
      <c r="B38" s="52">
        <f t="shared" si="0"/>
        <v>36</v>
      </c>
      <c r="C38" s="52">
        <v>8000</v>
      </c>
      <c r="D38">
        <f t="shared" si="6"/>
        <v>182550</v>
      </c>
    </row>
    <row r="39" spans="1:4" x14ac:dyDescent="0.25">
      <c r="A39" s="52"/>
      <c r="B39" s="52">
        <f t="shared" si="0"/>
        <v>37</v>
      </c>
      <c r="C39" s="52">
        <v>9000</v>
      </c>
      <c r="D39">
        <f t="shared" si="6"/>
        <v>201550</v>
      </c>
    </row>
    <row r="40" spans="1:4" x14ac:dyDescent="0.25">
      <c r="A40" s="52"/>
      <c r="B40" s="52">
        <f t="shared" si="0"/>
        <v>38</v>
      </c>
      <c r="C40" s="52">
        <v>10000</v>
      </c>
      <c r="D40">
        <f t="shared" si="6"/>
        <v>221550</v>
      </c>
    </row>
    <row r="41" spans="1:4" x14ac:dyDescent="0.25">
      <c r="A41" s="52"/>
      <c r="B41" s="52">
        <f t="shared" si="0"/>
        <v>39</v>
      </c>
      <c r="C41" s="52">
        <v>10000</v>
      </c>
      <c r="D41">
        <f t="shared" si="6"/>
        <v>241550</v>
      </c>
    </row>
    <row r="42" spans="1:4" x14ac:dyDescent="0.25">
      <c r="A42" s="23" t="s">
        <v>491</v>
      </c>
      <c r="B42" s="23">
        <f t="shared" si="0"/>
        <v>40</v>
      </c>
      <c r="C42" s="23">
        <v>15000</v>
      </c>
      <c r="D42">
        <f t="shared" si="6"/>
        <v>266550</v>
      </c>
    </row>
    <row r="43" spans="1:4" x14ac:dyDescent="0.25">
      <c r="A43" s="23"/>
      <c r="B43" s="23">
        <f t="shared" si="0"/>
        <v>41</v>
      </c>
      <c r="C43" s="23">
        <v>17000</v>
      </c>
      <c r="D43">
        <f t="shared" si="6"/>
        <v>293550</v>
      </c>
    </row>
    <row r="44" spans="1:4" x14ac:dyDescent="0.25">
      <c r="A44" s="23"/>
      <c r="B44" s="23">
        <f t="shared" si="0"/>
        <v>42</v>
      </c>
      <c r="C44" s="23">
        <v>20000</v>
      </c>
      <c r="D44">
        <f t="shared" si="6"/>
        <v>323550</v>
      </c>
    </row>
    <row r="45" spans="1:4" x14ac:dyDescent="0.25">
      <c r="A45" s="23"/>
      <c r="B45" s="23">
        <f t="shared" si="0"/>
        <v>43</v>
      </c>
      <c r="C45" s="23">
        <v>25000</v>
      </c>
      <c r="D45">
        <f t="shared" si="6"/>
        <v>358550</v>
      </c>
    </row>
    <row r="46" spans="1:4" x14ac:dyDescent="0.25">
      <c r="A46" s="23"/>
      <c r="B46" s="23">
        <f t="shared" si="0"/>
        <v>44</v>
      </c>
      <c r="C46" s="23">
        <v>30000</v>
      </c>
      <c r="D46">
        <f t="shared" si="6"/>
        <v>398550</v>
      </c>
    </row>
    <row r="47" spans="1:4" x14ac:dyDescent="0.25">
      <c r="A47" s="23"/>
      <c r="B47" s="23">
        <f t="shared" si="0"/>
        <v>45</v>
      </c>
      <c r="C47" s="23">
        <v>50000</v>
      </c>
      <c r="D47">
        <f t="shared" si="6"/>
        <v>458550</v>
      </c>
    </row>
    <row r="48" spans="1:4" x14ac:dyDescent="0.25">
      <c r="A48" s="23"/>
      <c r="B48" s="23">
        <f t="shared" si="0"/>
        <v>46</v>
      </c>
      <c r="C48" s="23">
        <v>55000</v>
      </c>
      <c r="D48">
        <f t="shared" si="6"/>
        <v>523550</v>
      </c>
    </row>
    <row r="49" spans="1:4" x14ac:dyDescent="0.25">
      <c r="A49" s="23"/>
      <c r="B49" s="23">
        <f t="shared" si="0"/>
        <v>47</v>
      </c>
      <c r="C49" s="23">
        <v>60000</v>
      </c>
      <c r="D49">
        <f t="shared" si="6"/>
        <v>593550</v>
      </c>
    </row>
    <row r="50" spans="1:4" x14ac:dyDescent="0.25">
      <c r="A50" s="23"/>
      <c r="B50" s="23">
        <f t="shared" si="0"/>
        <v>48</v>
      </c>
      <c r="C50" s="23">
        <v>75000</v>
      </c>
      <c r="D50">
        <f t="shared" si="6"/>
        <v>678550</v>
      </c>
    </row>
    <row r="51" spans="1:4" x14ac:dyDescent="0.25">
      <c r="A51" s="23"/>
      <c r="B51" s="23">
        <f t="shared" si="0"/>
        <v>49</v>
      </c>
      <c r="C51" s="23">
        <v>100000</v>
      </c>
      <c r="D51">
        <f t="shared" si="6"/>
        <v>788550</v>
      </c>
    </row>
    <row r="52" spans="1:4" x14ac:dyDescent="0.25">
      <c r="A52" s="53" t="s">
        <v>503</v>
      </c>
      <c r="B52" s="53">
        <f t="shared" si="0"/>
        <v>50</v>
      </c>
      <c r="C52" s="53"/>
      <c r="D52">
        <f>$C52+$D51+30000</f>
        <v>818550</v>
      </c>
    </row>
    <row r="53" spans="1:4" x14ac:dyDescent="0.25">
      <c r="A53" s="53"/>
      <c r="B53" s="53">
        <f t="shared" si="0"/>
        <v>51</v>
      </c>
      <c r="C53" s="53"/>
      <c r="D53">
        <f t="shared" ref="D53:D61" si="7">$C53+$D52+30000</f>
        <v>848550</v>
      </c>
    </row>
    <row r="54" spans="1:4" x14ac:dyDescent="0.25">
      <c r="A54" s="53"/>
      <c r="B54" s="53">
        <f t="shared" si="0"/>
        <v>52</v>
      </c>
      <c r="C54" s="53"/>
      <c r="D54">
        <f t="shared" si="7"/>
        <v>878550</v>
      </c>
    </row>
    <row r="55" spans="1:4" x14ac:dyDescent="0.25">
      <c r="A55" s="53"/>
      <c r="B55" s="53">
        <f t="shared" si="0"/>
        <v>53</v>
      </c>
      <c r="C55" s="53"/>
      <c r="D55">
        <f t="shared" si="7"/>
        <v>908550</v>
      </c>
    </row>
    <row r="56" spans="1:4" x14ac:dyDescent="0.25">
      <c r="A56" s="53"/>
      <c r="B56" s="53">
        <f t="shared" si="0"/>
        <v>54</v>
      </c>
      <c r="C56" s="53"/>
      <c r="D56">
        <f t="shared" si="7"/>
        <v>938550</v>
      </c>
    </row>
    <row r="57" spans="1:4" x14ac:dyDescent="0.25">
      <c r="A57" s="53"/>
      <c r="B57" s="53">
        <f t="shared" si="0"/>
        <v>55</v>
      </c>
      <c r="C57" s="53"/>
      <c r="D57">
        <f t="shared" si="7"/>
        <v>968550</v>
      </c>
    </row>
    <row r="58" spans="1:4" x14ac:dyDescent="0.25">
      <c r="A58" s="53"/>
      <c r="B58" s="53">
        <f t="shared" si="0"/>
        <v>56</v>
      </c>
      <c r="C58" s="53"/>
      <c r="D58">
        <f t="shared" si="7"/>
        <v>998550</v>
      </c>
    </row>
    <row r="59" spans="1:4" x14ac:dyDescent="0.25">
      <c r="A59" s="53"/>
      <c r="B59" s="53">
        <f t="shared" si="0"/>
        <v>57</v>
      </c>
      <c r="C59" s="53"/>
      <c r="D59">
        <f t="shared" si="7"/>
        <v>1028550</v>
      </c>
    </row>
    <row r="60" spans="1:4" x14ac:dyDescent="0.25">
      <c r="A60" s="53"/>
      <c r="B60" s="53">
        <f t="shared" si="0"/>
        <v>58</v>
      </c>
      <c r="C60" s="53"/>
      <c r="D60">
        <f t="shared" si="7"/>
        <v>1058550</v>
      </c>
    </row>
    <row r="61" spans="1:4" x14ac:dyDescent="0.25">
      <c r="A61" s="53"/>
      <c r="B61" s="53">
        <f t="shared" si="0"/>
        <v>59</v>
      </c>
      <c r="C61" s="53"/>
      <c r="D61">
        <f t="shared" si="7"/>
        <v>1088550</v>
      </c>
    </row>
    <row r="62" spans="1:4" x14ac:dyDescent="0.25">
      <c r="B62">
        <f t="shared" si="0"/>
        <v>60</v>
      </c>
    </row>
  </sheetData>
  <mergeCells count="1">
    <mergeCell ref="G2:H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6"/>
  <sheetViews>
    <sheetView workbookViewId="0">
      <selection activeCell="F4" sqref="F4"/>
    </sheetView>
  </sheetViews>
  <sheetFormatPr defaultRowHeight="14" x14ac:dyDescent="0.25"/>
  <cols>
    <col min="7" max="8" width="10.08984375" bestFit="1" customWidth="1"/>
    <col min="9" max="9" width="9.08984375" bestFit="1" customWidth="1"/>
    <col min="22" max="22" width="11.6328125" bestFit="1" customWidth="1"/>
  </cols>
  <sheetData>
    <row r="1" spans="1:23" x14ac:dyDescent="0.25">
      <c r="A1" t="s">
        <v>277</v>
      </c>
    </row>
    <row r="2" spans="1:23" x14ac:dyDescent="0.25">
      <c r="B2" t="s">
        <v>278</v>
      </c>
      <c r="C2" t="s">
        <v>279</v>
      </c>
      <c r="D2" t="s">
        <v>280</v>
      </c>
      <c r="E2" t="s">
        <v>281</v>
      </c>
      <c r="F2" t="s">
        <v>282</v>
      </c>
      <c r="H2" t="s">
        <v>283</v>
      </c>
      <c r="J2" s="81" t="s">
        <v>284</v>
      </c>
      <c r="K2" s="81"/>
      <c r="L2" t="s">
        <v>529</v>
      </c>
      <c r="M2" t="s">
        <v>292</v>
      </c>
      <c r="N2" t="s">
        <v>293</v>
      </c>
    </row>
    <row r="3" spans="1:23" ht="56" x14ac:dyDescent="0.25">
      <c r="B3">
        <v>1</v>
      </c>
      <c r="C3" t="s">
        <v>287</v>
      </c>
      <c r="D3" t="s">
        <v>296</v>
      </c>
      <c r="E3" t="s">
        <v>537</v>
      </c>
      <c r="F3" s="35" t="s">
        <v>780</v>
      </c>
      <c r="G3" s="35" t="s">
        <v>692</v>
      </c>
      <c r="H3" s="35" t="s">
        <v>693</v>
      </c>
      <c r="I3" s="35" t="s">
        <v>691</v>
      </c>
      <c r="J3" s="81" t="s">
        <v>291</v>
      </c>
      <c r="K3" s="81"/>
      <c r="L3">
        <f>30+40+90</f>
        <v>160</v>
      </c>
      <c r="M3" t="str">
        <f>VLOOKUP($L3,$T$4:$U$14,2)</f>
        <v>极佳</v>
      </c>
      <c r="N3" t="s">
        <v>714</v>
      </c>
      <c r="T3" t="s">
        <v>529</v>
      </c>
      <c r="U3" t="s">
        <v>530</v>
      </c>
      <c r="V3" t="s">
        <v>690</v>
      </c>
    </row>
    <row r="4" spans="1:23" x14ac:dyDescent="0.25">
      <c r="T4">
        <v>0</v>
      </c>
      <c r="U4" t="s">
        <v>697</v>
      </c>
      <c r="V4">
        <v>0</v>
      </c>
    </row>
    <row r="5" spans="1:23" x14ac:dyDescent="0.25">
      <c r="T5">
        <v>30</v>
      </c>
      <c r="U5" t="s">
        <v>688</v>
      </c>
      <c r="V5">
        <v>0</v>
      </c>
      <c r="W5" t="s">
        <v>538</v>
      </c>
    </row>
    <row r="6" spans="1:23" x14ac:dyDescent="0.25">
      <c r="T6">
        <v>50</v>
      </c>
      <c r="U6" t="s">
        <v>694</v>
      </c>
      <c r="V6">
        <v>0.5</v>
      </c>
      <c r="W6" t="s">
        <v>540</v>
      </c>
    </row>
    <row r="7" spans="1:23" x14ac:dyDescent="0.25">
      <c r="T7">
        <v>90</v>
      </c>
      <c r="U7" t="s">
        <v>695</v>
      </c>
      <c r="V7">
        <v>1</v>
      </c>
      <c r="W7" t="s">
        <v>541</v>
      </c>
    </row>
    <row r="8" spans="1:23" x14ac:dyDescent="0.25">
      <c r="T8">
        <v>100</v>
      </c>
      <c r="U8" t="s">
        <v>696</v>
      </c>
      <c r="V8">
        <v>1.5</v>
      </c>
      <c r="W8" t="s">
        <v>539</v>
      </c>
    </row>
    <row r="9" spans="1:23" x14ac:dyDescent="0.25">
      <c r="T9">
        <v>120</v>
      </c>
      <c r="U9" t="s">
        <v>533</v>
      </c>
      <c r="V9">
        <v>1.7</v>
      </c>
    </row>
    <row r="10" spans="1:23" x14ac:dyDescent="0.25">
      <c r="T10">
        <v>150</v>
      </c>
      <c r="U10" t="s">
        <v>531</v>
      </c>
      <c r="V10">
        <v>2</v>
      </c>
    </row>
    <row r="11" spans="1:23" x14ac:dyDescent="0.25">
      <c r="T11">
        <v>300</v>
      </c>
      <c r="U11" t="s">
        <v>532</v>
      </c>
      <c r="V11">
        <v>3</v>
      </c>
    </row>
    <row r="12" spans="1:23" x14ac:dyDescent="0.25">
      <c r="T12">
        <v>500</v>
      </c>
      <c r="U12" t="s">
        <v>534</v>
      </c>
      <c r="V12">
        <v>5</v>
      </c>
    </row>
    <row r="13" spans="1:23" x14ac:dyDescent="0.25">
      <c r="T13">
        <v>750</v>
      </c>
      <c r="U13" t="s">
        <v>535</v>
      </c>
      <c r="V13">
        <v>10</v>
      </c>
    </row>
    <row r="14" spans="1:23" x14ac:dyDescent="0.25">
      <c r="T14">
        <v>1000</v>
      </c>
      <c r="U14" t="s">
        <v>536</v>
      </c>
    </row>
    <row r="16" spans="1:23" x14ac:dyDescent="0.25">
      <c r="T16" t="s">
        <v>689</v>
      </c>
      <c r="U16" t="s">
        <v>708</v>
      </c>
      <c r="V16" t="s">
        <v>709</v>
      </c>
      <c r="W16" t="s">
        <v>710</v>
      </c>
    </row>
    <row r="17" spans="20:23" x14ac:dyDescent="0.25">
      <c r="T17" t="s">
        <v>702</v>
      </c>
      <c r="U17">
        <v>0</v>
      </c>
      <c r="V17">
        <v>0</v>
      </c>
      <c r="W17">
        <v>10</v>
      </c>
    </row>
    <row r="18" spans="20:23" x14ac:dyDescent="0.25">
      <c r="T18" t="s">
        <v>698</v>
      </c>
      <c r="U18">
        <v>1</v>
      </c>
      <c r="V18">
        <v>10</v>
      </c>
      <c r="W18">
        <v>20</v>
      </c>
    </row>
    <row r="19" spans="20:23" x14ac:dyDescent="0.25">
      <c r="T19" t="s">
        <v>699</v>
      </c>
      <c r="U19">
        <v>2</v>
      </c>
      <c r="V19">
        <v>100</v>
      </c>
      <c r="W19">
        <v>50</v>
      </c>
    </row>
    <row r="20" spans="20:23" x14ac:dyDescent="0.25">
      <c r="T20" t="s">
        <v>700</v>
      </c>
      <c r="U20">
        <v>3</v>
      </c>
      <c r="V20">
        <v>1000</v>
      </c>
      <c r="W20">
        <v>80</v>
      </c>
    </row>
    <row r="21" spans="20:23" x14ac:dyDescent="0.25">
      <c r="T21" t="s">
        <v>701</v>
      </c>
      <c r="U21">
        <v>4</v>
      </c>
      <c r="V21">
        <v>10000</v>
      </c>
      <c r="W21">
        <v>100</v>
      </c>
    </row>
    <row r="22" spans="20:23" x14ac:dyDescent="0.25">
      <c r="T22" t="s">
        <v>703</v>
      </c>
      <c r="U22">
        <v>5</v>
      </c>
      <c r="V22">
        <v>100000</v>
      </c>
      <c r="W22">
        <v>140</v>
      </c>
    </row>
    <row r="23" spans="20:23" x14ac:dyDescent="0.25">
      <c r="T23" t="s">
        <v>704</v>
      </c>
      <c r="U23">
        <v>6</v>
      </c>
      <c r="V23">
        <v>1000000</v>
      </c>
      <c r="W23">
        <v>200</v>
      </c>
    </row>
    <row r="24" spans="20:23" x14ac:dyDescent="0.25">
      <c r="T24" t="s">
        <v>705</v>
      </c>
      <c r="U24">
        <v>7</v>
      </c>
      <c r="V24">
        <v>10000000</v>
      </c>
      <c r="W24">
        <v>500</v>
      </c>
    </row>
    <row r="25" spans="20:23" x14ac:dyDescent="0.25">
      <c r="T25" t="s">
        <v>706</v>
      </c>
      <c r="U25">
        <v>8</v>
      </c>
      <c r="V25">
        <v>100000000</v>
      </c>
      <c r="W25">
        <v>1000</v>
      </c>
    </row>
    <row r="26" spans="20:23" x14ac:dyDescent="0.25">
      <c r="T26" t="s">
        <v>707</v>
      </c>
      <c r="U26">
        <v>9</v>
      </c>
      <c r="V26">
        <v>1000000000</v>
      </c>
      <c r="W26">
        <v>10000</v>
      </c>
    </row>
  </sheetData>
  <mergeCells count="2">
    <mergeCell ref="J3:K3"/>
    <mergeCell ref="J2:K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B2" sqref="B2"/>
    </sheetView>
  </sheetViews>
  <sheetFormatPr defaultRowHeight="14" x14ac:dyDescent="0.25"/>
  <cols>
    <col min="1" max="3" width="50.6328125" customWidth="1"/>
  </cols>
  <sheetData>
    <row r="1" spans="1:3" ht="100" customHeight="1" x14ac:dyDescent="0.6">
      <c r="A1" s="43" t="s">
        <v>386</v>
      </c>
      <c r="B1" s="46" t="s">
        <v>391</v>
      </c>
      <c r="C1" s="47" t="s">
        <v>392</v>
      </c>
    </row>
    <row r="2" spans="1:3" ht="100" customHeight="1" x14ac:dyDescent="0.6">
      <c r="A2" s="42" t="s">
        <v>387</v>
      </c>
      <c r="B2" s="38" t="s">
        <v>390</v>
      </c>
      <c r="C2" s="44" t="s">
        <v>393</v>
      </c>
    </row>
    <row r="3" spans="1:3" ht="100" customHeight="1" x14ac:dyDescent="0.6">
      <c r="A3" s="39" t="s">
        <v>388</v>
      </c>
      <c r="B3" s="41" t="s">
        <v>389</v>
      </c>
      <c r="C3" s="45" t="s">
        <v>394</v>
      </c>
    </row>
    <row r="5" spans="1:3" x14ac:dyDescent="0.25">
      <c r="A5" t="s">
        <v>395</v>
      </c>
    </row>
    <row r="6" spans="1:3" x14ac:dyDescent="0.25">
      <c r="A6" t="s">
        <v>396</v>
      </c>
    </row>
    <row r="7" spans="1:3" x14ac:dyDescent="0.25">
      <c r="A7" t="s">
        <v>397</v>
      </c>
    </row>
    <row r="8" spans="1:3" x14ac:dyDescent="0.25">
      <c r="A8" t="s">
        <v>398</v>
      </c>
    </row>
    <row r="9" spans="1:3" x14ac:dyDescent="0.25">
      <c r="A9" t="s">
        <v>399</v>
      </c>
    </row>
    <row r="10" spans="1:3" x14ac:dyDescent="0.25">
      <c r="A10" t="s">
        <v>400</v>
      </c>
    </row>
    <row r="11" spans="1:3" x14ac:dyDescent="0.25">
      <c r="A11" t="s">
        <v>401</v>
      </c>
    </row>
    <row r="12" spans="1:3" x14ac:dyDescent="0.25">
      <c r="A12" t="s">
        <v>402</v>
      </c>
    </row>
    <row r="13" spans="1:3" x14ac:dyDescent="0.25">
      <c r="A13" t="s">
        <v>403</v>
      </c>
    </row>
  </sheetData>
  <phoneticPr fontId="1" type="noConversion"/>
  <conditionalFormatting sqref="A1: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5" r:id="rId1" display="https://baike.baidu.com/item/%E5%AE%88%E5%BA%8F%E5%96%84%E8%89%AF/5565084" xr:uid="{00000000-0004-0000-0600-000000000000}"/>
    <hyperlink ref="A6" r:id="rId2" display="https://baike.baidu.com/item/%E4%B8%AD%E7%AB%8B%E5%96%84%E8%89%AF/390289" xr:uid="{00000000-0004-0000-0600-000001000000}"/>
    <hyperlink ref="A7" r:id="rId3" display="https://baike.baidu.com/item/%E6%B7%B7%E4%B9%B1%E5%96%84%E8%89%AF/5565190" xr:uid="{00000000-0004-0000-0600-000002000000}"/>
    <hyperlink ref="A8" r:id="rId4" display="https://baike.baidu.com/item/%E5%AE%88%E5%BA%8F%E4%B8%AD%E7%AB%8B/5565098" xr:uid="{00000000-0004-0000-0600-000003000000}"/>
    <hyperlink ref="A9" r:id="rId5" display="https://baike.baidu.com/item/%E7%BB%9D%E5%AF%B9%E4%B8%AD%E7%AB%8B/4331820" xr:uid="{00000000-0004-0000-0600-000004000000}"/>
    <hyperlink ref="A10" r:id="rId6" display="https://baike.baidu.com/item/%E6%B7%B7%E4%B9%B1%E4%B8%AD%E7%AB%8B/389819" xr:uid="{00000000-0004-0000-0600-000005000000}"/>
    <hyperlink ref="A11" r:id="rId7" display="https://baike.baidu.com/item/%E5%AE%88%E5%BA%8F%E9%82%AA%E6%81%B6/389782" xr:uid="{00000000-0004-0000-0600-000006000000}"/>
    <hyperlink ref="A12" r:id="rId8" display="https://baike.baidu.com/item/%E4%B8%AD%E7%AB%8B%E9%82%AA%E6%81%B6/5565178" xr:uid="{00000000-0004-0000-0600-000007000000}"/>
    <hyperlink ref="A13" r:id="rId9" display="https://baike.baidu.com/item/%E6%B7%B7%E4%B9%B1%E9%82%AA%E6%81%B6/5565241" xr:uid="{00000000-0004-0000-0600-000008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E7" sqref="E7"/>
    </sheetView>
  </sheetViews>
  <sheetFormatPr defaultRowHeight="14" x14ac:dyDescent="0.25"/>
  <sheetData>
    <row r="2" spans="2:5" x14ac:dyDescent="0.25">
      <c r="B2" t="s">
        <v>793</v>
      </c>
    </row>
    <row r="3" spans="2:5" x14ac:dyDescent="0.25">
      <c r="B3" t="s">
        <v>794</v>
      </c>
      <c r="C3" t="s">
        <v>801</v>
      </c>
      <c r="D3" t="s">
        <v>804</v>
      </c>
      <c r="E3" t="s">
        <v>805</v>
      </c>
    </row>
    <row r="4" spans="2:5" x14ac:dyDescent="0.25">
      <c r="B4" t="s">
        <v>795</v>
      </c>
      <c r="C4" t="s">
        <v>802</v>
      </c>
      <c r="D4" t="s">
        <v>803</v>
      </c>
      <c r="E4" s="2" t="s">
        <v>806</v>
      </c>
    </row>
    <row r="5" spans="2:5" x14ac:dyDescent="0.25">
      <c r="B5" t="s">
        <v>796</v>
      </c>
      <c r="D5" t="s">
        <v>807</v>
      </c>
      <c r="E5" t="s">
        <v>808</v>
      </c>
    </row>
    <row r="6" spans="2:5" x14ac:dyDescent="0.25">
      <c r="B6" t="s">
        <v>797</v>
      </c>
      <c r="C6" t="s">
        <v>98</v>
      </c>
      <c r="D6" t="s">
        <v>819</v>
      </c>
      <c r="E6" t="s">
        <v>820</v>
      </c>
    </row>
    <row r="7" spans="2:5" x14ac:dyDescent="0.25">
      <c r="B7" t="s">
        <v>799</v>
      </c>
      <c r="C7" s="33">
        <v>0.1</v>
      </c>
    </row>
    <row r="8" spans="2:5" x14ac:dyDescent="0.25">
      <c r="B8" t="s">
        <v>800</v>
      </c>
      <c r="C8">
        <v>5</v>
      </c>
    </row>
    <row r="9" spans="2:5" x14ac:dyDescent="0.25">
      <c r="B9" t="s">
        <v>798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workbookViewId="0">
      <selection activeCell="G15" sqref="G15"/>
    </sheetView>
  </sheetViews>
  <sheetFormatPr defaultRowHeight="14" x14ac:dyDescent="0.25"/>
  <sheetData>
    <row r="1" spans="1:15" x14ac:dyDescent="0.25">
      <c r="A1" t="s">
        <v>544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25">
      <c r="A2" t="s">
        <v>545</v>
      </c>
      <c r="B2" t="s">
        <v>543</v>
      </c>
      <c r="C2">
        <f>主角属性!V30</f>
        <v>4</v>
      </c>
      <c r="E2" s="33">
        <f>VLOOKUP($C$2,主角属性!AA12:AL21,2)</f>
        <v>0</v>
      </c>
      <c r="F2" s="33">
        <f>VLOOKUP($C$2,主角属性!AA12:AL21,3)</f>
        <v>0.1</v>
      </c>
      <c r="G2" s="33">
        <f>VLOOKUP($C$2,主角属性!AA12:AL21,3)</f>
        <v>0.1</v>
      </c>
      <c r="H2" s="33">
        <f>VLOOKUP($C$2,主角属性!AA12:AL21,4)</f>
        <v>0.3</v>
      </c>
      <c r="I2" s="33">
        <f>VLOOKUP($C$2,主角属性!AA12:AL21,5)</f>
        <v>0.4</v>
      </c>
      <c r="J2" s="33">
        <f>VLOOKUP($C$2,主角属性!AA12:AL21,6)</f>
        <v>0.2</v>
      </c>
      <c r="K2" s="33">
        <f>VLOOKUP($C$2,主角属性!AA12:AL21,7)</f>
        <v>0</v>
      </c>
      <c r="L2" s="33">
        <f>VLOOKUP($C$2,主角属性!AA12:AL21,8)</f>
        <v>0</v>
      </c>
      <c r="M2" s="33">
        <f>VLOOKUP($C$2,主角属性!AA12:AL21,9)</f>
        <v>0</v>
      </c>
      <c r="N2" s="33">
        <f>VLOOKUP($C$2,主角属性!AA12:AL21,10)</f>
        <v>0</v>
      </c>
      <c r="O2" s="33">
        <f>VLOOKUP($C$2,主角属性!AA12:AL21,11)</f>
        <v>0</v>
      </c>
    </row>
    <row r="4" spans="1:15" x14ac:dyDescent="0.25">
      <c r="A4" t="s">
        <v>553</v>
      </c>
      <c r="B4" t="s">
        <v>554</v>
      </c>
      <c r="C4" t="s">
        <v>560</v>
      </c>
      <c r="D4" t="s">
        <v>561</v>
      </c>
    </row>
    <row r="5" spans="1:15" x14ac:dyDescent="0.25">
      <c r="B5" t="s">
        <v>557</v>
      </c>
      <c r="C5" t="s">
        <v>556</v>
      </c>
      <c r="D5" t="s">
        <v>559</v>
      </c>
    </row>
    <row r="6" spans="1:15" x14ac:dyDescent="0.25">
      <c r="B6" t="s">
        <v>555</v>
      </c>
      <c r="C6" t="s">
        <v>558</v>
      </c>
    </row>
    <row r="7" spans="1:15" x14ac:dyDescent="0.25">
      <c r="C7" t="s">
        <v>562</v>
      </c>
    </row>
    <row r="13" spans="1:15" x14ac:dyDescent="0.25">
      <c r="A13" t="s">
        <v>546</v>
      </c>
    </row>
    <row r="14" spans="1:15" x14ac:dyDescent="0.25">
      <c r="B14" t="s">
        <v>549</v>
      </c>
      <c r="C14">
        <v>1</v>
      </c>
      <c r="D14" t="s">
        <v>548</v>
      </c>
      <c r="E14">
        <v>10</v>
      </c>
      <c r="F14" t="s">
        <v>775</v>
      </c>
      <c r="G14">
        <v>2</v>
      </c>
      <c r="I14" t="s">
        <v>549</v>
      </c>
      <c r="J14">
        <v>2</v>
      </c>
      <c r="K14" t="s">
        <v>93</v>
      </c>
      <c r="L14">
        <v>10</v>
      </c>
    </row>
    <row r="15" spans="1:15" x14ac:dyDescent="0.25">
      <c r="B15" t="s">
        <v>550</v>
      </c>
      <c r="C15" t="s">
        <v>743</v>
      </c>
      <c r="D15" t="s">
        <v>553</v>
      </c>
      <c r="E15" t="s">
        <v>738</v>
      </c>
      <c r="I15" t="s">
        <v>550</v>
      </c>
      <c r="J15" t="s">
        <v>771</v>
      </c>
      <c r="K15" t="s">
        <v>70</v>
      </c>
      <c r="L15" t="s">
        <v>774</v>
      </c>
    </row>
    <row r="16" spans="1:15" x14ac:dyDescent="0.25">
      <c r="B16" t="s">
        <v>551</v>
      </c>
      <c r="C16">
        <v>0</v>
      </c>
      <c r="D16" t="s">
        <v>547</v>
      </c>
      <c r="E16" t="s">
        <v>739</v>
      </c>
      <c r="I16" t="s">
        <v>72</v>
      </c>
      <c r="J16">
        <v>0</v>
      </c>
      <c r="K16" t="s">
        <v>547</v>
      </c>
      <c r="L16" t="s">
        <v>773</v>
      </c>
    </row>
    <row r="17" spans="2:12" x14ac:dyDescent="0.25">
      <c r="B17" t="s">
        <v>552</v>
      </c>
      <c r="D17" t="s">
        <v>740</v>
      </c>
      <c r="E17" t="s">
        <v>741</v>
      </c>
      <c r="F17" t="s">
        <v>742</v>
      </c>
      <c r="I17" t="s">
        <v>552</v>
      </c>
      <c r="K17" t="s">
        <v>740</v>
      </c>
      <c r="L17" t="s">
        <v>772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主角属性</vt:lpstr>
      <vt:lpstr>战斗轮</vt:lpstr>
      <vt:lpstr>怪物属性</vt:lpstr>
      <vt:lpstr>武器</vt:lpstr>
      <vt:lpstr>等级</vt:lpstr>
      <vt:lpstr>任务</vt:lpstr>
      <vt:lpstr>阵营</vt:lpstr>
      <vt:lpstr>防甲</vt:lpstr>
      <vt:lpstr>炸药研发</vt:lpstr>
      <vt:lpstr>野外遭遇</vt:lpstr>
      <vt:lpstr>食物</vt:lpstr>
      <vt:lpstr>主要材料表</vt:lpstr>
      <vt:lpstr>枪械研发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2023-10-05T13:31:44Z</dcterms:modified>
</cp:coreProperties>
</file>