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8" documentId="8_{DCF85A03-1EEC-410A-B6A1-333228F65FDB}" xr6:coauthVersionLast="47" xr6:coauthVersionMax="47" xr10:uidLastSave="{BB755D78-8AFD-429A-A284-AFB9D9D89AC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 r:id="rId12"/>
    <pivotCache cacheId="33" r:id="rId13"/>
    <pivotCache cacheId="34" r:id="rId14"/>
    <pivotCache cacheId="35" r:id="rId15"/>
    <pivotCache cacheId="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5" i="30"/>
  <c r="V33" i="30"/>
  <c r="V25" i="30"/>
  <c r="V194" i="30"/>
  <c r="V188" i="30"/>
  <c r="V35" i="30"/>
  <c r="V181" i="30"/>
  <c r="V191" i="30"/>
  <c r="V192" i="30"/>
  <c r="V193" i="30"/>
  <c r="V180" i="30"/>
  <c r="V187" i="30"/>
  <c r="V8" i="30"/>
  <c r="V6" i="30"/>
  <c r="V11" i="30"/>
  <c r="V327" i="30"/>
  <c r="V27" i="30"/>
  <c r="V12" i="30"/>
  <c r="V182" i="30"/>
  <c r="V5" i="30"/>
  <c r="V34" i="30"/>
  <c r="V349" i="30"/>
  <c r="V30" i="30"/>
  <c r="V317" i="30"/>
  <c r="V36" i="30"/>
  <c r="V314" i="30"/>
  <c r="V189" i="30"/>
  <c r="V184" i="30"/>
  <c r="V190" i="30"/>
  <c r="V329" i="30"/>
  <c r="V156" i="30"/>
  <c r="V155" i="30"/>
  <c r="V31"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<sst xmlns="http://schemas.openxmlformats.org/spreadsheetml/2006/main" count="23575" uniqueCount="2844">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</sst>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31</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92</c:v>
                </c:pt>
                <c:pt idx="2">
                  <c:v>28</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201973</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5" t="s">
        <v>0</v>
      </c>
      <c r="B1" s="1625"/>
      <c r="C1" s="1625"/>
      <c r="D1" s="1625"/>
      <c r="E1" s="1625"/>
      <c r="F1" s="1625"/>
      <c r="G1" s="1625"/>
      <c r="H1" s="1625"/>
      <c r="I1" s="1625"/>
      <c r="J1" s="1625"/>
      <c r="K1" s="1625"/>
      <c r="L1" s="1625"/>
      <c r="M1" s="1625"/>
      <c r="N1" s="1625"/>
      <c r="O1" s="1625"/>
      <c r="P1" s="1625"/>
      <c r="Q1" s="1005"/>
      <c r="S1" s="1576"/>
      <c r="T1" s="1576"/>
      <c r="U1" s="1576"/>
      <c r="V1" s="1576"/>
      <c r="W1" s="1005"/>
      <c r="X1" s="1005"/>
      <c r="Y1" s="1005"/>
      <c r="Z1" s="1005"/>
    </row>
    <row r="2" spans="1:26" ht="24.95" customHeight="1">
      <c r="A2" s="1626" t="str">
        <f ca="1">"Last Updated: "&amp;TEXT(NOW(),"MM/DD/YYYY  h:mm AM/PM")</f>
        <v>Last Updated: 07/09/2026  8:24 AM</v>
      </c>
      <c r="B2" s="1626"/>
      <c r="C2" s="1626"/>
      <c r="D2" s="1626"/>
      <c r="E2" s="1626"/>
      <c r="F2" s="1626"/>
      <c r="G2" s="1626"/>
      <c r="H2" s="1626"/>
      <c r="I2" s="1626"/>
      <c r="J2" s="1626"/>
      <c r="K2" s="1626"/>
      <c r="L2" s="1626"/>
      <c r="M2" s="1626"/>
      <c r="N2" s="1626"/>
      <c r="O2" s="1626"/>
      <c r="P2" s="1626"/>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8" t="s">
        <v>8</v>
      </c>
      <c r="B9" s="1628"/>
      <c r="C9" s="1005"/>
      <c r="D9" s="1616" t="s">
        <v>9</v>
      </c>
      <c r="E9" s="1616"/>
      <c r="F9" s="1616"/>
      <c r="G9" s="1005"/>
      <c r="H9" s="1616" t="s">
        <v>10</v>
      </c>
      <c r="I9" s="1616"/>
      <c r="J9" s="1616"/>
      <c r="K9" s="1005"/>
      <c r="L9" s="1616" t="s">
        <v>11</v>
      </c>
      <c r="M9" s="1616"/>
      <c r="N9" s="1616"/>
      <c r="O9" s="1005"/>
      <c r="P9" s="1005"/>
      <c r="Q9" s="1005"/>
      <c r="R9" s="1576"/>
      <c r="S9" s="1576"/>
      <c r="T9" s="1576"/>
      <c r="U9" s="1576"/>
      <c r="V9" s="1576"/>
      <c r="W9" s="1005"/>
      <c r="X9" s="1005"/>
      <c r="Y9" s="1005"/>
      <c r="Z9" s="1005"/>
    </row>
    <row r="10" spans="1:26" ht="50.1" customHeight="1">
      <c r="A10" s="1618"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160</v>
      </c>
      <c r="B10" s="1618"/>
      <c r="C10" s="1005"/>
      <c r="D10" s="1618"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1007859</v>
      </c>
      <c r="E10" s="1618"/>
      <c r="F10" s="1618"/>
      <c r="G10" s="1005"/>
      <c r="H10" s="1629"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179841</v>
      </c>
      <c r="I10" s="1629"/>
      <c r="J10" s="1629"/>
      <c r="K10" s="1005"/>
      <c r="L10" s="1630"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828018</v>
      </c>
      <c r="M10" s="1630"/>
      <c r="N10" s="1630"/>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6" t="s">
        <v>12</v>
      </c>
      <c r="B12" s="1616"/>
      <c r="C12" s="1005"/>
      <c r="D12" s="1616" t="s">
        <v>13</v>
      </c>
      <c r="E12" s="1616"/>
      <c r="F12" s="1616"/>
      <c r="G12" s="1005"/>
      <c r="H12" s="1616" t="s">
        <v>14</v>
      </c>
      <c r="I12" s="1616"/>
      <c r="J12" s="1616"/>
      <c r="K12" s="1005"/>
      <c r="L12" s="1616" t="s">
        <v>15</v>
      </c>
      <c r="M12" s="1616"/>
      <c r="N12" s="1616"/>
      <c r="O12" s="1005"/>
      <c r="P12" s="1005"/>
      <c r="Q12" s="1005"/>
      <c r="R12" s="1576"/>
      <c r="S12" s="1576"/>
      <c r="T12" s="1576"/>
      <c r="U12" s="1576"/>
      <c r="V12" s="1576"/>
      <c r="W12" s="1005"/>
      <c r="X12" s="1005"/>
      <c r="Y12" s="1005"/>
      <c r="Z12" s="1005"/>
    </row>
    <row r="13" spans="1:26" ht="50.1" customHeight="1">
      <c r="A13" s="1631">
        <f>IFERROR(H10/D10,0)</f>
        <v>0.17843865064458422</v>
      </c>
      <c r="B13" s="1631"/>
      <c r="C13" s="1005"/>
      <c r="D13" s="161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11526441.449999999</v>
      </c>
      <c r="E13" s="1617"/>
      <c r="F13" s="1617"/>
      <c r="G13" s="1005"/>
      <c r="H13" s="1618"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18"/>
      <c r="J13" s="1618"/>
      <c r="K13" s="1005"/>
      <c r="L13" s="1624">
        <f>COUNTA('Pending Resto-COP Packages'!A17:A69)</f>
        <v>41</v>
      </c>
      <c r="M13" s="1624"/>
      <c r="N13" s="1624"/>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9" t="s">
        <v>16</v>
      </c>
      <c r="B15" s="1619"/>
      <c r="C15" s="1619"/>
      <c r="D15" s="1619"/>
      <c r="E15" s="1005"/>
      <c r="F15" s="1619" t="s">
        <v>17</v>
      </c>
      <c r="G15" s="1619"/>
      <c r="H15" s="1619"/>
      <c r="I15" s="1619"/>
      <c r="J15" s="1005"/>
      <c r="K15" s="1619" t="s">
        <v>18</v>
      </c>
      <c r="L15" s="1619"/>
      <c r="M15" s="161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40</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258191</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3060009.2000000007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96</v>
      </c>
      <c r="M17" s="1367">
        <f>IFERROR(L17/SUM(L17:L19),0)</f>
        <v>0.6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92</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586586</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6384558.8999999994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0.38124999999999998</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163082</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2081873.35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1.8749999999999999E-2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31</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201973</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0.31724042322488649</v>
      </c>
      <c r="E20" s="1005"/>
      <c r="F20" s="1014" t="s">
        <v>38</v>
      </c>
      <c r="G20" s="1011" cm="1">
        <f t="array" ref="G20">SUMPRODUCT(--(IF($B$5="All",TRUE,'Tillman UG Footage'!B2:B183=$B$5))*--('Tillman UG Footage'!P2:P183="Completed")*--(IF($F$5="All",TRUE,ISNUMBER(FIND($F$5,'Tillman UG Footage'!D2:D183&amp;" "))))*--(IF($H$5="All",TRUE,ISNUMBER(FIND($H$5,'Tillman UG Footage'!F2:F183&amp;" ")))))</f>
        <v>3</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15969</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199799.75</v>
      </c>
      <c r="J20" s="1005"/>
      <c r="K20" s="1016" t="s">
        <v>39</v>
      </c>
      <c r="L20" s="1017">
        <f>SUM(L17:L19)</f>
        <v>160</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142</v>
      </c>
      <c r="C26" s="1017">
        <f>SUM(C17:C25)</f>
        <v>867857</v>
      </c>
      <c r="D26" s="1018">
        <f>IFERROR(H10/D10,0)</f>
        <v>0.17843865064458422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9" t="s">
        <v>45</v>
      </c>
      <c r="B28" s="1619"/>
      <c r="C28" s="1619"/>
      <c r="D28" s="1619"/>
      <c r="F28" s="1620" t="s">
        <v>46</v>
      </c>
      <c r="G28" s="1620"/>
      <c r="H28" s="1620"/>
      <c r="I28" s="1620"/>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AB7" activePane="topRight" state="frozen"/>
      <selection pane="topRight" activeCell="Z10" sqref="Z1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29</v>
      </c>
      <c r="Q10" s="1639">
        <v>46198</v>
      </c>
      <c r="R10" s="700"/>
      <c r="S10" s="1639"/>
      <c r="T10" s="1639"/>
      <c r="U10" s="1639"/>
      <c r="V10" s="1640">
        <v>8047</v>
      </c>
      <c r="W10" s="1222"/>
      <c r="X10" s="1641">
        <f>SUM(V10-W10)</f>
        <v>8047</v>
      </c>
      <c r="Y10" s="1238">
        <f>IFERROR($W10/$V10, 0)</f>
        <v>0</v>
      </c>
      <c r="Z10" s="1639">
        <v>46212</v>
      </c>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426" t="s">
        <v>724</v>
      </c>
      <c r="B95" s="1179" t="s">
        <v>37</v>
      </c>
      <c r="C95" s="1379">
        <v>46221</v>
      </c>
      <c r="D95" s="1377" t="s">
        <v>70</v>
      </c>
      <c r="E95" s="1378">
        <v>46184</v>
      </c>
      <c r="F95" s="1377" t="s">
        <v>53</v>
      </c>
      <c r="G95" s="1237"/>
      <c r="H95" s="1177">
        <v>0</v>
      </c>
      <c r="I95" s="1258" t="s">
        <v>568</v>
      </c>
      <c r="J95" s="1259" t="s">
        <v>30</v>
      </c>
      <c r="K95" s="1638"/>
      <c r="L95" s="1378"/>
      <c r="M95" s="1177" t="s">
        <v>128</v>
      </c>
      <c r="N95" s="415">
        <v>27837.25</v>
      </c>
      <c r="O95" s="1178" t="s">
        <v>128</v>
      </c>
      <c r="P95" s="1405" t="s">
        <v>38</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8101B40-F3F9-4EF9-A4EB-B22D577E05F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2026-07-09T12:24:35Z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