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62" documentId="8_{941262AC-BC69-4A39-A0F5-E6C0C5A7C19A}" xr6:coauthVersionLast="47" xr6:coauthVersionMax="47" xr10:uidLastSave="{57EB8868-4494-4001-B2C5-C26DAE049E4A}"/>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986" r:id="rId12"/>
    <pivotCache cacheId="4989" r:id="rId13"/>
    <pivotCache cacheId="4992" r:id="rId14"/>
    <pivotCache cacheId="4995" r:id="rId15"/>
    <pivotCache cacheId="49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8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8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59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59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1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1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2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2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3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4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4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<sst xmlns="http://schemas.openxmlformats.org/spreadsheetml/2006/main" count="19076" uniqueCount="2420">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</sst>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1" xfId="0" applyNumberFormat="1" applyFill="1" applyBorder="1"/>
    <xf numFmtId="9" fontId="7" fillId="0" borderId="9" xfId="0" applyNumberFormat="1" applyFont="1" applyFill="1" applyBorder="1" applyAlignment="1">
      <alignment horizontal="center" wrapText="1"/>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240738"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28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587961" createdVersion="8" refreshedVersion="8" minRefreshableVersion="3" recordCount="2843"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2" t="s">
        <v>0</v>
      </c>
      <c r="B1" s="1392"/>
      <c r="C1" s="1392"/>
      <c r="D1" s="1392"/>
      <c r="E1" s="1392"/>
      <c r="F1" s="1392"/>
      <c r="G1" s="1392"/>
      <c r="H1" s="1392"/>
      <c r="I1" s="1392"/>
      <c r="J1" s="1392"/>
      <c r="K1" s="1392"/>
      <c r="L1" s="1392"/>
      <c r="M1" s="1392"/>
      <c r="N1" s="1392"/>
      <c r="O1" s="1392"/>
      <c r="P1" s="1392"/>
      <c r="Q1" s="1084"/>
      <c r="S1" s="1084"/>
      <c r="T1" s="1084"/>
      <c r="U1" s="1084"/>
      <c r="V1" s="1084"/>
      <c r="W1" s="1084"/>
      <c r="X1" s="1084"/>
      <c r="Y1" s="1084"/>
      <c r="Z1" s="1084"/>
    </row>
    <row r="2" spans="1:26" ht="24.95" customHeight="1">
      <c r="A2" s="1393" t="str">
        <f ca="1">"Last Updated: "&amp;TEXT(NOW(),"MM/DD/YYYY  h:mm AM/PM")</f>
        <v>Last Updated: 03/26/2026  4:46 PM</v>
      </c>
      <c r="B2" s="1393"/>
      <c r="C2" s="1393"/>
      <c r="D2" s="1393"/>
      <c r="E2" s="1393"/>
      <c r="F2" s="1393"/>
      <c r="G2" s="1393"/>
      <c r="H2" s="1393"/>
      <c r="I2" s="1393"/>
      <c r="J2" s="1393"/>
      <c r="K2" s="1393"/>
      <c r="L2" s="1393"/>
      <c r="M2" s="1393"/>
      <c r="N2" s="1393"/>
      <c r="O2" s="1393"/>
      <c r="P2" s="1393"/>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8" t="s">
        <v>1</v>
      </c>
      <c r="B4" s="1428"/>
      <c r="C4" s="1428"/>
      <c r="D4" s="1428"/>
      <c r="E4" s="1428"/>
      <c r="F4" s="1428"/>
      <c r="G4" s="1428"/>
      <c r="H4" s="1428"/>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4" t="s">
        <v>7</v>
      </c>
      <c r="B7" s="1394"/>
      <c r="C7" s="1394"/>
      <c r="D7" s="1394"/>
      <c r="E7" s="1394"/>
      <c r="F7" s="1394"/>
      <c r="G7" s="1394"/>
      <c r="H7" s="1394"/>
      <c r="I7" s="1394"/>
      <c r="J7" s="1394"/>
      <c r="K7" s="1394"/>
      <c r="L7" s="1394"/>
      <c r="M7" s="1394"/>
      <c r="N7" s="1394"/>
      <c r="O7" s="1394"/>
      <c r="P7" s="1394"/>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395" t="s">
        <v>8</v>
      </c>
      <c r="B9" s="1396"/>
      <c r="C9" s="1084"/>
      <c r="D9" s="1375" t="s">
        <v>9</v>
      </c>
      <c r="E9" s="1376"/>
      <c r="F9" s="1377"/>
      <c r="G9" s="1084"/>
      <c r="H9" s="1375" t="s">
        <v>10</v>
      </c>
      <c r="I9" s="1376"/>
      <c r="J9" s="1377"/>
      <c r="K9" s="1084"/>
      <c r="L9" s="1375" t="s">
        <v>11</v>
      </c>
      <c r="M9" s="1376"/>
      <c r="N9" s="1377"/>
      <c r="O9" s="1084"/>
      <c r="P9" s="1084"/>
      <c r="Q9" s="1084"/>
      <c r="R9" s="1084"/>
      <c r="S9" s="1084"/>
      <c r="T9" s="1084"/>
      <c r="U9" s="1084"/>
      <c r="V9" s="1084"/>
      <c r="W9" s="1084"/>
      <c r="X9" s="1084"/>
      <c r="Y9" s="1084"/>
      <c r="Z9" s="1084"/>
    </row>
    <row r="10" spans="1:26" ht="50.1" customHeight="1">
      <c r="A10" s="1381"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83"/>
      <c r="C10" s="1084"/>
      <c r="D10" s="1381"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382"/>
      <c r="F10" s="1383"/>
      <c r="G10" s="1084"/>
      <c r="H10" s="1397"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398"/>
      <c r="J10" s="1399"/>
      <c r="K10" s="1084"/>
      <c r="L10" s="1400"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652064</v>
      </c>
      <c r="M10" s="1401"/>
      <c r="N10" s="1402"/>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75" t="s">
        <v>12</v>
      </c>
      <c r="B12" s="1377"/>
      <c r="C12" s="1084"/>
      <c r="D12" s="1375" t="s">
        <v>13</v>
      </c>
      <c r="E12" s="1376"/>
      <c r="F12" s="1377"/>
      <c r="G12" s="1084"/>
      <c r="H12" s="1375" t="s">
        <v>14</v>
      </c>
      <c r="I12" s="1376"/>
      <c r="J12" s="1377"/>
      <c r="K12" s="1084"/>
      <c r="L12" s="1375" t="s">
        <v>15</v>
      </c>
      <c r="M12" s="1376"/>
      <c r="N12" s="1377"/>
      <c r="O12" s="1084"/>
      <c r="P12" s="1084"/>
      <c r="Q12" s="1084"/>
      <c r="R12" s="1084"/>
      <c r="S12" s="1084"/>
      <c r="T12" s="1084"/>
      <c r="U12" s="1084"/>
      <c r="V12" s="1084"/>
      <c r="W12" s="1084"/>
      <c r="X12" s="1084"/>
      <c r="Y12" s="1084"/>
      <c r="Z12" s="1084"/>
    </row>
    <row r="13" spans="1:26" ht="50.1" customHeight="1">
      <c r="A13" s="1403">
        <f>IFERROR(H10/D10,0)</f>
        <v>7.2071084901431465E-2</v>
      </c>
      <c r="B13" s="1404"/>
      <c r="C13" s="1084"/>
      <c r="D13" s="1378"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79"/>
      <c r="F13" s="1380"/>
      <c r="G13" s="1084"/>
      <c r="H13" s="1381"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82"/>
      <c r="J13" s="1383"/>
      <c r="K13" s="1084"/>
      <c r="L13" s="1389">
        <f>COUNTA('Completed Projects Pending PW'!A2:A40)-COUNTIF('Completed Projects Pending PW'!A2:A40,"")</f>
        <v>17</v>
      </c>
      <c r="M13" s="1390"/>
      <c r="N13" s="1391"/>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84" t="s">
        <v>16</v>
      </c>
      <c r="B15" s="1384"/>
      <c r="C15" s="1384"/>
      <c r="D15" s="1384"/>
      <c r="E15" s="1084"/>
      <c r="F15" s="1384" t="s">
        <v>17</v>
      </c>
      <c r="G15" s="1384"/>
      <c r="H15" s="1384"/>
      <c r="I15" s="1384"/>
      <c r="J15" s="1084"/>
      <c r="K15" s="1384" t="s">
        <v>18</v>
      </c>
      <c r="L15" s="1384"/>
      <c r="M15" s="1384"/>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7.2071084901431465E-2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84" t="s">
        <v>44</v>
      </c>
      <c r="B27" s="1384"/>
      <c r="C27" s="1384"/>
      <c r="D27" s="1384"/>
      <c r="F27" s="1385" t="s">
        <v>45</v>
      </c>
      <c r="G27" s="1385"/>
      <c r="H27" s="1385"/>
      <c r="I27" s="1385"/>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386" t="s">
        <v>65</v>
      </c>
      <c r="B39" s="1386"/>
      <c r="C39" s="1386"/>
      <c r="D39" s="1386"/>
      <c r="E39" s="1386"/>
      <c r="F39" s="1386"/>
      <c r="G39" s="1386"/>
      <c r="H39" s="1386"/>
      <c r="I39" s="1386"/>
      <c r="J39" s="1386"/>
      <c r="K39" s="1387"/>
      <c r="L39" s="1387"/>
      <c r="M39" s="1387"/>
      <c r="N39" s="1387"/>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388" t="s">
        <v>66</v>
      </c>
      <c r="B60" s="1388"/>
      <c r="C60" s="1388"/>
      <c r="D60" s="1388"/>
      <c r="E60" s="1388"/>
      <c r="F60" s="1388"/>
      <c r="G60" s="1388"/>
      <c r="H60" s="1388"/>
      <c r="I60" s="1388"/>
      <c r="J60" s="1388"/>
      <c r="K60" s="1388"/>
      <c r="L60" s="1388"/>
      <c r="M60" s="1388"/>
      <c r="N60" s="1388"/>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5" t="s">
        <v>441</v>
      </c>
      <c r="C1" s="1405"/>
      <c r="D1" s="427"/>
      <c r="E1" s="1405" t="s">
        <v>442</v>
      </c>
      <c r="F1" s="14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239323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6"/>
      <c r="B1" s="1406"/>
      <c r="C1" s="1406"/>
      <c r="D1" s="1406"/>
      <c r="E1" s="1406"/>
      <c r="F1" s="1406"/>
      <c r="G1" s="1406"/>
      <c r="H1" s="1407" t="s">
        <v>478</v>
      </c>
      <c r="I1" s="1407"/>
      <c r="J1" s="1407"/>
      <c r="K1" s="1407"/>
      <c r="L1" s="1407"/>
      <c r="M1" s="1407"/>
      <c r="N1" s="1407"/>
      <c r="O1" s="1407"/>
      <c r="P1" s="189"/>
      <c r="Q1" s="1408" t="s">
        <v>97</v>
      </c>
      <c r="R1" s="1408"/>
      <c r="S1" s="1409"/>
      <c r="T1" s="1408"/>
      <c r="U1" s="1408"/>
      <c r="V1" s="1408"/>
      <c r="W1" s="1408"/>
      <c r="X1" s="140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B92" activePane="topRight" state="frozen"/>
      <selection pane="topRight" activeCell="A55" sqref="A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7">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9"/>
      <c r="L49" s="1360"/>
      <c r="M49" s="717" t="s">
        <v>110</v>
      </c>
      <c r="N49" s="1430">
        <v>43061.3</v>
      </c>
      <c r="O49" s="717" t="s">
        <v>110</v>
      </c>
      <c r="P49" s="1431" t="s">
        <v>29</v>
      </c>
      <c r="Q49" s="1065">
        <v>46087</v>
      </c>
      <c r="R49" s="1432"/>
      <c r="S49" s="1432"/>
      <c r="T49" s="1432"/>
      <c r="U49" s="1433">
        <v>3461</v>
      </c>
      <c r="V49" s="1434">
        <v>172</v>
      </c>
      <c r="W49" s="1434">
        <f>SUM(U49-V49)</f>
        <v>3289</v>
      </c>
      <c r="X49" s="1362">
        <f>IFERROR($V49/$U49, 0)</f>
        <v>4.9696619474140419E-2</v>
      </c>
      <c r="Y49" s="1432">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7">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7">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 t="shared" ref="W2:W28" si="0">SUM(U2-V2)</f>
        <v>-271</v>
      </c>
      <c r="X2" s="3">
        <f t="shared" ref="X2:X28" si="1">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 t="shared" si="0"/>
        <v>69</v>
      </c>
      <c r="X3" s="365">
        <f t="shared" si="1"/>
        <v>0.98536895674300251</v>
      </c>
      <c r="Y3" s="370">
        <v>45971</v>
      </c>
      <c r="Z3" s="280">
        <v>0</v>
      </c>
      <c r="AA3" s="280">
        <v>0</v>
      </c>
      <c r="AB3" s="1146">
        <v>0</v>
      </c>
      <c r="AC3" s="828" t="s">
        <v>773</v>
      </c>
    </row>
    <row r="4" spans="1:29" ht="39.75" customHeight="1">
      <c r="A4" s="1423" t="s">
        <v>774</v>
      </c>
      <c r="B4" s="377" t="s">
        <v>34</v>
      </c>
      <c r="C4" s="1414">
        <v>46099</v>
      </c>
      <c r="D4" s="1415" t="s">
        <v>54</v>
      </c>
      <c r="E4" s="1415">
        <v>45975</v>
      </c>
      <c r="F4" s="1361" t="s">
        <v>51</v>
      </c>
      <c r="G4" s="1415" t="s">
        <v>775</v>
      </c>
      <c r="H4" s="1150">
        <v>48</v>
      </c>
      <c r="I4" s="1338" t="s">
        <v>593</v>
      </c>
      <c r="J4" s="1338" t="s">
        <v>30</v>
      </c>
      <c r="K4" s="362"/>
      <c r="L4" s="1415" t="s">
        <v>260</v>
      </c>
      <c r="M4" s="1424" t="s">
        <v>110</v>
      </c>
      <c r="N4" s="1151">
        <v>39064</v>
      </c>
      <c r="O4" s="372" t="s">
        <v>110</v>
      </c>
      <c r="P4" s="1425" t="s">
        <v>38</v>
      </c>
      <c r="Q4" s="1339">
        <v>45932</v>
      </c>
      <c r="R4" s="363" t="s">
        <v>767</v>
      </c>
      <c r="S4" s="373" t="s">
        <v>768</v>
      </c>
      <c r="T4" s="373" t="s">
        <v>768</v>
      </c>
      <c r="U4" s="1340">
        <v>2982</v>
      </c>
      <c r="V4" s="1426">
        <v>2970</v>
      </c>
      <c r="W4" s="1342">
        <f>SUM(U4-V4)</f>
        <v>12</v>
      </c>
      <c r="X4" s="365">
        <f>IFERROR($V4/$U4, 0)</f>
        <v>0.99597585513078468</v>
      </c>
      <c r="Y4" s="1339">
        <v>46104</v>
      </c>
      <c r="Z4" s="1288">
        <v>0</v>
      </c>
      <c r="AA4" s="1288">
        <v>0</v>
      </c>
      <c r="AB4" s="1420">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 t="shared" si="0"/>
        <v>34</v>
      </c>
      <c r="X5" s="365">
        <f t="shared" si="1"/>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 t="shared" si="0"/>
        <v>-26</v>
      </c>
      <c r="X7" s="365">
        <f t="shared" si="1"/>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 t="shared" si="0"/>
        <v>0</v>
      </c>
      <c r="X8" s="365">
        <f t="shared" si="1"/>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 t="shared" si="0"/>
        <v>-57</v>
      </c>
      <c r="X9" s="365">
        <f t="shared" si="1"/>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 t="shared" si="0"/>
        <v>42</v>
      </c>
      <c r="X10" s="365">
        <f t="shared" si="1"/>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 t="shared" si="0"/>
        <v>163</v>
      </c>
      <c r="X11" s="365">
        <f t="shared" si="1"/>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 t="shared" si="0"/>
        <v>-116</v>
      </c>
      <c r="X12" s="365">
        <f t="shared" si="1"/>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 t="shared" si="0"/>
        <v>128</v>
      </c>
      <c r="X13" s="365">
        <f t="shared" si="1"/>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 t="shared" si="0"/>
        <v>128</v>
      </c>
      <c r="X14" s="365">
        <f t="shared" si="1"/>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 t="shared" si="0"/>
        <v>193</v>
      </c>
      <c r="X15" s="3">
        <f t="shared" si="1"/>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 t="shared" si="1"/>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 t="shared" si="0"/>
        <v>223</v>
      </c>
      <c r="X17" s="365">
        <f t="shared" si="1"/>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 t="shared" si="0"/>
        <v>5</v>
      </c>
      <c r="X18" s="365">
        <f t="shared" si="1"/>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 t="shared" si="0"/>
        <v>0</v>
      </c>
      <c r="X19" s="365">
        <f t="shared" si="1"/>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 t="shared" ref="W21" si="2">SUM(U21-V21)</f>
        <v>0</v>
      </c>
      <c r="X21" s="365">
        <f t="shared" ref="X21" si="3">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 t="shared" ref="W22" si="4">SUM(U22-V22)</f>
        <v>-5</v>
      </c>
      <c r="X22" s="365">
        <f t="shared" ref="X22" si="5">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 t="shared" si="0"/>
        <v>-73</v>
      </c>
      <c r="X23" s="365">
        <f t="shared" si="1"/>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 t="shared" si="0"/>
        <v>-164</v>
      </c>
      <c r="X24" s="365">
        <f t="shared" si="1"/>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 t="shared" si="0"/>
        <v>-118</v>
      </c>
      <c r="X25" s="256">
        <f t="shared" si="1"/>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 t="shared" si="0"/>
        <v>-37</v>
      </c>
      <c r="X26" s="365">
        <f t="shared" si="1"/>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 t="shared" si="0"/>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 t="shared" si="0"/>
        <v>2</v>
      </c>
      <c r="X28" s="383">
        <f t="shared" si="1"/>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Y196" activePane="topRight" state="frozen"/>
      <selection pane="topRight" activeCell="Z199" sqref="Z1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 t="shared" ref="U231:U236" si="2">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 t="shared" si="2"/>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 t="shared" si="2"/>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 t="shared" si="2"/>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 t="shared" si="2"/>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 t="shared" si="2"/>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450">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412" t="s">
        <v>514</v>
      </c>
      <c r="B274" s="1413" t="s">
        <v>28</v>
      </c>
      <c r="C274" s="1414">
        <v>46048</v>
      </c>
      <c r="D274" s="1414" t="s">
        <v>1265</v>
      </c>
      <c r="E274" s="1415">
        <v>45748</v>
      </c>
      <c r="F274" s="1416" t="s">
        <v>59</v>
      </c>
      <c r="G274" s="1361" t="s">
        <v>1275</v>
      </c>
      <c r="H274" s="1274">
        <v>0</v>
      </c>
      <c r="I274" s="1274" t="s">
        <v>593</v>
      </c>
      <c r="J274" s="1338" t="s">
        <v>30</v>
      </c>
      <c r="K274" s="1415">
        <v>45742</v>
      </c>
      <c r="L274" s="1338" t="s">
        <v>110</v>
      </c>
      <c r="M274" s="1417">
        <v>13442.35</v>
      </c>
      <c r="N274" s="1410"/>
      <c r="O274" s="582"/>
      <c r="P274" s="1338" t="s">
        <v>110</v>
      </c>
      <c r="Q274" s="1418" t="s">
        <v>38</v>
      </c>
      <c r="R274" s="1339">
        <v>46027</v>
      </c>
      <c r="S274" s="1419">
        <v>831</v>
      </c>
      <c r="T274" s="1422">
        <v>910</v>
      </c>
      <c r="U274" s="1411">
        <f>IFERROR(Table5[[#This Row],[Actual Redline Completed Footage UG]]/Table5[[#This Row],[Footage UG]], 0)</f>
        <v>1.095066185318893</v>
      </c>
      <c r="V274" s="1339">
        <v>46034</v>
      </c>
      <c r="W274" s="1288">
        <v>0</v>
      </c>
      <c r="X274" s="1288">
        <v>0</v>
      </c>
      <c r="Y274" s="1420">
        <v>0</v>
      </c>
      <c r="Z274" s="373" t="s">
        <v>913</v>
      </c>
      <c r="AA274" s="373" t="s">
        <v>913</v>
      </c>
      <c r="AB274" s="1421"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3">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3"/>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3"/>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3"/>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3"/>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3"/>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3"/>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4">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4"/>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5">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0"/>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22877</v>
      </c>
      <c r="Q9">
        <v>8220</v>
      </c>
      <c r="R9">
        <v>38285</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152102</v>
      </c>
      <c r="Q13">
        <v>113546</v>
      </c>
      <c r="R13">
        <v>316546</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591</v>
      </c>
      <c r="E1417">
        <v>438</v>
      </c>
      <c r="F1417">
        <v>438</v>
      </c>
    </row>
    <row r="1418" spans="1:7">
      <c r="A1418" t="s">
        <v>782</v>
      </c>
    </row>
    <row r="1419" spans="1:7">
      <c r="A1419" t="s">
        <v>650</v>
      </c>
      <c r="B1419">
        <v>225</v>
      </c>
      <c r="C1419">
        <v>135</v>
      </c>
      <c r="D1419">
        <v>494</v>
      </c>
      <c r="E1419">
        <v>333</v>
      </c>
      <c r="F1419">
        <v>1187</v>
      </c>
    </row>
    <row r="1420" spans="1:7">
      <c r="A1420" t="s">
        <v>785</v>
      </c>
    </row>
    <row r="1421" spans="1:7">
      <c r="A1421" t="s">
        <v>780</v>
      </c>
    </row>
    <row r="1422" spans="1:7">
      <c r="A1422" t="s">
        <v>666</v>
      </c>
      <c r="D1422">
        <v>2020</v>
      </c>
      <c r="E1422">
        <v>1855</v>
      </c>
      <c r="F1422">
        <v>3875</v>
      </c>
    </row>
    <row r="1423" spans="1:7">
      <c r="A1423" t="s">
        <v>774</v>
      </c>
      <c r="B1423">
        <v>735</v>
      </c>
      <c r="C1423">
        <v>755</v>
      </c>
      <c r="D1423">
        <v>897</v>
      </c>
      <c r="E1423">
        <v>583</v>
      </c>
      <c r="F1423">
        <v>2970</v>
      </c>
    </row>
    <row r="1424" spans="1:7">
      <c r="A1424" t="s">
        <v>1435</v>
      </c>
      <c r="C1424">
        <v>513</v>
      </c>
      <c r="F1424">
        <v>513</v>
      </c>
    </row>
    <row r="1425" spans="1:6">
      <c r="A1425" t="s">
        <v>652</v>
      </c>
      <c r="D1425">
        <v>172</v>
      </c>
      <c r="F1425">
        <v>172</v>
      </c>
    </row>
    <row r="1426" spans="1:6">
      <c r="A1426" t="s">
        <v>814</v>
      </c>
      <c r="D1426">
        <v>918</v>
      </c>
      <c r="F1426">
        <v>918</v>
      </c>
    </row>
    <row r="1427" spans="1:6">
      <c r="A1427" t="s">
        <v>826</v>
      </c>
    </row>
    <row r="1428" spans="1:6">
      <c r="A1428" t="s">
        <v>824</v>
      </c>
      <c r="D1428">
        <v>7</v>
      </c>
      <c r="F1428">
        <v>7</v>
      </c>
    </row>
    <row r="1429" spans="1:6">
      <c r="A1429" t="s">
        <v>683</v>
      </c>
      <c r="E1429">
        <v>265</v>
      </c>
      <c r="F1429">
        <v>265</v>
      </c>
    </row>
    <row r="1430" spans="1:6">
      <c r="A1430" t="s">
        <v>469</v>
      </c>
      <c r="B1430">
        <v>960</v>
      </c>
      <c r="C1430">
        <v>1403</v>
      </c>
      <c r="D1430">
        <v>4508</v>
      </c>
      <c r="E1430">
        <v>3474</v>
      </c>
      <c r="F1430">
        <v>10345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3"/>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8694CEB-7FD9-4D2C-9F3D-3A0855DEA47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2026-03-26T21:42:17Z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