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4" documentId="8_{DCF85A03-1EEC-410A-B6A1-333228F65FDB}" xr6:coauthVersionLast="47" xr6:coauthVersionMax="47" xr10:uidLastSave="{BA437512-4722-4083-B7D4-122CBF85AC1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71" r:id="rId12"/>
    <pivotCache cacheId="572" r:id="rId13"/>
    <pivotCache cacheId="573" r:id="rId14"/>
    <pivotCache cacheId="574" r:id="rId15"/>
    <pivotCache cacheId="5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<sst xmlns="http://schemas.openxmlformats.org/spreadsheetml/2006/main" count="20997" uniqueCount="2602">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</sst>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05/25/2026  7:11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94" cm="1">
        <f t="array" ref="A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f>
        <v>164</v>
      </c>
      <c r="B10" s="1495"/>
      <c r="C10" s="1010"/>
      <c r="D10" s="1494" cm="1">
        <f t="array" ref="D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Footage'!V2:V181),'Tillman UG Footage'!V2:V181,0)))</f>
        <v>1013974</v>
      </c>
      <c r="E10" s="1496"/>
      <c r="F10" s="1495"/>
      <c r="G10" s="1010"/>
      <c r="H10" s="1497" cm="1">
        <f t="array" ref="H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Footage'!W2:W181),'Tillman UG Footage'!W2:W181,0)))</f>
        <v>62172</v>
      </c>
      <c r="I10" s="1498"/>
      <c r="J10" s="1499"/>
      <c r="K10" s="1010"/>
      <c r="L10" s="1500" cm="1">
        <f t="array" ref="L10">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Footage'!X2:X181),'Tillman UG Footage'!X2:X181,0)))</f>
        <v>951802</v>
      </c>
      <c r="M10" s="1501"/>
      <c r="N10" s="1502"/>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03">
        <f>IFERROR(H10/D10,0)</f>
        <v>6.1315181651600534E-2</v>
      </c>
      <c r="B13" s="1504"/>
      <c r="C13" s="1010"/>
      <c r="D13" s="1509" cm="1">
        <f t="array" ref="D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Footage'!N2:N181),'Tillman UG Footage'!N2:N181,0)))</f>
        <v>11870772.749999998</v>
      </c>
      <c r="E13" s="1510"/>
      <c r="F13" s="1511"/>
      <c r="G13" s="1010"/>
      <c r="H13" s="1494" cm="1">
        <f t="array" ref="H13">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"))))*(IF(ISNUMBER('Tillman UG Footage'!H2:H181),'Tillman UG Footage'!H2:H181,0)))</f>
        <v>10261</v>
      </c>
      <c r="I13" s="1496"/>
      <c r="J13" s="1495"/>
      <c r="K13" s="1010"/>
      <c r="L13" s="1486">
        <f>COUNTA('Pending Resto-COP Packages'!A12:A59)</f>
        <v>36</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508" t="s">
        <v>16</v>
      </c>
      <c r="B15" s="1508"/>
      <c r="C15" s="1508"/>
      <c r="D15" s="1508"/>
      <c r="E15" s="1010"/>
      <c r="F15" s="1508" t="s">
        <v>17</v>
      </c>
      <c r="G15" s="1508"/>
      <c r="H15" s="1508"/>
      <c r="I15" s="1508"/>
      <c r="J15" s="1010"/>
      <c r="K15" s="1508" t="s">
        <v>18</v>
      </c>
      <c r="L15" s="1508"/>
      <c r="M15" s="150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f>
        <v>1</v>
      </c>
      <c r="C17" s="1015" cm="1">
        <f t="array" ref="C17">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Footage'!V2:V181),'Tillman UG Footage'!V2:V181,0)))</f>
        <v>6182</v>
      </c>
      <c r="D17" s="1388" cm="1">
        <f t="array" ref="D17">IFERROR(SUMPRODUCT(((('Tillman UG Footage'!P2:P181="In Process")+('Tillman UG Footage'!P2:P181="Not Started")+('Tillman UG Footage'!P2:P181="Locates Called"))&gt;0)*1*--('Tillman UG Footage'!B2:B181="St Petersburg")*--(IF($D$5="All",TRUE,'Tillman UG Footage'!P2:P181=$D$5))*--(IF($F$5="All",TRUE,ISNUMBER(FIND($F$5,'Tillman UG Footage'!D2:D181&amp;" "))))*--(IF($H$5="All",TRUE,ISNUMBER(FIND($H$5,'Tillman UG Footage'!F2:F181&amp;" "))))*(IF(ISNUMBER('Tillman UG Footage'!W2:W181),'Tillman UG Footage'!W2:W181,0)))/C17,0)</f>
        <v>0.95422193464898086</v>
      </c>
      <c r="E17" s="1010"/>
      <c r="F17" s="1018" t="s">
        <v>29</v>
      </c>
      <c r="G17" s="1015" cm="1">
        <f t="array" ref="G17">SUMPRODUCT(--(IF($B$5="All",TRUE,'Tillman UG Footage'!B2:B181=$B$5))*--('Tillman UG Footage'!P2:P181="In Process")*--(IF($F$5="All",TRUE,ISNUMBER(FIND($F$5,'Tillman UG Footage'!D2:D181&amp;" "))))*--(IF($H$5="All",TRUE,ISNUMBER(FIND($H$5,'Tillman UG Footage'!F2:F181&amp;" ")))))</f>
        <v>12</v>
      </c>
      <c r="H17" s="1015" cm="1">
        <f t="array" ref="H17">SUMPRODUCT(--(IF($B$5="All",TRUE,'Tillman UG Footage'!B2:B181=$B$5))*--('Tillman UG Footage'!P2:P181="In Process")*--(IF($F$5="All",TRUE,ISNUMBER(FIND($F$5,'Tillman UG Footage'!D2:D181&amp;" "))))*--(IF($H$5="All",TRUE,ISNUMBER(FIND($H$5,'Tillman UG Footage'!F2:F181&amp;" "))))*(IF(ISNUMBER('Tillman UG Footage'!V2:V181),'Tillman UG Footage'!V2:V181,0)))</f>
        <v>65652</v>
      </c>
      <c r="I17" s="1390" cm="1">
        <f t="array" ref="I17">SUMPRODUCT(--(IF($B$5="All",TRUE,'Tillman UG Footage'!B2:B181=$B$5))*--('Tillman UG Footage'!P2:P181="In Process")*--(IF($F$5="All",TRUE,ISNUMBER(FIND($F$5,'Tillman UG Footage'!D2:D181&amp;" "))))*--(IF($H$5="All",TRUE,ISNUMBER(FIND($H$5,'Tillman UG Footage'!F2:F181&amp;" "))))*(IF(ISNUMBER('Tillman UG Footage'!N2:N181),'Tillman UG Footage'!N2:N181,0)))</f>
        <v>782485.75</v>
      </c>
      <c r="J17" s="1010"/>
      <c r="K17" s="1018" t="s">
        <v>30</v>
      </c>
      <c r="L17" s="1015" cm="1">
        <f t="array" ref="L17">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f>
        <v>4</v>
      </c>
      <c r="C18" s="1016" cm="1">
        <f t="array" ref="C18">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Footage'!V2:V181),'Tillman UG Footage'!V2:V181,0)))</f>
        <v>9415</v>
      </c>
      <c r="D18" s="1389" cm="1">
        <f t="array" ref="D18">IFERROR(SUMPRODUCT(((('Tillman UG Footage'!P2:P181="In Process")+('Tillman UG Footage'!P2:P181="Not Started")+('Tillman UG Footage'!P2:P181="Locates Called"))&gt;0)*1*--('Tillman UG Footage'!B2:B181="Lakeland")*--(IF($D$5="All",TRUE,'Tillman UG Footage'!P2:P181=$D$5))*--(IF($F$5="All",TRUE,ISNUMBER(FIND($F$5,'Tillman UG Footage'!D2:D181&amp;" "))))*--(IF($H$5="All",TRUE,ISNUMBER(FIND($H$5,'Tillman UG Footage'!F2:F181&amp;" "))))*(IF(ISNUMBER('Tillman UG Footage'!W2:W181),'Tillman UG Footage'!W2:W181,0)))/C18,0)</f>
        <v>0.41720658523632503</v>
      </c>
      <c r="E18" s="1010"/>
      <c r="F18" s="1019" t="s">
        <v>32</v>
      </c>
      <c r="G18" s="1016" cm="1">
        <f t="array" ref="G18">SUMPRODUCT(--(IF($B$5="All",TRUE,'Tillman UG Footage'!B2:B181=$B$5))*--('Tillman UG Footage'!P2:P181="Not Started")*--(IF($F$5="All",TRUE,ISNUMBER(FIND($F$5,'Tillman UG Footage'!D2:D181&amp;" "))))*--(IF($H$5="All",TRUE,ISNUMBER(FIND($H$5,'Tillman UG Footage'!F2:F181&amp;" ")))))</f>
        <v>132</v>
      </c>
      <c r="H18" s="1016" cm="1">
        <f t="array" ref="H18">SUMPRODUCT(--(IF($B$5="All",TRUE,'Tillman UG Footage'!B2:B181=$B$5))*--('Tillman UG Footage'!P2:P181="Not Started")*--(IF($F$5="All",TRUE,ISNUMBER(FIND($F$5,'Tillman UG Footage'!D2:D181&amp;" "))))*--(IF($H$5="All",TRUE,ISNUMBER(FIND($H$5,'Tillman UG Footage'!F2:F181&amp;" "))))*(IF(ISNUMBER('Tillman UG Footage'!V2:V181),'Tillman UG Footage'!V2:V181,0)))</f>
        <v>811810</v>
      </c>
      <c r="I18" s="1391" cm="1">
        <f t="array" ref="I18">SUMPRODUCT(--(IF($B$5="All",TRUE,'Tillman UG Footage'!B2:B181=$B$5))*--('Tillman UG Footage'!P2:P181="Not Started")*--(IF($F$5="All",TRUE,ISNUMBER(FIND($F$5,'Tillman UG Footage'!D2:D181&amp;" "))))*--(IF($H$5="All",TRUE,ISNUMBER(FIND($H$5,'Tillman UG Footage'!F2:F181&amp;" "))))*(IF(ISNUMBER('Tillman UG Footage'!N2:N181),'Tillman UG Footage'!N2:N181,0)))</f>
        <v>9429633.9000000004</v>
      </c>
      <c r="J18" s="1010"/>
      <c r="K18" s="1019" t="s">
        <v>33</v>
      </c>
      <c r="L18" s="1016" cm="1">
        <f t="array" ref="L18">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f>
        <v>29</v>
      </c>
      <c r="C19" s="1015" cm="1">
        <f t="array" ref="C19">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Footage'!V2:V181),'Tillman UG Footage'!V2:V181,0)))</f>
        <v>114146</v>
      </c>
      <c r="D19" s="1388" cm="1">
        <f t="array" ref="D19">IFERROR(SUMPRODUCT(((('Tillman UG Footage'!P2:P181="In Process")+('Tillman UG Footage'!P2:P181="Not Started")+('Tillman UG Footage'!P2:P181="Locates Called"))&gt;0)*1*--('Tillman UG Footage'!B2:B181="Bradenton")*--(IF($D$5="All",TRUE,'Tillman UG Footage'!P2:P181=$D$5))*--(IF($F$5="All",TRUE,ISNUMBER(FIND($F$5,'Tillman UG Footage'!D2:D181&amp;" "))))*--(IF($H$5="All",TRUE,ISNUMBER(FIND($H$5,'Tillman UG Footage'!F2:F181&amp;" "))))*(IF(ISNUMBER('Tillman UG Footage'!W2:W181),'Tillman UG Footage'!W2:W181,0)))/C19,0)</f>
        <v>0.1019921854467086</v>
      </c>
      <c r="E19" s="1010"/>
      <c r="F19" s="1018" t="s">
        <v>35</v>
      </c>
      <c r="G19" s="1015" cm="1">
        <f t="array" ref="G19">SUMPRODUCT(--(IF($B$5="All",TRUE,'Tillman UG Footage'!B2:B181=$B$5))*--('Tillman UG Footage'!P2:P181="Locates Called")*--(IF($F$5="All",TRUE,ISNUMBER(FIND($F$5,'Tillman UG Footage'!D2:D181&amp;" "))))*--(IF($H$5="All",TRUE,ISNUMBER(FIND($H$5,'Tillman UG Footage'!F2:F181&amp;" ")))))</f>
        <v>20</v>
      </c>
      <c r="H19" s="1015" cm="1">
        <f t="array" ref="H19">SUMPRODUCT(--(IF($B$5="All",TRUE,'Tillman UG Footage'!B2:B181=$B$5))*--('Tillman UG Footage'!P2:P181="Locates Called")*--(IF($F$5="All",TRUE,ISNUMBER(FIND($F$5,'Tillman UG Footage'!D2:D181&amp;" "))))*--(IF($H$5="All",TRUE,ISNUMBER(FIND($H$5,'Tillman UG Footage'!F2:F181&amp;" "))))*(IF(ISNUMBER('Tillman UG Footage'!V2:V181),'Tillman UG Footage'!V2:V181,0)))</f>
        <v>136512</v>
      </c>
      <c r="I19" s="1390" cm="1">
        <f t="array" ref="I19">SUMPRODUCT(--(IF($B$5="All",TRUE,'Tillman UG Footage'!B2:B181=$B$5))*--('Tillman UG Footage'!P2:P181="Locates Called")*--(IF($F$5="All",TRUE,ISNUMBER(FIND($F$5,'Tillman UG Footage'!D2:D181&amp;" "))))*--(IF($H$5="All",TRUE,ISNUMBER(FIND($H$5,'Tillman UG Footage'!F2:F181&amp;" "))))*(IF(ISNUMBER('Tillman UG Footage'!N2:N181),'Tillman UG Footage'!N2:N181,0)))</f>
        <v>1658653.0999999999</v>
      </c>
      <c r="J19" s="1010"/>
      <c r="K19" s="1018" t="s">
        <v>36</v>
      </c>
      <c r="L19" s="1015" cm="1">
        <f t="array" ref="L19">SUMPRODUCT(((('Tillman UG Footage'!P2:P181="In Process")+('Tillman UG Footage'!P2:P181="Not Started")+('Tillman UG Footage'!P2:P181="Locates Called"))&gt;0)*1*--(IF($B$5="All",TRUE,'Tillman UG Footage'!B2:B181=$B$5))*--(IF($D$5="All",TRUE,'Tillman UG Footage'!P2:P181=$D$5))*--(IF($F$5="All",TRUE,ISNUMBER(FIND($F$5,'Tillman UG Footage'!D2:D181&amp;" "))))*--(IF($H$5="All",TRUE,ISNUMBER(FIND($H$5,'Tillman UG Footage'!F2:F181&amp;" "))))*--('Tillman UG Footage'!J2:J181="Not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f>
        <v>23</v>
      </c>
      <c r="C20" s="1016" cm="1">
        <f t="array" ref="C20">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Footage'!V2:V181),'Tillman UG Footage'!V2:V181,0)))</f>
        <v>155096</v>
      </c>
      <c r="D20" s="1389" cm="1">
        <f t="array" ref="D20">IFERROR(SUMPRODUCT(((('Tillman UG Footage'!P2:P181="In Process")+('Tillman UG Footage'!P2:P181="Not Started")+('Tillman UG Footage'!P2:P181="Locates Called"))&gt;0)*1*--('Tillman UG Footage'!B2:B181="Fort Myers")*--(IF($D$5="All",TRUE,'Tillman UG Footage'!P2:P181=$D$5))*--(IF($F$5="All",TRUE,ISNUMBER(FIND($F$5,'Tillman UG Footage'!D2:D181&amp;" "))))*--(IF($H$5="All",TRUE,ISNUMBER(FIND($H$5,'Tillman UG Footage'!F2:F181&amp;" "))))*(IF(ISNUMBER('Tillman UG Footage'!W2:W181),'Tillman UG Footage'!W2:W181,0)))/C20,0)</f>
        <v>0.14579357301284365</v>
      </c>
      <c r="E20" s="1010"/>
      <c r="F20" s="1019" t="s">
        <v>38</v>
      </c>
      <c r="G20" s="1016" cm="1">
        <f t="array" ref="G20">SUMPRODUCT(--(IF($B$5="All",TRUE,'Tillman UG Footage'!B2:B181=$B$5))*--('Tillman UG Footage'!P2:P181="Completed")*--(IF($F$5="All",TRUE,ISNUMBER(FIND($F$5,'Tillman UG Footage'!D2:D181&amp;" "))))*--(IF($H$5="All",TRUE,ISNUMBER(FIND($H$5,'Tillman UG Footage'!F2:F181&amp;" ")))))</f>
        <v>0</v>
      </c>
      <c r="H20" s="1016" cm="1">
        <f t="array" ref="H20">SUMPRODUCT(--(IF($B$5="All",TRUE,'Tillman UG Footage'!B2:B181=$B$5))*--('Tillman UG Footage'!P2:P181="Completed")*--(IF($F$5="All",TRUE,ISNUMBER(FIND($F$5,'Tillman UG Footage'!D2:D181&amp;" "))))*--(IF($H$5="All",TRUE,ISNUMBER(FIND($H$5,'Tillman UG Footage'!F2:F181&amp;" "))))*IF(ISNUMBER('Tillman UG Footage'!V2:V181),'Tillman UG Footage'!V2:V181,0))</f>
        <v>0</v>
      </c>
      <c r="I20" s="1391" cm="1">
        <f t="array" ref="I20">SUMPRODUCT(--(IF($B$5="All",TRUE,'Tillman UG Footage'!B2:B181=$B$5))*--('Tillman UG Footage'!P2:P181="Completed")*--(IF($F$5="All",TRUE,ISNUMBER(FIND($F$5,'Tillman UG Footage'!D2:D181&amp;" "))))*--(IF($H$5="All",TRUE,ISNUMBER(FIND($H$5,'Tillman UG Footage'!F2:F181&amp;" "))))*IF(ISNUMBER('Tillman UG Footage'!N2:N181),'Tillman UG Footage'!N2:N181,0))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f>
        <v>8</v>
      </c>
      <c r="C21" s="1015" cm="1">
        <f t="array" ref="C21">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Footage'!V2:V181),'Tillman UG Footage'!V2:V181,0)))</f>
        <v>25196</v>
      </c>
      <c r="D21" s="1388" cm="1">
        <f t="array" ref="D21">IFERROR(SUMPRODUCT(((('Tillman UG Footage'!P2:P181="In Process")+('Tillman UG Footage'!P2:P181="Not Started")+('Tillman UG Footage'!P2:P181="Locates Called"))&gt;0)*1*--('Tillman UG Footage'!B2:B181="Port Charlotte")*--(IF($D$5="All",TRUE,'Tillman UG Footage'!P2:P181=$D$5))*--(IF($F$5="All",TRUE,ISNUMBER(FIND($F$5,'Tillman UG Footage'!D2:D181&amp;" "))))*--(IF($H$5="All",TRUE,ISNUMBER(FIND($H$5,'Tillman UG Footage'!F2:F181&amp;" "))))*(IF(ISNUMBER('Tillman UG Footage'!W2:W181),'Tillman UG Footage'!W2:W181,0)))/C21,0)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f>
        <v>0</v>
      </c>
      <c r="C22" s="1016" cm="1">
        <f t="array" ref="C22">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Footage'!V2:V181),'Tillman UG Footage'!V2:V181,0)))</f>
        <v>0</v>
      </c>
      <c r="D22" s="1389" cm="1">
        <f t="array" ref="D22">IFERROR(SUMPRODUCT(((('Tillman UG Footage'!P2:P181="In Process")+('Tillman UG Footage'!P2:P181="Not Started")+('Tillman UG Footage'!P2:P181="Locates Called"))&gt;0)*1*--('Tillman UG Footage'!B2:B181="Naples")*--(IF($D$5="All",TRUE,'Tillman UG Footage'!P2:P181=$D$5))*--(IF($F$5="All",TRUE,ISNUMBER(FIND($F$5,'Tillman UG Footage'!D2:D181&amp;" "))))*--(IF($H$5="All",TRUE,ISNUMBER(FIND($H$5,'Tillman UG Footage'!F2:F181&amp;" "))))*(IF(ISNUMBER('Tillman UG Footage'!W2:W181),'Tillman UG Footage'!W2:W181,0)))/C22,0)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f>
        <v>56</v>
      </c>
      <c r="C23" s="1015" cm="1">
        <f t="array" ref="C23">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Footage'!V2:V181),'Tillman UG Footage'!V2:V181,0)))</f>
        <v>391682</v>
      </c>
      <c r="D23" s="1388" cm="1">
        <f t="array" ref="D23">IFERROR(SUMPRODUCT(((('Tillman UG Footage'!P2:P181="In Process")+('Tillman UG Footage'!P2:P181="Not Started")+('Tillman UG Footage'!P2:P181="Locates Called"))&gt;0)*1*--('Tillman UG Footage'!B2:B181="Kissimmee")*--(IF($D$5="All",TRUE,'Tillman UG Footage'!P2:P181=$D$5))*--(IF($F$5="All",TRUE,ISNUMBER(FIND($F$5,'Tillman UG Footage'!D2:D181&amp;" "))))*--(IF($H$5="All",TRUE,ISNUMBER(FIND($H$5,'Tillman UG Footage'!F2:F181&amp;" "))))*(IF(ISNUMBER('Tillman UG Footage'!W2:W181),'Tillman UG Footage'!W2:W181,0)))/C23,0)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f>
        <v>10</v>
      </c>
      <c r="C24" s="1016" cm="1">
        <f t="array" ref="C24">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Footage'!V2:V181),'Tillman UG Footage'!V2:V181,0)))</f>
        <v>67125</v>
      </c>
      <c r="D24" s="1389" cm="1">
        <f t="array" ref="D24">IFERROR(SUMPRODUCT(((('Tillman UG Footage'!P2:P181="In Process")+('Tillman UG Footage'!P2:P181="Not Started")+('Tillman UG Footage'!P2:P181="Locates Called"))&gt;0)*1*--('Tillman UG Footage'!B2:B181="Miami")*--(IF($D$5="All",TRUE,'Tillman UG Footage'!P2:P181=$D$5))*--(IF($F$5="All",TRUE,ISNUMBER(FIND($F$5,'Tillman UG Footage'!D2:D181&amp;" "))))*--(IF($H$5="All",TRUE,ISNUMBER(FIND($H$5,'Tillman UG Footage'!F2:F181&amp;" "))))*(IF(ISNUMBER('Tillman UG Footage'!W2:W181),'Tillman UG Footage'!W2:W181,0)))/C24,0)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508" t="s">
        <v>44</v>
      </c>
      <c r="B27" s="1508"/>
      <c r="C27" s="1508"/>
      <c r="D27" s="1508"/>
      <c r="F27" s="1512" t="s">
        <v>45</v>
      </c>
      <c r="G27" s="1512"/>
      <c r="H27" s="1512"/>
      <c r="I27" s="151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12</v>
      </c>
      <c r="D30" s="1040">
        <f t="shared" si="0"/>
        <v>20</v>
      </c>
      <c r="F30" s="1029" t="s">
        <v>53</v>
      </c>
      <c r="G30" s="54">
        <f>COUNTIFS('Tillman UG Footage'!F:F,"*Cody*",'Tillman UG Footage'!B:B,"&lt;&gt;AREA")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3</v>
      </c>
      <c r="C34" s="54">
        <f>COUNTIF('Pending Resto-COP Packages'!D:D,"*Yosep AER*")</f>
        <v>2</v>
      </c>
      <c r="D34" s="1040">
        <f t="shared" si="0"/>
        <v>5</v>
      </c>
      <c r="F34" s="1029" t="s">
        <v>61</v>
      </c>
      <c r="G34" s="54">
        <f>COUNTIFS('Tillman UG Footage'!F:F,"*Miguel*",'Tillman UG Footage'!B:B,"&lt;&gt;AREA")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UG Footage'!F:F,"*Efrian*",'Tillman UG Footage'!B:B,"&lt;&gt;AREA")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505" t="s">
        <v>65</v>
      </c>
      <c r="B39" s="1505"/>
      <c r="C39" s="1505"/>
      <c r="D39" s="1505"/>
      <c r="E39" s="1505"/>
      <c r="F39" s="1505"/>
      <c r="G39" s="1505"/>
      <c r="H39" s="1505"/>
      <c r="I39" s="1505"/>
      <c r="J39" s="1505"/>
      <c r="K39" s="1506"/>
      <c r="L39" s="1506"/>
      <c r="M39" s="1506"/>
      <c r="N39" s="150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507" t="s">
        <v>66</v>
      </c>
      <c r="B60" s="1507"/>
      <c r="C60" s="1507"/>
      <c r="D60" s="1507"/>
      <c r="E60" s="1507"/>
      <c r="F60" s="1507"/>
      <c r="G60" s="1507"/>
      <c r="H60" s="1507"/>
      <c r="I60" s="1507"/>
      <c r="J60" s="1507"/>
      <c r="K60" s="1507"/>
      <c r="L60" s="1507"/>
      <c r="M60" s="1507"/>
      <c r="N60" s="150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B31" activePane="topRight" state="frozen"/>
      <selection pane="topRight" activeCell="Y58" sqref="Y5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2D21C2E-CA58-45BD-A6D0-54341FB2C8F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2026-05-26T01:11:12Z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