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defaultThemeVersion="166925"/>
  <mc:AlternateContent xmlns:mc="http://schemas.openxmlformats.org/markup-compatibility/2006">
    <mc:Choice Requires="x15">
      <x15ac:absPath xmlns:x15ac="http://schemas.microsoft.com/office/spreadsheetml/2010/11/ac" url="C:\Users\marco\Dropbox\MECHATRONICS PROJECT 1\2. Research Report\6. Integration\6.1 Component integration phase\"/>
    </mc:Choice>
  </mc:AlternateContent>
  <xr:revisionPtr revIDLastSave="0" documentId="13_ncr:1_{F8F1B64A-8AEB-4840-BABD-FD6753B86C44}" xr6:coauthVersionLast="45" xr6:coauthVersionMax="45" xr10:uidLastSave="{00000000-0000-0000-0000-000000000000}"/>
  <bookViews>
    <workbookView xWindow="-120" yWindow="-120" windowWidth="29040" windowHeight="15840" xr2:uid="{C44B7EA6-079E-460D-99DE-1272597B4C28}"/>
  </bookViews>
  <sheets>
    <sheet name="n input" sheetId="1" r:id="rId1"/>
    <sheet name="Vb input" sheetId="4" r:id="rId2"/>
    <sheet name="old_rubbish" sheetId="3" r:id="rId3"/>
  </sheets>
  <definedNames>
    <definedName name="_Toc57046906" localSheetId="0">'n input'!$C$21</definedName>
    <definedName name="_Toc57046906" localSheetId="2">old_rubbish!#REF!</definedName>
    <definedName name="_Toc57046906" localSheetId="1">'Vb input'!$B$24</definedName>
    <definedName name="_Toc57046907" localSheetId="0">'n input'!$C$22</definedName>
    <definedName name="_Toc57046907" localSheetId="2">old_rubbish!#REF!</definedName>
    <definedName name="_Toc57046907" localSheetId="1">'Vb input'!$B$25</definedName>
    <definedName name="_Toc57046908" localSheetId="0">'n input'!$B$30</definedName>
    <definedName name="_Toc57046908" localSheetId="2">old_rubbish!$B$31</definedName>
    <definedName name="_Toc57046908" localSheetId="1">'Vb input'!$B$30</definedName>
    <definedName name="_Toc57046909" localSheetId="0">'n input'!$B$38</definedName>
    <definedName name="_Toc57046909" localSheetId="2">old_rubbish!$B$39</definedName>
    <definedName name="_Toc57046909" localSheetId="1">'Vb input'!$B$38</definedName>
    <definedName name="_Toc57046910" localSheetId="0">'n input'!$B$50</definedName>
    <definedName name="_Toc57046910" localSheetId="2">old_rubbish!$B$51</definedName>
    <definedName name="_Toc57046910" localSheetId="1">'Vb input'!$B$50</definedName>
    <definedName name="_Toc57046911" localSheetId="0">'n input'!$B$58</definedName>
    <definedName name="_Toc57046911" localSheetId="2">old_rubbish!$B$59</definedName>
    <definedName name="_Toc57046911" localSheetId="1">'Vb input'!$B$58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 l="1"/>
  <c r="G6" i="4"/>
  <c r="S12" i="4"/>
  <c r="S7" i="4"/>
  <c r="G3" i="4" l="1"/>
  <c r="G7" i="1" l="1"/>
  <c r="G10" i="1" l="1"/>
  <c r="G4" i="4" l="1"/>
  <c r="S34" i="4"/>
  <c r="N34" i="4"/>
  <c r="M34" i="4"/>
  <c r="S33" i="4"/>
  <c r="M33" i="4"/>
  <c r="N33" i="4" s="1"/>
  <c r="S32" i="4"/>
  <c r="M32" i="4"/>
  <c r="N32" i="4" s="1"/>
  <c r="S31" i="4"/>
  <c r="N31" i="4"/>
  <c r="M31" i="4"/>
  <c r="S30" i="4"/>
  <c r="N30" i="4"/>
  <c r="M30" i="4"/>
  <c r="S29" i="4"/>
  <c r="M29" i="4"/>
  <c r="N29" i="4" s="1"/>
  <c r="S28" i="4"/>
  <c r="M28" i="4"/>
  <c r="N28" i="4" s="1"/>
  <c r="S27" i="4"/>
  <c r="N27" i="4"/>
  <c r="M27" i="4"/>
  <c r="S26" i="4"/>
  <c r="N26" i="4"/>
  <c r="M26" i="4"/>
  <c r="S25" i="4"/>
  <c r="M25" i="4"/>
  <c r="N25" i="4" s="1"/>
  <c r="S24" i="4"/>
  <c r="M24" i="4"/>
  <c r="N24" i="4" s="1"/>
  <c r="S23" i="4"/>
  <c r="N23" i="4"/>
  <c r="M23" i="4"/>
  <c r="S22" i="4"/>
  <c r="N22" i="4"/>
  <c r="M22" i="4"/>
  <c r="S21" i="4"/>
  <c r="M21" i="4"/>
  <c r="N21" i="4" s="1"/>
  <c r="S20" i="4"/>
  <c r="M20" i="4"/>
  <c r="N20" i="4" s="1"/>
  <c r="S19" i="4"/>
  <c r="N19" i="4"/>
  <c r="M19" i="4"/>
  <c r="S18" i="4"/>
  <c r="N18" i="4"/>
  <c r="M18" i="4"/>
  <c r="S17" i="4"/>
  <c r="M17" i="4"/>
  <c r="N17" i="4" s="1"/>
  <c r="S16" i="4"/>
  <c r="M16" i="4"/>
  <c r="N16" i="4" s="1"/>
  <c r="S15" i="4"/>
  <c r="N15" i="4"/>
  <c r="M15" i="4"/>
  <c r="S14" i="4"/>
  <c r="M14" i="4"/>
  <c r="N14" i="4" s="1"/>
  <c r="S13" i="4"/>
  <c r="M13" i="4"/>
  <c r="N13" i="4" s="1"/>
  <c r="M12" i="4"/>
  <c r="N12" i="4" s="1"/>
  <c r="S11" i="4"/>
  <c r="N11" i="4"/>
  <c r="M11" i="4"/>
  <c r="C12" i="4"/>
  <c r="S10" i="4"/>
  <c r="N10" i="4"/>
  <c r="M10" i="4"/>
  <c r="S9" i="4"/>
  <c r="N9" i="4"/>
  <c r="M9" i="4"/>
  <c r="S8" i="4"/>
  <c r="M8" i="4"/>
  <c r="N8" i="4" s="1"/>
  <c r="M7" i="4"/>
  <c r="N7" i="4" s="1"/>
  <c r="S6" i="4"/>
  <c r="M6" i="4"/>
  <c r="N6" i="4" s="1"/>
  <c r="S5" i="4"/>
  <c r="N5" i="4"/>
  <c r="M5" i="4"/>
  <c r="S4" i="4"/>
  <c r="M4" i="4"/>
  <c r="N4" i="4" s="1"/>
  <c r="G5" i="4" l="1"/>
  <c r="G7" i="4" s="1"/>
  <c r="G6"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C11" i="1"/>
  <c r="G10" i="4" l="1"/>
  <c r="G11" i="4" s="1"/>
  <c r="G4" i="1"/>
  <c r="G16" i="1"/>
  <c r="G9" i="1" l="1"/>
  <c r="G13" i="1"/>
  <c r="C18" i="1"/>
  <c r="C22" i="1" s="1"/>
  <c r="M34" i="1"/>
  <c r="N34" i="1" s="1"/>
  <c r="M33" i="1"/>
  <c r="N33" i="1" s="1"/>
  <c r="M32" i="1"/>
  <c r="N32" i="1" s="1"/>
  <c r="M31" i="1"/>
  <c r="N31" i="1" s="1"/>
  <c r="M30" i="1"/>
  <c r="N30" i="1" s="1"/>
  <c r="M29" i="1"/>
  <c r="N29" i="1" s="1"/>
  <c r="M28" i="1"/>
  <c r="N28" i="1" s="1"/>
  <c r="M27" i="1"/>
  <c r="N27" i="1" s="1"/>
  <c r="M26" i="1"/>
  <c r="N26" i="1" s="1"/>
  <c r="M25" i="1"/>
  <c r="N25" i="1" s="1"/>
  <c r="M24" i="1"/>
  <c r="N24" i="1" s="1"/>
  <c r="M23" i="1"/>
  <c r="N23" i="1" s="1"/>
  <c r="M22" i="1"/>
  <c r="N22" i="1" s="1"/>
  <c r="M21" i="1"/>
  <c r="N21" i="1" s="1"/>
  <c r="M20" i="1"/>
  <c r="N20" i="1" s="1"/>
  <c r="M19" i="1"/>
  <c r="N19" i="1" s="1"/>
  <c r="M18" i="1"/>
  <c r="N18" i="1" s="1"/>
  <c r="M17" i="1"/>
  <c r="N17" i="1" s="1"/>
  <c r="M16" i="1"/>
  <c r="M15" i="1"/>
  <c r="N15" i="1" s="1"/>
  <c r="M14" i="1"/>
  <c r="N14" i="1" s="1"/>
  <c r="M13" i="1"/>
  <c r="N13" i="1" s="1"/>
  <c r="M12" i="1"/>
  <c r="N12" i="1" s="1"/>
  <c r="M11" i="1"/>
  <c r="N11" i="1" s="1"/>
  <c r="M10" i="1"/>
  <c r="N10" i="1" s="1"/>
  <c r="M9" i="1"/>
  <c r="N9" i="1" s="1"/>
  <c r="M8" i="1"/>
  <c r="N8" i="1" s="1"/>
  <c r="M7" i="1"/>
  <c r="N7" i="1" s="1"/>
  <c r="M6" i="1"/>
  <c r="N6" i="1" s="1"/>
  <c r="M5" i="1"/>
  <c r="N5" i="1" s="1"/>
  <c r="M4" i="1"/>
  <c r="N4" i="1" s="1"/>
  <c r="C23" i="1" l="1"/>
  <c r="N16" i="1"/>
  <c r="G5" i="1" l="1"/>
  <c r="G12" i="1" s="1"/>
  <c r="C10" i="3"/>
  <c r="G11" i="1" l="1"/>
  <c r="G3" i="3"/>
  <c r="G7" i="3" s="1"/>
  <c r="G4" i="3"/>
  <c r="G13" i="3" l="1"/>
  <c r="G9" i="3"/>
  <c r="G8" i="3"/>
  <c r="G14" i="3"/>
  <c r="G15"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Marco Hoogesteger</author>
  </authors>
  <commentList>
    <comment ref="O2" authorId="0" shapeId="0" xr:uid="{67899B12-F036-4DF0-B883-E9CCD4CEDE10}">
      <text>
        <r>
          <rPr>
            <b/>
            <sz val="9"/>
            <color indexed="81"/>
            <rFont val="Tahoma"/>
            <family val="2"/>
          </rPr>
          <t>Marco Hoogesteger:</t>
        </r>
        <r>
          <rPr>
            <sz val="9"/>
            <color indexed="81"/>
            <rFont val="Tahoma"/>
            <family val="2"/>
          </rPr>
          <t xml:space="preserve">
resistance for the hull of the boat</t>
        </r>
      </text>
    </comment>
    <comment ref="P2" authorId="0" shapeId="0" xr:uid="{C775030A-EC52-48AC-B520-79E21BCDE085}">
      <text>
        <r>
          <rPr>
            <b/>
            <sz val="9"/>
            <color indexed="81"/>
            <rFont val="Tahoma"/>
            <family val="2"/>
          </rPr>
          <t>Marco Hoogesteger:</t>
        </r>
        <r>
          <rPr>
            <sz val="9"/>
            <color indexed="81"/>
            <rFont val="Tahoma"/>
            <family val="2"/>
          </rPr>
          <t xml:space="preserve">
resistance for the propulsion pod</t>
        </r>
      </text>
    </comment>
    <comment ref="S2" authorId="0" shapeId="0" xr:uid="{BAC4975C-B560-428C-8FEB-20EAD678E72C}">
      <text>
        <r>
          <rPr>
            <b/>
            <sz val="9"/>
            <color indexed="81"/>
            <rFont val="Tahoma"/>
            <family val="2"/>
          </rPr>
          <t>Marco Hoogesteger:</t>
        </r>
        <r>
          <rPr>
            <sz val="9"/>
            <color indexed="81"/>
            <rFont val="Tahoma"/>
            <family val="2"/>
          </rPr>
          <t xml:space="preserve">
due to pressure differences and such, resistance force is a bit higher than just the friction added. Uses thrust deduction coefficient
Fr=Rtotal/(1-t)</t>
        </r>
      </text>
    </comment>
    <comment ref="G3" authorId="0" shapeId="0" xr:uid="{A4F9D811-868E-46EA-861E-A431C7F82F76}">
      <text>
        <r>
          <rPr>
            <b/>
            <sz val="9"/>
            <color indexed="81"/>
            <rFont val="Tahoma"/>
            <charset val="1"/>
          </rPr>
          <t>Marco Hoogesteger:</t>
        </r>
        <r>
          <rPr>
            <sz val="9"/>
            <color indexed="81"/>
            <rFont val="Tahoma"/>
            <charset val="1"/>
          </rPr>
          <t xml:space="preserve">
Thrust provided by propellor at certain rpm
Formula: rho*(rpm/60)^2*dprop^5*Kt
n=rev/s!</t>
        </r>
      </text>
    </comment>
    <comment ref="C4" authorId="0" shapeId="0" xr:uid="{FC5DCE31-A18A-4F49-ACBE-7347184AFB83}">
      <text>
        <r>
          <rPr>
            <b/>
            <sz val="9"/>
            <color indexed="81"/>
            <rFont val="Tahoma"/>
            <family val="2"/>
          </rPr>
          <t>Marco Hoogesteger:</t>
        </r>
        <r>
          <rPr>
            <sz val="9"/>
            <color indexed="81"/>
            <rFont val="Tahoma"/>
            <family val="2"/>
          </rPr>
          <t xml:space="preserve">
Actually change according to rpm, now it’s a median value</t>
        </r>
      </text>
    </comment>
    <comment ref="G4" authorId="0" shapeId="0" xr:uid="{62828613-38ED-44BC-B6FB-0607F4FED83E}">
      <text>
        <r>
          <rPr>
            <b/>
            <sz val="9"/>
            <color indexed="81"/>
            <rFont val="Tahoma"/>
            <charset val="1"/>
          </rPr>
          <t>Marco Hoogesteger:</t>
        </r>
        <r>
          <rPr>
            <sz val="9"/>
            <color indexed="81"/>
            <rFont val="Tahoma"/>
            <charset val="1"/>
          </rPr>
          <t xml:space="preserve">
Uses a lookup formula to interpolate and find a speed according to the thrust value. Resistance will increase with more speed, so thrust and resistance will come in an equilibrium. This speed is based off of previous test data</t>
        </r>
      </text>
    </comment>
    <comment ref="C5" authorId="0" shapeId="0" xr:uid="{CB63F90C-281B-4769-BCC0-1A2DD18202C1}">
      <text>
        <r>
          <rPr>
            <b/>
            <sz val="9"/>
            <color indexed="81"/>
            <rFont val="Tahoma"/>
            <family val="2"/>
          </rPr>
          <t>Marco Hoogesteger:</t>
        </r>
        <r>
          <rPr>
            <sz val="9"/>
            <color indexed="81"/>
            <rFont val="Tahoma"/>
            <family val="2"/>
          </rPr>
          <t xml:space="preserve">
Actually change according to rpm, now it’s a median value</t>
        </r>
      </text>
    </comment>
    <comment ref="G5" authorId="0" shapeId="0" xr:uid="{80709326-7076-4B74-8669-7AEEC329EE16}">
      <text>
        <r>
          <rPr>
            <b/>
            <sz val="9"/>
            <color indexed="81"/>
            <rFont val="Tahoma"/>
            <charset val="1"/>
          </rPr>
          <t>Marco Hoogesteger:</t>
        </r>
        <r>
          <rPr>
            <sz val="9"/>
            <color indexed="81"/>
            <rFont val="Tahoma"/>
            <charset val="1"/>
          </rPr>
          <t xml:space="preserve">
Va=inflow stream velocity.
Va=(1-w)*Vb</t>
        </r>
      </text>
    </comment>
    <comment ref="C7" authorId="0" shapeId="0" xr:uid="{F61773DC-2352-491D-AA65-8B680BBAC7FD}">
      <text>
        <r>
          <rPr>
            <b/>
            <sz val="9"/>
            <color indexed="81"/>
            <rFont val="Tahoma"/>
            <family val="2"/>
          </rPr>
          <t>Marco Hoogesteger:</t>
        </r>
        <r>
          <rPr>
            <sz val="9"/>
            <color indexed="81"/>
            <rFont val="Tahoma"/>
            <family val="2"/>
          </rPr>
          <t xml:space="preserve">
Wake fraction: coefficient for the difference in fluid velocity of boat vs what the propellor "sees". Due to pressure changes and turbulence the fluid speed the propellor sees is always lower than what the boat speed is.</t>
        </r>
      </text>
    </comment>
    <comment ref="G7" authorId="0" shapeId="0" xr:uid="{9DCAAE15-6F63-45DE-9E9E-38F81D331D95}">
      <text>
        <r>
          <rPr>
            <b/>
            <sz val="9"/>
            <color indexed="81"/>
            <rFont val="Tahoma"/>
            <family val="2"/>
          </rPr>
          <t>Marco Hoogesteger:</t>
        </r>
        <r>
          <rPr>
            <sz val="9"/>
            <color indexed="81"/>
            <rFont val="Tahoma"/>
            <family val="2"/>
          </rPr>
          <t xml:space="preserve">
Torque required for a certain rpm.
T=rho*(rpm/60)^2*dprop^5*Kq
n=rev/s!</t>
        </r>
      </text>
    </comment>
    <comment ref="G9" authorId="0" shapeId="0" xr:uid="{B7F09314-3A10-4949-AA4C-4AD36873177D}">
      <text>
        <r>
          <rPr>
            <b/>
            <sz val="9"/>
            <color indexed="81"/>
            <rFont val="Tahoma"/>
            <family val="2"/>
          </rPr>
          <t>Marco Hoogesteger:</t>
        </r>
        <r>
          <rPr>
            <sz val="9"/>
            <color indexed="81"/>
            <rFont val="Tahoma"/>
            <family val="2"/>
          </rPr>
          <t xml:space="preserve">
Thrust*Boat speed
don't know if Va should be used instead of Vb?</t>
        </r>
      </text>
    </comment>
    <comment ref="G10" authorId="0" shapeId="0" xr:uid="{797432D5-3144-43BB-B241-BBFD14F61670}">
      <text>
        <r>
          <rPr>
            <b/>
            <sz val="9"/>
            <color indexed="81"/>
            <rFont val="Tahoma"/>
            <family val="2"/>
          </rPr>
          <t>Marco Hoogesteger:</t>
        </r>
        <r>
          <rPr>
            <sz val="9"/>
            <color indexed="81"/>
            <rFont val="Tahoma"/>
            <family val="2"/>
          </rPr>
          <t xml:space="preserve">
Torque*n
n=rad/s!</t>
        </r>
      </text>
    </comment>
    <comment ref="G12" authorId="0" shapeId="0" xr:uid="{C116148B-8B18-46A2-9D65-A95119572014}">
      <text>
        <r>
          <rPr>
            <b/>
            <sz val="9"/>
            <color indexed="81"/>
            <rFont val="Tahoma"/>
            <family val="2"/>
          </rPr>
          <t>Marco Hoogesteger:</t>
        </r>
        <r>
          <rPr>
            <sz val="9"/>
            <color indexed="81"/>
            <rFont val="Tahoma"/>
            <family val="2"/>
          </rPr>
          <t xml:space="preserve">
propeller eff. = (T[thrust] * Va[inflow water velocity]) / (2 * PI * n[rev/s] * Q[torque])</t>
        </r>
      </text>
    </comment>
    <comment ref="G13" authorId="0" shapeId="0" xr:uid="{BDCA3C32-704C-49A1-944E-183A69227C42}">
      <text>
        <r>
          <rPr>
            <b/>
            <sz val="9"/>
            <color indexed="81"/>
            <rFont val="Tahoma"/>
            <family val="2"/>
          </rPr>
          <t>Marco Hoogesteger:</t>
        </r>
        <r>
          <rPr>
            <sz val="9"/>
            <color indexed="81"/>
            <rFont val="Tahoma"/>
            <family val="2"/>
          </rPr>
          <t xml:space="preserve">
propulsive eff. = (Rt[total ship resistance] * Vb[ship speed]) / (2 * PI * n[rev/s] * Q[torque])</t>
        </r>
      </text>
    </comment>
    <comment ref="C14" authorId="0" shapeId="0" xr:uid="{4E420090-5044-4652-88B8-D75474D47E30}">
      <text>
        <r>
          <rPr>
            <b/>
            <sz val="9"/>
            <color indexed="81"/>
            <rFont val="Tahoma"/>
            <charset val="1"/>
          </rPr>
          <t>Marco Hoogesteger:</t>
        </r>
        <r>
          <rPr>
            <sz val="9"/>
            <color indexed="81"/>
            <rFont val="Tahoma"/>
            <charset val="1"/>
          </rPr>
          <t xml:space="preserve">
Starting point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Marco Hoogesteger</author>
  </authors>
  <commentList>
    <comment ref="C3" authorId="0" shapeId="0" xr:uid="{61E33566-1717-4948-AC0B-71868408B846}">
      <text>
        <r>
          <rPr>
            <b/>
            <sz val="9"/>
            <color indexed="81"/>
            <rFont val="Tahoma"/>
            <family val="2"/>
          </rPr>
          <t>Marco Hoogesteger:</t>
        </r>
        <r>
          <rPr>
            <sz val="9"/>
            <color indexed="81"/>
            <rFont val="Tahoma"/>
            <family val="2"/>
          </rPr>
          <t xml:space="preserve">
starting point</t>
        </r>
      </text>
    </comment>
    <comment ref="G3" authorId="0" shapeId="0" xr:uid="{0C0F9168-D4A6-4E8E-AD9C-5B1F4095BD5B}">
      <text>
        <r>
          <rPr>
            <b/>
            <sz val="9"/>
            <color indexed="81"/>
            <rFont val="Tahoma"/>
            <family val="2"/>
          </rPr>
          <t>Marco Hoogesteger:</t>
        </r>
        <r>
          <rPr>
            <sz val="9"/>
            <color indexed="81"/>
            <rFont val="Tahoma"/>
            <family val="2"/>
          </rPr>
          <t xml:space="preserve">
Uses interpolation formula to find Ft </t>
        </r>
        <r>
          <rPr>
            <i/>
            <sz val="9"/>
            <color indexed="81"/>
            <rFont val="Tahoma"/>
            <family val="2"/>
          </rPr>
          <t>(which is equal to Fr at a certain speed)</t>
        </r>
        <r>
          <rPr>
            <sz val="9"/>
            <color indexed="81"/>
            <rFont val="Tahoma"/>
            <family val="2"/>
          </rPr>
          <t xml:space="preserve"> at Vb.</t>
        </r>
      </text>
    </comment>
    <comment ref="G4" authorId="0" shapeId="0" xr:uid="{FDCB52E5-5D23-4162-B263-B7F536374ED7}">
      <text>
        <r>
          <rPr>
            <b/>
            <sz val="9"/>
            <color indexed="81"/>
            <rFont val="Tahoma"/>
            <family val="2"/>
          </rPr>
          <t>Marco Hoogesteger:</t>
        </r>
        <r>
          <rPr>
            <sz val="9"/>
            <color indexed="81"/>
            <rFont val="Tahoma"/>
            <family val="2"/>
          </rPr>
          <t xml:space="preserve">
Va=inflow stream velocity.
Va=(1-w)*Vb</t>
        </r>
      </text>
    </comment>
    <comment ref="G5" authorId="0" shapeId="0" xr:uid="{422F56AF-E41D-415A-9EBF-4244752DED5E}">
      <text>
        <r>
          <rPr>
            <b/>
            <sz val="9"/>
            <color indexed="81"/>
            <rFont val="Tahoma"/>
            <family val="2"/>
          </rPr>
          <t>Marco Hoogesteger:</t>
        </r>
        <r>
          <rPr>
            <sz val="9"/>
            <color indexed="81"/>
            <rFont val="Tahoma"/>
            <family val="2"/>
          </rPr>
          <t xml:space="preserve">
Thrust*Boat speed
don't know if Va should be used instead of Vb?</t>
        </r>
      </text>
    </comment>
    <comment ref="G6" authorId="0" shapeId="0" xr:uid="{70511D56-7453-42BF-BE93-E7048584D4F1}">
      <text>
        <r>
          <rPr>
            <b/>
            <sz val="9"/>
            <color indexed="81"/>
            <rFont val="Tahoma"/>
            <family val="2"/>
          </rPr>
          <t>Marco Hoogesteger:</t>
        </r>
        <r>
          <rPr>
            <sz val="9"/>
            <color indexed="81"/>
            <rFont val="Tahoma"/>
            <family val="2"/>
          </rPr>
          <t xml:space="preserve">
Uses interpolation formula to find eff at certain Vb. Not really a good method maybe.</t>
        </r>
      </text>
    </comment>
    <comment ref="G7" authorId="0" shapeId="0" xr:uid="{1E434CD2-73E6-4838-B1D1-E84647E33CE0}">
      <text>
        <r>
          <rPr>
            <b/>
            <sz val="9"/>
            <color indexed="81"/>
            <rFont val="Tahoma"/>
            <family val="2"/>
          </rPr>
          <t>Marco Hoogesteger:</t>
        </r>
        <r>
          <rPr>
            <sz val="9"/>
            <color indexed="81"/>
            <rFont val="Tahoma"/>
            <family val="2"/>
          </rPr>
          <t xml:space="preserve">
Output power/efficiency.
Maybe propulsive eff should be used instead of propellor eff?</t>
        </r>
      </text>
    </comment>
    <comment ref="G10" authorId="0" shapeId="0" xr:uid="{E20C0E81-E74B-41C7-9602-F5D04519F2F5}">
      <text>
        <r>
          <rPr>
            <b/>
            <sz val="9"/>
            <color indexed="81"/>
            <rFont val="Tahoma"/>
            <family val="2"/>
          </rPr>
          <t>Marco Hoogesteger:</t>
        </r>
        <r>
          <rPr>
            <sz val="9"/>
            <color indexed="81"/>
            <rFont val="Tahoma"/>
            <family val="2"/>
          </rPr>
          <t xml:space="preserve">
T=rho*(rpm/60)^2*dprop^5*Kq
n=rev/s!
this formula can be converted to rpm=...</t>
        </r>
      </text>
    </comment>
    <comment ref="G11" authorId="0" shapeId="0" xr:uid="{3A601C53-4C9B-4CB7-9CE5-AF10A11B2FFE}">
      <text>
        <r>
          <rPr>
            <b/>
            <sz val="9"/>
            <color indexed="81"/>
            <rFont val="Tahoma"/>
            <family val="2"/>
          </rPr>
          <t>Marco Hoogesteger:</t>
        </r>
        <r>
          <rPr>
            <sz val="9"/>
            <color indexed="81"/>
            <rFont val="Tahoma"/>
            <family val="2"/>
          </rPr>
          <t xml:space="preserve">
T=rho*(rpm/60)^2*dprop^5*Kq
n=rev/s!</t>
        </r>
      </text>
    </comment>
  </commentList>
</comments>
</file>

<file path=xl/sharedStrings.xml><?xml version="1.0" encoding="utf-8"?>
<sst xmlns="http://schemas.openxmlformats.org/spreadsheetml/2006/main" count="199" uniqueCount="104">
  <si>
    <t>dprop [m]</t>
  </si>
  <si>
    <t>Power output</t>
  </si>
  <si>
    <t>Propellor diameter</t>
  </si>
  <si>
    <t>User variables</t>
  </si>
  <si>
    <t>Propellor coefficient T</t>
  </si>
  <si>
    <t>Propellor coefficient Q</t>
  </si>
  <si>
    <t>Kt</t>
  </si>
  <si>
    <t>Kq</t>
  </si>
  <si>
    <t>User properties</t>
  </si>
  <si>
    <t>Liquid density</t>
  </si>
  <si>
    <t>ρ [kg/m^3]</t>
  </si>
  <si>
    <t>Channel area (water stream)</t>
  </si>
  <si>
    <t>A [m^2]</t>
  </si>
  <si>
    <t>Input</t>
  </si>
  <si>
    <t>Input from bearing</t>
  </si>
  <si>
    <t>Rotation speed</t>
  </si>
  <si>
    <t>Torque</t>
  </si>
  <si>
    <t>ω_Bearing_out [rpm]</t>
  </si>
  <si>
    <t>T_Bearing_out [Nm]</t>
  </si>
  <si>
    <t>Output</t>
  </si>
  <si>
    <t>User output</t>
  </si>
  <si>
    <t>Feedback to bearing</t>
  </si>
  <si>
    <t>Torque required</t>
  </si>
  <si>
    <t>Thrust</t>
  </si>
  <si>
    <t>Ft [N]</t>
  </si>
  <si>
    <t>ω_prop [rpm]</t>
  </si>
  <si>
    <t>Power loss</t>
  </si>
  <si>
    <t>T_req [Nm]</t>
  </si>
  <si>
    <t>P_loss [W]</t>
  </si>
  <si>
    <t>P_output [W]</t>
  </si>
  <si>
    <t>n=rev/s</t>
  </si>
  <si>
    <t>Boat speed</t>
  </si>
  <si>
    <t>v_boat [m/s]</t>
  </si>
  <si>
    <t>autocalc</t>
  </si>
  <si>
    <t>Power req4speed</t>
  </si>
  <si>
    <t>P_req [W]</t>
  </si>
  <si>
    <t>starting speed</t>
  </si>
  <si>
    <t>Feed forward max torque at n</t>
  </si>
  <si>
    <t>T_max [Nm]</t>
  </si>
  <si>
    <t>out of bearing part</t>
  </si>
  <si>
    <t>New power</t>
  </si>
  <si>
    <t>P_max [W]</t>
  </si>
  <si>
    <t>Feed forward max T&amp;P at given rpm</t>
  </si>
  <si>
    <t>New thrust</t>
  </si>
  <si>
    <t>New boat speed</t>
  </si>
  <si>
    <t>Fnew [N]</t>
  </si>
  <si>
    <t>v_boatn [m/s]</t>
  </si>
  <si>
    <t>keeping F/v^2 constant</t>
  </si>
  <si>
    <t>New speed related to torque</t>
  </si>
  <si>
    <t>ω_prop</t>
  </si>
  <si>
    <t>T_required_prop</t>
  </si>
  <si>
    <t>ω_motorNew</t>
  </si>
  <si>
    <t>Possible starting points</t>
  </si>
  <si>
    <t>using formula it is very different, why?</t>
  </si>
  <si>
    <t>n_Bearing_out [rpm]</t>
  </si>
  <si>
    <t>n_prop [rpm]</t>
  </si>
  <si>
    <t>wrong, not the same A</t>
  </si>
  <si>
    <t>[km/h]</t>
  </si>
  <si>
    <t>[m/s]</t>
  </si>
  <si>
    <t>[kts]</t>
  </si>
  <si>
    <t>Rhull</t>
  </si>
  <si>
    <t>Rpod</t>
  </si>
  <si>
    <t>Radd</t>
  </si>
  <si>
    <t>Rtotal</t>
  </si>
  <si>
    <t>[N]</t>
  </si>
  <si>
    <t>Speed</t>
  </si>
  <si>
    <t>Vb [m/s]</t>
  </si>
  <si>
    <t>Power input</t>
  </si>
  <si>
    <t>P_input [W]</t>
  </si>
  <si>
    <t>Propellor efficiency</t>
  </si>
  <si>
    <t>t</t>
  </si>
  <si>
    <t>Thrust deduction coefficient</t>
  </si>
  <si>
    <t>Fresistance</t>
  </si>
  <si>
    <t>Emperical resistance data</t>
  </si>
  <si>
    <t>wake fraction coefficient</t>
  </si>
  <si>
    <t>w</t>
  </si>
  <si>
    <t>10Kq</t>
  </si>
  <si>
    <t>Emperical Kt&amp;Kq</t>
  </si>
  <si>
    <t>Va [m/s]</t>
  </si>
  <si>
    <t>Water speed</t>
  </si>
  <si>
    <t>Propulsive efficiency</t>
  </si>
  <si>
    <t>η_prop</t>
  </si>
  <si>
    <t>η_prul</t>
  </si>
  <si>
    <t>Vb is constant when Ft=Fresistance</t>
  </si>
  <si>
    <t>propeller efficiency</t>
  </si>
  <si>
    <t>[%]</t>
  </si>
  <si>
    <t>Propellor data</t>
  </si>
  <si>
    <t>target power</t>
  </si>
  <si>
    <t>Speed required</t>
  </si>
  <si>
    <t>If motor can't provide, Vb can't be reached</t>
  </si>
  <si>
    <t>Multiple iteration can be used</t>
  </si>
  <si>
    <t>N</t>
  </si>
  <si>
    <t>knots</t>
  </si>
  <si>
    <t>Wetted surface</t>
  </si>
  <si>
    <t>Length of surface</t>
  </si>
  <si>
    <t>kinematic viscosity</t>
  </si>
  <si>
    <t>m^2</t>
  </si>
  <si>
    <t>m</t>
  </si>
  <si>
    <t>Coefficient</t>
  </si>
  <si>
    <t>Resistance</t>
  </si>
  <si>
    <t>mm^2/s</t>
  </si>
  <si>
    <t>If motor can't provide, ???? N lower or higher</t>
  </si>
  <si>
    <t>Work in progress/test</t>
  </si>
  <si>
    <t>which speed?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</si>
</sst>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1"/>
      <name val="Calibri"/>
      <family val="2"/>
    </font>
    <font>
      <sz val="24"/>
      <color rgb="FFFF0000"/>
      <name val="Calibri"/>
      <family val="2"/>
      <scheme val="minor"/>
    </font>
    <font>
      <sz val="12"/>
      <color rgb="FFFF0000"/>
      <name val="Calibri"/>
      <family val="2"/>
      <scheme val="minor"/>
    </font>
    <font>
      <b/>
      <sz val="11"/>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i/>
      <sz val="9"/>
      <color indexed="81"/>
      <name val="Tahoma"/>
      <family val="2"/>
    </font>
  </fonts>
  <fills count="7">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theme="4" tint="0.59999389629810485"/>
        <bgColor indexed="64"/>
      </patternFill>
    </fill>
    <fill>
      <patternFill patternType="solid">
        <fgColor rgb="FFFF0000"/>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50">
    <xf numFmtId="0" fontId="0" fillId="0" borderId="0" xfId="0"/>
    <xf numFmtId="0" fontId="3" fillId="0" borderId="0" xfId="0" applyFont="1"/>
    <xf numFmtId="0" fontId="0" fillId="0" borderId="0" xfId="0" applyFont="1"/>
    <xf numFmtId="0" fontId="3" fillId="0" borderId="1" xfId="0" applyFont="1"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3" fillId="0" borderId="4" xfId="0" applyFont="1" applyBorder="1"/>
    <xf numFmtId="0" fontId="4" fillId="0" borderId="0" xfId="0" applyFont="1" applyBorder="1"/>
    <xf numFmtId="0" fontId="0" fillId="0" borderId="6" xfId="0" applyBorder="1"/>
    <xf numFmtId="0" fontId="4" fillId="0" borderId="7" xfId="0" applyFont="1" applyBorder="1"/>
    <xf numFmtId="0" fontId="0" fillId="0" borderId="8" xfId="0" applyBorder="1"/>
    <xf numFmtId="0" fontId="0" fillId="0" borderId="7" xfId="0" applyBorder="1"/>
    <xf numFmtId="0" fontId="0" fillId="0" borderId="0" xfId="0" applyFill="1" applyBorder="1"/>
    <xf numFmtId="0" fontId="0" fillId="0" borderId="0" xfId="0" applyFont="1" applyFill="1" applyBorder="1"/>
    <xf numFmtId="0" fontId="2" fillId="0" borderId="0" xfId="0" applyFont="1"/>
    <xf numFmtId="0" fontId="5" fillId="0" borderId="0" xfId="0" applyFont="1"/>
    <xf numFmtId="0" fontId="0" fillId="4" borderId="0" xfId="0" applyFill="1"/>
    <xf numFmtId="2" fontId="0" fillId="0" borderId="5" xfId="0" applyNumberFormat="1" applyBorder="1"/>
    <xf numFmtId="0" fontId="6" fillId="0" borderId="0" xfId="0" applyFont="1"/>
    <xf numFmtId="10" fontId="0" fillId="0" borderId="5" xfId="1" applyNumberFormat="1" applyFont="1" applyBorder="1"/>
    <xf numFmtId="0" fontId="0" fillId="0" borderId="1" xfId="0" applyBorder="1"/>
    <xf numFmtId="2" fontId="0" fillId="0" borderId="0" xfId="0" applyNumberFormat="1" applyBorder="1"/>
    <xf numFmtId="2" fontId="0" fillId="0" borderId="7" xfId="0" applyNumberFormat="1" applyBorder="1"/>
    <xf numFmtId="2" fontId="0" fillId="0" borderId="8" xfId="0" applyNumberFormat="1" applyBorder="1"/>
    <xf numFmtId="0" fontId="5" fillId="0" borderId="0" xfId="0" applyFont="1" applyAlignment="1">
      <alignment vertical="center"/>
    </xf>
    <xf numFmtId="0" fontId="0" fillId="0" borderId="0" xfId="0" applyAlignment="1">
      <alignment vertical="center"/>
    </xf>
    <xf numFmtId="0" fontId="0" fillId="0" borderId="4" xfId="0" applyBorder="1" applyAlignment="1">
      <alignment vertical="center"/>
    </xf>
    <xf numFmtId="2" fontId="0" fillId="0" borderId="0" xfId="0" applyNumberFormat="1" applyBorder="1" applyAlignment="1">
      <alignment vertical="center"/>
    </xf>
    <xf numFmtId="2" fontId="0" fillId="0" borderId="5" xfId="0" applyNumberFormat="1" applyBorder="1" applyAlignment="1">
      <alignment vertical="center"/>
    </xf>
    <xf numFmtId="0" fontId="0" fillId="0" borderId="0" xfId="0" applyBorder="1" applyAlignment="1">
      <alignment vertical="center"/>
    </xf>
    <xf numFmtId="0" fontId="0" fillId="0" borderId="5" xfId="0" applyBorder="1" applyAlignment="1">
      <alignment vertical="center"/>
    </xf>
    <xf numFmtId="0" fontId="0" fillId="0" borderId="4" xfId="0" applyFill="1" applyBorder="1"/>
    <xf numFmtId="0" fontId="0" fillId="0" borderId="0" xfId="0" applyFill="1"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0" fillId="0" borderId="10" xfId="0" applyBorder="1"/>
    <xf numFmtId="0" fontId="0" fillId="0" borderId="9" xfId="0" applyBorder="1" applyAlignment="1">
      <alignment vertical="center"/>
    </xf>
    <xf numFmtId="0" fontId="0" fillId="0" borderId="9" xfId="0" applyBorder="1"/>
    <xf numFmtId="0" fontId="0" fillId="0" borderId="11" xfId="0" applyBorder="1"/>
    <xf numFmtId="0" fontId="3" fillId="5" borderId="0" xfId="0" applyFont="1" applyFill="1" applyAlignment="1">
      <alignment horizontal="center"/>
    </xf>
    <xf numFmtId="0" fontId="0" fillId="0" borderId="11" xfId="0" applyBorder="1" applyAlignment="1">
      <alignment vertical="center"/>
    </xf>
    <xf numFmtId="10" fontId="0" fillId="0" borderId="0" xfId="1" applyNumberFormat="1" applyFont="1" applyBorder="1"/>
    <xf numFmtId="0" fontId="3" fillId="2" borderId="0" xfId="0" applyFont="1" applyFill="1" applyAlignment="1">
      <alignment horizontal="center"/>
    </xf>
    <xf numFmtId="0" fontId="3" fillId="3" borderId="0" xfId="0" applyFont="1" applyFill="1" applyAlignment="1">
      <alignment horizontal="center"/>
    </xf>
    <xf numFmtId="0" fontId="7" fillId="5" borderId="7" xfId="0" applyFont="1" applyFill="1" applyBorder="1" applyAlignment="1">
      <alignment horizontal="center"/>
    </xf>
    <xf numFmtId="0" fontId="3" fillId="6" borderId="7" xfId="0" applyFont="1" applyFill="1" applyBorder="1" applyAlignment="1">
      <alignment horizontal="center"/>
    </xf>
  </cellXfs>
  <cellStyles count="2">
    <cellStyle name="Procent" xfId="1" builtinId="5"/>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60</xdr:row>
      <xdr:rowOff>38100</xdr:rowOff>
    </xdr:from>
    <xdr:to>
      <xdr:col>6</xdr:col>
      <xdr:colOff>2126</xdr:colOff>
      <xdr:row>101</xdr:row>
      <xdr:rowOff>103790</xdr:rowOff>
    </xdr:to>
    <xdr:pic>
      <xdr:nvPicPr>
        <xdr:cNvPr id="23" name="Afbeelding 22">
          <a:extLst>
            <a:ext uri="{FF2B5EF4-FFF2-40B4-BE49-F238E27FC236}">
              <a16:creationId xmlns:a16="http://schemas.microsoft.com/office/drawing/2014/main" id="{90F26C0A-C7F4-4CB2-8CF9-783B54FDAAEC}"/>
            </a:ext>
          </a:extLst>
        </xdr:cNvPr>
        <xdr:cNvPicPr>
          <a:picLocks noChangeAspect="1"/>
        </xdr:cNvPicPr>
      </xdr:nvPicPr>
      <xdr:blipFill>
        <a:blip xmlns:r="http://schemas.openxmlformats.org/officeDocument/2006/relationships" r:embed="rId1"/>
        <a:stretch>
          <a:fillRect/>
        </a:stretch>
      </xdr:blipFill>
      <xdr:spPr>
        <a:xfrm>
          <a:off x="0" y="11468100"/>
          <a:ext cx="6428571" cy="7876190"/>
        </a:xfrm>
        <a:prstGeom prst="rect">
          <a:avLst/>
        </a:prstGeom>
      </xdr:spPr>
    </xdr:pic>
    <xdr:clientData/>
  </xdr:twoCellAnchor>
  <xdr:twoCellAnchor editAs="oneCell">
    <xdr:from>
      <xdr:col>0</xdr:col>
      <xdr:colOff>0</xdr:colOff>
      <xdr:row>102</xdr:row>
      <xdr:rowOff>9525</xdr:rowOff>
    </xdr:from>
    <xdr:to>
      <xdr:col>5</xdr:col>
      <xdr:colOff>101947</xdr:colOff>
      <xdr:row>122</xdr:row>
      <xdr:rowOff>104775</xdr:rowOff>
    </xdr:to>
    <xdr:pic>
      <xdr:nvPicPr>
        <xdr:cNvPr id="24" name="Afbeelding 23">
          <a:extLst>
            <a:ext uri="{FF2B5EF4-FFF2-40B4-BE49-F238E27FC236}">
              <a16:creationId xmlns:a16="http://schemas.microsoft.com/office/drawing/2014/main" id="{7249499D-993D-4FEF-81AA-B2AB03FDF839}"/>
            </a:ext>
          </a:extLst>
        </xdr:cNvPr>
        <xdr:cNvPicPr>
          <a:picLocks noChangeAspect="1"/>
        </xdr:cNvPicPr>
      </xdr:nvPicPr>
      <xdr:blipFill rotWithShape="1">
        <a:blip xmlns:r="http://schemas.openxmlformats.org/officeDocument/2006/relationships" r:embed="rId2"/>
        <a:srcRect t="32658" b="23039"/>
        <a:stretch/>
      </xdr:blipFill>
      <xdr:spPr>
        <a:xfrm>
          <a:off x="0" y="19440525"/>
          <a:ext cx="5693122" cy="3905250"/>
        </a:xfrm>
        <a:prstGeom prst="rect">
          <a:avLst/>
        </a:prstGeom>
      </xdr:spPr>
    </xdr:pic>
    <xdr:clientData/>
  </xdr:twoCellAnchor>
  <xdr:twoCellAnchor editAs="oneCell">
    <xdr:from>
      <xdr:col>6</xdr:col>
      <xdr:colOff>8282</xdr:colOff>
      <xdr:row>43</xdr:row>
      <xdr:rowOff>175592</xdr:rowOff>
    </xdr:from>
    <xdr:to>
      <xdr:col>15</xdr:col>
      <xdr:colOff>211903</xdr:colOff>
      <xdr:row>68</xdr:row>
      <xdr:rowOff>51748</xdr:rowOff>
    </xdr:to>
    <xdr:pic>
      <xdr:nvPicPr>
        <xdr:cNvPr id="2" name="Afbeelding 1">
          <a:extLst>
            <a:ext uri="{FF2B5EF4-FFF2-40B4-BE49-F238E27FC236}">
              <a16:creationId xmlns:a16="http://schemas.microsoft.com/office/drawing/2014/main" id="{D6C0B7F5-D437-467C-8066-392313F55B01}"/>
            </a:ext>
          </a:extLst>
        </xdr:cNvPr>
        <xdr:cNvPicPr>
          <a:picLocks noChangeAspect="1"/>
        </xdr:cNvPicPr>
      </xdr:nvPicPr>
      <xdr:blipFill>
        <a:blip xmlns:r="http://schemas.openxmlformats.org/officeDocument/2006/relationships" r:embed="rId3"/>
        <a:stretch>
          <a:fillRect/>
        </a:stretch>
      </xdr:blipFill>
      <xdr:spPr>
        <a:xfrm>
          <a:off x="6452152" y="8367092"/>
          <a:ext cx="6365881" cy="4638656"/>
        </a:xfrm>
        <a:prstGeom prst="rect">
          <a:avLst/>
        </a:prstGeom>
      </xdr:spPr>
    </xdr:pic>
    <xdr:clientData/>
  </xdr:twoCellAnchor>
  <xdr:twoCellAnchor editAs="oneCell">
    <xdr:from>
      <xdr:col>4</xdr:col>
      <xdr:colOff>49695</xdr:colOff>
      <xdr:row>26</xdr:row>
      <xdr:rowOff>110573</xdr:rowOff>
    </xdr:from>
    <xdr:to>
      <xdr:col>11</xdr:col>
      <xdr:colOff>563217</xdr:colOff>
      <xdr:row>49</xdr:row>
      <xdr:rowOff>165476</xdr:rowOff>
    </xdr:to>
    <xdr:pic>
      <xdr:nvPicPr>
        <xdr:cNvPr id="5" name="Afbeelding 4">
          <a:extLst>
            <a:ext uri="{FF2B5EF4-FFF2-40B4-BE49-F238E27FC236}">
              <a16:creationId xmlns:a16="http://schemas.microsoft.com/office/drawing/2014/main" id="{EA2FE3A3-7541-4269-BB4C-0CF34CBFE860}"/>
            </a:ext>
          </a:extLst>
        </xdr:cNvPr>
        <xdr:cNvPicPr>
          <a:picLocks noChangeAspect="1"/>
        </xdr:cNvPicPr>
      </xdr:nvPicPr>
      <xdr:blipFill>
        <a:blip xmlns:r="http://schemas.openxmlformats.org/officeDocument/2006/relationships" r:embed="rId4"/>
        <a:stretch>
          <a:fillRect/>
        </a:stretch>
      </xdr:blipFill>
      <xdr:spPr>
        <a:xfrm>
          <a:off x="4348369" y="5063573"/>
          <a:ext cx="6369326" cy="4436403"/>
        </a:xfrm>
        <a:prstGeom prst="rect">
          <a:avLst/>
        </a:prstGeom>
      </xdr:spPr>
    </xdr:pic>
    <xdr:clientData/>
  </xdr:twoCellAnchor>
  <xdr:twoCellAnchor editAs="oneCell">
    <xdr:from>
      <xdr:col>0</xdr:col>
      <xdr:colOff>0</xdr:colOff>
      <xdr:row>26</xdr:row>
      <xdr:rowOff>48040</xdr:rowOff>
    </xdr:from>
    <xdr:to>
      <xdr:col>4</xdr:col>
      <xdr:colOff>24468</xdr:colOff>
      <xdr:row>49</xdr:row>
      <xdr:rowOff>57016</xdr:rowOff>
    </xdr:to>
    <xdr:pic>
      <xdr:nvPicPr>
        <xdr:cNvPr id="3" name="Afbeelding 2">
          <a:extLst>
            <a:ext uri="{FF2B5EF4-FFF2-40B4-BE49-F238E27FC236}">
              <a16:creationId xmlns:a16="http://schemas.microsoft.com/office/drawing/2014/main" id="{607ECF6A-CEB0-4A4C-81F1-5003C44BF91E}"/>
            </a:ext>
          </a:extLst>
        </xdr:cNvPr>
        <xdr:cNvPicPr>
          <a:picLocks noChangeAspect="1"/>
        </xdr:cNvPicPr>
      </xdr:nvPicPr>
      <xdr:blipFill>
        <a:blip xmlns:r="http://schemas.openxmlformats.org/officeDocument/2006/relationships" r:embed="rId5"/>
        <a:stretch>
          <a:fillRect/>
        </a:stretch>
      </xdr:blipFill>
      <xdr:spPr>
        <a:xfrm>
          <a:off x="0" y="5001040"/>
          <a:ext cx="4323142" cy="43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60</xdr:row>
      <xdr:rowOff>38100</xdr:rowOff>
    </xdr:from>
    <xdr:to>
      <xdr:col>6</xdr:col>
      <xdr:colOff>2126</xdr:colOff>
      <xdr:row>101</xdr:row>
      <xdr:rowOff>103790</xdr:rowOff>
    </xdr:to>
    <xdr:pic>
      <xdr:nvPicPr>
        <xdr:cNvPr id="2" name="Afbeelding 1">
          <a:extLst>
            <a:ext uri="{FF2B5EF4-FFF2-40B4-BE49-F238E27FC236}">
              <a16:creationId xmlns:a16="http://schemas.microsoft.com/office/drawing/2014/main" id="{3CBD61E7-9180-4C47-BF16-E280C958D1EB}"/>
            </a:ext>
          </a:extLst>
        </xdr:cNvPr>
        <xdr:cNvPicPr>
          <a:picLocks noChangeAspect="1"/>
        </xdr:cNvPicPr>
      </xdr:nvPicPr>
      <xdr:blipFill>
        <a:blip xmlns:r="http://schemas.openxmlformats.org/officeDocument/2006/relationships" r:embed="rId1"/>
        <a:stretch>
          <a:fillRect/>
        </a:stretch>
      </xdr:blipFill>
      <xdr:spPr>
        <a:xfrm>
          <a:off x="0" y="11468100"/>
          <a:ext cx="6428571" cy="7876190"/>
        </a:xfrm>
        <a:prstGeom prst="rect">
          <a:avLst/>
        </a:prstGeom>
      </xdr:spPr>
    </xdr:pic>
    <xdr:clientData/>
  </xdr:twoCellAnchor>
  <xdr:twoCellAnchor editAs="oneCell">
    <xdr:from>
      <xdr:col>0</xdr:col>
      <xdr:colOff>0</xdr:colOff>
      <xdr:row>102</xdr:row>
      <xdr:rowOff>9525</xdr:rowOff>
    </xdr:from>
    <xdr:to>
      <xdr:col>5</xdr:col>
      <xdr:colOff>101947</xdr:colOff>
      <xdr:row>122</xdr:row>
      <xdr:rowOff>104775</xdr:rowOff>
    </xdr:to>
    <xdr:pic>
      <xdr:nvPicPr>
        <xdr:cNvPr id="3" name="Afbeelding 2">
          <a:extLst>
            <a:ext uri="{FF2B5EF4-FFF2-40B4-BE49-F238E27FC236}">
              <a16:creationId xmlns:a16="http://schemas.microsoft.com/office/drawing/2014/main" id="{FE8D58AD-24ED-4A97-9513-94E29D120EB5}"/>
            </a:ext>
          </a:extLst>
        </xdr:cNvPr>
        <xdr:cNvPicPr>
          <a:picLocks noChangeAspect="1"/>
        </xdr:cNvPicPr>
      </xdr:nvPicPr>
      <xdr:blipFill rotWithShape="1">
        <a:blip xmlns:r="http://schemas.openxmlformats.org/officeDocument/2006/relationships" r:embed="rId2"/>
        <a:srcRect t="32658" b="23039"/>
        <a:stretch/>
      </xdr:blipFill>
      <xdr:spPr>
        <a:xfrm>
          <a:off x="0" y="19440525"/>
          <a:ext cx="5693122" cy="3905250"/>
        </a:xfrm>
        <a:prstGeom prst="rect">
          <a:avLst/>
        </a:prstGeom>
      </xdr:spPr>
    </xdr:pic>
    <xdr:clientData/>
  </xdr:twoCellAnchor>
  <xdr:twoCellAnchor editAs="oneCell">
    <xdr:from>
      <xdr:col>0</xdr:col>
      <xdr:colOff>0</xdr:colOff>
      <xdr:row>35</xdr:row>
      <xdr:rowOff>95250</xdr:rowOff>
    </xdr:from>
    <xdr:to>
      <xdr:col>5</xdr:col>
      <xdr:colOff>751132</xdr:colOff>
      <xdr:row>59</xdr:row>
      <xdr:rowOff>161906</xdr:rowOff>
    </xdr:to>
    <xdr:pic>
      <xdr:nvPicPr>
        <xdr:cNvPr id="4" name="Afbeelding 3">
          <a:extLst>
            <a:ext uri="{FF2B5EF4-FFF2-40B4-BE49-F238E27FC236}">
              <a16:creationId xmlns:a16="http://schemas.microsoft.com/office/drawing/2014/main" id="{316FFA85-BB0A-4FEF-B1B0-532696667C68}"/>
            </a:ext>
          </a:extLst>
        </xdr:cNvPr>
        <xdr:cNvPicPr>
          <a:picLocks noChangeAspect="1"/>
        </xdr:cNvPicPr>
      </xdr:nvPicPr>
      <xdr:blipFill>
        <a:blip xmlns:r="http://schemas.openxmlformats.org/officeDocument/2006/relationships" r:embed="rId3"/>
        <a:stretch>
          <a:fillRect/>
        </a:stretch>
      </xdr:blipFill>
      <xdr:spPr>
        <a:xfrm>
          <a:off x="0" y="6762750"/>
          <a:ext cx="6342307" cy="4638656"/>
        </a:xfrm>
        <a:prstGeom prst="rect">
          <a:avLst/>
        </a:prstGeom>
      </xdr:spPr>
    </xdr:pic>
    <xdr:clientData/>
  </xdr:twoCellAnchor>
  <xdr:twoCellAnchor editAs="oneCell">
    <xdr:from>
      <xdr:col>6</xdr:col>
      <xdr:colOff>0</xdr:colOff>
      <xdr:row>37</xdr:row>
      <xdr:rowOff>123825</xdr:rowOff>
    </xdr:from>
    <xdr:to>
      <xdr:col>15</xdr:col>
      <xdr:colOff>504825</xdr:colOff>
      <xdr:row>60</xdr:row>
      <xdr:rowOff>178728</xdr:rowOff>
    </xdr:to>
    <xdr:pic>
      <xdr:nvPicPr>
        <xdr:cNvPr id="5" name="Afbeelding 4">
          <a:extLst>
            <a:ext uri="{FF2B5EF4-FFF2-40B4-BE49-F238E27FC236}">
              <a16:creationId xmlns:a16="http://schemas.microsoft.com/office/drawing/2014/main" id="{B75918AB-A261-4D2E-9DA4-DC93DCBD4124}"/>
            </a:ext>
          </a:extLst>
        </xdr:cNvPr>
        <xdr:cNvPicPr>
          <a:picLocks noChangeAspect="1"/>
        </xdr:cNvPicPr>
      </xdr:nvPicPr>
      <xdr:blipFill>
        <a:blip xmlns:r="http://schemas.openxmlformats.org/officeDocument/2006/relationships" r:embed="rId4"/>
        <a:stretch>
          <a:fillRect/>
        </a:stretch>
      </xdr:blipFill>
      <xdr:spPr>
        <a:xfrm>
          <a:off x="6429375" y="7172325"/>
          <a:ext cx="6353175" cy="44364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57</xdr:row>
      <xdr:rowOff>133350</xdr:rowOff>
    </xdr:from>
    <xdr:to>
      <xdr:col>4</xdr:col>
      <xdr:colOff>2142321</xdr:colOff>
      <xdr:row>99</xdr:row>
      <xdr:rowOff>8540</xdr:rowOff>
    </xdr:to>
    <xdr:pic>
      <xdr:nvPicPr>
        <xdr:cNvPr id="2" name="Afbeelding 1">
          <a:extLst>
            <a:ext uri="{FF2B5EF4-FFF2-40B4-BE49-F238E27FC236}">
              <a16:creationId xmlns:a16="http://schemas.microsoft.com/office/drawing/2014/main" id="{3080879D-A2EF-4ABE-9D0E-F173E80ED706}"/>
            </a:ext>
          </a:extLst>
        </xdr:cNvPr>
        <xdr:cNvPicPr>
          <a:picLocks noChangeAspect="1"/>
        </xdr:cNvPicPr>
      </xdr:nvPicPr>
      <xdr:blipFill>
        <a:blip xmlns:r="http://schemas.openxmlformats.org/officeDocument/2006/relationships" r:embed="rId1"/>
        <a:stretch>
          <a:fillRect/>
        </a:stretch>
      </xdr:blipFill>
      <xdr:spPr>
        <a:xfrm>
          <a:off x="0" y="11198915"/>
          <a:ext cx="6440995" cy="7876190"/>
        </a:xfrm>
        <a:prstGeom prst="rect">
          <a:avLst/>
        </a:prstGeom>
      </xdr:spPr>
    </xdr:pic>
    <xdr:clientData/>
  </xdr:twoCellAnchor>
  <xdr:twoCellAnchor editAs="oneCell">
    <xdr:from>
      <xdr:col>5</xdr:col>
      <xdr:colOff>315982</xdr:colOff>
      <xdr:row>56</xdr:row>
      <xdr:rowOff>106018</xdr:rowOff>
    </xdr:from>
    <xdr:to>
      <xdr:col>11</xdr:col>
      <xdr:colOff>599434</xdr:colOff>
      <xdr:row>98</xdr:row>
      <xdr:rowOff>38351</xdr:rowOff>
    </xdr:to>
    <xdr:pic>
      <xdr:nvPicPr>
        <xdr:cNvPr id="3" name="Afbeelding 2">
          <a:extLst>
            <a:ext uri="{FF2B5EF4-FFF2-40B4-BE49-F238E27FC236}">
              <a16:creationId xmlns:a16="http://schemas.microsoft.com/office/drawing/2014/main" id="{6259556E-4F4E-489E-A56F-81EECC655B7A}"/>
            </a:ext>
          </a:extLst>
        </xdr:cNvPr>
        <xdr:cNvPicPr>
          <a:picLocks noChangeAspect="1"/>
        </xdr:cNvPicPr>
      </xdr:nvPicPr>
      <xdr:blipFill>
        <a:blip xmlns:r="http://schemas.openxmlformats.org/officeDocument/2006/relationships" r:embed="rId2"/>
        <a:stretch>
          <a:fillRect/>
        </a:stretch>
      </xdr:blipFill>
      <xdr:spPr>
        <a:xfrm>
          <a:off x="6784699" y="10981083"/>
          <a:ext cx="5137061" cy="7933333"/>
        </a:xfrm>
        <a:prstGeom prst="rect">
          <a:avLst/>
        </a:prstGeom>
      </xdr:spPr>
    </xdr:pic>
    <xdr:clientData/>
  </xdr:twoCellAnchor>
  <xdr:twoCellAnchor>
    <xdr:from>
      <xdr:col>7</xdr:col>
      <xdr:colOff>438150</xdr:colOff>
      <xdr:row>31</xdr:row>
      <xdr:rowOff>95250</xdr:rowOff>
    </xdr:from>
    <xdr:to>
      <xdr:col>8</xdr:col>
      <xdr:colOff>390525</xdr:colOff>
      <xdr:row>31</xdr:row>
      <xdr:rowOff>104775</xdr:rowOff>
    </xdr:to>
    <xdr:cxnSp macro="">
      <xdr:nvCxnSpPr>
        <xdr:cNvPr id="5" name="Rechte verbindingslijn met pijl 4">
          <a:extLst>
            <a:ext uri="{FF2B5EF4-FFF2-40B4-BE49-F238E27FC236}">
              <a16:creationId xmlns:a16="http://schemas.microsoft.com/office/drawing/2014/main" id="{681DC257-F9EE-4869-9D00-4E28D78A4336}"/>
            </a:ext>
          </a:extLst>
        </xdr:cNvPr>
        <xdr:cNvCxnSpPr/>
      </xdr:nvCxnSpPr>
      <xdr:spPr>
        <a:xfrm>
          <a:off x="12954000" y="6019800"/>
          <a:ext cx="56197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666750</xdr:colOff>
      <xdr:row>31</xdr:row>
      <xdr:rowOff>114300</xdr:rowOff>
    </xdr:from>
    <xdr:to>
      <xdr:col>9</xdr:col>
      <xdr:colOff>142875</xdr:colOff>
      <xdr:row>31</xdr:row>
      <xdr:rowOff>123825</xdr:rowOff>
    </xdr:to>
    <xdr:cxnSp macro="">
      <xdr:nvCxnSpPr>
        <xdr:cNvPr id="6" name="Rechte verbindingslijn met pijl 5">
          <a:extLst>
            <a:ext uri="{FF2B5EF4-FFF2-40B4-BE49-F238E27FC236}">
              <a16:creationId xmlns:a16="http://schemas.microsoft.com/office/drawing/2014/main" id="{0F4268E7-B5B0-492B-BB90-ADE846F10A9F}"/>
            </a:ext>
          </a:extLst>
        </xdr:cNvPr>
        <xdr:cNvCxnSpPr/>
      </xdr:nvCxnSpPr>
      <xdr:spPr>
        <a:xfrm>
          <a:off x="13792200" y="6038850"/>
          <a:ext cx="56197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361950</xdr:colOff>
      <xdr:row>31</xdr:row>
      <xdr:rowOff>123825</xdr:rowOff>
    </xdr:from>
    <xdr:to>
      <xdr:col>9</xdr:col>
      <xdr:colOff>342901</xdr:colOff>
      <xdr:row>32</xdr:row>
      <xdr:rowOff>104775</xdr:rowOff>
    </xdr:to>
    <xdr:cxnSp macro="">
      <xdr:nvCxnSpPr>
        <xdr:cNvPr id="7" name="Rechte verbindingslijn met pijl 6">
          <a:extLst>
            <a:ext uri="{FF2B5EF4-FFF2-40B4-BE49-F238E27FC236}">
              <a16:creationId xmlns:a16="http://schemas.microsoft.com/office/drawing/2014/main" id="{8A19C502-45BF-4017-A352-7088986C9850}"/>
            </a:ext>
          </a:extLst>
        </xdr:cNvPr>
        <xdr:cNvCxnSpPr/>
      </xdr:nvCxnSpPr>
      <xdr:spPr>
        <a:xfrm flipH="1">
          <a:off x="12877800" y="6048375"/>
          <a:ext cx="1676401"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7</xdr:col>
      <xdr:colOff>457200</xdr:colOff>
      <xdr:row>32</xdr:row>
      <xdr:rowOff>95250</xdr:rowOff>
    </xdr:from>
    <xdr:to>
      <xdr:col>8</xdr:col>
      <xdr:colOff>409575</xdr:colOff>
      <xdr:row>32</xdr:row>
      <xdr:rowOff>104775</xdr:rowOff>
    </xdr:to>
    <xdr:cxnSp macro="">
      <xdr:nvCxnSpPr>
        <xdr:cNvPr id="10" name="Rechte verbindingslijn met pijl 9">
          <a:extLst>
            <a:ext uri="{FF2B5EF4-FFF2-40B4-BE49-F238E27FC236}">
              <a16:creationId xmlns:a16="http://schemas.microsoft.com/office/drawing/2014/main" id="{F162E108-EE4B-47AD-9955-81E8D9A6F768}"/>
            </a:ext>
          </a:extLst>
        </xdr:cNvPr>
        <xdr:cNvCxnSpPr/>
      </xdr:nvCxnSpPr>
      <xdr:spPr>
        <a:xfrm>
          <a:off x="12973050" y="6210300"/>
          <a:ext cx="56197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685800</xdr:colOff>
      <xdr:row>32</xdr:row>
      <xdr:rowOff>95250</xdr:rowOff>
    </xdr:from>
    <xdr:to>
      <xdr:col>9</xdr:col>
      <xdr:colOff>161925</xdr:colOff>
      <xdr:row>32</xdr:row>
      <xdr:rowOff>104775</xdr:rowOff>
    </xdr:to>
    <xdr:cxnSp macro="">
      <xdr:nvCxnSpPr>
        <xdr:cNvPr id="11" name="Rechte verbindingslijn met pijl 10">
          <a:extLst>
            <a:ext uri="{FF2B5EF4-FFF2-40B4-BE49-F238E27FC236}">
              <a16:creationId xmlns:a16="http://schemas.microsoft.com/office/drawing/2014/main" id="{06D1E74F-E704-449C-BA2C-50ED4BB63ED8}"/>
            </a:ext>
          </a:extLst>
        </xdr:cNvPr>
        <xdr:cNvCxnSpPr/>
      </xdr:nvCxnSpPr>
      <xdr:spPr>
        <a:xfrm>
          <a:off x="13811250" y="6210300"/>
          <a:ext cx="56197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371475</xdr:colOff>
      <xdr:row>32</xdr:row>
      <xdr:rowOff>104775</xdr:rowOff>
    </xdr:from>
    <xdr:to>
      <xdr:col>9</xdr:col>
      <xdr:colOff>352426</xdr:colOff>
      <xdr:row>33</xdr:row>
      <xdr:rowOff>85725</xdr:rowOff>
    </xdr:to>
    <xdr:cxnSp macro="">
      <xdr:nvCxnSpPr>
        <xdr:cNvPr id="12" name="Rechte verbindingslijn met pijl 11">
          <a:extLst>
            <a:ext uri="{FF2B5EF4-FFF2-40B4-BE49-F238E27FC236}">
              <a16:creationId xmlns:a16="http://schemas.microsoft.com/office/drawing/2014/main" id="{AC27D58D-3EB5-4B40-91EE-464D1F76C56E}"/>
            </a:ext>
          </a:extLst>
        </xdr:cNvPr>
        <xdr:cNvCxnSpPr/>
      </xdr:nvCxnSpPr>
      <xdr:spPr>
        <a:xfrm flipH="1">
          <a:off x="12887325" y="6219825"/>
          <a:ext cx="1676401"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editAs="oneCell">
    <xdr:from>
      <xdr:col>13</xdr:col>
      <xdr:colOff>133350</xdr:colOff>
      <xdr:row>0</xdr:row>
      <xdr:rowOff>0</xdr:rowOff>
    </xdr:from>
    <xdr:to>
      <xdr:col>21</xdr:col>
      <xdr:colOff>74857</xdr:colOff>
      <xdr:row>23</xdr:row>
      <xdr:rowOff>47606</xdr:rowOff>
    </xdr:to>
    <xdr:pic>
      <xdr:nvPicPr>
        <xdr:cNvPr id="13" name="Afbeelding 12">
          <a:extLst>
            <a:ext uri="{FF2B5EF4-FFF2-40B4-BE49-F238E27FC236}">
              <a16:creationId xmlns:a16="http://schemas.microsoft.com/office/drawing/2014/main" id="{6DED007F-2D5B-422B-A1AA-FF8C1E97254D}"/>
            </a:ext>
          </a:extLst>
        </xdr:cNvPr>
        <xdr:cNvPicPr>
          <a:picLocks noChangeAspect="1"/>
        </xdr:cNvPicPr>
      </xdr:nvPicPr>
      <xdr:blipFill>
        <a:blip xmlns:r="http://schemas.openxmlformats.org/officeDocument/2006/relationships" r:embed="rId3"/>
        <a:stretch>
          <a:fillRect/>
        </a:stretch>
      </xdr:blipFill>
      <xdr:spPr>
        <a:xfrm>
          <a:off x="12649200" y="0"/>
          <a:ext cx="6342307" cy="4638656"/>
        </a:xfrm>
        <a:prstGeom prst="rect">
          <a:avLst/>
        </a:prstGeom>
      </xdr:spPr>
    </xdr:pic>
    <xdr:clientData/>
  </xdr:twoCellAnchor>
  <xdr:twoCellAnchor editAs="oneCell">
    <xdr:from>
      <xdr:col>0</xdr:col>
      <xdr:colOff>209550</xdr:colOff>
      <xdr:row>18</xdr:row>
      <xdr:rowOff>144439</xdr:rowOff>
    </xdr:from>
    <xdr:to>
      <xdr:col>5</xdr:col>
      <xdr:colOff>104775</xdr:colOff>
      <xdr:row>42</xdr:row>
      <xdr:rowOff>8842</xdr:rowOff>
    </xdr:to>
    <xdr:pic>
      <xdr:nvPicPr>
        <xdr:cNvPr id="4" name="Afbeelding 3">
          <a:extLst>
            <a:ext uri="{FF2B5EF4-FFF2-40B4-BE49-F238E27FC236}">
              <a16:creationId xmlns:a16="http://schemas.microsoft.com/office/drawing/2014/main" id="{76EFF887-EF08-4FAB-A716-990625F3BFA7}"/>
            </a:ext>
          </a:extLst>
        </xdr:cNvPr>
        <xdr:cNvPicPr>
          <a:picLocks noChangeAspect="1"/>
        </xdr:cNvPicPr>
      </xdr:nvPicPr>
      <xdr:blipFill>
        <a:blip xmlns:r="http://schemas.openxmlformats.org/officeDocument/2006/relationships" r:embed="rId4"/>
        <a:stretch>
          <a:fillRect/>
        </a:stretch>
      </xdr:blipFill>
      <xdr:spPr>
        <a:xfrm>
          <a:off x="209550" y="3782989"/>
          <a:ext cx="6353175" cy="4436403"/>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630E2-E294-45DE-BF06-51BE90B17977}">
  <sheetPr codeName="Blad1"/>
  <dimension ref="A1:U34"/>
  <sheetViews>
    <sheetView tabSelected="1" zoomScale="115" zoomScaleNormal="115" workbookViewId="0">
      <selection activeCell="J26" sqref="J26"/>
    </sheetView>
  </sheetViews>
  <sheetFormatPr defaultRowHeight="15" x14ac:dyDescent="0.25"/>
  <cols>
    <col min="1" max="1" width="26.28515625" customWidth="1"/>
    <col min="2" max="2" width="19.7109375" customWidth="1"/>
    <col min="3" max="3" width="9.140625" customWidth="1"/>
    <col min="5" max="5" width="19.5703125" customWidth="1"/>
    <col min="6" max="6" width="12.5703125" customWidth="1"/>
    <col min="7" max="7" width="12.85546875" customWidth="1"/>
    <col min="9" max="9" width="9.140625" customWidth="1"/>
    <col min="11" max="11" width="15.140625" customWidth="1"/>
    <col min="19" max="19" width="11.140625" customWidth="1"/>
    <col min="23" max="23" width="13.5703125" customWidth="1"/>
  </cols>
  <sheetData>
    <row r="1" spans="1:21" x14ac:dyDescent="0.25">
      <c r="A1" s="46" t="s">
        <v>13</v>
      </c>
      <c r="B1" s="46"/>
      <c r="C1" s="46"/>
      <c r="E1" s="47" t="s">
        <v>19</v>
      </c>
      <c r="F1" s="47"/>
      <c r="G1" s="47"/>
      <c r="L1" s="48" t="s">
        <v>73</v>
      </c>
      <c r="M1" s="48"/>
      <c r="N1" s="48"/>
      <c r="O1" s="48"/>
      <c r="P1" s="48"/>
      <c r="Q1" s="48"/>
      <c r="R1" s="48"/>
      <c r="S1" s="48"/>
      <c r="T1" s="48" t="s">
        <v>77</v>
      </c>
      <c r="U1" s="48"/>
    </row>
    <row r="2" spans="1:21" x14ac:dyDescent="0.25">
      <c r="A2" s="3" t="s">
        <v>3</v>
      </c>
      <c r="B2" s="4"/>
      <c r="C2" s="5"/>
      <c r="E2" s="3" t="s">
        <v>20</v>
      </c>
      <c r="F2" s="4"/>
      <c r="G2" s="5"/>
      <c r="L2" s="23" t="s">
        <v>65</v>
      </c>
      <c r="M2" s="4"/>
      <c r="N2" s="5"/>
      <c r="O2" s="4" t="s">
        <v>60</v>
      </c>
      <c r="P2" s="4" t="s">
        <v>61</v>
      </c>
      <c r="Q2" s="4" t="s">
        <v>62</v>
      </c>
      <c r="R2" s="4" t="s">
        <v>63</v>
      </c>
      <c r="S2" s="5" t="s">
        <v>72</v>
      </c>
      <c r="T2" s="23" t="s">
        <v>6</v>
      </c>
      <c r="U2" s="5" t="s">
        <v>76</v>
      </c>
    </row>
    <row r="3" spans="1:21" s="28" customFormat="1" ht="15" customHeight="1" x14ac:dyDescent="0.25">
      <c r="A3" s="29" t="s">
        <v>2</v>
      </c>
      <c r="B3" s="32" t="s">
        <v>0</v>
      </c>
      <c r="C3" s="33">
        <v>0.48</v>
      </c>
      <c r="E3" s="29" t="s">
        <v>23</v>
      </c>
      <c r="F3" s="35" t="s">
        <v>24</v>
      </c>
      <c r="G3" s="33">
        <f>C10*(C14/60)^2*C3^4*C4</f>
        <v>123.64415631359999</v>
      </c>
      <c r="H3" s="27"/>
      <c r="L3" s="36" t="s">
        <v>57</v>
      </c>
      <c r="M3" s="37" t="s">
        <v>58</v>
      </c>
      <c r="N3" s="38" t="s">
        <v>59</v>
      </c>
      <c r="O3" s="32" t="s">
        <v>64</v>
      </c>
      <c r="P3" s="32" t="s">
        <v>64</v>
      </c>
      <c r="Q3" s="32" t="s">
        <v>64</v>
      </c>
      <c r="R3" s="32" t="s">
        <v>64</v>
      </c>
      <c r="S3" s="33" t="s">
        <v>64</v>
      </c>
      <c r="T3" s="36"/>
      <c r="U3" s="38"/>
    </row>
    <row r="4" spans="1:21" x14ac:dyDescent="0.25">
      <c r="A4" s="6" t="s">
        <v>4</v>
      </c>
      <c r="B4" s="7" t="s">
        <v>6</v>
      </c>
      <c r="C4" s="8">
        <v>9.4299999999999995E-2</v>
      </c>
      <c r="E4" s="6" t="s">
        <v>31</v>
      </c>
      <c r="F4" s="7" t="s">
        <v>66</v>
      </c>
      <c r="G4" s="8">
        <f ca="1">_xlfn.FORECAST.LINEAR($G3,OFFSET($M$4:$M$34,MATCH($G3,$S$4:$S$34,1)-1,0,2),OFFSET($S$4:$S$34,MATCH($G3,$S$4:$S$34,1)-1,0,2))</f>
        <v>3.3828814514985615</v>
      </c>
      <c r="H4" t="s">
        <v>83</v>
      </c>
      <c r="L4" s="6">
        <v>0</v>
      </c>
      <c r="M4" s="24">
        <f>L4/3.6</f>
        <v>0</v>
      </c>
      <c r="N4" s="20">
        <f>M4/0.514447</f>
        <v>0</v>
      </c>
      <c r="O4" s="23">
        <v>0</v>
      </c>
      <c r="P4" s="4">
        <v>0</v>
      </c>
      <c r="Q4" s="4">
        <v>0</v>
      </c>
      <c r="R4" s="4">
        <v>0</v>
      </c>
      <c r="S4" s="5">
        <f>R4/(1-$C$6)</f>
        <v>0</v>
      </c>
      <c r="T4" s="6">
        <v>0</v>
      </c>
      <c r="U4" s="8">
        <v>0</v>
      </c>
    </row>
    <row r="5" spans="1:21" x14ac:dyDescent="0.25">
      <c r="A5" s="6" t="s">
        <v>5</v>
      </c>
      <c r="B5" s="7" t="s">
        <v>7</v>
      </c>
      <c r="C5" s="8">
        <v>2.76E-2</v>
      </c>
      <c r="E5" s="6" t="s">
        <v>79</v>
      </c>
      <c r="F5" s="7" t="s">
        <v>78</v>
      </c>
      <c r="G5" s="8">
        <f ca="1">(1-C7)*G4</f>
        <v>3.3152238224685902</v>
      </c>
      <c r="L5" s="6">
        <v>1</v>
      </c>
      <c r="M5" s="24">
        <f t="shared" ref="M5:M34" si="0">L5/3.6</f>
        <v>0.27777777777777779</v>
      </c>
      <c r="N5" s="20">
        <f t="shared" ref="N5:N34" si="1">M5/0.514447</f>
        <v>0.53995412117823172</v>
      </c>
      <c r="O5" s="7">
        <v>8.5099158653846168</v>
      </c>
      <c r="P5" s="7">
        <v>0.94554620726495753</v>
      </c>
      <c r="Q5" s="7">
        <v>0</v>
      </c>
      <c r="R5" s="7">
        <v>9.4554620726495742</v>
      </c>
      <c r="S5" s="8">
        <f t="shared" ref="S5:S34" si="2">R5/(1-$C$6)</f>
        <v>9.9531179712100784</v>
      </c>
      <c r="T5" s="6">
        <v>0.12197493850821679</v>
      </c>
      <c r="U5" s="8">
        <v>0.25348708205744697</v>
      </c>
    </row>
    <row r="6" spans="1:21" x14ac:dyDescent="0.25">
      <c r="A6" s="6" t="s">
        <v>71</v>
      </c>
      <c r="B6" s="15" t="s">
        <v>70</v>
      </c>
      <c r="C6" s="8">
        <v>0.05</v>
      </c>
      <c r="E6" s="6" t="s">
        <v>15</v>
      </c>
      <c r="F6" s="10" t="s">
        <v>55</v>
      </c>
      <c r="G6" s="8">
        <f>C14</f>
        <v>300</v>
      </c>
      <c r="L6" s="6">
        <v>2</v>
      </c>
      <c r="M6" s="24">
        <f t="shared" si="0"/>
        <v>0.55555555555555558</v>
      </c>
      <c r="N6" s="20">
        <f t="shared" si="1"/>
        <v>1.0799082423564634</v>
      </c>
      <c r="O6" s="7">
        <v>17.019831730769234</v>
      </c>
      <c r="P6" s="7">
        <v>1.8910924145299151</v>
      </c>
      <c r="Q6" s="7">
        <v>0</v>
      </c>
      <c r="R6" s="7">
        <v>18.910924145299148</v>
      </c>
      <c r="S6" s="8">
        <f t="shared" si="2"/>
        <v>19.906235942420157</v>
      </c>
      <c r="T6" s="6">
        <v>0.11573019122994635</v>
      </c>
      <c r="U6" s="8">
        <v>0.25656778551863041</v>
      </c>
    </row>
    <row r="7" spans="1:21" x14ac:dyDescent="0.25">
      <c r="A7" s="34" t="s">
        <v>74</v>
      </c>
      <c r="B7" s="15" t="s">
        <v>75</v>
      </c>
      <c r="C7" s="8">
        <v>0.02</v>
      </c>
      <c r="E7" s="6" t="s">
        <v>22</v>
      </c>
      <c r="F7" s="7" t="s">
        <v>27</v>
      </c>
      <c r="G7" s="8">
        <f>C10*(G6/60)^2*C3^5*C5</f>
        <v>17.370496106495999</v>
      </c>
      <c r="L7" s="6">
        <v>3</v>
      </c>
      <c r="M7" s="24">
        <f t="shared" si="0"/>
        <v>0.83333333333333326</v>
      </c>
      <c r="N7" s="20">
        <f t="shared" si="1"/>
        <v>1.6198623635346951</v>
      </c>
      <c r="O7" s="7">
        <v>25.529747596153847</v>
      </c>
      <c r="P7" s="7">
        <v>2.8366386217948723</v>
      </c>
      <c r="Q7" s="7">
        <v>0</v>
      </c>
      <c r="R7" s="7">
        <v>28.366386217948719</v>
      </c>
      <c r="S7" s="8">
        <f t="shared" si="2"/>
        <v>29.859353913630233</v>
      </c>
      <c r="T7" s="6">
        <v>0.11486009108094332</v>
      </c>
      <c r="U7" s="8">
        <v>0.26174298890438596</v>
      </c>
    </row>
    <row r="8" spans="1:21" x14ac:dyDescent="0.25">
      <c r="C8" s="8"/>
      <c r="E8" s="6"/>
      <c r="F8" s="7"/>
      <c r="G8" s="8"/>
      <c r="L8" s="6">
        <v>4</v>
      </c>
      <c r="M8" s="24">
        <f t="shared" si="0"/>
        <v>1.1111111111111112</v>
      </c>
      <c r="N8" s="20">
        <f t="shared" si="1"/>
        <v>2.1598164847129269</v>
      </c>
      <c r="O8" s="7">
        <v>34.039663461538467</v>
      </c>
      <c r="P8" s="7">
        <v>3.7821848290598301</v>
      </c>
      <c r="Q8" s="7">
        <v>0</v>
      </c>
      <c r="R8" s="7">
        <v>37.821848290598297</v>
      </c>
      <c r="S8" s="8">
        <f t="shared" si="2"/>
        <v>39.812471884840313</v>
      </c>
      <c r="T8" s="6">
        <v>0.10955907374156375</v>
      </c>
      <c r="U8" s="8">
        <v>0.26442860583748362</v>
      </c>
    </row>
    <row r="9" spans="1:21" x14ac:dyDescent="0.25">
      <c r="A9" s="9" t="s">
        <v>8</v>
      </c>
      <c r="B9" s="7"/>
      <c r="C9" s="8"/>
      <c r="E9" s="6" t="s">
        <v>1</v>
      </c>
      <c r="F9" s="15" t="s">
        <v>29</v>
      </c>
      <c r="G9" s="8">
        <f ca="1">G3*G4</f>
        <v>418.27352297946618</v>
      </c>
      <c r="H9" t="s">
        <v>103</v>
      </c>
      <c r="L9" s="6">
        <v>5</v>
      </c>
      <c r="M9" s="24">
        <f t="shared" si="0"/>
        <v>1.3888888888888888</v>
      </c>
      <c r="N9" s="20">
        <f t="shared" si="1"/>
        <v>2.6997706058911586</v>
      </c>
      <c r="O9" s="7">
        <v>42.54957932692308</v>
      </c>
      <c r="P9" s="7">
        <v>4.7277310363247871</v>
      </c>
      <c r="Q9" s="7">
        <v>0</v>
      </c>
      <c r="R9" s="7">
        <v>47.277310363247864</v>
      </c>
      <c r="S9" s="8">
        <f t="shared" si="2"/>
        <v>49.765589856050383</v>
      </c>
      <c r="T9" s="6">
        <v>0.10603954705720303</v>
      </c>
      <c r="U9" s="8">
        <v>0.2667264579858083</v>
      </c>
    </row>
    <row r="10" spans="1:21" x14ac:dyDescent="0.25">
      <c r="A10" s="6" t="s">
        <v>9</v>
      </c>
      <c r="B10" s="10" t="s">
        <v>10</v>
      </c>
      <c r="C10" s="8">
        <v>988</v>
      </c>
      <c r="E10" s="6" t="s">
        <v>67</v>
      </c>
      <c r="F10" s="15" t="s">
        <v>68</v>
      </c>
      <c r="G10" s="8">
        <f>G7*G6/60*2*PI()</f>
        <v>545.71022957377943</v>
      </c>
      <c r="L10" s="6">
        <v>6</v>
      </c>
      <c r="M10" s="24">
        <f t="shared" si="0"/>
        <v>1.6666666666666665</v>
      </c>
      <c r="N10" s="20">
        <f t="shared" si="1"/>
        <v>3.2397247270693903</v>
      </c>
      <c r="O10" s="7">
        <v>51.059495192307693</v>
      </c>
      <c r="P10" s="7">
        <v>5.6732772435897445</v>
      </c>
      <c r="Q10" s="7">
        <v>0</v>
      </c>
      <c r="R10" s="7">
        <v>56.732772435897438</v>
      </c>
      <c r="S10" s="8">
        <f t="shared" si="2"/>
        <v>59.718707827260467</v>
      </c>
      <c r="T10" s="6">
        <v>0.10462970109032654</v>
      </c>
      <c r="U10" s="8">
        <v>0.2689818106665709</v>
      </c>
    </row>
    <row r="11" spans="1:21" x14ac:dyDescent="0.25">
      <c r="A11" s="6" t="s">
        <v>11</v>
      </c>
      <c r="B11" s="10" t="s">
        <v>12</v>
      </c>
      <c r="C11" s="8">
        <f>(C3/2)^2*PI()</f>
        <v>0.18095573684677208</v>
      </c>
      <c r="E11" s="6" t="s">
        <v>26</v>
      </c>
      <c r="F11" s="7" t="s">
        <v>28</v>
      </c>
      <c r="G11" s="8">
        <f ca="1">G10-G9</f>
        <v>127.43670659431325</v>
      </c>
      <c r="L11" s="6">
        <v>7</v>
      </c>
      <c r="M11" s="24">
        <f t="shared" si="0"/>
        <v>1.9444444444444444</v>
      </c>
      <c r="N11" s="20">
        <f t="shared" si="1"/>
        <v>3.779678848247622</v>
      </c>
      <c r="O11" s="7">
        <v>59.569411057692307</v>
      </c>
      <c r="P11" s="7">
        <v>6.6188234508547019</v>
      </c>
      <c r="Q11" s="7">
        <v>0</v>
      </c>
      <c r="R11" s="7">
        <v>66.188234508547012</v>
      </c>
      <c r="S11" s="8">
        <f t="shared" si="2"/>
        <v>69.671825798470536</v>
      </c>
      <c r="T11" s="6">
        <v>0.10288528337949028</v>
      </c>
      <c r="U11" s="8">
        <v>0.27110050874042568</v>
      </c>
    </row>
    <row r="12" spans="1:21" x14ac:dyDescent="0.25">
      <c r="A12" s="6"/>
      <c r="B12" s="7"/>
      <c r="C12" s="8"/>
      <c r="E12" s="6" t="s">
        <v>69</v>
      </c>
      <c r="F12" s="16" t="s">
        <v>81</v>
      </c>
      <c r="G12" s="22">
        <f ca="1">G3*G5/G10</f>
        <v>0.75114599343323785</v>
      </c>
      <c r="L12" s="6">
        <v>8</v>
      </c>
      <c r="M12" s="24">
        <f t="shared" si="0"/>
        <v>2.2222222222222223</v>
      </c>
      <c r="N12" s="20">
        <f t="shared" si="1"/>
        <v>4.3196329694258537</v>
      </c>
      <c r="O12" s="7">
        <v>68.079326923076934</v>
      </c>
      <c r="P12" s="7">
        <v>7.5643696581196602</v>
      </c>
      <c r="Q12" s="7">
        <v>0</v>
      </c>
      <c r="R12" s="7">
        <v>75.643696581196593</v>
      </c>
      <c r="S12" s="8">
        <f t="shared" si="2"/>
        <v>79.624943769680627</v>
      </c>
      <c r="T12" s="6">
        <v>0.10106039046741229</v>
      </c>
      <c r="U12" s="8">
        <v>0.27302523765868286</v>
      </c>
    </row>
    <row r="13" spans="1:21" x14ac:dyDescent="0.25">
      <c r="A13" s="9" t="s">
        <v>14</v>
      </c>
      <c r="B13" s="7"/>
      <c r="C13" s="8"/>
      <c r="E13" s="6" t="s">
        <v>80</v>
      </c>
      <c r="F13" s="16" t="s">
        <v>82</v>
      </c>
      <c r="G13" s="22">
        <f ca="1">G4*_xlfn.FORECAST.LINEAR($G4,OFFSET($R$4:$R$34,MATCH($G4,$M$4:$M$34,1)-1,0,2),OFFSET($M$4:$M$34,MATCH($G4,$M$4:$M$34,1)-1,0,2))/G10</f>
        <v>0.72815172832813879</v>
      </c>
      <c r="L13" s="6">
        <v>9</v>
      </c>
      <c r="M13" s="24">
        <f t="shared" si="0"/>
        <v>2.5</v>
      </c>
      <c r="N13" s="20">
        <f t="shared" si="1"/>
        <v>4.8595870906040854</v>
      </c>
      <c r="O13" s="7">
        <v>76.589242788461547</v>
      </c>
      <c r="P13" s="7">
        <v>8.5099158653846168</v>
      </c>
      <c r="Q13" s="7">
        <v>0</v>
      </c>
      <c r="R13" s="7">
        <v>85.09915865384616</v>
      </c>
      <c r="S13" s="8">
        <f t="shared" si="2"/>
        <v>89.578061740890703</v>
      </c>
      <c r="T13" s="6">
        <v>9.9600872277080421E-2</v>
      </c>
      <c r="U13" s="8">
        <v>0.27484840610586181</v>
      </c>
    </row>
    <row r="14" spans="1:21" x14ac:dyDescent="0.25">
      <c r="A14" s="6" t="s">
        <v>15</v>
      </c>
      <c r="B14" s="10" t="s">
        <v>54</v>
      </c>
      <c r="C14" s="8">
        <v>300</v>
      </c>
      <c r="E14" s="6"/>
      <c r="F14" s="7"/>
      <c r="G14" s="8"/>
      <c r="L14" s="6">
        <v>10</v>
      </c>
      <c r="M14" s="24">
        <f t="shared" si="0"/>
        <v>2.7777777777777777</v>
      </c>
      <c r="N14" s="20">
        <f t="shared" si="1"/>
        <v>5.3995412117823172</v>
      </c>
      <c r="O14" s="7">
        <v>85.09915865384616</v>
      </c>
      <c r="P14" s="7">
        <v>9.4554620726495742</v>
      </c>
      <c r="Q14" s="7">
        <v>0</v>
      </c>
      <c r="R14" s="7">
        <v>94.554620726495727</v>
      </c>
      <c r="S14" s="8">
        <f t="shared" si="2"/>
        <v>99.531179712100766</v>
      </c>
      <c r="T14" s="6">
        <v>9.7639802229593481E-2</v>
      </c>
      <c r="U14" s="8">
        <v>0.27562070568988778</v>
      </c>
    </row>
    <row r="15" spans="1:21" x14ac:dyDescent="0.25">
      <c r="A15" s="11" t="s">
        <v>16</v>
      </c>
      <c r="B15" s="12" t="s">
        <v>18</v>
      </c>
      <c r="C15" s="13">
        <v>1</v>
      </c>
      <c r="E15" s="9" t="s">
        <v>21</v>
      </c>
      <c r="F15" s="7"/>
      <c r="G15" s="8"/>
      <c r="L15" s="6">
        <v>11</v>
      </c>
      <c r="M15" s="24">
        <f t="shared" si="0"/>
        <v>3.0555555555555554</v>
      </c>
      <c r="N15" s="20">
        <f t="shared" si="1"/>
        <v>5.9394953329605489</v>
      </c>
      <c r="O15" s="7">
        <v>93.609074519230774</v>
      </c>
      <c r="P15" s="7">
        <v>10.401008279914532</v>
      </c>
      <c r="Q15" s="7">
        <v>0</v>
      </c>
      <c r="R15" s="7">
        <v>104.01008279914531</v>
      </c>
      <c r="S15" s="8">
        <f t="shared" si="2"/>
        <v>109.48429768331086</v>
      </c>
      <c r="T15" s="6">
        <v>9.5986212858409678E-2</v>
      </c>
      <c r="U15" s="8">
        <v>0.27627522601374843</v>
      </c>
    </row>
    <row r="16" spans="1:21" x14ac:dyDescent="0.25">
      <c r="E16" s="11" t="s">
        <v>22</v>
      </c>
      <c r="F16" s="14" t="s">
        <v>27</v>
      </c>
      <c r="G16" s="13">
        <f>G7</f>
        <v>17.370496106495999</v>
      </c>
      <c r="H16" t="s">
        <v>101</v>
      </c>
      <c r="L16" s="6">
        <v>12</v>
      </c>
      <c r="M16" s="24">
        <f t="shared" si="0"/>
        <v>3.333333333333333</v>
      </c>
      <c r="N16" s="20">
        <f t="shared" si="1"/>
        <v>6.4794494541387806</v>
      </c>
      <c r="O16" s="7">
        <v>102.30434666666666</v>
      </c>
      <c r="P16" s="7">
        <v>11.385662857142858</v>
      </c>
      <c r="Q16" s="7">
        <v>0</v>
      </c>
      <c r="R16" s="7">
        <v>113.69000952380952</v>
      </c>
      <c r="S16" s="8">
        <f t="shared" si="2"/>
        <v>119.67369423558898</v>
      </c>
      <c r="T16" s="6">
        <v>9.425662134153609E-2</v>
      </c>
      <c r="U16" s="8">
        <v>0.27620833677444889</v>
      </c>
    </row>
    <row r="17" spans="1:21" x14ac:dyDescent="0.25">
      <c r="A17" s="49" t="s">
        <v>102</v>
      </c>
      <c r="B17" s="49"/>
      <c r="C17" s="49"/>
      <c r="H17" t="s">
        <v>90</v>
      </c>
      <c r="L17" s="6">
        <v>13</v>
      </c>
      <c r="M17" s="24">
        <f t="shared" si="0"/>
        <v>3.6111111111111112</v>
      </c>
      <c r="N17" s="20">
        <f t="shared" si="1"/>
        <v>7.0194035753170123</v>
      </c>
      <c r="O17" s="7">
        <v>120.46823555555558</v>
      </c>
      <c r="P17" s="7">
        <v>14.368103333333327</v>
      </c>
      <c r="Q17" s="7">
        <v>0</v>
      </c>
      <c r="R17" s="7">
        <v>134.83633888888892</v>
      </c>
      <c r="S17" s="8">
        <f t="shared" si="2"/>
        <v>141.93298830409361</v>
      </c>
      <c r="T17" s="6">
        <v>9.4475393754080622E-2</v>
      </c>
      <c r="U17" s="8">
        <v>0.27623866638734995</v>
      </c>
    </row>
    <row r="18" spans="1:21" ht="15" customHeight="1" x14ac:dyDescent="0.25">
      <c r="A18" s="23" t="s">
        <v>65</v>
      </c>
      <c r="B18" s="4" t="s">
        <v>92</v>
      </c>
      <c r="C18" s="5">
        <f ca="1">G4/0.514447</f>
        <v>6.5757628122985681</v>
      </c>
      <c r="L18" s="6">
        <v>14</v>
      </c>
      <c r="M18" s="24">
        <f t="shared" si="0"/>
        <v>3.8888888888888888</v>
      </c>
      <c r="N18" s="20">
        <f t="shared" si="1"/>
        <v>7.559357696495244</v>
      </c>
      <c r="O18" s="7">
        <v>138.62347138387486</v>
      </c>
      <c r="P18" s="7">
        <v>17.350241813076593</v>
      </c>
      <c r="Q18" s="7">
        <v>0</v>
      </c>
      <c r="R18" s="7">
        <v>155.97371319695145</v>
      </c>
      <c r="S18" s="8">
        <f t="shared" si="2"/>
        <v>164.18285599679101</v>
      </c>
      <c r="T18" s="6">
        <v>9.4421237313690731E-2</v>
      </c>
      <c r="U18" s="8">
        <v>0.27623120231444154</v>
      </c>
    </row>
    <row r="19" spans="1:21" s="28" customFormat="1" ht="15" customHeight="1" x14ac:dyDescent="0.25">
      <c r="A19" s="6" t="s">
        <v>93</v>
      </c>
      <c r="B19" s="7" t="s">
        <v>96</v>
      </c>
      <c r="C19" s="8">
        <v>10</v>
      </c>
      <c r="H19" s="27"/>
      <c r="L19" s="29">
        <v>15</v>
      </c>
      <c r="M19" s="30">
        <f t="shared" si="0"/>
        <v>4.166666666666667</v>
      </c>
      <c r="N19" s="31">
        <f t="shared" si="1"/>
        <v>8.0993118176734775</v>
      </c>
      <c r="O19" s="32">
        <v>154.08327884476535</v>
      </c>
      <c r="P19" s="32">
        <v>20.238308399518644</v>
      </c>
      <c r="Q19" s="32">
        <v>0</v>
      </c>
      <c r="R19" s="32">
        <v>174.32158724428399</v>
      </c>
      <c r="S19" s="33">
        <f t="shared" si="2"/>
        <v>183.49640762556211</v>
      </c>
      <c r="T19" s="29">
        <v>9.3868789507475764E-2</v>
      </c>
      <c r="U19" s="33">
        <v>0.27615339501313735</v>
      </c>
    </row>
    <row r="20" spans="1:21" ht="15" customHeight="1" x14ac:dyDescent="0.25">
      <c r="A20" s="6" t="s">
        <v>94</v>
      </c>
      <c r="B20" s="7" t="s">
        <v>97</v>
      </c>
      <c r="C20" s="8">
        <v>5</v>
      </c>
      <c r="L20" s="6">
        <v>16</v>
      </c>
      <c r="M20" s="24">
        <f t="shared" si="0"/>
        <v>4.4444444444444446</v>
      </c>
      <c r="N20" s="20">
        <f t="shared" si="1"/>
        <v>8.6392659388517075</v>
      </c>
      <c r="O20" s="7">
        <v>169.54745271291398</v>
      </c>
      <c r="P20" s="7">
        <v>23.128041310209682</v>
      </c>
      <c r="Q20" s="7">
        <v>0</v>
      </c>
      <c r="R20" s="7">
        <v>192.67549402312366</v>
      </c>
      <c r="S20" s="8">
        <f t="shared" si="2"/>
        <v>202.81630949802491</v>
      </c>
      <c r="T20" s="6">
        <v>9.3285347987811754E-2</v>
      </c>
      <c r="U20" s="8">
        <v>0.27606783573720206</v>
      </c>
    </row>
    <row r="21" spans="1:21" ht="15" customHeight="1" x14ac:dyDescent="0.25">
      <c r="A21" s="6" t="s">
        <v>95</v>
      </c>
      <c r="B21" s="7" t="s">
        <v>100</v>
      </c>
      <c r="C21" s="8">
        <v>1</v>
      </c>
      <c r="H21" s="21"/>
      <c r="L21" s="6">
        <v>17</v>
      </c>
      <c r="M21" s="24">
        <f t="shared" si="0"/>
        <v>4.7222222222222223</v>
      </c>
      <c r="N21" s="20">
        <f t="shared" si="1"/>
        <v>9.1792200600299392</v>
      </c>
      <c r="O21" s="7">
        <v>185.50344281677442</v>
      </c>
      <c r="P21" s="7">
        <v>26.205462924946108</v>
      </c>
      <c r="Q21" s="7">
        <v>0</v>
      </c>
      <c r="R21" s="7">
        <v>211.70890574172054</v>
      </c>
      <c r="S21" s="8">
        <f t="shared" si="2"/>
        <v>222.85147972812689</v>
      </c>
      <c r="T21" s="6">
        <v>9.2753454968021648E-2</v>
      </c>
      <c r="U21" s="8">
        <v>0.27598669447607471</v>
      </c>
    </row>
    <row r="22" spans="1:21" x14ac:dyDescent="0.25">
      <c r="A22" s="6" t="s">
        <v>98</v>
      </c>
      <c r="B22" s="7"/>
      <c r="C22" s="8">
        <f ca="1">0.02058*((C18*C20)/(C21*0.00001076391))^(1/8)</f>
        <v>0.13306493654977675</v>
      </c>
      <c r="L22" s="6">
        <v>18</v>
      </c>
      <c r="M22" s="24">
        <f t="shared" si="0"/>
        <v>5</v>
      </c>
      <c r="N22" s="20">
        <f t="shared" si="1"/>
        <v>9.7191741812081709</v>
      </c>
      <c r="O22" s="7">
        <v>201.4594329206349</v>
      </c>
      <c r="P22" s="7">
        <v>29.282884539682534</v>
      </c>
      <c r="Q22" s="7">
        <v>0</v>
      </c>
      <c r="R22" s="7">
        <v>230.74231746031742</v>
      </c>
      <c r="S22" s="8">
        <f t="shared" si="2"/>
        <v>242.88664995822887</v>
      </c>
      <c r="T22" s="6">
        <v>9.2210614342932429E-2</v>
      </c>
      <c r="U22" s="8">
        <v>0.27590069448418736</v>
      </c>
    </row>
    <row r="23" spans="1:21" x14ac:dyDescent="0.25">
      <c r="A23" s="11" t="s">
        <v>99</v>
      </c>
      <c r="B23" s="14" t="s">
        <v>91</v>
      </c>
      <c r="C23" s="13">
        <f ca="1">_Toc57046907*C19*10.76391*C18^2*(C10/2)</f>
        <v>305951.73307920335</v>
      </c>
      <c r="L23" s="6">
        <v>19</v>
      </c>
      <c r="M23" s="24">
        <f t="shared" si="0"/>
        <v>5.2777777777777777</v>
      </c>
      <c r="N23" s="20">
        <f t="shared" si="1"/>
        <v>10.259128302386403</v>
      </c>
      <c r="O23" s="7">
        <v>218.4907821525735</v>
      </c>
      <c r="P23" s="7">
        <v>33.172797912785938</v>
      </c>
      <c r="Q23" s="7">
        <v>0</v>
      </c>
      <c r="R23" s="7">
        <v>251.66358006535944</v>
      </c>
      <c r="S23" s="8">
        <f t="shared" si="2"/>
        <v>264.90903164774681</v>
      </c>
      <c r="T23" s="6">
        <v>9.1808038478595325E-2</v>
      </c>
      <c r="U23" s="8">
        <v>0.27583478399514488</v>
      </c>
    </row>
    <row r="24" spans="1:21" x14ac:dyDescent="0.25">
      <c r="L24" s="6">
        <v>20</v>
      </c>
      <c r="M24" s="24">
        <f t="shared" si="0"/>
        <v>5.5555555555555554</v>
      </c>
      <c r="N24" s="20">
        <f t="shared" si="1"/>
        <v>10.799082423564634</v>
      </c>
      <c r="O24" s="7">
        <v>235.56883289520425</v>
      </c>
      <c r="P24" s="7">
        <v>37.099930475626593</v>
      </c>
      <c r="Q24" s="7">
        <v>0</v>
      </c>
      <c r="R24" s="7">
        <v>272.66876337083085</v>
      </c>
      <c r="S24" s="8">
        <f t="shared" si="2"/>
        <v>287.01975091666407</v>
      </c>
      <c r="T24" s="6">
        <v>9.1721887046806935E-2</v>
      </c>
      <c r="U24" s="8">
        <v>0.27602865193530651</v>
      </c>
    </row>
    <row r="25" spans="1:21" x14ac:dyDescent="0.25">
      <c r="L25" s="6">
        <v>21</v>
      </c>
      <c r="M25" s="24">
        <f t="shared" si="0"/>
        <v>5.833333333333333</v>
      </c>
      <c r="N25" s="20">
        <f t="shared" si="1"/>
        <v>11.339036544742866</v>
      </c>
      <c r="O25" s="7">
        <v>253.79849541740674</v>
      </c>
      <c r="P25" s="7">
        <v>42.105416956779159</v>
      </c>
      <c r="Q25" s="7">
        <v>0</v>
      </c>
      <c r="R25" s="7">
        <v>295.90391237418589</v>
      </c>
      <c r="S25" s="8">
        <f t="shared" si="2"/>
        <v>311.47780249914308</v>
      </c>
      <c r="T25" s="6">
        <v>9.1909897748632785E-2</v>
      </c>
      <c r="U25" s="8">
        <v>0.27635542043724765</v>
      </c>
    </row>
    <row r="26" spans="1:21" x14ac:dyDescent="0.25">
      <c r="L26" s="6">
        <v>22</v>
      </c>
      <c r="M26" s="24">
        <f t="shared" si="0"/>
        <v>6.1111111111111107</v>
      </c>
      <c r="N26" s="20">
        <f t="shared" si="1"/>
        <v>11.878990665921098</v>
      </c>
      <c r="O26" s="7">
        <v>272.02815793960923</v>
      </c>
      <c r="P26" s="7">
        <v>47.110903437931725</v>
      </c>
      <c r="Q26" s="7">
        <v>0</v>
      </c>
      <c r="R26" s="7">
        <v>319.13906137754094</v>
      </c>
      <c r="S26" s="8">
        <f t="shared" si="2"/>
        <v>335.93585408162204</v>
      </c>
      <c r="T26" s="6">
        <v>9.2140751921289107E-2</v>
      </c>
      <c r="U26" s="8">
        <v>0.27672420028044231</v>
      </c>
    </row>
    <row r="27" spans="1:21" x14ac:dyDescent="0.25">
      <c r="L27" s="6">
        <v>23</v>
      </c>
      <c r="M27" s="24">
        <f t="shared" si="0"/>
        <v>6.3888888888888884</v>
      </c>
      <c r="N27" s="20">
        <f t="shared" si="1"/>
        <v>12.418944787099329</v>
      </c>
      <c r="O27" s="7">
        <v>292.23486402097194</v>
      </c>
      <c r="P27" s="7">
        <v>52.212885122000401</v>
      </c>
      <c r="Q27" s="7">
        <v>0</v>
      </c>
      <c r="R27" s="7">
        <v>344.44774914297233</v>
      </c>
      <c r="S27" s="8">
        <f t="shared" si="2"/>
        <v>362.57657804523404</v>
      </c>
      <c r="T27" s="6">
        <v>9.2322729291580793E-2</v>
      </c>
      <c r="U27" s="8">
        <v>0.27699560942639057</v>
      </c>
    </row>
    <row r="28" spans="1:21" x14ac:dyDescent="0.25">
      <c r="L28" s="6">
        <v>24</v>
      </c>
      <c r="M28" s="24">
        <f t="shared" si="0"/>
        <v>6.6666666666666661</v>
      </c>
      <c r="N28" s="20">
        <f t="shared" si="1"/>
        <v>12.958898908277561</v>
      </c>
      <c r="O28" s="7">
        <v>312.47698944948576</v>
      </c>
      <c r="P28" s="7">
        <v>57.316595547489399</v>
      </c>
      <c r="Q28" s="7">
        <v>0</v>
      </c>
      <c r="R28" s="7">
        <v>369.79358499697514</v>
      </c>
      <c r="S28" s="8">
        <f t="shared" si="2"/>
        <v>389.25640525997386</v>
      </c>
      <c r="T28" s="6">
        <v>9.2542439395026876E-2</v>
      </c>
      <c r="U28" s="8">
        <v>0.27730543614061015</v>
      </c>
    </row>
    <row r="29" spans="1:21" x14ac:dyDescent="0.25">
      <c r="L29" s="6">
        <v>25</v>
      </c>
      <c r="M29" s="24">
        <f t="shared" si="0"/>
        <v>6.9444444444444446</v>
      </c>
      <c r="N29" s="20">
        <f t="shared" si="1"/>
        <v>13.498853029455795</v>
      </c>
      <c r="O29" s="7">
        <v>325.50589137209806</v>
      </c>
      <c r="P29" s="7">
        <v>59.708181257603783</v>
      </c>
      <c r="Q29" s="7">
        <v>0</v>
      </c>
      <c r="R29" s="7">
        <v>385.21407262970183</v>
      </c>
      <c r="S29" s="8">
        <f t="shared" si="2"/>
        <v>405.48849750494929</v>
      </c>
      <c r="T29" s="6">
        <v>9.3272667436431242E-2</v>
      </c>
      <c r="U29" s="8">
        <v>0.2782343236268992</v>
      </c>
    </row>
    <row r="30" spans="1:21" x14ac:dyDescent="0.25">
      <c r="L30" s="6">
        <v>26</v>
      </c>
      <c r="M30" s="24">
        <f t="shared" si="0"/>
        <v>7.2222222222222223</v>
      </c>
      <c r="N30" s="20">
        <f t="shared" si="1"/>
        <v>14.038807150634025</v>
      </c>
      <c r="O30" s="7">
        <v>338.52612702698201</v>
      </c>
      <c r="P30" s="7">
        <v>62.096508507907934</v>
      </c>
      <c r="Q30" s="7">
        <v>0</v>
      </c>
      <c r="R30" s="7">
        <v>400.62263553488992</v>
      </c>
      <c r="S30" s="8">
        <f t="shared" si="2"/>
        <v>421.70803740514731</v>
      </c>
      <c r="T30" s="6">
        <v>9.2113947490585962E-2</v>
      </c>
      <c r="U30" s="8">
        <v>0.27580773066860426</v>
      </c>
    </row>
    <row r="31" spans="1:21" x14ac:dyDescent="0.25">
      <c r="L31" s="6">
        <v>27</v>
      </c>
      <c r="M31" s="24">
        <f t="shared" si="0"/>
        <v>7.5</v>
      </c>
      <c r="N31" s="20">
        <f t="shared" si="1"/>
        <v>14.578761271812256</v>
      </c>
      <c r="O31" s="7">
        <v>351.5463626818659</v>
      </c>
      <c r="P31" s="7">
        <v>64.484835758212085</v>
      </c>
      <c r="Q31" s="7">
        <v>0</v>
      </c>
      <c r="R31" s="7">
        <v>416.03119844007801</v>
      </c>
      <c r="S31" s="8">
        <f t="shared" si="2"/>
        <v>437.92757730534532</v>
      </c>
      <c r="T31" s="6">
        <v>9.0260874525277812E-2</v>
      </c>
      <c r="U31" s="8">
        <v>0.27217861579928021</v>
      </c>
    </row>
    <row r="32" spans="1:21" x14ac:dyDescent="0.25">
      <c r="L32" s="6">
        <v>28</v>
      </c>
      <c r="M32" s="24">
        <f t="shared" si="0"/>
        <v>7.7777777777777777</v>
      </c>
      <c r="N32" s="20">
        <f t="shared" si="1"/>
        <v>15.118715392990488</v>
      </c>
      <c r="O32" s="7">
        <v>364.56659833674985</v>
      </c>
      <c r="P32" s="7">
        <v>66.873163008516244</v>
      </c>
      <c r="Q32" s="7">
        <v>0</v>
      </c>
      <c r="R32" s="7">
        <v>431.43976134526611</v>
      </c>
      <c r="S32" s="8">
        <f t="shared" si="2"/>
        <v>454.14711720554328</v>
      </c>
      <c r="T32" s="6">
        <v>8.8494461513963368E-2</v>
      </c>
      <c r="U32" s="8">
        <v>0.26868965944647322</v>
      </c>
    </row>
    <row r="33" spans="12:21" x14ac:dyDescent="0.25">
      <c r="L33" s="6">
        <v>29</v>
      </c>
      <c r="M33" s="24">
        <f t="shared" si="0"/>
        <v>8.0555555555555554</v>
      </c>
      <c r="N33" s="20">
        <f t="shared" si="1"/>
        <v>15.65866951416872</v>
      </c>
      <c r="O33" s="7">
        <v>377.58683399163374</v>
      </c>
      <c r="P33" s="7">
        <v>69.261490258820388</v>
      </c>
      <c r="Q33" s="7">
        <v>0</v>
      </c>
      <c r="R33" s="7">
        <v>446.84832425045414</v>
      </c>
      <c r="S33" s="8">
        <f t="shared" si="2"/>
        <v>470.36665710574124</v>
      </c>
      <c r="T33" s="6">
        <v>8.6807587169171432E-2</v>
      </c>
      <c r="U33" s="8">
        <v>0.26533289592533083</v>
      </c>
    </row>
    <row r="34" spans="12:21" x14ac:dyDescent="0.25">
      <c r="L34" s="11">
        <v>30</v>
      </c>
      <c r="M34" s="25">
        <f t="shared" si="0"/>
        <v>8.3333333333333339</v>
      </c>
      <c r="N34" s="26">
        <f t="shared" si="1"/>
        <v>16.198623635346955</v>
      </c>
      <c r="O34" s="14">
        <v>390.60706964651774</v>
      </c>
      <c r="P34" s="14">
        <v>71.649817509124546</v>
      </c>
      <c r="Q34" s="14">
        <v>0</v>
      </c>
      <c r="R34" s="14">
        <v>462.25688715564229</v>
      </c>
      <c r="S34" s="13">
        <f t="shared" si="2"/>
        <v>486.58619700593925</v>
      </c>
      <c r="T34" s="11">
        <v>8.5193994046763435E-2</v>
      </c>
      <c r="U34" s="13">
        <v>0.26210095195089195</v>
      </c>
    </row>
  </sheetData>
  <mergeCells count="5">
    <mergeCell ref="A1:C1"/>
    <mergeCell ref="E1:G1"/>
    <mergeCell ref="L1:S1"/>
    <mergeCell ref="T1:U1"/>
    <mergeCell ref="A17:C17"/>
  </mergeCells>
  <pageMargins left="0.7" right="0.7" top="0.75" bottom="0.75" header="0.3" footer="0.3"/>
  <pageSetup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E59F1-4F15-4BEC-9ECD-79F2963340FA}">
  <sheetPr codeName="Blad2"/>
  <dimension ref="A1:V34"/>
  <sheetViews>
    <sheetView zoomScale="130" zoomScaleNormal="130" workbookViewId="0">
      <selection activeCell="F23" sqref="F23"/>
    </sheetView>
  </sheetViews>
  <sheetFormatPr defaultRowHeight="15" x14ac:dyDescent="0.25"/>
  <cols>
    <col min="1" max="1" width="26.28515625" customWidth="1"/>
    <col min="2" max="2" width="19.7109375" customWidth="1"/>
    <col min="5" max="5" width="19.5703125" customWidth="1"/>
    <col min="6" max="6" width="12.5703125" customWidth="1"/>
    <col min="7" max="7" width="12.85546875" customWidth="1"/>
    <col min="9" max="9" width="9.140625" customWidth="1"/>
    <col min="11" max="11" width="10.85546875" customWidth="1"/>
    <col min="19" max="19" width="11.140625" customWidth="1"/>
    <col min="22" max="22" width="18.28515625" customWidth="1"/>
    <col min="23" max="23" width="13.5703125" customWidth="1"/>
  </cols>
  <sheetData>
    <row r="1" spans="1:22" x14ac:dyDescent="0.25">
      <c r="A1" s="46" t="s">
        <v>13</v>
      </c>
      <c r="B1" s="46"/>
      <c r="C1" s="46"/>
      <c r="E1" s="47" t="s">
        <v>19</v>
      </c>
      <c r="F1" s="47"/>
      <c r="G1" s="47"/>
      <c r="L1" s="48" t="s">
        <v>73</v>
      </c>
      <c r="M1" s="48"/>
      <c r="N1" s="48"/>
      <c r="O1" s="48"/>
      <c r="P1" s="48"/>
      <c r="Q1" s="48"/>
      <c r="R1" s="48"/>
      <c r="S1" s="48"/>
      <c r="T1" s="48" t="s">
        <v>77</v>
      </c>
      <c r="U1" s="48"/>
      <c r="V1" s="43" t="s">
        <v>86</v>
      </c>
    </row>
    <row r="2" spans="1:22" x14ac:dyDescent="0.25">
      <c r="A2" s="3" t="s">
        <v>3</v>
      </c>
      <c r="B2" s="4"/>
      <c r="C2" s="5"/>
      <c r="E2" s="3" t="s">
        <v>20</v>
      </c>
      <c r="F2" s="4"/>
      <c r="G2" s="5"/>
      <c r="L2" s="23" t="s">
        <v>65</v>
      </c>
      <c r="M2" s="4"/>
      <c r="N2" s="5"/>
      <c r="O2" s="4" t="s">
        <v>60</v>
      </c>
      <c r="P2" s="4" t="s">
        <v>61</v>
      </c>
      <c r="Q2" s="4" t="s">
        <v>62</v>
      </c>
      <c r="R2" s="4" t="s">
        <v>63</v>
      </c>
      <c r="S2" s="5" t="s">
        <v>72</v>
      </c>
      <c r="T2" s="23" t="s">
        <v>6</v>
      </c>
      <c r="U2" s="5" t="s">
        <v>76</v>
      </c>
      <c r="V2" s="39" t="s">
        <v>84</v>
      </c>
    </row>
    <row r="3" spans="1:22" s="28" customFormat="1" ht="15" customHeight="1" x14ac:dyDescent="0.25">
      <c r="A3" s="6" t="s">
        <v>31</v>
      </c>
      <c r="B3" s="7" t="s">
        <v>66</v>
      </c>
      <c r="C3" s="33">
        <v>3.33</v>
      </c>
      <c r="E3" s="29" t="s">
        <v>23</v>
      </c>
      <c r="F3" s="35" t="s">
        <v>24</v>
      </c>
      <c r="G3" s="33">
        <f ca="1">_xlfn.FORECAST.LINEAR($C3,OFFSET($S$4:$S$34,MATCH($C3,$M$4:$M$34,1)-1,0,2),OFFSET($M$4:$M$34,MATCH($C3,$M$4:$M$34,1)-1,0,2))</f>
        <v>119.55142147696165</v>
      </c>
      <c r="H3" s="27"/>
      <c r="L3" s="36" t="s">
        <v>57</v>
      </c>
      <c r="M3" s="37" t="s">
        <v>58</v>
      </c>
      <c r="N3" s="38" t="s">
        <v>59</v>
      </c>
      <c r="O3" s="32" t="s">
        <v>64</v>
      </c>
      <c r="P3" s="32" t="s">
        <v>64</v>
      </c>
      <c r="Q3" s="32" t="s">
        <v>64</v>
      </c>
      <c r="R3" s="32" t="s">
        <v>64</v>
      </c>
      <c r="S3" s="33" t="s">
        <v>64</v>
      </c>
      <c r="T3" s="36"/>
      <c r="U3" s="38"/>
      <c r="V3" s="44" t="s">
        <v>85</v>
      </c>
    </row>
    <row r="4" spans="1:22" x14ac:dyDescent="0.25">
      <c r="A4" s="29" t="s">
        <v>2</v>
      </c>
      <c r="B4" s="32" t="s">
        <v>0</v>
      </c>
      <c r="C4" s="33">
        <v>0.48</v>
      </c>
      <c r="E4" s="6" t="s">
        <v>79</v>
      </c>
      <c r="F4" s="7" t="s">
        <v>78</v>
      </c>
      <c r="G4" s="8">
        <f>(1-C8)*C3</f>
        <v>3.2633999999999999</v>
      </c>
      <c r="L4" s="6">
        <v>0</v>
      </c>
      <c r="M4" s="24">
        <f>L4/3.6</f>
        <v>0</v>
      </c>
      <c r="N4" s="20">
        <f>M4/0.514447</f>
        <v>0</v>
      </c>
      <c r="O4" s="23">
        <v>0</v>
      </c>
      <c r="P4" s="4">
        <v>0</v>
      </c>
      <c r="Q4" s="4">
        <v>0</v>
      </c>
      <c r="R4" s="4">
        <v>0</v>
      </c>
      <c r="S4" s="5">
        <f t="shared" ref="S4:S34" si="0">R4/(1-$C$7)</f>
        <v>0</v>
      </c>
      <c r="T4" s="6">
        <v>0</v>
      </c>
      <c r="U4" s="8">
        <v>0</v>
      </c>
      <c r="V4" s="41"/>
    </row>
    <row r="5" spans="1:22" x14ac:dyDescent="0.25">
      <c r="A5" s="6" t="s">
        <v>4</v>
      </c>
      <c r="B5" s="7" t="s">
        <v>6</v>
      </c>
      <c r="C5" s="8">
        <v>9.4299999999999995E-2</v>
      </c>
      <c r="E5" s="6" t="s">
        <v>1</v>
      </c>
      <c r="F5" s="15" t="s">
        <v>29</v>
      </c>
      <c r="G5" s="8">
        <f ca="1">G3*C3</f>
        <v>398.10623351828229</v>
      </c>
      <c r="L5" s="6">
        <v>1</v>
      </c>
      <c r="M5" s="24">
        <f t="shared" ref="M5:M34" si="1">L5/3.6</f>
        <v>0.27777777777777779</v>
      </c>
      <c r="N5" s="20">
        <f t="shared" ref="N5:N34" si="2">M5/0.514447</f>
        <v>0.53995412117823172</v>
      </c>
      <c r="O5" s="7">
        <v>8.5099158653846168</v>
      </c>
      <c r="P5" s="7">
        <v>0.94554620726495753</v>
      </c>
      <c r="Q5" s="7">
        <v>0</v>
      </c>
      <c r="R5" s="7">
        <v>9.4554620726495742</v>
      </c>
      <c r="S5" s="8">
        <f t="shared" si="0"/>
        <v>9.9531179712100784</v>
      </c>
      <c r="T5" s="6">
        <v>0.12197493850821679</v>
      </c>
      <c r="U5" s="8">
        <v>0.25348708205744697</v>
      </c>
      <c r="V5" s="41">
        <v>0.35531033843552429</v>
      </c>
    </row>
    <row r="6" spans="1:22" x14ac:dyDescent="0.25">
      <c r="A6" s="6" t="s">
        <v>5</v>
      </c>
      <c r="B6" s="7" t="s">
        <v>7</v>
      </c>
      <c r="C6" s="8">
        <v>2.76E-2</v>
      </c>
      <c r="E6" s="6" t="s">
        <v>69</v>
      </c>
      <c r="F6" s="16" t="s">
        <v>81</v>
      </c>
      <c r="G6" s="33">
        <f ca="1">_xlfn.FORECAST.LINEAR($C3,OFFSET($V$4:$V$34,MATCH($C3,$M$4:$M$34,1)-1,0,2),OFFSET($M$4:$M$34,MATCH($C3,$M$4:$M$34,1)-1,0,2))</f>
        <v>0.76642590259291876</v>
      </c>
      <c r="L6" s="6">
        <v>2</v>
      </c>
      <c r="M6" s="24">
        <f t="shared" si="1"/>
        <v>0.55555555555555558</v>
      </c>
      <c r="N6" s="20">
        <f t="shared" si="2"/>
        <v>1.0799082423564634</v>
      </c>
      <c r="O6" s="7">
        <v>17.019831730769234</v>
      </c>
      <c r="P6" s="7">
        <v>1.8910924145299151</v>
      </c>
      <c r="Q6" s="7">
        <v>0</v>
      </c>
      <c r="R6" s="7">
        <v>18.910924145299148</v>
      </c>
      <c r="S6" s="8">
        <f t="shared" si="0"/>
        <v>19.906235942420157</v>
      </c>
      <c r="T6" s="6">
        <v>0.11573019122994635</v>
      </c>
      <c r="U6" s="8">
        <v>0.25656778551863041</v>
      </c>
      <c r="V6" s="41">
        <v>0.45881820648740773</v>
      </c>
    </row>
    <row r="7" spans="1:22" x14ac:dyDescent="0.25">
      <c r="A7" s="6" t="s">
        <v>71</v>
      </c>
      <c r="B7" s="15" t="s">
        <v>70</v>
      </c>
      <c r="C7" s="8">
        <v>0.05</v>
      </c>
      <c r="E7" s="6" t="s">
        <v>67</v>
      </c>
      <c r="F7" s="15" t="s">
        <v>68</v>
      </c>
      <c r="G7" s="8">
        <f ca="1">G5/G6</f>
        <v>519.43212275503345</v>
      </c>
      <c r="H7" t="s">
        <v>87</v>
      </c>
      <c r="L7" s="6">
        <v>3</v>
      </c>
      <c r="M7" s="24">
        <f t="shared" si="1"/>
        <v>0.83333333333333326</v>
      </c>
      <c r="N7" s="20">
        <f t="shared" si="2"/>
        <v>1.6198623635346951</v>
      </c>
      <c r="O7" s="7">
        <v>25.529747596153847</v>
      </c>
      <c r="P7" s="7">
        <v>2.8366386217948723</v>
      </c>
      <c r="Q7" s="7">
        <v>0</v>
      </c>
      <c r="R7" s="7">
        <v>28.366386217948719</v>
      </c>
      <c r="S7" s="8">
        <f>R7/(1-$C$7)</f>
        <v>29.859353913630233</v>
      </c>
      <c r="T7" s="6">
        <v>0.11486009108094332</v>
      </c>
      <c r="U7" s="8">
        <v>0.26174298890438596</v>
      </c>
      <c r="V7" s="41">
        <v>0.54462436822455806</v>
      </c>
    </row>
    <row r="8" spans="1:22" x14ac:dyDescent="0.25">
      <c r="A8" s="34" t="s">
        <v>74</v>
      </c>
      <c r="B8" s="15" t="s">
        <v>75</v>
      </c>
      <c r="C8" s="8">
        <v>0.02</v>
      </c>
      <c r="E8" s="6"/>
      <c r="F8" s="7"/>
      <c r="G8" s="8"/>
      <c r="L8" s="6">
        <v>4</v>
      </c>
      <c r="M8" s="24">
        <f t="shared" si="1"/>
        <v>1.1111111111111112</v>
      </c>
      <c r="N8" s="20">
        <f t="shared" si="2"/>
        <v>2.1598164847129269</v>
      </c>
      <c r="O8" s="7">
        <v>34.039663461538467</v>
      </c>
      <c r="P8" s="7">
        <v>3.7821848290598301</v>
      </c>
      <c r="Q8" s="7">
        <v>0</v>
      </c>
      <c r="R8" s="7">
        <v>37.821848290598297</v>
      </c>
      <c r="S8" s="8">
        <f t="shared" si="0"/>
        <v>39.812471884840313</v>
      </c>
      <c r="T8" s="6">
        <v>0.10955907374156375</v>
      </c>
      <c r="U8" s="8">
        <v>0.26442860583748362</v>
      </c>
      <c r="V8" s="41">
        <v>0.57989832318998802</v>
      </c>
    </row>
    <row r="9" spans="1:22" x14ac:dyDescent="0.25">
      <c r="C9" s="8"/>
      <c r="E9" s="9" t="s">
        <v>21</v>
      </c>
      <c r="F9" s="7"/>
      <c r="G9" s="8"/>
      <c r="L9" s="6">
        <v>5</v>
      </c>
      <c r="M9" s="24">
        <f t="shared" si="1"/>
        <v>1.3888888888888888</v>
      </c>
      <c r="N9" s="20">
        <f t="shared" si="2"/>
        <v>2.6997706058911586</v>
      </c>
      <c r="O9" s="7">
        <v>42.54957932692308</v>
      </c>
      <c r="P9" s="7">
        <v>4.7277310363247871</v>
      </c>
      <c r="Q9" s="7">
        <v>0</v>
      </c>
      <c r="R9" s="7">
        <v>47.277310363247864</v>
      </c>
      <c r="S9" s="8">
        <f t="shared" si="0"/>
        <v>49.765589856050383</v>
      </c>
      <c r="T9" s="6">
        <v>0.10603954705720303</v>
      </c>
      <c r="U9" s="8">
        <v>0.2667264579858083</v>
      </c>
      <c r="V9" s="41">
        <v>0.61203810966426775</v>
      </c>
    </row>
    <row r="10" spans="1:22" x14ac:dyDescent="0.25">
      <c r="A10" s="9" t="s">
        <v>8</v>
      </c>
      <c r="B10" s="7"/>
      <c r="C10" s="8"/>
      <c r="E10" s="6" t="s">
        <v>88</v>
      </c>
      <c r="F10" s="10" t="s">
        <v>55</v>
      </c>
      <c r="G10" s="8">
        <f ca="1">((G7*60^3)/(2*PI()*C11*C6*C4^5))^(1/3)</f>
        <v>295.10517428235943</v>
      </c>
      <c r="L10" s="6">
        <v>6</v>
      </c>
      <c r="M10" s="24">
        <f t="shared" si="1"/>
        <v>1.6666666666666665</v>
      </c>
      <c r="N10" s="20">
        <f t="shared" si="2"/>
        <v>3.2397247270693903</v>
      </c>
      <c r="O10" s="7">
        <v>51.059495192307693</v>
      </c>
      <c r="P10" s="7">
        <v>5.6732772435897445</v>
      </c>
      <c r="Q10" s="7">
        <v>0</v>
      </c>
      <c r="R10" s="7">
        <v>56.732772435897438</v>
      </c>
      <c r="S10" s="8">
        <f t="shared" si="0"/>
        <v>59.718707827260467</v>
      </c>
      <c r="T10" s="6">
        <v>0.10462970109032654</v>
      </c>
      <c r="U10" s="8">
        <v>0.2689818106665709</v>
      </c>
      <c r="V10" s="41">
        <v>0.65161782225378939</v>
      </c>
    </row>
    <row r="11" spans="1:22" x14ac:dyDescent="0.25">
      <c r="A11" s="6" t="s">
        <v>9</v>
      </c>
      <c r="B11" s="10" t="s">
        <v>10</v>
      </c>
      <c r="C11" s="8">
        <v>988</v>
      </c>
      <c r="E11" s="11" t="s">
        <v>22</v>
      </c>
      <c r="F11" s="14" t="s">
        <v>27</v>
      </c>
      <c r="G11" s="13">
        <f ca="1">C11*(G10/60)^2*C4^5*C6</f>
        <v>16.808283379961374</v>
      </c>
      <c r="H11" t="s">
        <v>89</v>
      </c>
      <c r="L11" s="6">
        <v>7</v>
      </c>
      <c r="M11" s="24">
        <f t="shared" si="1"/>
        <v>1.9444444444444444</v>
      </c>
      <c r="N11" s="20">
        <f t="shared" si="2"/>
        <v>3.779678848247622</v>
      </c>
      <c r="O11" s="7">
        <v>59.569411057692307</v>
      </c>
      <c r="P11" s="7">
        <v>6.6188234508547019</v>
      </c>
      <c r="Q11" s="7">
        <v>0</v>
      </c>
      <c r="R11" s="7">
        <v>66.188234508547012</v>
      </c>
      <c r="S11" s="8">
        <f t="shared" si="0"/>
        <v>69.671825798470536</v>
      </c>
      <c r="T11" s="6">
        <v>0.10288528337949028</v>
      </c>
      <c r="U11" s="8">
        <v>0.27110050874042568</v>
      </c>
      <c r="V11" s="41">
        <v>0.68093606909669868</v>
      </c>
    </row>
    <row r="12" spans="1:22" x14ac:dyDescent="0.25">
      <c r="A12" s="6" t="s">
        <v>11</v>
      </c>
      <c r="B12" s="10" t="s">
        <v>12</v>
      </c>
      <c r="C12" s="8">
        <f>(C4/2)^2*PI()</f>
        <v>0.18095573684677208</v>
      </c>
      <c r="L12" s="6">
        <v>8</v>
      </c>
      <c r="M12" s="24">
        <f t="shared" si="1"/>
        <v>2.2222222222222223</v>
      </c>
      <c r="N12" s="20">
        <f t="shared" si="2"/>
        <v>4.3196329694258537</v>
      </c>
      <c r="O12" s="7">
        <v>68.079326923076934</v>
      </c>
      <c r="P12" s="7">
        <v>7.5643696581196602</v>
      </c>
      <c r="Q12" s="7">
        <v>0</v>
      </c>
      <c r="R12" s="7">
        <v>75.643696581196593</v>
      </c>
      <c r="S12" s="8">
        <f>R12/(1-$C$7)</f>
        <v>79.624943769680627</v>
      </c>
      <c r="T12" s="6">
        <v>0.10106039046741229</v>
      </c>
      <c r="U12" s="8">
        <v>0.27302523765868286</v>
      </c>
      <c r="V12" s="41">
        <v>0.70367386652923714</v>
      </c>
    </row>
    <row r="13" spans="1:22" x14ac:dyDescent="0.25">
      <c r="A13" s="6"/>
      <c r="B13" s="7"/>
      <c r="C13" s="8"/>
      <c r="E13" s="7"/>
      <c r="F13" s="16"/>
      <c r="G13" s="45"/>
      <c r="H13" s="7"/>
      <c r="L13" s="6">
        <v>9</v>
      </c>
      <c r="M13" s="24">
        <f t="shared" si="1"/>
        <v>2.5</v>
      </c>
      <c r="N13" s="20">
        <f t="shared" si="2"/>
        <v>4.8595870906040854</v>
      </c>
      <c r="O13" s="7">
        <v>76.589242788461547</v>
      </c>
      <c r="P13" s="7">
        <v>8.5099158653846168</v>
      </c>
      <c r="Q13" s="7">
        <v>0</v>
      </c>
      <c r="R13" s="7">
        <v>85.09915865384616</v>
      </c>
      <c r="S13" s="8">
        <f t="shared" si="0"/>
        <v>89.578061740890703</v>
      </c>
      <c r="T13" s="6">
        <v>9.9600872277080421E-2</v>
      </c>
      <c r="U13" s="8">
        <v>0.27484840610586181</v>
      </c>
      <c r="V13" s="41">
        <v>0.72540494115043341</v>
      </c>
    </row>
    <row r="14" spans="1:22" x14ac:dyDescent="0.25">
      <c r="A14" s="9" t="s">
        <v>14</v>
      </c>
      <c r="B14" s="7"/>
      <c r="C14" s="8"/>
      <c r="E14" s="7"/>
      <c r="F14" s="7"/>
      <c r="G14" s="7"/>
      <c r="H14" s="7"/>
      <c r="L14" s="6">
        <v>10</v>
      </c>
      <c r="M14" s="24">
        <f t="shared" si="1"/>
        <v>2.7777777777777777</v>
      </c>
      <c r="N14" s="20">
        <f t="shared" si="2"/>
        <v>5.3995412117823172</v>
      </c>
      <c r="O14" s="7">
        <v>85.09915865384616</v>
      </c>
      <c r="P14" s="7">
        <v>9.4554620726495742</v>
      </c>
      <c r="Q14" s="7">
        <v>0</v>
      </c>
      <c r="R14" s="7">
        <v>94.554620726495727</v>
      </c>
      <c r="S14" s="8">
        <f t="shared" si="0"/>
        <v>99.531179712100766</v>
      </c>
      <c r="T14" s="6">
        <v>9.7639802229593481E-2</v>
      </c>
      <c r="U14" s="8">
        <v>0.27562070568988778</v>
      </c>
      <c r="V14" s="41">
        <v>0.74009293940441612</v>
      </c>
    </row>
    <row r="15" spans="1:22" x14ac:dyDescent="0.25">
      <c r="A15" s="6" t="s">
        <v>15</v>
      </c>
      <c r="B15" s="10" t="s">
        <v>54</v>
      </c>
      <c r="C15" s="8">
        <v>300</v>
      </c>
      <c r="E15" s="7"/>
      <c r="F15" s="7"/>
      <c r="G15" s="7"/>
      <c r="H15" s="7"/>
      <c r="L15" s="6">
        <v>11</v>
      </c>
      <c r="M15" s="24">
        <f t="shared" si="1"/>
        <v>3.0555555555555554</v>
      </c>
      <c r="N15" s="20">
        <f t="shared" si="2"/>
        <v>5.9394953329605489</v>
      </c>
      <c r="O15" s="7">
        <v>93.609074519230774</v>
      </c>
      <c r="P15" s="7">
        <v>10.401008279914532</v>
      </c>
      <c r="Q15" s="7">
        <v>0</v>
      </c>
      <c r="R15" s="7">
        <v>104.01008279914531</v>
      </c>
      <c r="S15" s="8">
        <f t="shared" si="0"/>
        <v>109.48429768331086</v>
      </c>
      <c r="T15" s="6">
        <v>9.5986212858409678E-2</v>
      </c>
      <c r="U15" s="8">
        <v>0.27627522601374843</v>
      </c>
      <c r="V15" s="41">
        <v>0.7547888044325396</v>
      </c>
    </row>
    <row r="16" spans="1:22" x14ac:dyDescent="0.25">
      <c r="A16" s="11" t="s">
        <v>16</v>
      </c>
      <c r="B16" s="12" t="s">
        <v>18</v>
      </c>
      <c r="C16" s="13">
        <v>1</v>
      </c>
      <c r="E16" s="7"/>
      <c r="F16" s="7"/>
      <c r="G16" s="7"/>
      <c r="H16" s="7"/>
      <c r="L16" s="6">
        <v>12</v>
      </c>
      <c r="M16" s="24">
        <f t="shared" si="1"/>
        <v>3.333333333333333</v>
      </c>
      <c r="N16" s="20">
        <f t="shared" si="2"/>
        <v>6.4794494541387806</v>
      </c>
      <c r="O16" s="7">
        <v>102.30434666666666</v>
      </c>
      <c r="P16" s="7">
        <v>11.385662857142858</v>
      </c>
      <c r="Q16" s="7">
        <v>0</v>
      </c>
      <c r="R16" s="7">
        <v>113.69000952380952</v>
      </c>
      <c r="S16" s="8">
        <f t="shared" si="0"/>
        <v>119.67369423558898</v>
      </c>
      <c r="T16" s="6">
        <v>9.425662134153609E-2</v>
      </c>
      <c r="U16" s="8">
        <v>0.27620833677444889</v>
      </c>
      <c r="V16" s="41">
        <v>0.76656724386612174</v>
      </c>
    </row>
    <row r="17" spans="5:22" x14ac:dyDescent="0.25">
      <c r="E17" s="7"/>
      <c r="F17" s="7"/>
      <c r="G17" s="7"/>
      <c r="H17" s="7"/>
      <c r="L17" s="6">
        <v>13</v>
      </c>
      <c r="M17" s="24">
        <f t="shared" si="1"/>
        <v>3.6111111111111112</v>
      </c>
      <c r="N17" s="20">
        <f t="shared" si="2"/>
        <v>7.0194035753170123</v>
      </c>
      <c r="O17" s="7">
        <v>120.46823555555558</v>
      </c>
      <c r="P17" s="7">
        <v>14.368103333333327</v>
      </c>
      <c r="Q17" s="7">
        <v>0</v>
      </c>
      <c r="R17" s="7">
        <v>134.83633888888892</v>
      </c>
      <c r="S17" s="8">
        <f t="shared" si="0"/>
        <v>141.93298830409361</v>
      </c>
      <c r="T17" s="6">
        <v>9.4475393754080622E-2</v>
      </c>
      <c r="U17" s="8">
        <v>0.27623866638734995</v>
      </c>
      <c r="V17" s="41">
        <v>0.76512539517695732</v>
      </c>
    </row>
    <row r="18" spans="5:22" ht="15" customHeight="1" x14ac:dyDescent="0.25">
      <c r="E18" s="7"/>
      <c r="F18" s="7"/>
      <c r="G18" s="7"/>
      <c r="H18" s="7"/>
      <c r="L18" s="6">
        <v>14</v>
      </c>
      <c r="M18" s="24">
        <f t="shared" si="1"/>
        <v>3.8888888888888888</v>
      </c>
      <c r="N18" s="20">
        <f t="shared" si="2"/>
        <v>7.559357696495244</v>
      </c>
      <c r="O18" s="7">
        <v>138.62347138387486</v>
      </c>
      <c r="P18" s="7">
        <v>17.350241813076593</v>
      </c>
      <c r="Q18" s="7">
        <v>0</v>
      </c>
      <c r="R18" s="7">
        <v>155.97371319695145</v>
      </c>
      <c r="S18" s="8">
        <f t="shared" si="0"/>
        <v>164.18285599679101</v>
      </c>
      <c r="T18" s="6">
        <v>9.4421237313690731E-2</v>
      </c>
      <c r="U18" s="8">
        <v>0.27623120231444154</v>
      </c>
      <c r="V18" s="41">
        <v>0.76547898139789461</v>
      </c>
    </row>
    <row r="19" spans="5:22" s="28" customFormat="1" ht="15" customHeight="1" x14ac:dyDescent="0.25">
      <c r="H19" s="27"/>
      <c r="L19" s="29">
        <v>15</v>
      </c>
      <c r="M19" s="30">
        <f t="shared" si="1"/>
        <v>4.166666666666667</v>
      </c>
      <c r="N19" s="31">
        <f t="shared" si="2"/>
        <v>8.0993118176734775</v>
      </c>
      <c r="O19" s="32">
        <v>154.08327884476535</v>
      </c>
      <c r="P19" s="32">
        <v>20.238308399518644</v>
      </c>
      <c r="Q19" s="32">
        <v>0</v>
      </c>
      <c r="R19" s="32">
        <v>174.32158724428399</v>
      </c>
      <c r="S19" s="33">
        <f t="shared" si="0"/>
        <v>183.49640762556211</v>
      </c>
      <c r="T19" s="29">
        <v>9.3868789507475764E-2</v>
      </c>
      <c r="U19" s="33">
        <v>0.27615339501313735</v>
      </c>
      <c r="V19" s="40">
        <v>0.76921236310087482</v>
      </c>
    </row>
    <row r="20" spans="5:22" ht="15" customHeight="1" x14ac:dyDescent="0.25">
      <c r="L20" s="6">
        <v>16</v>
      </c>
      <c r="M20" s="24">
        <f t="shared" si="1"/>
        <v>4.4444444444444446</v>
      </c>
      <c r="N20" s="20">
        <f t="shared" si="2"/>
        <v>8.6392659388517075</v>
      </c>
      <c r="O20" s="7">
        <v>169.54745271291398</v>
      </c>
      <c r="P20" s="7">
        <v>23.128041310209682</v>
      </c>
      <c r="Q20" s="7">
        <v>0</v>
      </c>
      <c r="R20" s="7">
        <v>192.67549402312366</v>
      </c>
      <c r="S20" s="8">
        <f t="shared" si="0"/>
        <v>202.81630949802491</v>
      </c>
      <c r="T20" s="6">
        <v>9.3285347987811754E-2</v>
      </c>
      <c r="U20" s="8">
        <v>0.27606783573720206</v>
      </c>
      <c r="V20" s="41">
        <v>0.77341079337389007</v>
      </c>
    </row>
    <row r="21" spans="5:22" ht="15" customHeight="1" x14ac:dyDescent="0.25">
      <c r="H21" s="21"/>
      <c r="L21" s="6">
        <v>17</v>
      </c>
      <c r="M21" s="24">
        <f t="shared" si="1"/>
        <v>4.7222222222222223</v>
      </c>
      <c r="N21" s="20">
        <f t="shared" si="2"/>
        <v>9.1792200600299392</v>
      </c>
      <c r="O21" s="7">
        <v>185.50344281677442</v>
      </c>
      <c r="P21" s="7">
        <v>26.205462924946108</v>
      </c>
      <c r="Q21" s="7">
        <v>0</v>
      </c>
      <c r="R21" s="7">
        <v>211.70890574172054</v>
      </c>
      <c r="S21" s="8">
        <f t="shared" si="0"/>
        <v>222.85147972812689</v>
      </c>
      <c r="T21" s="6">
        <v>9.2753454968021648E-2</v>
      </c>
      <c r="U21" s="8">
        <v>0.27598669447607471</v>
      </c>
      <c r="V21" s="41">
        <v>0.77747332852597395</v>
      </c>
    </row>
    <row r="22" spans="5:22" x14ac:dyDescent="0.25">
      <c r="L22" s="6">
        <v>18</v>
      </c>
      <c r="M22" s="24">
        <f t="shared" si="1"/>
        <v>5</v>
      </c>
      <c r="N22" s="20">
        <f t="shared" si="2"/>
        <v>9.7191741812081709</v>
      </c>
      <c r="O22" s="7">
        <v>201.4594329206349</v>
      </c>
      <c r="P22" s="7">
        <v>29.282884539682534</v>
      </c>
      <c r="Q22" s="7">
        <v>0</v>
      </c>
      <c r="R22" s="7">
        <v>230.74231746031742</v>
      </c>
      <c r="S22" s="8">
        <f t="shared" si="0"/>
        <v>242.88664995822887</v>
      </c>
      <c r="T22" s="6">
        <v>9.2210614342932429E-2</v>
      </c>
      <c r="U22" s="8">
        <v>0.27590069448418736</v>
      </c>
      <c r="V22" s="41">
        <v>0.78185569295145174</v>
      </c>
    </row>
    <row r="23" spans="5:22" x14ac:dyDescent="0.25">
      <c r="L23" s="6">
        <v>19</v>
      </c>
      <c r="M23" s="24">
        <f t="shared" si="1"/>
        <v>5.2777777777777777</v>
      </c>
      <c r="N23" s="20">
        <f t="shared" si="2"/>
        <v>10.259128302386403</v>
      </c>
      <c r="O23" s="7">
        <v>218.4907821525735</v>
      </c>
      <c r="P23" s="7">
        <v>33.172797912785938</v>
      </c>
      <c r="Q23" s="7">
        <v>0</v>
      </c>
      <c r="R23" s="7">
        <v>251.66358006535944</v>
      </c>
      <c r="S23" s="8">
        <f t="shared" si="0"/>
        <v>264.90903164774681</v>
      </c>
      <c r="T23" s="6">
        <v>9.1808038478595325E-2</v>
      </c>
      <c r="U23" s="8">
        <v>0.27583478399514488</v>
      </c>
      <c r="V23" s="41">
        <v>0.78526201492067527</v>
      </c>
    </row>
    <row r="24" spans="5:22" x14ac:dyDescent="0.25">
      <c r="L24" s="6">
        <v>20</v>
      </c>
      <c r="M24" s="24">
        <f t="shared" si="1"/>
        <v>5.5555555555555554</v>
      </c>
      <c r="N24" s="20">
        <f t="shared" si="2"/>
        <v>10.799082423564634</v>
      </c>
      <c r="O24" s="7">
        <v>235.56883289520425</v>
      </c>
      <c r="P24" s="7">
        <v>37.099930475626593</v>
      </c>
      <c r="Q24" s="7">
        <v>0</v>
      </c>
      <c r="R24" s="7">
        <v>272.66876337083085</v>
      </c>
      <c r="S24" s="8">
        <f t="shared" si="0"/>
        <v>287.01975091666407</v>
      </c>
      <c r="T24" s="6">
        <v>9.1721887046806935E-2</v>
      </c>
      <c r="U24" s="8">
        <v>0.27602865193530651</v>
      </c>
      <c r="V24" s="41">
        <v>0.79244066158258353</v>
      </c>
    </row>
    <row r="25" spans="5:22" x14ac:dyDescent="0.25">
      <c r="L25" s="6">
        <v>21</v>
      </c>
      <c r="M25" s="24">
        <f t="shared" si="1"/>
        <v>5.833333333333333</v>
      </c>
      <c r="N25" s="20">
        <f t="shared" si="2"/>
        <v>11.339036544742866</v>
      </c>
      <c r="O25" s="7">
        <v>253.79849541740674</v>
      </c>
      <c r="P25" s="7">
        <v>42.105416956779159</v>
      </c>
      <c r="Q25" s="7">
        <v>0</v>
      </c>
      <c r="R25" s="7">
        <v>295.90391237418589</v>
      </c>
      <c r="S25" s="8">
        <f t="shared" si="0"/>
        <v>311.47780249914308</v>
      </c>
      <c r="T25" s="6">
        <v>9.1909897748632785E-2</v>
      </c>
      <c r="U25" s="8">
        <v>0.27635542043724765</v>
      </c>
      <c r="V25" s="41">
        <v>0.80023680419027088</v>
      </c>
    </row>
    <row r="26" spans="5:22" x14ac:dyDescent="0.25">
      <c r="L26" s="6">
        <v>22</v>
      </c>
      <c r="M26" s="24">
        <f t="shared" si="1"/>
        <v>6.1111111111111107</v>
      </c>
      <c r="N26" s="20">
        <f t="shared" si="2"/>
        <v>11.878990665921098</v>
      </c>
      <c r="O26" s="7">
        <v>272.02815793960923</v>
      </c>
      <c r="P26" s="7">
        <v>47.110903437931725</v>
      </c>
      <c r="Q26" s="7">
        <v>0</v>
      </c>
      <c r="R26" s="7">
        <v>319.13906137754094</v>
      </c>
      <c r="S26" s="8">
        <f t="shared" si="0"/>
        <v>335.93585408162204</v>
      </c>
      <c r="T26" s="6">
        <v>9.2140751921289107E-2</v>
      </c>
      <c r="U26" s="8">
        <v>0.27672420028044231</v>
      </c>
      <c r="V26" s="41">
        <v>0.80921202778352108</v>
      </c>
    </row>
    <row r="27" spans="5:22" x14ac:dyDescent="0.25">
      <c r="L27" s="6">
        <v>23</v>
      </c>
      <c r="M27" s="24">
        <f t="shared" si="1"/>
        <v>6.3888888888888884</v>
      </c>
      <c r="N27" s="20">
        <f t="shared" si="2"/>
        <v>12.418944787099329</v>
      </c>
      <c r="O27" s="7">
        <v>292.23486402097194</v>
      </c>
      <c r="P27" s="7">
        <v>52.212885122000401</v>
      </c>
      <c r="Q27" s="7">
        <v>0</v>
      </c>
      <c r="R27" s="7">
        <v>344.44774914297233</v>
      </c>
      <c r="S27" s="8">
        <f t="shared" si="0"/>
        <v>362.57657804523404</v>
      </c>
      <c r="T27" s="6">
        <v>9.2322729291580793E-2</v>
      </c>
      <c r="U27" s="8">
        <v>0.27699560942639057</v>
      </c>
      <c r="V27" s="41">
        <v>0.81593463892431783</v>
      </c>
    </row>
    <row r="28" spans="5:22" x14ac:dyDescent="0.25">
      <c r="L28" s="6">
        <v>24</v>
      </c>
      <c r="M28" s="24">
        <f t="shared" si="1"/>
        <v>6.6666666666666661</v>
      </c>
      <c r="N28" s="20">
        <f t="shared" si="2"/>
        <v>12.958898908277561</v>
      </c>
      <c r="O28" s="7">
        <v>312.47698944948576</v>
      </c>
      <c r="P28" s="7">
        <v>57.316595547489399</v>
      </c>
      <c r="Q28" s="7">
        <v>0</v>
      </c>
      <c r="R28" s="7">
        <v>369.79358499697514</v>
      </c>
      <c r="S28" s="8">
        <f t="shared" si="0"/>
        <v>389.25640525997386</v>
      </c>
      <c r="T28" s="6">
        <v>9.2542439395026876E-2</v>
      </c>
      <c r="U28" s="8">
        <v>0.27730543614061015</v>
      </c>
      <c r="V28" s="41">
        <v>0.82372781263899075</v>
      </c>
    </row>
    <row r="29" spans="5:22" x14ac:dyDescent="0.25">
      <c r="L29" s="6">
        <v>25</v>
      </c>
      <c r="M29" s="24">
        <f t="shared" si="1"/>
        <v>6.9444444444444446</v>
      </c>
      <c r="N29" s="20">
        <f t="shared" si="2"/>
        <v>13.498853029455795</v>
      </c>
      <c r="O29" s="7">
        <v>325.50589137209806</v>
      </c>
      <c r="P29" s="7">
        <v>59.708181257603783</v>
      </c>
      <c r="Q29" s="7">
        <v>0</v>
      </c>
      <c r="R29" s="7">
        <v>385.21407262970183</v>
      </c>
      <c r="S29" s="8">
        <f t="shared" si="0"/>
        <v>405.48849750494929</v>
      </c>
      <c r="T29" s="6">
        <v>9.3272667436431242E-2</v>
      </c>
      <c r="U29" s="8">
        <v>0.2782343236268992</v>
      </c>
      <c r="V29" s="41">
        <v>0.84783037263850769</v>
      </c>
    </row>
    <row r="30" spans="5:22" x14ac:dyDescent="0.25">
      <c r="L30" s="6">
        <v>26</v>
      </c>
      <c r="M30" s="24">
        <f t="shared" si="1"/>
        <v>7.2222222222222223</v>
      </c>
      <c r="N30" s="20">
        <f t="shared" si="2"/>
        <v>14.038807150634025</v>
      </c>
      <c r="O30" s="7">
        <v>338.52612702698201</v>
      </c>
      <c r="P30" s="7">
        <v>62.096508507907934</v>
      </c>
      <c r="Q30" s="7">
        <v>0</v>
      </c>
      <c r="R30" s="7">
        <v>400.62263553488992</v>
      </c>
      <c r="S30" s="8">
        <f t="shared" si="0"/>
        <v>421.70803740514731</v>
      </c>
      <c r="T30" s="6">
        <v>9.2113947490585962E-2</v>
      </c>
      <c r="U30" s="8">
        <v>0.27580773066860426</v>
      </c>
      <c r="V30" s="41">
        <v>0.8560249157910006</v>
      </c>
    </row>
    <row r="31" spans="5:22" x14ac:dyDescent="0.25">
      <c r="L31" s="6">
        <v>27</v>
      </c>
      <c r="M31" s="24">
        <f t="shared" si="1"/>
        <v>7.5</v>
      </c>
      <c r="N31" s="20">
        <f t="shared" si="2"/>
        <v>14.578761271812256</v>
      </c>
      <c r="O31" s="7">
        <v>351.5463626818659</v>
      </c>
      <c r="P31" s="7">
        <v>64.484835758212085</v>
      </c>
      <c r="Q31" s="7">
        <v>0</v>
      </c>
      <c r="R31" s="7">
        <v>416.03119844007801</v>
      </c>
      <c r="S31" s="8">
        <f t="shared" si="0"/>
        <v>437.92757730534532</v>
      </c>
      <c r="T31" s="6">
        <v>9.0260874525277812E-2</v>
      </c>
      <c r="U31" s="8">
        <v>0.27217861579928021</v>
      </c>
      <c r="V31" s="41">
        <v>0.85742326214056053</v>
      </c>
    </row>
    <row r="32" spans="5:22" x14ac:dyDescent="0.25">
      <c r="L32" s="6">
        <v>28</v>
      </c>
      <c r="M32" s="24">
        <f t="shared" si="1"/>
        <v>7.7777777777777777</v>
      </c>
      <c r="N32" s="20">
        <f t="shared" si="2"/>
        <v>15.118715392990488</v>
      </c>
      <c r="O32" s="7">
        <v>364.56659833674985</v>
      </c>
      <c r="P32" s="7">
        <v>66.873163008516244</v>
      </c>
      <c r="Q32" s="7">
        <v>0</v>
      </c>
      <c r="R32" s="7">
        <v>431.43976134526611</v>
      </c>
      <c r="S32" s="8">
        <f t="shared" si="0"/>
        <v>454.14711720554328</v>
      </c>
      <c r="T32" s="6">
        <v>8.8494461513963368E-2</v>
      </c>
      <c r="U32" s="8">
        <v>0.26868965944647322</v>
      </c>
      <c r="V32" s="41">
        <v>0.85865810674146359</v>
      </c>
    </row>
    <row r="33" spans="12:22" x14ac:dyDescent="0.25">
      <c r="L33" s="6">
        <v>29</v>
      </c>
      <c r="M33" s="24">
        <f t="shared" si="1"/>
        <v>8.0555555555555554</v>
      </c>
      <c r="N33" s="20">
        <f t="shared" si="2"/>
        <v>15.65866951416872</v>
      </c>
      <c r="O33" s="7">
        <v>377.58683399163374</v>
      </c>
      <c r="P33" s="7">
        <v>69.261490258820388</v>
      </c>
      <c r="Q33" s="7">
        <v>0</v>
      </c>
      <c r="R33" s="7">
        <v>446.84832425045414</v>
      </c>
      <c r="S33" s="8">
        <f t="shared" si="0"/>
        <v>470.36665710574124</v>
      </c>
      <c r="T33" s="6">
        <v>8.6807587169171432E-2</v>
      </c>
      <c r="U33" s="8">
        <v>0.26533289592533083</v>
      </c>
      <c r="V33" s="41">
        <v>0.85973083796692595</v>
      </c>
    </row>
    <row r="34" spans="12:22" x14ac:dyDescent="0.25">
      <c r="L34" s="11">
        <v>30</v>
      </c>
      <c r="M34" s="25">
        <f t="shared" si="1"/>
        <v>8.3333333333333339</v>
      </c>
      <c r="N34" s="26">
        <f t="shared" si="2"/>
        <v>16.198623635346955</v>
      </c>
      <c r="O34" s="14">
        <v>390.60706964651774</v>
      </c>
      <c r="P34" s="14">
        <v>71.649817509124546</v>
      </c>
      <c r="Q34" s="14">
        <v>0</v>
      </c>
      <c r="R34" s="14">
        <v>462.25688715564229</v>
      </c>
      <c r="S34" s="13">
        <f t="shared" si="0"/>
        <v>486.58619700593925</v>
      </c>
      <c r="T34" s="11">
        <v>8.5193994046763435E-2</v>
      </c>
      <c r="U34" s="13">
        <v>0.26210095195089195</v>
      </c>
      <c r="V34" s="42">
        <v>0.86064405512831843</v>
      </c>
    </row>
  </sheetData>
  <mergeCells count="4">
    <mergeCell ref="A1:C1"/>
    <mergeCell ref="E1:G1"/>
    <mergeCell ref="L1:S1"/>
    <mergeCell ref="T1:U1"/>
  </mergeCells>
  <pageMargins left="0.7" right="0.7" top="0.75" bottom="0.75" header="0.3" footer="0.3"/>
  <pageSetup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DA8FC-B5EE-4A66-A6F5-24C15FD9D747}">
  <sheetPr codeName="Blad3"/>
  <dimension ref="A1:K41"/>
  <sheetViews>
    <sheetView zoomScaleNormal="100" workbookViewId="0">
      <selection activeCell="K19" sqref="K19"/>
    </sheetView>
  </sheetViews>
  <sheetFormatPr defaultRowHeight="15" x14ac:dyDescent="0.25"/>
  <cols>
    <col min="1" max="1" width="26.28515625" customWidth="1"/>
    <col min="2" max="2" width="19.7109375" customWidth="1"/>
    <col min="5" max="5" width="32.5703125" customWidth="1"/>
    <col min="6" max="6" width="13.42578125" customWidth="1"/>
    <col min="7" max="7" width="22.5703125" customWidth="1"/>
    <col min="15" max="15" width="16.28515625" customWidth="1"/>
    <col min="16" max="16" width="12.85546875" customWidth="1"/>
    <col min="17" max="17" width="21.140625" customWidth="1"/>
  </cols>
  <sheetData>
    <row r="1" spans="1:8" x14ac:dyDescent="0.25">
      <c r="A1" s="46" t="s">
        <v>13</v>
      </c>
      <c r="B1" s="46"/>
      <c r="C1" s="46"/>
      <c r="E1" s="47" t="s">
        <v>19</v>
      </c>
      <c r="F1" s="47"/>
      <c r="G1" s="47"/>
    </row>
    <row r="2" spans="1:8" x14ac:dyDescent="0.25">
      <c r="A2" s="3" t="s">
        <v>3</v>
      </c>
      <c r="B2" s="4"/>
      <c r="C2" s="5"/>
      <c r="E2" s="3" t="s">
        <v>20</v>
      </c>
      <c r="F2" s="4"/>
      <c r="G2" s="5"/>
    </row>
    <row r="3" spans="1:8" ht="31.5" x14ac:dyDescent="0.5">
      <c r="A3" s="6" t="s">
        <v>2</v>
      </c>
      <c r="B3" s="7" t="s">
        <v>0</v>
      </c>
      <c r="C3" s="8">
        <v>0.38</v>
      </c>
      <c r="E3" s="6" t="s">
        <v>23</v>
      </c>
      <c r="F3" s="15" t="s">
        <v>24</v>
      </c>
      <c r="G3" s="8">
        <f>C10*C9*C4^2</f>
        <v>2308.0895999999998</v>
      </c>
      <c r="H3" s="18" t="s">
        <v>30</v>
      </c>
    </row>
    <row r="4" spans="1:8" x14ac:dyDescent="0.25">
      <c r="A4" s="6" t="s">
        <v>31</v>
      </c>
      <c r="B4" s="7" t="s">
        <v>32</v>
      </c>
      <c r="C4" s="8">
        <v>4</v>
      </c>
      <c r="E4" s="6" t="s">
        <v>34</v>
      </c>
      <c r="F4" s="15" t="s">
        <v>35</v>
      </c>
      <c r="G4" s="8">
        <f>G3*C4</f>
        <v>9232.3583999999992</v>
      </c>
      <c r="H4" t="s">
        <v>56</v>
      </c>
    </row>
    <row r="5" spans="1:8" x14ac:dyDescent="0.25">
      <c r="A5" s="6" t="s">
        <v>4</v>
      </c>
      <c r="B5" s="7" t="s">
        <v>6</v>
      </c>
      <c r="C5" s="8">
        <v>8.5000000000000006E-2</v>
      </c>
    </row>
    <row r="6" spans="1:8" x14ac:dyDescent="0.25">
      <c r="A6" s="6" t="s">
        <v>5</v>
      </c>
      <c r="B6" s="7" t="s">
        <v>7</v>
      </c>
      <c r="C6" s="8">
        <v>1.7299999999999999E-2</v>
      </c>
      <c r="E6" s="9" t="s">
        <v>21</v>
      </c>
    </row>
    <row r="7" spans="1:8" x14ac:dyDescent="0.25">
      <c r="A7" s="6"/>
      <c r="B7" s="7"/>
      <c r="C7" s="8"/>
      <c r="E7" s="6" t="s">
        <v>15</v>
      </c>
      <c r="F7" s="10" t="s">
        <v>25</v>
      </c>
      <c r="G7" s="8">
        <f>60*SQRT(G3/(C9*C3^4*C5))</f>
        <v>2166.2979175895853</v>
      </c>
      <c r="H7" t="s">
        <v>36</v>
      </c>
    </row>
    <row r="8" spans="1:8" x14ac:dyDescent="0.25">
      <c r="A8" s="9" t="s">
        <v>8</v>
      </c>
      <c r="B8" s="7"/>
      <c r="C8" s="8"/>
      <c r="E8" s="11" t="s">
        <v>22</v>
      </c>
      <c r="F8" s="14" t="s">
        <v>27</v>
      </c>
      <c r="G8" s="13">
        <f>G4/(G7/(60/(2*PI())))</f>
        <v>40.697324144343149</v>
      </c>
    </row>
    <row r="9" spans="1:8" x14ac:dyDescent="0.25">
      <c r="A9" s="6" t="s">
        <v>9</v>
      </c>
      <c r="B9" s="10" t="s">
        <v>10</v>
      </c>
      <c r="C9" s="8">
        <v>999</v>
      </c>
      <c r="G9" s="17">
        <f>C9*(G7/60)^2*C3^5*C6</f>
        <v>178.51036506352943</v>
      </c>
      <c r="H9" s="17" t="s">
        <v>53</v>
      </c>
    </row>
    <row r="10" spans="1:8" x14ac:dyDescent="0.25">
      <c r="A10" s="6" t="s">
        <v>11</v>
      </c>
      <c r="B10" s="10" t="s">
        <v>12</v>
      </c>
      <c r="C10" s="8">
        <f>C3*C3</f>
        <v>0.1444</v>
      </c>
      <c r="D10" t="s">
        <v>33</v>
      </c>
      <c r="E10" s="1" t="s">
        <v>42</v>
      </c>
      <c r="F10" t="s">
        <v>39</v>
      </c>
    </row>
    <row r="11" spans="1:8" x14ac:dyDescent="0.25">
      <c r="A11" s="6"/>
      <c r="B11" s="7"/>
      <c r="C11" s="8"/>
      <c r="E11" s="2" t="s">
        <v>37</v>
      </c>
      <c r="F11" s="7" t="s">
        <v>38</v>
      </c>
      <c r="G11">
        <v>20</v>
      </c>
    </row>
    <row r="12" spans="1:8" x14ac:dyDescent="0.25">
      <c r="A12" s="9" t="s">
        <v>14</v>
      </c>
      <c r="B12" s="7"/>
      <c r="C12" s="8"/>
      <c r="E12" s="6" t="s">
        <v>15</v>
      </c>
      <c r="F12" s="10" t="s">
        <v>25</v>
      </c>
      <c r="G12" s="8">
        <v>2166</v>
      </c>
      <c r="H12" t="s">
        <v>48</v>
      </c>
    </row>
    <row r="13" spans="1:8" x14ac:dyDescent="0.25">
      <c r="A13" s="6" t="s">
        <v>15</v>
      </c>
      <c r="B13" s="10" t="s">
        <v>17</v>
      </c>
      <c r="C13" s="8">
        <v>700</v>
      </c>
      <c r="E13" s="16" t="s">
        <v>40</v>
      </c>
      <c r="F13" s="15" t="s">
        <v>41</v>
      </c>
      <c r="G13">
        <f>(G7/(60/(2*PI())))*G11</f>
        <v>4537.0837489242049</v>
      </c>
    </row>
    <row r="14" spans="1:8" x14ac:dyDescent="0.25">
      <c r="A14" s="11" t="s">
        <v>16</v>
      </c>
      <c r="B14" s="12" t="s">
        <v>18</v>
      </c>
      <c r="C14" s="13">
        <v>15</v>
      </c>
      <c r="E14" s="16" t="s">
        <v>43</v>
      </c>
      <c r="F14" s="15" t="s">
        <v>45</v>
      </c>
      <c r="G14">
        <f>((G3/C4^2)*G13^2)^(1/3)</f>
        <v>1437.3485363493537</v>
      </c>
      <c r="H14" t="s">
        <v>47</v>
      </c>
    </row>
    <row r="15" spans="1:8" x14ac:dyDescent="0.25">
      <c r="E15" s="16" t="s">
        <v>44</v>
      </c>
      <c r="F15" s="7" t="s">
        <v>46</v>
      </c>
      <c r="G15">
        <f>G13/G14</f>
        <v>3.1565647678243067</v>
      </c>
    </row>
    <row r="30" spans="7:11" x14ac:dyDescent="0.25">
      <c r="K30" s="19" t="s">
        <v>52</v>
      </c>
    </row>
    <row r="31" spans="7:11" x14ac:dyDescent="0.25">
      <c r="H31" t="s">
        <v>49</v>
      </c>
      <c r="I31" t="s">
        <v>50</v>
      </c>
      <c r="J31" t="s">
        <v>51</v>
      </c>
    </row>
    <row r="32" spans="7:11" x14ac:dyDescent="0.25">
      <c r="G32">
        <v>1</v>
      </c>
      <c r="H32" s="19"/>
      <c r="J32" s="19"/>
    </row>
    <row r="33" spans="7:7" x14ac:dyDescent="0.25">
      <c r="G33">
        <v>2</v>
      </c>
    </row>
    <row r="34" spans="7:7" x14ac:dyDescent="0.25">
      <c r="G34">
        <v>3</v>
      </c>
    </row>
    <row r="35" spans="7:7" x14ac:dyDescent="0.25">
      <c r="G35">
        <v>4</v>
      </c>
    </row>
    <row r="36" spans="7:7" x14ac:dyDescent="0.25">
      <c r="G36">
        <v>5</v>
      </c>
    </row>
    <row r="37" spans="7:7" x14ac:dyDescent="0.25">
      <c r="G37">
        <v>6</v>
      </c>
    </row>
    <row r="38" spans="7:7" x14ac:dyDescent="0.25">
      <c r="G38">
        <v>7</v>
      </c>
    </row>
    <row r="39" spans="7:7" x14ac:dyDescent="0.25">
      <c r="G39">
        <v>8</v>
      </c>
    </row>
    <row r="40" spans="7:7" x14ac:dyDescent="0.25">
      <c r="G40">
        <v>9</v>
      </c>
    </row>
    <row r="41" spans="7:7" x14ac:dyDescent="0.25">
      <c r="G41">
        <v>10</v>
      </c>
    </row>
  </sheetData>
  <mergeCells count="2">
    <mergeCell ref="A1:C1"/>
    <mergeCell ref="E1:G1"/>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16</vt:i4>
      </vt:variant>
    </vt:vector>
  </HeadingPairs>
  <TitlesOfParts>
    <vt:vector size="19" baseType="lpstr">
      <vt:lpstr>n input</vt:lpstr>
      <vt:lpstr>Vb input</vt:lpstr>
      <vt:lpstr>old_rubbish</vt:lpstr>
      <vt:lpstr>'n input'!_Toc57046906</vt:lpstr>
      <vt:lpstr>'Vb input'!_Toc57046906</vt:lpstr>
      <vt:lpstr>'n input'!_Toc57046907</vt:lpstr>
      <vt:lpstr>'Vb input'!_Toc57046907</vt:lpstr>
      <vt:lpstr>'n input'!_Toc57046908</vt:lpstr>
      <vt:lpstr>old_rubbish!_Toc57046908</vt:lpstr>
      <vt:lpstr>'Vb input'!_Toc57046908</vt:lpstr>
      <vt:lpstr>'n input'!_Toc57046909</vt:lpstr>
      <vt:lpstr>old_rubbish!_Toc57046909</vt:lpstr>
      <vt:lpstr>'Vb input'!_Toc57046909</vt:lpstr>
      <vt:lpstr>'n input'!_Toc57046910</vt:lpstr>
      <vt:lpstr>old_rubbish!_Toc57046910</vt:lpstr>
      <vt:lpstr>'Vb input'!_Toc57046910</vt:lpstr>
      <vt:lpstr>'n input'!_Toc57046911</vt:lpstr>
      <vt:lpstr>old_rubbish!_Toc57046911</vt:lpstr>
      <vt:lpstr>'Vb input'!_Toc57046911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Hoogesteger</dc:creator>
  <cp:lastModifiedBy>Marco Hoogesteger</cp:lastModifiedBy>
  <dcterms:created xsi:type="dcterms:W3CDTF">2020-12-04T12:23:00Z</dcterms:created>
  <dcterms:modified xsi:type="dcterms:W3CDTF">2021-01-05T08:53:15Z</dcterms:modified>
</cp:coreProperties>
</file>